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040" tabRatio="682" activeTab="1"/>
  </bookViews>
  <sheets>
    <sheet name="Instruções de Preenchimento" sheetId="1" r:id="rId1"/>
    <sheet name="Resumo do Orçamento" sheetId="2" r:id="rId2"/>
    <sheet name="Orçamento Sintético" sheetId="3" r:id="rId3"/>
    <sheet name="Orçamento Analítico" sheetId="4" r:id="rId4"/>
    <sheet name="Insumos e Serviços" sheetId="5" r:id="rId5"/>
    <sheet name="Marcas e Modelos" sheetId="6" r:id="rId6"/>
    <sheet name="Composição de BDI" sheetId="7" r:id="rId7"/>
    <sheet name="Composição de Encargos Sociais" sheetId="8" r:id="rId8"/>
    <sheet name="Cronograma" sheetId="9" r:id="rId9"/>
  </sheets>
  <definedNames>
    <definedName name="_xlnm.Print_Area" localSheetId="2">'Orçamento Sintético'!$A$1:$H$276</definedName>
    <definedName name="_xlnm.Print_Titles" localSheetId="8">'Cronograma'!$1:$8</definedName>
    <definedName name="_xlnm.Print_Titles" localSheetId="4">'Insumos e Serviços'!$1:$8</definedName>
    <definedName name="_xlnm.Print_Titles" localSheetId="3">'Orçamento Analítico'!$1:$7</definedName>
    <definedName name="_xlnm.Print_Titles" localSheetId="2">'Orçamento Sintético'!$1:$8</definedName>
  </definedNames>
  <calcPr fullCalcOnLoad="1"/>
</workbook>
</file>

<file path=xl/sharedStrings.xml><?xml version="1.0" encoding="utf-8"?>
<sst xmlns="http://schemas.openxmlformats.org/spreadsheetml/2006/main" count="3205" uniqueCount="1339">
  <si>
    <t>Copia da SEINFRA (C1049) - DEMOLIÇÃO DE CONCRETO SIMPLES</t>
  </si>
  <si>
    <t>m³</t>
  </si>
  <si>
    <t xml:space="preserve"> 02.02.01.4 </t>
  </si>
  <si>
    <t xml:space="preserve"> MPDFT0494 </t>
  </si>
  <si>
    <t>Demolição de camada de proteção mecânica, impermeabilização e regularização de base</t>
  </si>
  <si>
    <t xml:space="preserve"> 02.02.01.5 </t>
  </si>
  <si>
    <t xml:space="preserve"> 97636 </t>
  </si>
  <si>
    <t xml:space="preserve"> 02.02.02 </t>
  </si>
  <si>
    <t>REMOÇÃO</t>
  </si>
  <si>
    <t xml:space="preserve"> 02.02.02.1 </t>
  </si>
  <si>
    <t xml:space="preserve"> 97665 </t>
  </si>
  <si>
    <t xml:space="preserve"> 02.02.02.2 </t>
  </si>
  <si>
    <t xml:space="preserve"> 97641 </t>
  </si>
  <si>
    <t xml:space="preserve"> 02.02.02.3 </t>
  </si>
  <si>
    <t xml:space="preserve"> MPDFT0109 </t>
  </si>
  <si>
    <t>Copia da CPOS (04.30.060) - Remoção de tubulação hidráulica em geral, incluindo conexões, caixas e ralos</t>
  </si>
  <si>
    <t xml:space="preserve"> 02.02.02.4 </t>
  </si>
  <si>
    <t xml:space="preserve"> MPDFT1674 </t>
  </si>
  <si>
    <t>Remoção de cancela automática e ponto eletrônico</t>
  </si>
  <si>
    <t xml:space="preserve"> 02.02.02.5 </t>
  </si>
  <si>
    <t xml:space="preserve"> MPDFT1689 </t>
  </si>
  <si>
    <t>Cópia da SBC (022183) - Retirada de rufos metálicos</t>
  </si>
  <si>
    <t xml:space="preserve"> 02.02.02.6 </t>
  </si>
  <si>
    <t xml:space="preserve"> MPDFT1690 </t>
  </si>
  <si>
    <t>Cópia da SBC (121160) - Remoção de painel de alumínio, poliuretano, Alucobond, Reybond em parede</t>
  </si>
  <si>
    <t xml:space="preserve"> 02.02.02.7 </t>
  </si>
  <si>
    <t xml:space="preserve"> 97644 </t>
  </si>
  <si>
    <t xml:space="preserve"> 02.02.02.8 </t>
  </si>
  <si>
    <t xml:space="preserve"> 100201 </t>
  </si>
  <si>
    <t xml:space="preserve"> 02.02.02.9 </t>
  </si>
  <si>
    <t xml:space="preserve"> MPDFT0509 </t>
  </si>
  <si>
    <t>Transporte de material – bota-fora, D.M.T = 60,0 km - carga manual</t>
  </si>
  <si>
    <t xml:space="preserve"> 02.02.02.10 </t>
  </si>
  <si>
    <t xml:space="preserve"> MPDFT1708 </t>
  </si>
  <si>
    <t>Ensacamento e transporte de entulho em sacos de 50 kg (KGxKM)</t>
  </si>
  <si>
    <t>KGXKM</t>
  </si>
  <si>
    <t xml:space="preserve"> 02.02.02.11 </t>
  </si>
  <si>
    <t xml:space="preserve"> MPDFT0605 </t>
  </si>
  <si>
    <t>Copia da SBC (022087) - RETIRADA E REMOCAO DE EQUIPAMENTOS DE AR CONDICIONADO</t>
  </si>
  <si>
    <t>UN</t>
  </si>
  <si>
    <t xml:space="preserve"> 02.02.02.12 </t>
  </si>
  <si>
    <t xml:space="preserve"> 97661 </t>
  </si>
  <si>
    <t xml:space="preserve"> 02.02.02.13 </t>
  </si>
  <si>
    <t xml:space="preserve"> MPDFT1025 </t>
  </si>
  <si>
    <t>Copia da SINAPI (98504) - REMOÇÃO DE GRAMA EM PLACAS COM REAPROVEITAMENTO.</t>
  </si>
  <si>
    <t xml:space="preserve"> 02.02.02.14 </t>
  </si>
  <si>
    <t xml:space="preserve"> MPDFT0505 </t>
  </si>
  <si>
    <t>Remoção, com reaproveitamento, de escadas metálicas e antena</t>
  </si>
  <si>
    <t xml:space="preserve"> 02.02.02.15 </t>
  </si>
  <si>
    <t xml:space="preserve"> MPDFT0497 </t>
  </si>
  <si>
    <t>Remoção, com reaproveitamento, do sistema de proteção contra descargas atmosféricas</t>
  </si>
  <si>
    <t xml:space="preserve"> 02.02.02.16 </t>
  </si>
  <si>
    <t xml:space="preserve"> MPDFT0583 </t>
  </si>
  <si>
    <t>Copia da SBC (022412) - Remoção de pintura textura em paredes internas e externas</t>
  </si>
  <si>
    <t xml:space="preserve"> 02.02.02.17 </t>
  </si>
  <si>
    <t xml:space="preserve"> MPDFT1712 </t>
  </si>
  <si>
    <t>Copia da SINAPI (97662) - REMOÇÃO DE TUBULAÇÕES DE REDE FRIGORIGENA (LINHA DE SUCÇÃO, LINHA DE LÍQUIDO E TUBULAÇÃO DE DRENO), DE FORMA MANUAL, SEM REAPROVEITAMENTO.</t>
  </si>
  <si>
    <t>M</t>
  </si>
  <si>
    <t xml:space="preserve"> 02.02.02.18 </t>
  </si>
  <si>
    <t xml:space="preserve"> MPDFT1543 </t>
  </si>
  <si>
    <t>Copia da SETOP (DEM-MFC-005) - REMOÇÃO DE MEIO-FIO PRÉ-MOLDADO DE CONCRETO INCLUSIVE CARGA</t>
  </si>
  <si>
    <t xml:space="preserve"> 02.04 </t>
  </si>
  <si>
    <t>Terraplanagem, movimentação de terra e escavações</t>
  </si>
  <si>
    <t xml:space="preserve"> 02.04.01 </t>
  </si>
  <si>
    <t>Limpeza e Preparo da Área</t>
  </si>
  <si>
    <t xml:space="preserve"> 02.04.01.1 </t>
  </si>
  <si>
    <t xml:space="preserve"> 96527 </t>
  </si>
  <si>
    <t xml:space="preserve"> 02.04.01.2 </t>
  </si>
  <si>
    <t xml:space="preserve"> 102329 </t>
  </si>
  <si>
    <t xml:space="preserve"> 02.04.03 </t>
  </si>
  <si>
    <t>Aterro compactado</t>
  </si>
  <si>
    <t xml:space="preserve"> 02.04.03.1 </t>
  </si>
  <si>
    <t xml:space="preserve"> 96995 </t>
  </si>
  <si>
    <t>SERVIÇOS AUXILIARES E ADMINISTRATIVOS</t>
  </si>
  <si>
    <t xml:space="preserve"> 03.01 </t>
  </si>
  <si>
    <t>PESSOAL</t>
  </si>
  <si>
    <t xml:space="preserve"> 03.01.02 </t>
  </si>
  <si>
    <t>MÃO-DE-OBRA</t>
  </si>
  <si>
    <t xml:space="preserve"> 03.01.02.1 </t>
  </si>
  <si>
    <t xml:space="preserve"> 93572 </t>
  </si>
  <si>
    <t xml:space="preserve"> 03.01.02.2 </t>
  </si>
  <si>
    <t xml:space="preserve"> 90778 </t>
  </si>
  <si>
    <t>ARQUITETURA</t>
  </si>
  <si>
    <t xml:space="preserve"> 04.01 </t>
  </si>
  <si>
    <t>PAREDES E ELEMENTOS DE VEDAÇÃO</t>
  </si>
  <si>
    <t xml:space="preserve"> 04.01.01 </t>
  </si>
  <si>
    <t>ALVENARIAS</t>
  </si>
  <si>
    <t xml:space="preserve"> 04.01.01.03</t>
  </si>
  <si>
    <t>ALVENARIA DE BLOCOS DE CONCRETO</t>
  </si>
  <si>
    <t xml:space="preserve"> 04.01.01.03.1 </t>
  </si>
  <si>
    <t xml:space="preserve"> 103316 </t>
  </si>
  <si>
    <t xml:space="preserve"> 04.01.01.03.2 </t>
  </si>
  <si>
    <t xml:space="preserve"> 101159 </t>
  </si>
  <si>
    <t xml:space="preserve"> 04.01.01.03.3 </t>
  </si>
  <si>
    <t xml:space="preserve"> 93203 </t>
  </si>
  <si>
    <t xml:space="preserve"> 04.01.01.03.4 </t>
  </si>
  <si>
    <t xml:space="preserve"> 93195 </t>
  </si>
  <si>
    <t xml:space="preserve"> 04.01.01.03.5 </t>
  </si>
  <si>
    <t xml:space="preserve"> 93194 </t>
  </si>
  <si>
    <t xml:space="preserve"> 04.01.01.03.6 </t>
  </si>
  <si>
    <t xml:space="preserve"> 93184 </t>
  </si>
  <si>
    <t xml:space="preserve"> 04.01.01.03.7 </t>
  </si>
  <si>
    <t xml:space="preserve"> 93183 </t>
  </si>
  <si>
    <t xml:space="preserve"> 04.01.01.03.8 </t>
  </si>
  <si>
    <t xml:space="preserve"> MPDFT1704 </t>
  </si>
  <si>
    <t>Copia da CPOS (14.40.080) - Tela galvanizada para fixação de alvenaria com dimensão de 10,5x50cm</t>
  </si>
  <si>
    <t xml:space="preserve"> 04.01.01.03.9 </t>
  </si>
  <si>
    <t xml:space="preserve"> MPDFT1703 </t>
  </si>
  <si>
    <t>Copia da SINAPI (103669) - CONCRETAGEM DE PILARES, FCK = 30 MPA,  COM USO DE BALDES - LANÇAMENTO, ADENSAMENTO E ACABAMENTO. AF_02/2022</t>
  </si>
  <si>
    <t xml:space="preserve"> 04.01.01.03.10 </t>
  </si>
  <si>
    <t xml:space="preserve"> MPDFT1705 </t>
  </si>
  <si>
    <t>Copia da SINAPI (103682) - CONCRETAGEM DE VIGAS E LAJES, FCK=30 MPA, PARA QUALQUER TIPO DE LAJE COM BALDES EM EDIFICAÇÃO TÉRREA - LANÇAMENTO, ADENSAMENTO E ACABAMENTO. AF_02/2022</t>
  </si>
  <si>
    <t xml:space="preserve"> 04.01.01.03.11 </t>
  </si>
  <si>
    <t xml:space="preserve"> 92761 </t>
  </si>
  <si>
    <t xml:space="preserve"> 04.01.01.03.12 </t>
  </si>
  <si>
    <t xml:space="preserve"> 92759 </t>
  </si>
  <si>
    <t xml:space="preserve"> 04.01.01.03.13 </t>
  </si>
  <si>
    <t xml:space="preserve"> 92415 </t>
  </si>
  <si>
    <t xml:space="preserve"> 04.01.01.03.14 </t>
  </si>
  <si>
    <t xml:space="preserve"> 92451 </t>
  </si>
  <si>
    <t xml:space="preserve"> 04.01.01.03.15 </t>
  </si>
  <si>
    <t xml:space="preserve"> 94962 </t>
  </si>
  <si>
    <t xml:space="preserve"> 04.01.02 </t>
  </si>
  <si>
    <t>DIVISÓRIAS</t>
  </si>
  <si>
    <t xml:space="preserve"> 04.01.02.04 </t>
  </si>
  <si>
    <t>DIVISÓRIA DE GESSO ACARTONADO</t>
  </si>
  <si>
    <t xml:space="preserve"> 04.01.02.04.1 </t>
  </si>
  <si>
    <t xml:space="preserve"> MPDFT0643 </t>
  </si>
  <si>
    <t>Copia da SINAPI (96359) - Parede com placas de gesso acartonado (drywall) resistente a umidade (RU), para uso interno, com duas faces simples e estrutura metálica com guias simples, com vãos</t>
  </si>
  <si>
    <t xml:space="preserve"> 04.01.02.04.2 </t>
  </si>
  <si>
    <t xml:space="preserve"> MPDFT1716 </t>
  </si>
  <si>
    <t>Copia da SINAPI (96369) - Parede com placas de gesso acartonado (drywall) resistente a umidade (RU), para uso interno, com duas faces duplas e estrutura metálica com guias duplas, com vãos</t>
  </si>
  <si>
    <t xml:space="preserve"> 04.01.02.04.3 </t>
  </si>
  <si>
    <t xml:space="preserve"> 96359 </t>
  </si>
  <si>
    <t xml:space="preserve"> 04.01.02.04.4 </t>
  </si>
  <si>
    <t xml:space="preserve"> 96369 </t>
  </si>
  <si>
    <t xml:space="preserve"> 04.02 </t>
  </si>
  <si>
    <t>ESQUADRIAS, PORTAS, COMPONENTES E ACESSÓRIOS</t>
  </si>
  <si>
    <t xml:space="preserve"> 04.02.01 </t>
  </si>
  <si>
    <t>ESQUADRIAS</t>
  </si>
  <si>
    <t xml:space="preserve"> 04.02.01.01 </t>
  </si>
  <si>
    <t>Esquadria de ferro/aço</t>
  </si>
  <si>
    <t xml:space="preserve"> 04.02.01.01.1 </t>
  </si>
  <si>
    <t xml:space="preserve"> MPDFT0649 </t>
  </si>
  <si>
    <t>Baseado na SINAPI (99861) - Gradil metálico composto por perfil tipo cantoneira, perfil U enrijecido e tela metálica 5x5, em módulo, incluso porta articulada e pintura esmalte</t>
  </si>
  <si>
    <t xml:space="preserve"> 04.02.01.02 </t>
  </si>
  <si>
    <t>ESQUADRIA DE ALUMÍNIO</t>
  </si>
  <si>
    <t xml:space="preserve"> 04.02.01.02.1 </t>
  </si>
  <si>
    <t xml:space="preserve"> MPDFT1717 </t>
  </si>
  <si>
    <t>Copia da SINAPI (94570) - JANELA DE CORRER EM ALUMÍNIO ANODIZADO PRETO, COM VIDROS DE 6MM - FORNECIMENTO E INSTALAÇÃO.</t>
  </si>
  <si>
    <t xml:space="preserve"> 04.02.02 </t>
  </si>
  <si>
    <t>PORTAS</t>
  </si>
  <si>
    <t xml:space="preserve"> 04.02.02.02 </t>
  </si>
  <si>
    <t>PORTA DE ALUMÍNIO</t>
  </si>
  <si>
    <t xml:space="preserve"> 04.02.02.02.1 </t>
  </si>
  <si>
    <t xml:space="preserve"> 91341 </t>
  </si>
  <si>
    <t xml:space="preserve"> 04.02.02.03 </t>
  </si>
  <si>
    <t>PORTA DE MADEIRA</t>
  </si>
  <si>
    <t xml:space="preserve"> 04.02.02.03.1 </t>
  </si>
  <si>
    <t xml:space="preserve"> MPDFT1672 </t>
  </si>
  <si>
    <t>Porta de madeira (PM), DM 0,80 x 2,10 m, acabamento em laminado melamínico texturizado, inclusive dobradiça, fechadura</t>
  </si>
  <si>
    <t xml:space="preserve"> 04.02.02.03.2 </t>
  </si>
  <si>
    <t xml:space="preserve"> MPDFT1692 </t>
  </si>
  <si>
    <t>Porta de madeira (PM), DM 0,90 x 2,10 m, acabamento em laminado melamínico texturizado, inclusive dobradiça, fechadura.</t>
  </si>
  <si>
    <t xml:space="preserve"> 04.02.02.03.3 </t>
  </si>
  <si>
    <t xml:space="preserve"> MPDFT1695 </t>
  </si>
  <si>
    <t>Porta de madeira (PM1A), DM 0,80 x 2,10 m, acabamento em laminado melamínico texturizado, inclusive dobradiça, fechadura, grelha e mola aérea</t>
  </si>
  <si>
    <t xml:space="preserve"> 04.02.02.03.4 </t>
  </si>
  <si>
    <t xml:space="preserve"> MPDFT0048 </t>
  </si>
  <si>
    <t>Porta de madeira (PM1), DM 1,60 x 2,10 m, acabamento em laminado melamínico texturizado, inclusive dobradiça e fechadura</t>
  </si>
  <si>
    <t xml:space="preserve"> 04.02.03 </t>
  </si>
  <si>
    <t>COMPONENTES E ACESSÓRIOS DE ESQUADRIAS E PORTAS</t>
  </si>
  <si>
    <t xml:space="preserve"> 04.02.03.01 </t>
  </si>
  <si>
    <t>PORTAIS</t>
  </si>
  <si>
    <t xml:space="preserve"> 04.02.03.01.1 </t>
  </si>
  <si>
    <t xml:space="preserve"> MPDFT1678 </t>
  </si>
  <si>
    <t>Portal / batente em chapa de aço carbono, l=9cm, desenvolvimento =26cm, SAE 1006/1010, nº 16, dobrada, para parede de gesso acartonado,conforme projeto, incluso tratamento com anticorrosivo e  pintura esmalte, Largura até 90cm</t>
  </si>
  <si>
    <t xml:space="preserve"> 04.02.03.01.2 </t>
  </si>
  <si>
    <t xml:space="preserve"> MPDFT1598 </t>
  </si>
  <si>
    <t>Portal / batente em chapa de aço carbono SAE 1006/1010, nº 16, dobrada conforme projeto, incluso tratamento com anticorrosivo e  pintura esmalte, Largura até 90cm</t>
  </si>
  <si>
    <t xml:space="preserve"> 04.02.03.01.3 </t>
  </si>
  <si>
    <t xml:space="preserve"> MPDFT1718 </t>
  </si>
  <si>
    <t>Portal / batente em chapa de aço carbono, l=9cm, desenvolvimento =26cm, SAE 1006/1010, nº 16, dobrada, para parede de gesso acartonado,conforme projeto, incluso tratamento com anticorrosivo e  pintura esmalte, Largura 160cm</t>
  </si>
  <si>
    <t xml:space="preserve"> 04.05 </t>
  </si>
  <si>
    <t>PAVIMENTAÇÃO E PISOS DE CONCRETO</t>
  </si>
  <si>
    <t xml:space="preserve"> 04.05.01 </t>
  </si>
  <si>
    <t>Serviços preliminares e preparação para pavimentação</t>
  </si>
  <si>
    <t xml:space="preserve"> 04.05.01.1 </t>
  </si>
  <si>
    <t xml:space="preserve"> 100577 </t>
  </si>
  <si>
    <t xml:space="preserve"> 04.05.01.2 </t>
  </si>
  <si>
    <t xml:space="preserve"> MPDFT0124 </t>
  </si>
  <si>
    <t>Baseado em CPOS (11.20.050) - Junta de dilatação / corte em concreto para pisos com discos diamantados, utilizando cortadora manual</t>
  </si>
  <si>
    <t xml:space="preserve"> 04.05.02 </t>
  </si>
  <si>
    <t>REVESTIMENTOS</t>
  </si>
  <si>
    <t xml:space="preserve"> 04.05.02.01 </t>
  </si>
  <si>
    <t>Revestimento asfáltico</t>
  </si>
  <si>
    <t xml:space="preserve"> 04.05.02.01.1 </t>
  </si>
  <si>
    <t xml:space="preserve"> 97806 </t>
  </si>
  <si>
    <t xml:space="preserve"> 04.05.02.02 </t>
  </si>
  <si>
    <t>PISOS DE CONCRETO</t>
  </si>
  <si>
    <t xml:space="preserve"> 04.05.02.02.1 </t>
  </si>
  <si>
    <t xml:space="preserve"> 94990 </t>
  </si>
  <si>
    <t xml:space="preserve"> 04.05.02.02.2 </t>
  </si>
  <si>
    <t xml:space="preserve"> 94779 </t>
  </si>
  <si>
    <t xml:space="preserve"> 04.06 </t>
  </si>
  <si>
    <t xml:space="preserve"> 04.06.01 </t>
  </si>
  <si>
    <t>ELEMENTOS E COMPONENTES DE REVESTIMENTOS</t>
  </si>
  <si>
    <t xml:space="preserve"> 04.06.01.07 </t>
  </si>
  <si>
    <t>MEIO FIO DE CONCRETO</t>
  </si>
  <si>
    <t xml:space="preserve"> 04.06.01.07.1 </t>
  </si>
  <si>
    <t xml:space="preserve"> 94273 </t>
  </si>
  <si>
    <t xml:space="preserve"> 04.06.01.08 </t>
  </si>
  <si>
    <t>CHAPISCO</t>
  </si>
  <si>
    <t xml:space="preserve"> 04.06.01.08.1 </t>
  </si>
  <si>
    <t xml:space="preserve"> 87879 </t>
  </si>
  <si>
    <t xml:space="preserve"> 04.06.01.11 </t>
  </si>
  <si>
    <t>MASSA ÚNICA (EMBOÇO PAULISTA: EMBOÇO + REBOCO)</t>
  </si>
  <si>
    <t xml:space="preserve"> 04.06.01.11.1 </t>
  </si>
  <si>
    <t xml:space="preserve"> 89173 </t>
  </si>
  <si>
    <t xml:space="preserve"> 04.06.01.14 </t>
  </si>
  <si>
    <t>SELADOR</t>
  </si>
  <si>
    <t xml:space="preserve"> 04.06.01.14.1 </t>
  </si>
  <si>
    <t xml:space="preserve"> 88484 </t>
  </si>
  <si>
    <t xml:space="preserve"> 04.06.01.14.2 </t>
  </si>
  <si>
    <t xml:space="preserve"> 88485 </t>
  </si>
  <si>
    <t xml:space="preserve"> 04.06.01.15 </t>
  </si>
  <si>
    <t>EMASSAMENTO (MASSA CORRIDA)</t>
  </si>
  <si>
    <t xml:space="preserve"> 04.06.01.15.1 </t>
  </si>
  <si>
    <t xml:space="preserve"> 96131 </t>
  </si>
  <si>
    <t xml:space="preserve"> 04.06.01.15.2 </t>
  </si>
  <si>
    <t xml:space="preserve"> 96134 </t>
  </si>
  <si>
    <t xml:space="preserve"> 04.06.04 </t>
  </si>
  <si>
    <t>REVESTIMENTOS DE FORRO/TETO</t>
  </si>
  <si>
    <t xml:space="preserve"> 04.06.04.02 </t>
  </si>
  <si>
    <t>PLACAS DE GESSO ACARTONADO</t>
  </si>
  <si>
    <t xml:space="preserve"> 04.06.04.02.1 </t>
  </si>
  <si>
    <t xml:space="preserve"> 96114 </t>
  </si>
  <si>
    <t xml:space="preserve"> 04.06.04.02.2 </t>
  </si>
  <si>
    <t xml:space="preserve"> MPDFT1052 </t>
  </si>
  <si>
    <t>Tabica metálica pré pintada, para forro em gesso acartonado</t>
  </si>
  <si>
    <t xml:space="preserve"> 04.06.04.02.3 </t>
  </si>
  <si>
    <t xml:space="preserve"> MPDFT1051 </t>
  </si>
  <si>
    <t>Copia da SBC (023361) - Execução de visita em forro de gesso, DM 60 x 60cm, inclusive acabamento em perfis de alumínio na cor branca</t>
  </si>
  <si>
    <t xml:space="preserve"> 04.06.05 </t>
  </si>
  <si>
    <t>PINTURAS</t>
  </si>
  <si>
    <t xml:space="preserve"> 04.06.05.02 </t>
  </si>
  <si>
    <t>TINTA ACRÍLICA</t>
  </si>
  <si>
    <t xml:space="preserve"> 04.06.05.02.1 </t>
  </si>
  <si>
    <t xml:space="preserve"> 88489 </t>
  </si>
  <si>
    <t xml:space="preserve"> 04.06.05.02.2 </t>
  </si>
  <si>
    <t xml:space="preserve"> 88488 </t>
  </si>
  <si>
    <t xml:space="preserve"> 04.06.05.05 </t>
  </si>
  <si>
    <t>TINTA ACRÍLICA PARA PISO NOVACOR</t>
  </si>
  <si>
    <t xml:space="preserve"> 04.06.05.05.1 </t>
  </si>
  <si>
    <t xml:space="preserve"> 102491 </t>
  </si>
  <si>
    <t xml:space="preserve"> 04.06.05.05.2 </t>
  </si>
  <si>
    <t xml:space="preserve"> 102498 </t>
  </si>
  <si>
    <t xml:space="preserve"> 04.06.05.06 </t>
  </si>
  <si>
    <t>Tinta esmalte</t>
  </si>
  <si>
    <t xml:space="preserve"> 04.06.05.06.1 </t>
  </si>
  <si>
    <t xml:space="preserve"> 100758 </t>
  </si>
  <si>
    <t xml:space="preserve"> 04.06.05.06.2 </t>
  </si>
  <si>
    <t xml:space="preserve"> MPDFT1458 </t>
  </si>
  <si>
    <t>Copia da SINAPI (100722) - PINTURA COM FUNDO PREPARADOR SUPER GALVITE, APLICADA A ROLO OU PINCEL SOBRE SUPERFÍCIES METÁLICAS, EXECUTADO EM OBRA (POR DEMÃO)</t>
  </si>
  <si>
    <t xml:space="preserve"> 04.06.05.07 </t>
  </si>
  <si>
    <t>Textura acrílica</t>
  </si>
  <si>
    <t xml:space="preserve"> 04.06.05.07.1 </t>
  </si>
  <si>
    <t xml:space="preserve"> 04.07 </t>
  </si>
  <si>
    <t>IMPERMEABILIZAÇÕES E TRATAMENTOS</t>
  </si>
  <si>
    <t xml:space="preserve"> 04.07.10 </t>
  </si>
  <si>
    <t>Manta asfáltica 4mm</t>
  </si>
  <si>
    <t xml:space="preserve"> 04.07.10.1 </t>
  </si>
  <si>
    <t xml:space="preserve"> MPDFT0480 </t>
  </si>
  <si>
    <t>Copia da SINAPI (98546) - Impermeabilização de superfície com manta asfáltica (com polímeros elastoméricos), e=4mm, ref. Torodin Extra, colada com asfalto derretido</t>
  </si>
  <si>
    <t xml:space="preserve"> 04.07.10.2 </t>
  </si>
  <si>
    <t xml:space="preserve"> MPDFT1706 </t>
  </si>
  <si>
    <t>Cópia da Orse (10029) - Impermeabilização c/ manta asfáltica aluminizada 3mm, estruturada com não-tecido de poliéster, inclusive aplicação de 1 demão de primer</t>
  </si>
  <si>
    <t xml:space="preserve"> 04.07.10.3 </t>
  </si>
  <si>
    <t xml:space="preserve"> MPDFT1714 </t>
  </si>
  <si>
    <t>Copia da SINAPI (98547) - Impermeabilização de superfície com manta asfáltica, três camadas no sistema sanfona, inclusive aplicação de primer asfáltico, e=4mm</t>
  </si>
  <si>
    <t xml:space="preserve"> 04.07.10.4 </t>
  </si>
  <si>
    <t xml:space="preserve"> 99814 </t>
  </si>
  <si>
    <t xml:space="preserve"> 04.07.13 </t>
  </si>
  <si>
    <t>Proteção mecânica</t>
  </si>
  <si>
    <t xml:space="preserve"> 04.07.13.1 </t>
  </si>
  <si>
    <t xml:space="preserve"> MPDFT1061 </t>
  </si>
  <si>
    <t>Copia da SINAPI (98565) - Proteção mecânica horizontal com argamassa traço 1:4 (cimento e areia), preparo mecânico, espessura 3cm, incluso camada separadora geotextil e junta de dilatação com asfalto modificado</t>
  </si>
  <si>
    <t xml:space="preserve"> 04.07.13.2 </t>
  </si>
  <si>
    <t xml:space="preserve"> MPDFT0550 </t>
  </si>
  <si>
    <t>Copia da SINAPI (98565) - Proteção mecânica vertical , preparo mecânico, espessura 3cm, incluso camada separadora geotextil e junta de dilatação com asfalto modificado - MPDFT0029</t>
  </si>
  <si>
    <t xml:space="preserve"> 04.07.13.3 </t>
  </si>
  <si>
    <t xml:space="preserve"> MPDFT1058 </t>
  </si>
  <si>
    <t>Cópia da Sinapi (87747) - Regularização / preparação de superfície com argamassa, e = 3cm, traço 1:3 (cimento e areia), com adição de de emulsão adesiva a base de resinas especiais de alto desempenho</t>
  </si>
  <si>
    <t xml:space="preserve"> 04.07.13.4 </t>
  </si>
  <si>
    <t xml:space="preserve"> MPDFT0706 </t>
  </si>
  <si>
    <t>Cópia da Sinapi (87747+87779) - Regularização / preparação de superfície vertical com argamassa, e = 3cm, traço 1:4 (cimento e areia), com adição de de emulsão adesiva a base de resinas especiais de alto desempenho</t>
  </si>
  <si>
    <t xml:space="preserve"> 04.07.13.5 </t>
  </si>
  <si>
    <t xml:space="preserve"> MPDFT0547 </t>
  </si>
  <si>
    <t>Copia da SINAPI (98546) - Impermeabilização de ralos ou ponto emergente com manta asfáltica (com polímeros elastoméricos), e=4mm, ref. Torodin Extra, colada com asfalto derretido</t>
  </si>
  <si>
    <t xml:space="preserve"> 04.07.16 </t>
  </si>
  <si>
    <t>Impermeabilização semiflexível e flexível</t>
  </si>
  <si>
    <t xml:space="preserve"> 04.07.16.1 </t>
  </si>
  <si>
    <t xml:space="preserve"> MPDFT0005 </t>
  </si>
  <si>
    <t>Copia da SINAPI (98556) - Impermeabilização de superfície com argamassa polimérica bicomponete, composta por 2 demaõs semi-flexível e 4 demãos flexivel, reforçado com véu de poliéster</t>
  </si>
  <si>
    <t xml:space="preserve"> 04.07.16.2 </t>
  </si>
  <si>
    <t xml:space="preserve"> MPDFT0411 </t>
  </si>
  <si>
    <t>Baseado na Sinapi (98556) - Impermeabilização de superfície com impermeabilizante semi-flexível, 1 demão</t>
  </si>
  <si>
    <t xml:space="preserve"> 04.07.16.3 </t>
  </si>
  <si>
    <t xml:space="preserve"> MPDFT1059 </t>
  </si>
  <si>
    <t>Cópia SINAPI (98556) - Impermeabilização com revestimento impermeabilizante semi-flexível e tela de poliéster com malha 2x2mm, ref. Viaplus 1000 (2 demãos)</t>
  </si>
  <si>
    <t xml:space="preserve"> 04.07.16.4 </t>
  </si>
  <si>
    <t xml:space="preserve"> MPDFT1054 </t>
  </si>
  <si>
    <t>Copia da ORSE (10027) - Impermeabilização com solução elastomérica e tela de poliéster com malha 2x2mm, ref. Vitlastic 50/70</t>
  </si>
  <si>
    <t xml:space="preserve"> 04.07.16.5 </t>
  </si>
  <si>
    <t xml:space="preserve"> 98557 </t>
  </si>
  <si>
    <t xml:space="preserve"> 04.07.19 </t>
  </si>
  <si>
    <t>Selante elástico à base de poliuretano</t>
  </si>
  <si>
    <t xml:space="preserve"> 04.07.19.1 </t>
  </si>
  <si>
    <t xml:space="preserve"> MPDFT1710 </t>
  </si>
  <si>
    <t>Cópia da Seinfra (C4571) - Preenchimento de junta de dilatação ou trica com resina de vedação temporária Sika Injection-150 VEDA</t>
  </si>
  <si>
    <t xml:space="preserve"> 04.07.19.2 </t>
  </si>
  <si>
    <t xml:space="preserve"> MPDFT1711 </t>
  </si>
  <si>
    <t>Cópia da Seinfra (C4571)  - Preenchimento de junta de dilatação ou trica com resina de vedação permanente Sika Injection-250 VEDA</t>
  </si>
  <si>
    <t xml:space="preserve"> 04.07.19.3 </t>
  </si>
  <si>
    <t xml:space="preserve"> MPDFT1719 </t>
  </si>
  <si>
    <t>Tratamento de junta com espuma de poliuretano expansiva</t>
  </si>
  <si>
    <t xml:space="preserve"> 04.08 </t>
  </si>
  <si>
    <t>ACABAMENTOS E ARREMATES</t>
  </si>
  <si>
    <t xml:space="preserve"> 04.08.12 </t>
  </si>
  <si>
    <t>Rufos</t>
  </si>
  <si>
    <t xml:space="preserve"> 04.08.12.1 </t>
  </si>
  <si>
    <t xml:space="preserve"> MPDFT0169 </t>
  </si>
  <si>
    <t>Cópia SINAPI (94231) - Rufo metálico em chapa de aço galvanizado # 24 desenvolvimento 50cm</t>
  </si>
  <si>
    <t xml:space="preserve"> 04.08.14 </t>
  </si>
  <si>
    <t>Calhas</t>
  </si>
  <si>
    <t xml:space="preserve"> 04.08.14.1 </t>
  </si>
  <si>
    <t xml:space="preserve"> MPDFT1713 </t>
  </si>
  <si>
    <t>Calha formato em “U” de concreto armado, moldada in-loco</t>
  </si>
  <si>
    <t xml:space="preserve"> 04.09 </t>
  </si>
  <si>
    <t>EQUIPAMENTOS E ACESSÓRIOS</t>
  </si>
  <si>
    <t xml:space="preserve"> 04.09.04 </t>
  </si>
  <si>
    <t>CANCELAS</t>
  </si>
  <si>
    <t xml:space="preserve"> 04.09.04.1 </t>
  </si>
  <si>
    <t xml:space="preserve"> MPDFT1675 </t>
  </si>
  <si>
    <t>Reinstalação de cancela automática e ponto eletrônico</t>
  </si>
  <si>
    <t xml:space="preserve"> 04.09.04.2 </t>
  </si>
  <si>
    <t xml:space="preserve"> MPDFT1691 </t>
  </si>
  <si>
    <t>Reparo em estrutura de metal (passarela, escada) inclusive lixamento, pintura e reforço</t>
  </si>
  <si>
    <t xml:space="preserve"> 04.09.04.3 </t>
  </si>
  <si>
    <t xml:space="preserve"> MPDFT0596 </t>
  </si>
  <si>
    <t>Reinstalação de escadas metálicas e antena</t>
  </si>
  <si>
    <t xml:space="preserve"> 04.09.04.4 </t>
  </si>
  <si>
    <t xml:space="preserve"> MPDFT0946 </t>
  </si>
  <si>
    <t>Copia da SETOP (SPDA-CAB-025) - Reinstalação de cordoalha do SPDA, utilizando as mesmas fixações e isoladores</t>
  </si>
  <si>
    <t xml:space="preserve"> 04.09.07 </t>
  </si>
  <si>
    <t>Grelhas de piso</t>
  </si>
  <si>
    <t xml:space="preserve"> 04.09.07.1 </t>
  </si>
  <si>
    <t xml:space="preserve"> MPDFT1715 </t>
  </si>
  <si>
    <t>Copia da ORSE (3199) - Grelha metálica em ferro fundido</t>
  </si>
  <si>
    <t>SERVIÇOS COMPLEMENTARES</t>
  </si>
  <si>
    <t xml:space="preserve"> 05.01 </t>
  </si>
  <si>
    <t>LIMPEZA DA OBRA</t>
  </si>
  <si>
    <t xml:space="preserve"> 05.01.1 </t>
  </si>
  <si>
    <t xml:space="preserve"> 99811 </t>
  </si>
  <si>
    <t xml:space="preserve"> 05.01.2 </t>
  </si>
  <si>
    <t xml:space="preserve"> 99821 </t>
  </si>
  <si>
    <t xml:space="preserve"> 05.01.3 </t>
  </si>
  <si>
    <t xml:space="preserve"> 99824 </t>
  </si>
  <si>
    <t xml:space="preserve"> 05.01.4 </t>
  </si>
  <si>
    <t xml:space="preserve"> MPDFT1707 </t>
  </si>
  <si>
    <t>Copia da SINAPI (99803) - LIMPEZA DE PISO COM PANO ÚMIDO. AF_04/2019</t>
  </si>
  <si>
    <t xml:space="preserve"> 05.01.5 </t>
  </si>
  <si>
    <t xml:space="preserve"> MPDFT1709 </t>
  </si>
  <si>
    <t>Copia da SBC (210022) - LIMPEZA REVESTIMENTOS EM GERAL</t>
  </si>
  <si>
    <t>FUNDAÇÕES E ESTRUTURAS</t>
  </si>
  <si>
    <t xml:space="preserve"> 08.01 </t>
  </si>
  <si>
    <t>FUNDAÇÃO</t>
  </si>
  <si>
    <t xml:space="preserve"> 08.01.02.1 </t>
  </si>
  <si>
    <t xml:space="preserve"> 101174 </t>
  </si>
  <si>
    <t>INSTALAÇÕES HIDRÁULICAS E SANITÁRIAS</t>
  </si>
  <si>
    <t xml:space="preserve"> 09.01 </t>
  </si>
  <si>
    <t>ÁGUA FRIA</t>
  </si>
  <si>
    <t xml:space="preserve"> 09.01.01 </t>
  </si>
  <si>
    <t>Tubos e Conexões em PVC Rígido</t>
  </si>
  <si>
    <t xml:space="preserve"> 09.01.01.1 </t>
  </si>
  <si>
    <t xml:space="preserve"> 89865 </t>
  </si>
  <si>
    <t xml:space="preserve"> 09.01.01.2 </t>
  </si>
  <si>
    <t xml:space="preserve"> 89591 </t>
  </si>
  <si>
    <t xml:space="preserve"> 09.01.01.3 </t>
  </si>
  <si>
    <t xml:space="preserve"> 89580 </t>
  </si>
  <si>
    <t xml:space="preserve"> 09.04 </t>
  </si>
  <si>
    <t>ESGOTO SANITÁRIO</t>
  </si>
  <si>
    <t xml:space="preserve"> 09.04.01 </t>
  </si>
  <si>
    <t>TUBOS E CONEXÕES EM POLIPROPILENO PRETO DE ULTRA RESISTÊNCIA</t>
  </si>
  <si>
    <t xml:space="preserve"> 09.04.01.01 </t>
  </si>
  <si>
    <t>TUBO</t>
  </si>
  <si>
    <t xml:space="preserve"> 09.04.01.01.1 </t>
  </si>
  <si>
    <t xml:space="preserve"> MPDFT1677 </t>
  </si>
  <si>
    <t>Copia da CPOS (46.33.003) - Tubo de 58mm em polipropileno preto de ultra resistência, ref. Tecnofluidos, linha Duratop XR</t>
  </si>
  <si>
    <t xml:space="preserve"> 09.04.01.01.2 </t>
  </si>
  <si>
    <t xml:space="preserve"> MPDFT1679 </t>
  </si>
  <si>
    <t>Copia da CPOS (46.33.003) - Tubo de 63mm em polipropileno preto de ultra resistência, ref. Tecnofluidos, linha Duratop XR</t>
  </si>
  <si>
    <t xml:space="preserve"> 09.04.01.01.3 </t>
  </si>
  <si>
    <t xml:space="preserve"> MPDFT1680 </t>
  </si>
  <si>
    <t>Copia da CPOS (46.33.004) - Tubo de 78mm em polipropileno preto de ultra resistência, ref. Tecnofluidos, linha Duratop XR</t>
  </si>
  <si>
    <t xml:space="preserve"> 09.04.01.01.4 </t>
  </si>
  <si>
    <t xml:space="preserve"> MPDFT1681 </t>
  </si>
  <si>
    <t>Copia da CPOS (46.33.004) - Tubo de 110mm em polipropileno preto de ultra resistência, ref. Tecnofluidos, linha Duratop XR</t>
  </si>
  <si>
    <t xml:space="preserve"> 09.04.01.02 </t>
  </si>
  <si>
    <t>CAP</t>
  </si>
  <si>
    <t xml:space="preserve"> 09.04.01.02.1 </t>
  </si>
  <si>
    <t xml:space="preserve"> MPDFT1688 </t>
  </si>
  <si>
    <t>Copia da CPOS (46.33.207) - Tampão (Cap), DN 110mm, em polipropileno preto de ultra resistência, ref. Tecnofluidos, linha Duratop XR</t>
  </si>
  <si>
    <t xml:space="preserve"> 09.04.01.04 </t>
  </si>
  <si>
    <t>JOELHO</t>
  </si>
  <si>
    <t xml:space="preserve"> 09.04.01.04.1 </t>
  </si>
  <si>
    <t xml:space="preserve"> MPDFT1686 </t>
  </si>
  <si>
    <t>Copia da CPOS (46.33.022) - Joelho 45º, DN 63mm, em polipropileno preto de ultra resistência, ref. Tecnofluidos, linha Duratop XR</t>
  </si>
  <si>
    <t xml:space="preserve"> 09.04.01.04.2 </t>
  </si>
  <si>
    <t xml:space="preserve"> MPDFT1687 </t>
  </si>
  <si>
    <t>Copia da CPOS (46.33.022) - Joelho 45º, DN 58mm, em polipropileno preto de ultra resistência, ref. Tecnofluidos, linha Duratop XR</t>
  </si>
  <si>
    <t xml:space="preserve"> 09.04.01.05 </t>
  </si>
  <si>
    <t>JUNÇÃO</t>
  </si>
  <si>
    <t xml:space="preserve"> 09.04.01.05.1 </t>
  </si>
  <si>
    <t xml:space="preserve"> MPDFT1682 </t>
  </si>
  <si>
    <t>Copia da CPOS (46.33.151) - Junção 45º, DN 110x110mm em polipropileno preto de ultra resistência, ref. Tecnofluidos, linha Duratop XR</t>
  </si>
  <si>
    <t xml:space="preserve"> 09.04.01.05.2 </t>
  </si>
  <si>
    <t xml:space="preserve"> MPDFT1683 </t>
  </si>
  <si>
    <t>Copia da CPOS (46.33.151) - Junção 45º de redução, DN 110x78mm em polipropileno preto de ultra resistência, ref. Tecnofluidos, linha Duratop XR</t>
  </si>
  <si>
    <t xml:space="preserve"> 09.04.01.05.3 </t>
  </si>
  <si>
    <t xml:space="preserve"> MPDFT1684 </t>
  </si>
  <si>
    <t>Copia da CPOS (46.33.151) - Junção 45º de redução, DN 78x78mm em polipropileno preto de ultra resistência, ref. Tecnofluidos, linha Duratop XR</t>
  </si>
  <si>
    <t xml:space="preserve"> 09.04.01.09 </t>
  </si>
  <si>
    <t>REDUÇÃO</t>
  </si>
  <si>
    <t xml:space="preserve"> 09.04.01.09.1 </t>
  </si>
  <si>
    <t xml:space="preserve"> MPDFT1685 </t>
  </si>
  <si>
    <t>Copia da CPOS (46.33.118) - Redução, DN 78x63mm, em polipropileno preto de ultra resistência, ref. Tecnofluidos, linha Duratop XR</t>
  </si>
  <si>
    <t xml:space="preserve"> 09.04.02 </t>
  </si>
  <si>
    <t>TUBOS E CONEXÕES EM PVC SÉRIE NORMAL</t>
  </si>
  <si>
    <t xml:space="preserve"> 09.04.02.1 </t>
  </si>
  <si>
    <t xml:space="preserve"> 91795 </t>
  </si>
  <si>
    <t xml:space="preserve"> 09.04.05 </t>
  </si>
  <si>
    <t>CAIXAS E RALOS</t>
  </si>
  <si>
    <t xml:space="preserve"> 09.04.05.01 </t>
  </si>
  <si>
    <t>CAIXAS SIFONADAS</t>
  </si>
  <si>
    <t xml:space="preserve"> 09.04.05.01.1 </t>
  </si>
  <si>
    <t xml:space="preserve"> MPDFT1676 </t>
  </si>
  <si>
    <t>Copia da CPOS (46.33.186) - Caixa sifonada 125mm - saída de 63mm, em polipropileno preto de ultra resistência, ref. Tecnofluidos, linha Duratop X</t>
  </si>
  <si>
    <t xml:space="preserve"> 09.04.05.05 </t>
  </si>
  <si>
    <t>Poço de visita</t>
  </si>
  <si>
    <t xml:space="preserve"> 09.04.05.05.1 </t>
  </si>
  <si>
    <t xml:space="preserve"> MPDFT1720 </t>
  </si>
  <si>
    <t>Poço de visita circular em concreto pré-moldado, diâmetro interno = 1,20m, profundidade de 2,20m, excluindo tampão</t>
  </si>
  <si>
    <t xml:space="preserve"> 09.04.05.05.2 </t>
  </si>
  <si>
    <t xml:space="preserve"> MPDFT0712 </t>
  </si>
  <si>
    <t>Copia da SINAPI (98114) - Tampão para caixa de inspeção / pluvial / esgoto , com 2 travas Oliv, Cl400 - ferro fundido nodular, T100 - base 72cm, tampa 53cm,  Fundição Vesúvio Fl-51682</t>
  </si>
  <si>
    <t xml:space="preserve"> 09.06 </t>
  </si>
  <si>
    <t>SERVIÇOS DIVERSOS</t>
  </si>
  <si>
    <t xml:space="preserve"> 09.06.1 </t>
  </si>
  <si>
    <t xml:space="preserve"> 100323 </t>
  </si>
  <si>
    <t>INSTALAÇÕES ELÉTRICAS E ELETRÔNICAS</t>
  </si>
  <si>
    <t xml:space="preserve"> 10.01 </t>
  </si>
  <si>
    <t>INSTALAÇÕES ELÉTRICAS</t>
  </si>
  <si>
    <t xml:space="preserve"> 10.01.01 </t>
  </si>
  <si>
    <t>QUADROS ELÉTRICOS</t>
  </si>
  <si>
    <t xml:space="preserve"> 10.01.01.03 </t>
  </si>
  <si>
    <t>DISJUNTOR MONOPOLAR TERMOMAGNÉTICO</t>
  </si>
  <si>
    <t xml:space="preserve"> 10.01.01.03.1 </t>
  </si>
  <si>
    <t xml:space="preserve"> 93653 </t>
  </si>
  <si>
    <t xml:space="preserve"> 10.01.01.03.2 </t>
  </si>
  <si>
    <t xml:space="preserve"> 93654 </t>
  </si>
  <si>
    <t xml:space="preserve"> 10.01.03 </t>
  </si>
  <si>
    <t>SISTEMAS DE ILUMINAÇÃO</t>
  </si>
  <si>
    <t xml:space="preserve"> 10.01.03.01 </t>
  </si>
  <si>
    <t>LUMINÁRIAS</t>
  </si>
  <si>
    <t xml:space="preserve"> 10.01.03.01.1 </t>
  </si>
  <si>
    <t xml:space="preserve"> MPDFT1697 </t>
  </si>
  <si>
    <t>Copia da CPOS (41.14.560) -LUMINÁRIA DE EMBUTIR DE 2 X 32W, COM ALETAS EM ALUMÍNIO REFLETIDO, COM DIMENSÕES DE 1,25M, NA COR BRANCA. MARCA: ABALUX, MODELO: A407</t>
  </si>
  <si>
    <t xml:space="preserve"> 10.01.03.01.2 </t>
  </si>
  <si>
    <t xml:space="preserve"> MPDFT1515 </t>
  </si>
  <si>
    <t>Copia da SINAPI (97590) - REINSTALAÇÃO DE LUMINÁRIA</t>
  </si>
  <si>
    <t xml:space="preserve"> 10.01.03.02 </t>
  </si>
  <si>
    <t>LÂMPADAS</t>
  </si>
  <si>
    <t xml:space="preserve"> 10.01.03.02.1 </t>
  </si>
  <si>
    <t xml:space="preserve"> 100903 </t>
  </si>
  <si>
    <t xml:space="preserve"> 10.01.03.03 </t>
  </si>
  <si>
    <t>INTERRUPTORES</t>
  </si>
  <si>
    <t xml:space="preserve"> 10.01.03.03.1 </t>
  </si>
  <si>
    <t xml:space="preserve"> 91952 </t>
  </si>
  <si>
    <t xml:space="preserve"> 10.01.04 </t>
  </si>
  <si>
    <t>SISTEMAS DE TOMADAS</t>
  </si>
  <si>
    <t xml:space="preserve"> 10.01.04.01 </t>
  </si>
  <si>
    <t>ELEMENTOS DE TOMADAS</t>
  </si>
  <si>
    <t xml:space="preserve"> 10.01.04.01.1 </t>
  </si>
  <si>
    <t xml:space="preserve"> 91998 </t>
  </si>
  <si>
    <t xml:space="preserve"> 10.01.04.01.2 </t>
  </si>
  <si>
    <t xml:space="preserve"> 91990 </t>
  </si>
  <si>
    <t xml:space="preserve"> 10.01.04.01.3 </t>
  </si>
  <si>
    <t xml:space="preserve"> 91994 </t>
  </si>
  <si>
    <t xml:space="preserve"> 10.01.04.01.4 </t>
  </si>
  <si>
    <t xml:space="preserve"> MPDFT1699 </t>
  </si>
  <si>
    <t>Copia da SINAPI (91998) - TOMADA NO PISO DE EMBUTIR (1 MÓDULO), 2P+T 10 A, SEM SUPORTE E SEM PLACA - FORNECIMENTO E INSTALAÇÃO. AF_12/2015</t>
  </si>
  <si>
    <t xml:space="preserve"> 10.01.05 </t>
  </si>
  <si>
    <t>CONDUTORES ELÉTRICOS</t>
  </si>
  <si>
    <t xml:space="preserve"> 10.01.05.01 </t>
  </si>
  <si>
    <t>CABOS PVC</t>
  </si>
  <si>
    <t xml:space="preserve"> 10.01.05.01.1 </t>
  </si>
  <si>
    <t xml:space="preserve"> 91926 </t>
  </si>
  <si>
    <t xml:space="preserve"> 10.03 </t>
  </si>
  <si>
    <t>CABEAMENTO ESTRUTURADO</t>
  </si>
  <si>
    <t xml:space="preserve"> 10.03.04 </t>
  </si>
  <si>
    <t>TOMADAS DE COMUNICAÇÃO</t>
  </si>
  <si>
    <t xml:space="preserve"> 10.03.04.03 </t>
  </si>
  <si>
    <t xml:space="preserve"> 10.03.04.03.1 </t>
  </si>
  <si>
    <t xml:space="preserve"> MPDFT1701 </t>
  </si>
  <si>
    <t>Copia da SINAPI (98307) - TOMADA DE REDE RJ45 - FORNECIMENTO E INSTALAÇÃO. AF_11/2019</t>
  </si>
  <si>
    <t xml:space="preserve"> 10.03.04.03.2 </t>
  </si>
  <si>
    <t xml:space="preserve"> MPDFT1700 </t>
  </si>
  <si>
    <t>Copia da SINAPI (98308) - TOMADA PARA TELEFONE RJ11 - FORNECIMENTO E INSTALAÇÃO. AF_11/2019</t>
  </si>
  <si>
    <t xml:space="preserve"> 10.08 </t>
  </si>
  <si>
    <t>ACESSÓRIOS</t>
  </si>
  <si>
    <t xml:space="preserve"> 10.08.01 </t>
  </si>
  <si>
    <t>IDENTIFICADORES</t>
  </si>
  <si>
    <t xml:space="preserve"> 10.08.01.01 </t>
  </si>
  <si>
    <t>MARCADORES TIPO ANILHA</t>
  </si>
  <si>
    <t xml:space="preserve"> 10.08.01.01.1 </t>
  </si>
  <si>
    <t xml:space="preserve"> MPDFT0265 </t>
  </si>
  <si>
    <t>Copia da ORSE (698) - Fornecimento e colocação de anilha para identificação</t>
  </si>
  <si>
    <t>mil</t>
  </si>
  <si>
    <t xml:space="preserve"> 10.09 </t>
  </si>
  <si>
    <t>CONDUTOS</t>
  </si>
  <si>
    <t xml:space="preserve"> 10.09.01 </t>
  </si>
  <si>
    <t>ELETRODUTOS</t>
  </si>
  <si>
    <t xml:space="preserve"> 10.09.01.03 </t>
  </si>
  <si>
    <t>METÁLICO RÍGIDO</t>
  </si>
  <si>
    <t xml:space="preserve"> 10.09.01.03.1 </t>
  </si>
  <si>
    <t xml:space="preserve"> MPDFT0354 </t>
  </si>
  <si>
    <t>Copia da SINAPI (95746) - Eletroduto rígido de 25mm em aço carbono sem costura, parede classe pesada de espessura ≥1,5mm, com revestimento protetor de zinco aplicado a quente, extremidades com rosa BSP. Fabricação Apolo Tubos e Equipamentos</t>
  </si>
  <si>
    <t xml:space="preserve"> 10.09.01.03.2 </t>
  </si>
  <si>
    <t xml:space="preserve"> MPDFT0373 </t>
  </si>
  <si>
    <t>Copia da SBC (063756) - Saída horizontal para eletroduto Ø 3/4"</t>
  </si>
  <si>
    <t xml:space="preserve"> 10.09.01.06 </t>
  </si>
  <si>
    <t>CAIXA CONDULETE METÁLICA</t>
  </si>
  <si>
    <t xml:space="preserve"> 10.09.01.06.1 </t>
  </si>
  <si>
    <t xml:space="preserve"> 95789 </t>
  </si>
  <si>
    <t xml:space="preserve"> 10.09.01.06.2 </t>
  </si>
  <si>
    <t xml:space="preserve"> MPDFT1693 </t>
  </si>
  <si>
    <t>Copia da SBC (062616) - TAMPA EM ALUMINIO CONDULETE 3/4"", UM POSTO</t>
  </si>
  <si>
    <t xml:space="preserve"> 10.09.01.06.3 </t>
  </si>
  <si>
    <t xml:space="preserve"> MPDFT1702 </t>
  </si>
  <si>
    <t>Copia da SBC (062617) - TAMPA EM ALUMINIO PARA CONDULETE, COM 2 POSTOS PARA RJ45 ou RJ11</t>
  </si>
  <si>
    <t xml:space="preserve"> 10.09.02 </t>
  </si>
  <si>
    <t>ELETROCALHAS</t>
  </si>
  <si>
    <t xml:space="preserve"> 10.09.02.1 </t>
  </si>
  <si>
    <t xml:space="preserve"> MPDFT0281 </t>
  </si>
  <si>
    <t>Copia da SETOP (ELE-CAL-045) - Eletrocalha perfurada, chapa mínima de 20, tipo "C", 100x50mm, incluindo divisores perfurados perfil "L", conexões e fixações, fab. Mopa</t>
  </si>
  <si>
    <t xml:space="preserve"> 10.10 </t>
  </si>
  <si>
    <t xml:space="preserve"> 10.10.1 </t>
  </si>
  <si>
    <t xml:space="preserve"> MPDFT0435 </t>
  </si>
  <si>
    <t>Identificação, teste e certificação de pontos de rede lógica, emissão de relatório</t>
  </si>
  <si>
    <t>INSTALAÇÕES MECÂNICAS</t>
  </si>
  <si>
    <t xml:space="preserve"> 11.02 </t>
  </si>
  <si>
    <t>AR CONDICIONADO E VENTILAÇÃO</t>
  </si>
  <si>
    <t xml:space="preserve"> 11.02.02 </t>
  </si>
  <si>
    <t>AR CONDICIONADO LOCAL</t>
  </si>
  <si>
    <t xml:space="preserve"> 11.02.02.1 </t>
  </si>
  <si>
    <t xml:space="preserve"> MPDFT1694 </t>
  </si>
  <si>
    <t>Copia da SINAPI (103250) - INSTALAÇÃO DE AR CONDICIONADO SPLIT INVERTER, HI-WALL (PAREDE), 18000 BTU/H, CICLO FRIO - SOMENTE INSTALAÇÃO.</t>
  </si>
  <si>
    <t xml:space="preserve"> 11.02.02.2 </t>
  </si>
  <si>
    <t xml:space="preserve"> MPDFT0058 </t>
  </si>
  <si>
    <t>Aparelho de ar condicionado de expansão direta split, tipo hi-wall, gás refrigerante R-410A, compressor com sistema inverter,  capacidade nominal de resfriamento de 12.000 BTU/h , dimensões da unidade externa (AxLxP) 550 x 740 x 326mm, massa 26kg, dimensões da unidade interna (AxLxP) 285 x 770 x 225mm, massa 8 kg, linha de líquido Ø6,35mm, linha de sucção Ø9,53mm, conexão do dreno de Ø20mm, cor branca, alimentação elétrica 220- monofásica-60Hz, potência elétrica 1,03kW, COP 3,45, incluindo: filtro de ar e controle remoto sem fio. Modelo de referência: DAIKIN- STK12P5VL (FTK12P5VL+RK12P5VL) ou similar equivalente.</t>
  </si>
  <si>
    <t xml:space="preserve"> 11.02.02.3 </t>
  </si>
  <si>
    <t xml:space="preserve"> 97327 </t>
  </si>
  <si>
    <t xml:space="preserve"> 11.02.02.4 </t>
  </si>
  <si>
    <t xml:space="preserve"> 97328 </t>
  </si>
  <si>
    <t>Material</t>
  </si>
  <si>
    <t>Mão de Obra</t>
  </si>
  <si>
    <t>Planilha Orçamentária Analítica</t>
  </si>
  <si>
    <t>SERVIÇOS TÉCNICOS-PROFISSIONAIS</t>
  </si>
  <si>
    <t xml:space="preserve"> CM0645 </t>
  </si>
  <si>
    <t xml:space="preserve"> 02.01.03 </t>
  </si>
  <si>
    <t xml:space="preserve"> 88316 </t>
  </si>
  <si>
    <t xml:space="preserve"> 00003777 </t>
  </si>
  <si>
    <t xml:space="preserve"> 88309 </t>
  </si>
  <si>
    <t xml:space="preserve"> CM1044 </t>
  </si>
  <si>
    <t xml:space="preserve"> 5928 </t>
  </si>
  <si>
    <t xml:space="preserve"> 5930 </t>
  </si>
  <si>
    <t xml:space="preserve"> 97634 </t>
  </si>
  <si>
    <t xml:space="preserve"> 97631 </t>
  </si>
  <si>
    <t>Composição</t>
  </si>
  <si>
    <t xml:space="preserve"> 88279 </t>
  </si>
  <si>
    <t xml:space="preserve"> 88323 </t>
  </si>
  <si>
    <t xml:space="preserve"> 88277 </t>
  </si>
  <si>
    <t xml:space="preserve"> 88243 </t>
  </si>
  <si>
    <t xml:space="preserve"> 97915 </t>
  </si>
  <si>
    <t xml:space="preserve"> 97914 </t>
  </si>
  <si>
    <t xml:space="preserve"> 100195 </t>
  </si>
  <si>
    <t xml:space="preserve"> 00037526 </t>
  </si>
  <si>
    <t xml:space="preserve"> 88264 </t>
  </si>
  <si>
    <t xml:space="preserve"> 88441 </t>
  </si>
  <si>
    <t xml:space="preserve"> 88315 </t>
  </si>
  <si>
    <t xml:space="preserve"> 88251 </t>
  </si>
  <si>
    <t xml:space="preserve"> 88247 </t>
  </si>
  <si>
    <t xml:space="preserve"> 88267 </t>
  </si>
  <si>
    <t xml:space="preserve"> 04.01.01.03 </t>
  </si>
  <si>
    <t xml:space="preserve"> 00034558 </t>
  </si>
  <si>
    <t xml:space="preserve"> 00037396 </t>
  </si>
  <si>
    <t xml:space="preserve"> 88262 </t>
  </si>
  <si>
    <t xml:space="preserve"> 90586 </t>
  </si>
  <si>
    <t xml:space="preserve"> 90587 </t>
  </si>
  <si>
    <t xml:space="preserve"> 94966 </t>
  </si>
  <si>
    <t xml:space="preserve"> 88278 </t>
  </si>
  <si>
    <t xml:space="preserve"> 00037586 </t>
  </si>
  <si>
    <t xml:space="preserve"> 00039419 </t>
  </si>
  <si>
    <t xml:space="preserve"> 00039422 </t>
  </si>
  <si>
    <t xml:space="preserve"> 00039431 </t>
  </si>
  <si>
    <t xml:space="preserve"> 00039432 </t>
  </si>
  <si>
    <t xml:space="preserve"> 00039434 </t>
  </si>
  <si>
    <t xml:space="preserve"> 00039435 </t>
  </si>
  <si>
    <t xml:space="preserve"> 00039443 </t>
  </si>
  <si>
    <t xml:space="preserve"> 00039417 </t>
  </si>
  <si>
    <t xml:space="preserve"> 00039437 </t>
  </si>
  <si>
    <t xml:space="preserve"> 88629 </t>
  </si>
  <si>
    <t xml:space="preserve"> 100750 </t>
  </si>
  <si>
    <t xml:space="preserve"> 100740 </t>
  </si>
  <si>
    <t xml:space="preserve"> 00011002 </t>
  </si>
  <si>
    <t xml:space="preserve"> 00043083 </t>
  </si>
  <si>
    <t xml:space="preserve"> 00004777 </t>
  </si>
  <si>
    <t xml:space="preserve"> 00007167 </t>
  </si>
  <si>
    <t xml:space="preserve"> 00004377 </t>
  </si>
  <si>
    <t xml:space="preserve"> 00039961 </t>
  </si>
  <si>
    <t xml:space="preserve"> 00010491 </t>
  </si>
  <si>
    <t xml:space="preserve"> CM2063 </t>
  </si>
  <si>
    <t xml:space="preserve"> 88261 </t>
  </si>
  <si>
    <t xml:space="preserve"> 91011 </t>
  </si>
  <si>
    <t xml:space="preserve"> 88273 </t>
  </si>
  <si>
    <t xml:space="preserve"> 00038152 </t>
  </si>
  <si>
    <t xml:space="preserve"> CM0190 </t>
  </si>
  <si>
    <t xml:space="preserve"> 00001339 </t>
  </si>
  <si>
    <t xml:space="preserve"> 91012 </t>
  </si>
  <si>
    <t xml:space="preserve"> 00011560 </t>
  </si>
  <si>
    <t xml:space="preserve"> CM1369 </t>
  </si>
  <si>
    <t xml:space="preserve"> 100757 </t>
  </si>
  <si>
    <t xml:space="preserve"> 100721 </t>
  </si>
  <si>
    <t xml:space="preserve"> 00001322 </t>
  </si>
  <si>
    <t xml:space="preserve"> 00038124 </t>
  </si>
  <si>
    <t xml:space="preserve"> 00038140 </t>
  </si>
  <si>
    <t xml:space="preserve"> CM0173 </t>
  </si>
  <si>
    <t xml:space="preserve"> 88269 </t>
  </si>
  <si>
    <t xml:space="preserve"> 00000586 </t>
  </si>
  <si>
    <t xml:space="preserve"> 00039412 </t>
  </si>
  <si>
    <t>TINTA ESMALTE</t>
  </si>
  <si>
    <t xml:space="preserve"> 88310 </t>
  </si>
  <si>
    <t xml:space="preserve"> 00005318 </t>
  </si>
  <si>
    <t xml:space="preserve"> CM1961 </t>
  </si>
  <si>
    <t xml:space="preserve"> 88270 </t>
  </si>
  <si>
    <t xml:space="preserve"> 00004015 </t>
  </si>
  <si>
    <t xml:space="preserve"> 00004226 </t>
  </si>
  <si>
    <t xml:space="preserve"> 00000511 </t>
  </si>
  <si>
    <t xml:space="preserve"> 00000516 </t>
  </si>
  <si>
    <t xml:space="preserve"> 00011621 </t>
  </si>
  <si>
    <t>Insumo</t>
  </si>
  <si>
    <t xml:space="preserve"> 87301 </t>
  </si>
  <si>
    <t xml:space="preserve"> 00004021 </t>
  </si>
  <si>
    <t xml:space="preserve"> 00000509 </t>
  </si>
  <si>
    <t xml:space="preserve"> 87797 </t>
  </si>
  <si>
    <t xml:space="preserve"> 87298 </t>
  </si>
  <si>
    <t xml:space="preserve"> 00007334 </t>
  </si>
  <si>
    <t xml:space="preserve"> 88630 </t>
  </si>
  <si>
    <t xml:space="preserve"> CM0832 </t>
  </si>
  <si>
    <t xml:space="preserve"> CM1336 </t>
  </si>
  <si>
    <t xml:space="preserve"> 00004030 </t>
  </si>
  <si>
    <t xml:space="preserve"> 00000135 </t>
  </si>
  <si>
    <t xml:space="preserve"> 00011609 </t>
  </si>
  <si>
    <t xml:space="preserve"> 00000626 </t>
  </si>
  <si>
    <t xml:space="preserve"> CM2061 </t>
  </si>
  <si>
    <t xml:space="preserve"> CM2062 </t>
  </si>
  <si>
    <t xml:space="preserve"> 94231 </t>
  </si>
  <si>
    <t xml:space="preserve"> 00000142 </t>
  </si>
  <si>
    <t xml:space="preserve"> 102098 </t>
  </si>
  <si>
    <t xml:space="preserve"> 92265 </t>
  </si>
  <si>
    <t xml:space="preserve"> MPDFT0587 </t>
  </si>
  <si>
    <t xml:space="preserve"> 103673 </t>
  </si>
  <si>
    <t xml:space="preserve"> 100742 </t>
  </si>
  <si>
    <t xml:space="preserve"> 00021012 </t>
  </si>
  <si>
    <t xml:space="preserve"> 00011963 </t>
  </si>
  <si>
    <t xml:space="preserve"> CM2060 </t>
  </si>
  <si>
    <t xml:space="preserve"> 88248 </t>
  </si>
  <si>
    <t xml:space="preserve"> CM2039 </t>
  </si>
  <si>
    <t xml:space="preserve"> CM2040 </t>
  </si>
  <si>
    <t xml:space="preserve"> CM2041 </t>
  </si>
  <si>
    <t xml:space="preserve"> CM2042 </t>
  </si>
  <si>
    <t xml:space="preserve"> CM2050 </t>
  </si>
  <si>
    <t xml:space="preserve"> CM2048 </t>
  </si>
  <si>
    <t xml:space="preserve"> CM2049 </t>
  </si>
  <si>
    <t xml:space="preserve"> CM2043 </t>
  </si>
  <si>
    <t xml:space="preserve"> CM2045 </t>
  </si>
  <si>
    <t xml:space="preserve"> CM2046 </t>
  </si>
  <si>
    <t xml:space="preserve"> CM2047 </t>
  </si>
  <si>
    <t xml:space="preserve"> CM2038 </t>
  </si>
  <si>
    <t xml:space="preserve"> 102139 </t>
  </si>
  <si>
    <t xml:space="preserve"> 97987 </t>
  </si>
  <si>
    <t xml:space="preserve"> 94974 </t>
  </si>
  <si>
    <t xml:space="preserve"> 100324 </t>
  </si>
  <si>
    <t xml:space="preserve"> 97629 </t>
  </si>
  <si>
    <t xml:space="preserve"> 92888 </t>
  </si>
  <si>
    <t xml:space="preserve"> 94970 </t>
  </si>
  <si>
    <t xml:space="preserve"> CM1584 </t>
  </si>
  <si>
    <t xml:space="preserve"> 00034618 </t>
  </si>
  <si>
    <t xml:space="preserve"> CM0261 </t>
  </si>
  <si>
    <t xml:space="preserve"> 00020111 </t>
  </si>
  <si>
    <t xml:space="preserve"> CM2052 </t>
  </si>
  <si>
    <t xml:space="preserve"> 00038101 </t>
  </si>
  <si>
    <t xml:space="preserve"> 00039601 </t>
  </si>
  <si>
    <t xml:space="preserve"> 00038103 </t>
  </si>
  <si>
    <t xml:space="preserve"> CM0181 </t>
  </si>
  <si>
    <t xml:space="preserve"> 91170 </t>
  </si>
  <si>
    <t xml:space="preserve"> 95754 </t>
  </si>
  <si>
    <t xml:space="preserve"> CM0007 </t>
  </si>
  <si>
    <t xml:space="preserve"> CM1444 </t>
  </si>
  <si>
    <t xml:space="preserve"> CM2051 </t>
  </si>
  <si>
    <t xml:space="preserve"> CM2055 </t>
  </si>
  <si>
    <t xml:space="preserve"> CM0209 </t>
  </si>
  <si>
    <t xml:space="preserve"> CM0199 </t>
  </si>
  <si>
    <t xml:space="preserve"> 100308 </t>
  </si>
  <si>
    <t xml:space="preserve"> 00001570 </t>
  </si>
  <si>
    <t xml:space="preserve"> 00007568 </t>
  </si>
  <si>
    <t xml:space="preserve"> 00011976 </t>
  </si>
  <si>
    <t xml:space="preserve"> 00013246 </t>
  </si>
  <si>
    <t xml:space="preserve"> 00037591 </t>
  </si>
  <si>
    <t xml:space="preserve"> 88250 </t>
  </si>
  <si>
    <t xml:space="preserve"> 88275 </t>
  </si>
  <si>
    <t xml:space="preserve"> 00042425 </t>
  </si>
  <si>
    <t xml:space="preserve"> 00002504 </t>
  </si>
  <si>
    <t xml:space="preserve"> 00000984 </t>
  </si>
  <si>
    <t>Composição auxiliar</t>
  </si>
  <si>
    <t>Copia da SEINFRA (C0098) - Aplicação de adesivo estrutural base epoxi</t>
  </si>
  <si>
    <t>kg</t>
  </si>
  <si>
    <t xml:space="preserve"> 00000156</t>
  </si>
  <si>
    <t>Insumos e Serviços</t>
  </si>
  <si>
    <t>Classificação</t>
  </si>
  <si>
    <t>SINAPI</t>
  </si>
  <si>
    <t>ARGAMASSA POLIMERICA IMPERMEABILIZANTE SEMIFLEXIVEL, BICOMPONENTE (MEMBRANA IMPERMEABILIZANTE ACRILICA)</t>
  </si>
  <si>
    <t>KG</t>
  </si>
  <si>
    <t>SELANTE ELASTICO MONOCOMPONENTE A BASE DE POLIURETANO (PU) PARA JUNTAS DIVERSAS</t>
  </si>
  <si>
    <t>310ML</t>
  </si>
  <si>
    <t>ADESIVO ESTRUTURAL A BASE DE RESINA EPOXI, BICOMPONENTE, FLUIDO</t>
  </si>
  <si>
    <t>ASFALTO MODIFICADO TIPO III - NBR 9910 (ASFALTO OXIDADO PARA IMPERMEABILIZACAO, COEFICIENTE DE PENETRACAO 15-25)</t>
  </si>
  <si>
    <t>PRIMER PARA MANTA ASFALTICA A BASE DE ASFALTO MODIFICADO DILUIDO EM SOLVENTE, APLICACAO A FRIO</t>
  </si>
  <si>
    <t>L</t>
  </si>
  <si>
    <t>ASFALTO MODIFICADO TIPO II - NBR 9910 (ASFALTO OXIDADO PARA IMPERMEABILIZACAO, COEFICIENTE DE PENETRACAO 20-35)</t>
  </si>
  <si>
    <t>CANTONEIRA ALUMINIO ABAS IGUAIS 1 ", E = 3 /16 "</t>
  </si>
  <si>
    <t>MANTA LIQUIDA DE BASE ASFALTICA MODIFICADA COM A ADICAO DE ELASTOMEROS DILUIDOS EM SOLVENTE ORGANICO, APLICACAO A FRIO (MEMBRANA IMPERMEABILIZANTE ASFASTICA)</t>
  </si>
  <si>
    <t>CABO DE COBRE, RIGIDO, CLASSE 2, ISOLACAO EM PVC/A, ANTICHAMA BWF-B, 1 CONDUTOR, 450/750 V, SECAO NOMINAL 2,5 MM2</t>
  </si>
  <si>
    <t>CHAPA DE ACO FINA A QUENTE BITOLA MSG 16, E = 1,50 MM (12,00 KG/M2)</t>
  </si>
  <si>
    <t>COLA A BASE DE RESINA SINTETICA PARA CHAPA DE LAMINADO MELAMINICO</t>
  </si>
  <si>
    <t>TERMINAL A COMPRESSAO EM COBRE ESTANHADO PARA CABO 2,5 MM2, 1 FURO E 1 COMPRESSAO, PARA PARAFUSO DE FIXACAO M5</t>
  </si>
  <si>
    <t>ELETRODUTO FLEXIVEL, EM ACO GALVANIZADO, REVESTIDO EXTERNAMENTE COM PVC PRETO, DIAMETRO EXTERNO DE 25 MM (3/4"), TIPO SEALTUBO</t>
  </si>
  <si>
    <t>LONA PLASTICA PESADA PRETA, E = 150 MICRA</t>
  </si>
  <si>
    <t>MANTA ASFALTICA ELASTOMERICA EM POLIESTER 4 MM, TIPO III, CLASSE B, ACABAMENTO PP (NBR 9952)</t>
  </si>
  <si>
    <t>GEOTEXTIL NAO TECIDO AGULHADO DE FILAMENTOS CONTINUOS 100% POLIESTER, RESITENCIA A TRACAO = 14 KN/M</t>
  </si>
  <si>
    <t>VEU POLIESTER</t>
  </si>
  <si>
    <t>GAS DE COZINHA - GLP</t>
  </si>
  <si>
    <t>PARAFUSO DE ACO ZINCADO COM ROSCA SOBERBA, CABECA CHATA E FENDA SIMPLES, DIAMETRO 4,2 MM, COMPRIMENTO * 32 * MM</t>
  </si>
  <si>
    <t>CANTONEIRA ACO ABAS IGUAIS (QUALQUER BITOLA), ESPESSURA ENTRE 1/8" E 1/4"</t>
  </si>
  <si>
    <t>DILUENTE AGUARRAS</t>
  </si>
  <si>
    <t>TELA DE ARAME GALVANIZADA QUADRANGULAR / LOSANGULAR, FIO 2,11 MM (14 BWG), MALHA 5 X 5 CM, H = 2 M</t>
  </si>
  <si>
    <t>ADITIVO ADESIVO LIQUIDO PARA ARGAMASSAS DE REVESTIMENTOS CIMENTICIOS</t>
  </si>
  <si>
    <t>BUCHA DE NYLON SEM ABA S10, COM PARAFUSO DE 6,10 X 65 MM EM ACO ZINCADO COM ROSCA SOBERBA, CABECA CHATA E FENDA PHILLIPS</t>
  </si>
  <si>
    <t>VIDRO LISO INCOLOR 6 MM - SEM COLOCACAO</t>
  </si>
  <si>
    <t>LOCACAO DE CONTAINER 2,30 X 6,00 M, ALT. 2,50 M, PARA ESCRITORIO, SEM DIVISORIAS INTERNAS E SEM SANITARIO (NAO INCLUI MOBILIZACAO/DESMOBILIZACAO)</t>
  </si>
  <si>
    <t>MES</t>
  </si>
  <si>
    <t>ELETRODO REVESTIDO AWS - E6013, DIAMETRO IGUAL A 2,50 MM</t>
  </si>
  <si>
    <t>MOLA HIDRAULICA AEREA, PARA PORTAS DE ATE 950 MM E PESO DE ATE 65 KG, COM CORPO EM ALUMINIO E BRACO EM ACO, SEM BRACO DE PARADA</t>
  </si>
  <si>
    <t>SOLUCAO ASFALTICA ELASTOMERICA PARA IMPRIMACAO, APLICACAO A FRIO</t>
  </si>
  <si>
    <t>MANTA ASFALTICA ELASTOMERICA EM POLIESTER ALUMINIZADA 3 MM, TIPO III, CLASSE B (NBR 9952)</t>
  </si>
  <si>
    <t>PARAFUSO DE ACO TIPO CHUMBADOR PARABOLT, DIAMETRO 1/2", COMPRIMENTO 75 MM</t>
  </si>
  <si>
    <t>CHUMBADOR, DIAMETRO 1/4" COM PARAFUSO 1/4" X 40 MM</t>
  </si>
  <si>
    <t>PARAFUSO DE FERRO POLIDO, SEXTAVADO, COM ROSCA INTEIRA, DIAMETRO 5/16", COMPRIMENTO 3/4", COM PORCA E ARRUELA LISA LEVE</t>
  </si>
  <si>
    <t>FITA ISOLANTE ADESIVA ANTICHAMA, USO ATE 750 V, EM ROLO DE 19 MM X 20 M</t>
  </si>
  <si>
    <t>TUBO ACO GALVANIZADO COM COSTURA, CLASSE LEVE, DN 40 MM ( 1 1/2"),  E = 3,00 MM,  *3,48* KG/M (NBR 5580)</t>
  </si>
  <si>
    <t>TELA DE ACO SOLDADA GALVANIZADA/ZINCADA PARA ALVENARIA, FIO D = *1,20 A 1,70* MM, MALHA 15 X 15 MM, (C X L) *50 X 10,5* CM</t>
  </si>
  <si>
    <t>CABO FLEXIVEL PVC 750 V, 3 CONDUTORES DE 1,5 MM2</t>
  </si>
  <si>
    <t>PINO DE ACO LISO 1/4 ", HASTE = *36,5* MM (ACAO DIRETA)</t>
  </si>
  <si>
    <t>CENTO</t>
  </si>
  <si>
    <t>SACO DE RAFIA PARA ENTULHO, NOVO, LISO (SEM CLICHE), *60 x 90* CM</t>
  </si>
  <si>
    <t>PINO DE ACO COM ARRUELA CONICA, DIAMETRO ARRUELA = *23* MM E COMP HASTE = *27* MM (ACAO INDIRETA)</t>
  </si>
  <si>
    <t>SUPORTE MAO-FRANCESA EM ACO, ABAS IGUAIS 40 CM, CAPACIDADE MINIMA 70 KG, BRANCO</t>
  </si>
  <si>
    <t>TOMADA 2P+T 10A, 250V  (APENAS MODULO)</t>
  </si>
  <si>
    <t>TOMADA RJ11, 2 FIOS (APENAS MODULO)</t>
  </si>
  <si>
    <t>ESPUMA EXPANSIVA DE POLIURETANO, APLICACAO MANUAL - 500 ML</t>
  </si>
  <si>
    <t>DISCO DE CORTE DIAMANTADO SEGMENTADO PARA CONCRETO, DIAMETRO DE 110 MM, FURO DE 20 MM</t>
  </si>
  <si>
    <t>FECHADURA ROSETA REDONDA PARA PORTA EXTERNA, EM ACO INOX (MAQUINA, TESTA E CONTRA-TESTA) E EM ZAMAC (MACANETA, LINGUETA E TRINCOS) COM ACABAMENTO CROMADO, MAQUINA DE 55 MM, INCLUINDO CHAVE TIPO CILINDRO</t>
  </si>
  <si>
    <t>CJ</t>
  </si>
  <si>
    <t>PLACA / CHAPA DE GESSO ACARTONADO, STANDARD (ST), COR BRANCA, E = 12,5 MM, 1200 X 1800 MM (L X C)</t>
  </si>
  <si>
    <t>PLACA / CHAPA DE GESSO ACARTONADO, RESISTENTE A UMIDADE (RU), COR VERDE, E = 12,5 MM, 1200 X 2400 MM (L X C)</t>
  </si>
  <si>
    <t>PERFIL GUIA, FORMATO U, EM ACO ZINCADO, PARA ESTRUTURA PAREDE DRYWALL, E = 0,5 MM, 70 X 3000 MM (L X C)</t>
  </si>
  <si>
    <t>PERFIL MONTANTE, FORMATO C, EM ACO ZINCADO, PARA ESTRUTURA PAREDE DRYWALL, E = 0,5 MM, 70 X 3000 MM (L X C)</t>
  </si>
  <si>
    <t>FITA DE PAPEL MICROPERFURADO, 50 X 150 MM, PARA TRATAMENTO DE JUNTAS DE CHAPA DE GESSO PARA DRYWALL</t>
  </si>
  <si>
    <t>FITA DE PAPEL REFORCADA COM LAMINA DE METAL PARA REFORCO DE CANTOS DE CHAPA DE GESSO PARA DRYWALL</t>
  </si>
  <si>
    <t>MASSA DE REJUNTE EM PO PARA DRYWALL, A BASE DE GESSO, SECAGEM RAPIDA, PARA TRATAMENTO DE JUNTAS DE CHAPA DE GESSO (NECESSITA ADICAO DE AGUA)</t>
  </si>
  <si>
    <t>PARAFUSO DRY WALL, EM ACO FOSFATIZADO, CABECA TROMBETA E PONTA AGULHA (TA), COMPRIMENTO 25 MM</t>
  </si>
  <si>
    <t>PARAFUSO DRY WALL, EM ACO FOSFATIZADO, CABECA TROMBETA E PONTA AGULHA (TA), COMPRIMENTO 45 MM</t>
  </si>
  <si>
    <t>PARAFUSO DRY WALL, EM ACO ZINCADO, CABECA LENTILHA E PONTA BROCA (LB), LARGURA 4,2 MM, COMPRIMENTO 13 MM</t>
  </si>
  <si>
    <t>CONECTOR / TOMADA FEMEA RJ 45, CATEGORIA 6 (CAT 6) PARA CABOS</t>
  </si>
  <si>
    <t xml:space="preserve"> SILICONE ACETICO USO GERAL INCOLOR 280 G</t>
  </si>
  <si>
    <t>LOCACAO DE ANDAIME SUSPENSO OU BALANCIM MANUAL, CAPACIDADE DE CARGA TOTAL DE APROXIMADAMENTE 250 KG/M2, PLATAFORMA DE 1,50 M X 0,80 M (C X L), CABO DE 45 M</t>
  </si>
  <si>
    <t>AR CONDICIONADO SPLIT INVERTER, HI-WALL (PAREDE), 12000 BTU/H, CICLO FRIO, 60HZ, CLASSIFICACAO A (SELO PROCEL), GAS HFC, CONTROLE S/FIO</t>
  </si>
  <si>
    <t>PERFIL "U" ENRIJECIDO DE ACO GALVANIZADO, DOBRADO, 150 X 60 X 20 MM, E = 3,00 MM OU 200 X 75 X 25 MM, E = 3,75 MM</t>
  </si>
  <si>
    <t>TRANSPORTE HORIZONTAL MANUAL, DE SACOS DE 50 KG (UNIDADE: KGXKM). AF_07/2019</t>
  </si>
  <si>
    <t>TRANSPORTE HORIZONTAL COM CARRINHO DE MÃO, DE SACOS DE 50 KG (UNIDADE: KGXKM). AF_07/2019</t>
  </si>
  <si>
    <t>MECÂNICO DE REFRIGERAÇÃO COM ENCARGOS COMPLEMENTARES</t>
  </si>
  <si>
    <t>LASTRO COM MATERIAL GRANULAR (AREIA MÉDIA), APLICADO EM PISOS OU LAJES SOBRE SOLO, ESPESSURA DE *10 CM*. AF_07/2019</t>
  </si>
  <si>
    <t>LASTRO COM MATERIAL GRANULAR (PEDRA BRITADA N.1 E PEDRA BRITADA N.2), APLICADO EM PISOS OU LAJES SOBRE SOLO, ESPESSURA DE *10 CM*. AF_07/2019</t>
  </si>
  <si>
    <t>REGULARIZAÇÃO E COMPACTAÇÃO DE SUBLEITO DE SOLO PREDOMINANTEMENTE ARENOSO. AF_11/2019</t>
  </si>
  <si>
    <t>PINTURA COM TINTA ALQUÍDICA DE FUNDO (TIPO ZARCÃO) PULVERIZADA SOBRE SUPERFÍCIES METÁLICAS (EXCETO PERFIL) EXECUTADO EM OBRA (POR DEMÃO). AF_01/2020_P</t>
  </si>
  <si>
    <t>PINTURA COM TINTA ALQUÍDICA DE ACABAMENTO (ESMALTE SINTÉTICO ACETINADO) APLICADA A ROLO OU PINCEL SOBRE PERFIL METÁLICO EXECUTADO EM FÁBRICA (POR DEMÃO). AF_01/2020</t>
  </si>
  <si>
    <t>PINTURA COM TINTA ALQUÍDICA DE ACABAMENTO (ESMALTE SINTÉTICO ACETINADO) APLICADA A ROLO OU PINCEL SOBRE SUPERFÍCIES METÁLICAS (EXCETO PERFIL) EXECUTADO EM OBRA (POR DEMÃO). AF_01/2020</t>
  </si>
  <si>
    <t>PINTURA COM TINTA ALQUÍDICA DE ACABAMENTO (ESMALTE SINTÉTICO FOSCO) APLICADA A ROLO OU PINCEL SOBRE SUPERFÍCIES METÁLICAS (EXCETO PERFIL) EXECUTADO EM OBRA (POR DEMÃO). AF_01/2020</t>
  </si>
  <si>
    <t>PINTURA COM TINTA ALQUÍDICA DE ACABAMENTO (ESMALTE SINTÉTICO ACETINADO) PULVERIZADA SOBRE SUPERFÍCIES METÁLICAS (EXCETO PERFIL) EXECUTADO EM OBRA (02 DEMÃOS). AF_01/2020_P</t>
  </si>
  <si>
    <t>PINTURA COM TINTA ALQUÍDICA DE ACABAMENTO (ESMALTE SINTÉTICO ACETINADO) APLICADA A ROLO OU PINCEL SOBRE SUPERFÍCIES METÁLICAS (EXCETO PERFIL) EXECUTADO EM OBRA (02 DEMÃOS). AF_01/2020</t>
  </si>
  <si>
    <t>LÂMPADA TUBULAR LED DE 18/20 W, BASE G13 - FORNECIMENTO E INSTALAÇÃO. AF_02/2020_P</t>
  </si>
  <si>
    <t>ALVENARIA DE VEDAÇÃO DE BLOCOS CERÂMICOS MACIÇOS DE 5X10X20CM (ESPESSURA 10CM) E ARGAMASSA DE ASSENTAMENTO COM PREPARO EM BETONEIRA. AF_05/2020</t>
  </si>
  <si>
    <t>ESTACA BROCA DE CONCRETO, DIÂMETRO DE 25CM, ESCAVAÇÃO MANUAL COM TRADO CONCHA, COM ARMADURA DE ARRANQUE. AF_05/2020</t>
  </si>
  <si>
    <t>RECOMPOSIÇÃO DE REVESTIMENTO EM CONCRETO ASFÁLTICO (AQUISIÇÃO EM USINA), PARA O FECHAMENTO DE VALAS - INCLUSO DEMOLIÇÃO DO PAVIMENTO. AF_12/2020</t>
  </si>
  <si>
    <t>BASE PARA POÇO DE VISITA CIRCULAR PARA  ESGOTO, EM CONCRETO PRÉ-MOLDADO, DIÂMETRO INTERNO = 1,20 M, PROFUNDIDADE = 1,60 M, EXCLUINDO TAMPÃO. AF_12/2020</t>
  </si>
  <si>
    <t>ESCAVAÇÃO MECANIZADA DE VALA COM PROF. MAIOR QUE 1,5 M ATÉ 3,0 M (MÉDIA MONTANTE E JUSANTE/UMA COMPOSIÇÃO POR TRECHO), RETROESCAV. (0,26 M3), LARG. DE 0,8 M A 1,5 M, EM SOLO DE 2A CATEGORIA, EM LOCAIS COM BAIXO NÍVEL DE INTERFERÊNCIA. AF_02/2021</t>
  </si>
  <si>
    <t>PINTURA DE PISO COM TINTA ACRÍLICA, APLICAÇÃO MANUAL, 2 DEMÃOS, INCLUSO FUNDO PREPARADOR. AF_05/2021</t>
  </si>
  <si>
    <t>PINTURA DE MEIO-FIO COM TINTA BRANCA A BASE DE CAL (CAIAÇÃO). AF_05/2021</t>
  </si>
  <si>
    <t>ALVENARIA DE VEDAÇÃO DE BLOCOS VAZADOS DE CONCRETO DE 9X19X39 CM (ESPESSURA 9 CM) E ARGAMASSA DE ASSENTAMENTO COM PREPARO EM BETONEIRA. AF_12/2021</t>
  </si>
  <si>
    <t>LANÇAMENTO COM USO DE BOMBA, ADENSAMENTO E ACABAMENTO DE CONCRETO EM ESTRUTURAS. AF_02/2022</t>
  </si>
  <si>
    <t xml:space="preserve"> 5901 </t>
  </si>
  <si>
    <t>CAMINHÃO PIPA 10.000 L TRUCADO, PESO BRUTO TOTAL 23.000 KG, CARGA ÚTIL MÁXIMA 15.935 KG, DISTÂNCIA ENTRE EIXOS 4,8 M, POTÊNCIA 230 CV, INCLUSIVE TANQUE DE AÇO PARA TRANSPORTE DE ÁGUA - CHP DIURNO. AF_06/2014</t>
  </si>
  <si>
    <t>CHP</t>
  </si>
  <si>
    <t xml:space="preserve"> 5903 </t>
  </si>
  <si>
    <t>CAMINHÃO PIPA 10.000 L TRUCADO, PESO BRUTO TOTAL 23.000 KG, CARGA ÚTIL MÁXIMA 15.935 KG, DISTÂNCIA ENTRE EIXOS 4,8 M, POTÊNCIA 230 CV, INCLUSIVE TANQUE DE AÇO PARA TRANSPORTE DE ÁGUA - CHI DIURNO. AF_06/2014</t>
  </si>
  <si>
    <t>CHI</t>
  </si>
  <si>
    <t>GUINDAUTO HIDRÁULICO, CAPACIDADE MÁXIMA DE CARGA 6200 KG, MOMENTO MÁXIMO DE CARGA 11,7 TM, ALCANCE MÁXIMO HORIZONTAL 9,70 M, INCLUSIVE CAMINHÃO TOCO PBT 16.000 KG, POTÊNCIA DE 189 CV - CHP DIURNO. AF_06/2014</t>
  </si>
  <si>
    <t>GUINDAUTO HIDRÁULICO, CAPACIDADE MÁXIMA DE CARGA 6200 KG, MOMENTO MÁXIMO DE CARGA 11,7 TM, ALCANCE MÁXIMO HORIZONTAL 9,70 M, INCLUSIVE CAMINHÃO TOCO PBT 16.000 KG, POTÊNCIA DE 189 CV - CHI DIURNO. AF_06/2014</t>
  </si>
  <si>
    <t xml:space="preserve"> 5932 </t>
  </si>
  <si>
    <t>MOTONIVELADORA POTÊNCIA BÁSICA LÍQUIDA (PRIMEIRA MARCHA) 125 HP, PESO BRUTO 13032 KG, LARGURA DA LÂMINA DE 3,7 M - CHP DIURNO. AF_06/2014</t>
  </si>
  <si>
    <t xml:space="preserve"> 5934 </t>
  </si>
  <si>
    <t>MOTONIVELADORA POTÊNCIA BÁSICA LÍQUIDA (PRIMEIRA MARCHA) 125 HP, PESO BRUTO 13032 KG, LARGURA DA LÂMINA DE 3,7 M - CHI DIURNO. AF_06/2014</t>
  </si>
  <si>
    <t>ARGAMASSA TRAÇO 1:3 (EM VOLUME DE CIMENTO E AREIA MÉDIA ÚMIDA) PARA CONTRAPISO, PREPARO MECÂNICO COM BETONEIRA 400 L. AF_08/2019</t>
  </si>
  <si>
    <t>ARGAMASSA TRAÇO 1:4 (EM VOLUME DE CIMENTO E AREIA MÉDIA ÚMIDA) PARA CONTRAPISO, PREPARO MECÂNICO COM BETONEIRA 400 L. AF_08/2019</t>
  </si>
  <si>
    <t>EMBOÇO OU MASSA ÚNICA EM ARGAMASSA TRAÇO 1:2:8, PREPARO MECÂNICO COM BETONEIRA 400 L, APLICADA MANUALMENTE EM PANOS CEGOS DE FACHADA (SEM PRESENÇA DE VÃOS), ESPESSURA DE 35 MM. AF_06/2014</t>
  </si>
  <si>
    <t>CHAPISCO APLICADO EM ALVENARIAS E ESTRUTURAS DE CONCRETO INTERNAS, COM COLHER DE PEDREIRO.  ARGAMASSA TRAÇO 1:3 COM PREPARO EM BETONEIRA 400L. AF_06/2014</t>
  </si>
  <si>
    <t>AJUDANTE ESPECIALIZADO COM ENCARGOS COMPLEMENTARES</t>
  </si>
  <si>
    <t>AUXILIAR DE ELETRICISTA COM ENCARGOS COMPLEMENTARES</t>
  </si>
  <si>
    <t>AUXILIAR DE ENCANADOR OU BOMBEIRO HIDRÁULICO COM ENCARGOS COMPLEMENTARES</t>
  </si>
  <si>
    <t>AUXILIAR DE MECÂNICO COM ENCARGOS COMPLEMENTARES</t>
  </si>
  <si>
    <t>AUXILIAR DE SERRALHEIRO COM ENCARGOS COMPLEMENTARES</t>
  </si>
  <si>
    <t>CARPINTEIRO DE ESQUADRIA COM ENCARGOS COMPLEMENTARES</t>
  </si>
  <si>
    <t>CARPINTEIRO DE FORMAS COM ENCARGOS COMPLEMENTARES</t>
  </si>
  <si>
    <t>ELETRICISTA COM ENCARGOS COMPLEMENTARES</t>
  </si>
  <si>
    <t>ENCANADOR OU BOMBEIRO HIDRÁULICO COM ENCARGOS COMPLEMENTARES</t>
  </si>
  <si>
    <t>GESSEIRO COM ENCARGOS COMPLEMENTARES</t>
  </si>
  <si>
    <t>IMPERMEABILIZADOR COM ENCARGOS COMPLEMENTARES</t>
  </si>
  <si>
    <t>MARCENEIRO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</si>
  <si>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</si>
  <si>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</si>
  <si>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</si>
  <si>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</si>
  <si>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PEDREIRO COM ENCARGOS COMPLEMENTARES</t>
  </si>
  <si>
    <t>PINTOR COM ENCARGOS COMPLEMENTARES</t>
  </si>
  <si>
    <t>SERRALHEIRO COM ENCARGOS COMPLEMENTARES</t>
  </si>
  <si>
    <t>SERVENTE COM ENCARGOS COMPLEMENTARES</t>
  </si>
  <si>
    <t>TELHADISTA COM ENCARGOS COMPLEMENTARES</t>
  </si>
  <si>
    <t>APLICAÇÃO MANUAL DE PINTURA COM TINTA TEXTURIZADA ACRÍLICA EM PAREDES EXTERNAS DE CASAS, UMA COR. AF_06/2014</t>
  </si>
  <si>
    <t>JARDINEIRO COM ENCARGOS COMPLEMENTARES</t>
  </si>
  <si>
    <t>APLICAÇÃO DE FUNDO SELADOR ACRÍLICO EM TETO, UMA DEMÃO. AF_06/2014</t>
  </si>
  <si>
    <t>APLICAÇÃO DE FUNDO SELADOR ACRÍLICO EM PAREDES, UMA DEMÃO. AF_06/2014</t>
  </si>
  <si>
    <t>APLICAÇÃO MANUAL DE PINTURA COM TINTA LÁTEX ACRÍLICA EM TETO, DUAS DEMÃOS. AF_06/2014</t>
  </si>
  <si>
    <t>APLICAÇÃO MANUAL DE PINTURA COM TINTA LÁTEX ACRÍLICA EM PAREDES, DUAS DEMÃOS. AF_06/2014</t>
  </si>
  <si>
    <t>ARGAMASSA TRAÇO 1:3 (EM VOLUME DE CIMENTO E AREIA MÉDIA ÚMIDA), PREPARO MANUAL. AF_08/2019</t>
  </si>
  <si>
    <t>ARGAMASSA TRAÇO 1:4 (CIMENTO E AREIA MÉDIA), PREPARO MECÂNICO COM BETONEIRA 400 L. AF_08/2014</t>
  </si>
  <si>
    <t>(COMPOSIÇÃO REPRESENTATIVA) DO SERVIÇO DE EMBOÇO/MASSA ÚNICA, APLICADO MANUALMENTE, TRAÇO 1:2:8, EM BETONEIRA DE 400L, PAREDES INTERNAS, COM EXECUÇÃO DE TALISCAS, EDIFICAÇÃO HABITACIONAL UNIFAMILIAR (CASAS) E EDIFICAÇÃO PÚBLICA PADRÃO. AF_12/2014</t>
  </si>
  <si>
    <t>TUBO PVC, SÉRIE R, ÁGUA PLUVIAL, DN 150 MM, FORNECIDO E INSTALADO EM CONDUTORES VERTICAIS DE ÁGUAS PLUVIAIS. AF_06/2022</t>
  </si>
  <si>
    <t>JOELHO 45 GRAUS, PVC, SERIE R, ÁGUA PLUVIAL, DN 150 MM, JUNTA ELÁSTICA, FORNECIDO E INSTALADO EM CONDUTORES VERTICAIS DE ÁGUAS PLUVIAIS. AF_06/2022</t>
  </si>
  <si>
    <t>TUBO, PVC, SOLDÁVEL, DN 25MM, INSTALADO EM DRENO DE AR-CONDICIONADO - FORNECIMENTO E INSTALAÇÃO. AF_12/2014</t>
  </si>
  <si>
    <t>FURO EM ALVENARIA PARA DIÂMETROS MAIORES QUE 40 MM E MENORES OU IGUAIS A 75 MM. AF_05/2015</t>
  </si>
  <si>
    <t>VIBRADOR DE IMERSÃO, DIÂMETRO DE PONTEIRA 45MM, MOTOR ELÉTRICO TRIFÁSICO POTÊNCIA DE 2 CV - CHP DIURNO. AF_06/2015</t>
  </si>
  <si>
    <t>VIBRADOR DE IMERSÃO, DIÂMETRO DE PONTEIRA 45MM, MOTOR ELÉTRICO TRIFÁSICO POTÊNCIA DE 2 CV - CHI DIURNO. AF_06/2015</t>
  </si>
  <si>
    <t>ENGENHEIRO CIVIL DE OBRA PLENO COM ENCARGOS COMPLEMENTARES</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</si>
  <si>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</si>
  <si>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</si>
  <si>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FIXAÇÃO DE TUBOS HORIZONTAIS DE PVC, CPVC OU COBRE DIÂMETROS MENORES OU IGUAIS A 40 MM OU ELETROCALHAS ATÉ 150MM DE LARGURA, COM ABRAÇADEIRA METÁLICA RÍGIDA TIPO D 1/2, FIXADA EM PERFILADO EM LAJE. AF_05/2015</t>
  </si>
  <si>
    <t>PORTA EM ALUMÍNIO DE ABRIR TIPO VENEZIANA COM GUARNIÇÃO, FIXAÇÃO COM PARAFUSOS - FORNECIMENTO E INSTALAÇÃO. AF_12/2019</t>
  </si>
  <si>
    <t>(COMPOSIÇÃO REPRESENTATIVA) DO SERVIÇO DE INST. TUBO PVC, SÉRIE N, ESGOTO PREDIAL, 100 MM (INST. RAMAL DESCARGA, RAMAL DE ESG. SANIT., PRUMADA ESG. SANIT., VENTILAÇÃO OU SUB-COLETOR AÉREO), INCL. CONEXÕES E CORTES, FIXAÇÕES, P/ PRÉDIOS. AF_10/2015</t>
  </si>
  <si>
    <t>CABO DE COBRE FLEXÍVEL ISOLADO, 2,5 MM², ANTI-CHAMA 450/750 V, PARA CIRCUITOS TERMINAIS - FORNECIMENTO E INSTALAÇÃO. AF_12/2015</t>
  </si>
  <si>
    <t>INTERRUPTOR SIMPLES (1 MÓDULO), 10A/250V, SEM SUPORTE E SEM PLACA - FORNECIMENTO E INSTALAÇÃO. AF_12/2015</t>
  </si>
  <si>
    <t>TOMADA ALTA DE EMBUTIR (1 MÓDULO), 2P+T 10 A, SEM SUPORTE E SEM PLACA - FORNECIMENTO E INSTALAÇÃO. AF_12/2015</t>
  </si>
  <si>
    <t>TOMADA MÉDIA DE EMBUTIR (1 MÓDULO), 2P+T 10 A, SEM SUPORTE E SEM PLACA - FORNECIMENTO E INSTALAÇÃO. AF_12/2015</t>
  </si>
  <si>
    <t>TOMADA BAIXA DE EMBUTIR (1 MÓDULO), 2P+T 10 A, SEM SUPORTE E SEM PLACA - FORNECIMENTO E INSTALAÇÃO. AF_12/2015</t>
  </si>
  <si>
    <t>FABRICAÇÃO DE FÔRMA PARA VIGAS, EM CHAPA DE MADEIRA COMPENSADA RESINADA, E = 17 MM. AF_09/2020</t>
  </si>
  <si>
    <t>MONTAGEM E DESMONTAGEM DE FÔRMA DE PILARES RETANGULARES E ESTRUTURAS SIMILARES, PÉ-DIREITO SIMPLES, EM CHAPA DE MADEIRA COMPENSADA RESINADA, 2 UTILIZAÇÕES. AF_09/2020</t>
  </si>
  <si>
    <t>MONTAGEM E DESMONTAGEM DE FÔRMA DE VIGA, ESCORAMENTO COM GARFO DE MADEIRA, PÉ-DIREITO SIMPLES, EM CHAPA DE MADEIRA RESINADA, 2 UTILIZAÇÕES. AF_09/2020</t>
  </si>
  <si>
    <t>ARMAÇÃO DE PILAR OU VIGA DE ESTRUTURA CONVENCIONAL DE CONCRETO ARMADO UTILIZANDO AÇO CA-60 DE 5,0 MM - MONTAGEM. AF_06/2022</t>
  </si>
  <si>
    <t>ARMAÇÃO DE PILAR OU VIGA DE ESTRUTURA CONVENCIONAL DE CONCRETO ARMADO UTILIZANDO AÇO CA-50 DE 8,0 MM - MONTAGEM. AF_06/2022</t>
  </si>
  <si>
    <t>ARMAÇÃO UTILIZANDO AÇO CA-25 DE 25,0 MM - MONTAGEM. AF_06/2022</t>
  </si>
  <si>
    <t>VERGA PRÉ-MOLDADA PARA JANELAS COM MAIS DE 1,5 M DE VÃO. AF_03/2016</t>
  </si>
  <si>
    <t>VERGA PRÉ-MOLDADA PARA PORTAS COM ATÉ 1,5 M DE VÃO. AF_03/2016</t>
  </si>
  <si>
    <t>CONTRAVERGA PRÉ-MOLDADA PARA VÃOS DE ATÉ 1,5 M DE COMPRIMENTO. AF_03/2016</t>
  </si>
  <si>
    <t>CONTRAVERGA PRÉ-MOLDADA PARA VÃOS DE MAIS DE 1,5 M DE COMPRIMENTO. AF_03/2016</t>
  </si>
  <si>
    <t>FIXAÇÃO (ENCUNHAMENTO) DE ALVENARIA DE VEDAÇÃO COM ESPUMA DE POLIURETANO EXPANSIVA. AF_03/2016</t>
  </si>
  <si>
    <t>ENCARREGADO GERAL DE OBRAS COM ENCARGOS COMPLEMENTARES</t>
  </si>
  <si>
    <t>DISJUNTOR MONOPOLAR TIPO DIN, CORRENTE NOMINAL DE 10A - FORNECIMENTO E INSTALAÇÃO. AF_10/2020</t>
  </si>
  <si>
    <t>DISJUNTOR MONOPOLAR TIPO DIN, CORRENTE NOMINAL DE 16A - FORNECIMENTO E INSTALAÇÃO. AF_10/2020</t>
  </si>
  <si>
    <t>RUFO EM CHAPA DE AÇO GALVANIZADO NÚMERO 24, CORTE DE 25 CM, INCLUSO TRANSPORTE VERTICAL. AF_07/2019</t>
  </si>
  <si>
    <t>ASSENTAMENTO DE GUIA (MEIO-FIO) EM TRECHO RETO, CONFECCIONADA EM CONCRETO PRÉ-FABRICADO, DIMENSÕES 100X15X13X30 CM (COMPRIMENTO X BASE INFERIOR X BASE SUPERIOR X ALTURA), PARA VIAS URBANAS (USO VIÁRIO). AF_06/2016</t>
  </si>
  <si>
    <t>(COMPOSIÇÃO REPRESENTATIVA) DO SERVIÇO DE CONTRAPISO EM ARGAMASSA TRAÇO 1:4 (CIM E AREIA), EM BETONEIRA 400 L, ESPESSURA 3 CM ÁREAS SECAS E 3 CM ÁREAS MOLHADAS, PARA EDIFICAÇÃO HABITACIONAL MULTIFAMILIAR (PRÉDIO). AF_11/2014</t>
  </si>
  <si>
    <t>CONCRETO MAGRO PARA LASTRO, TRAÇO 1:4,5:4,5 (EM MASSA SECA DE CIMENTO/ AREIA MÉDIA/ BRITA 1) - PREPARO MECÂNICO COM BETONEIRA 400 L. AF_05/2021</t>
  </si>
  <si>
    <t>CONCRETO FCK = 30MPA, TRAÇO 1:2,1:2,5 (EM MASSA SECA DE CIMENTO/ AREIA MÉDIA/ BRITA 1) - PREPARO MECÂNICO COM BETONEIRA 400 L. AF_05/2021</t>
  </si>
  <si>
    <t>CONCRETO FCK = 20MPA, TRAÇO 1:2,7:3 (EM MASSA SECA DE CIMENTO/ AREIA MÉDIA/ BRITA 1) - PREPARO MECÂNICO COM BETONEIRA 600 L. AF_05/2021</t>
  </si>
  <si>
    <t>CONCRETO MAGRO PARA LASTRO, TRAÇO 1:4,5:4,5 (EM MASSA SECA DE CIMENTO/ AREIA MÉDIA/ BRITA 1) - PREPARO MANUAL. AF_05/2021</t>
  </si>
  <si>
    <t>EXECUÇÃO DE PASSEIO (CALÇADA) OU PISO DE CONCRETO COM CONCRETO MOLDADO IN LOCO, FEITO EM OBRA, ACABAMENTO CONVENCIONAL, NÃO ARMADO. AF_07/2016</t>
  </si>
  <si>
    <t>LUVA DE EMENDA PARA ELETRODUTO, AÇO GALVANIZADO, DN 25 MM (1''), APARENTE, INSTALADA EM TETO - FORNECIMENTO E INSTALAÇÃO. AF_11/2016_P</t>
  </si>
  <si>
    <t>CONDULETE DE ALUMÍNIO, TIPO LR, PARA ELETRODUTO DE AÇO GALVANIZADO DN 25 MM (1</t>
  </si>
  <si>
    <t>FORRO EM DRYWALL, PARA AMBIENTES COMERCIAIS, INCLUSIVE ESTRUTURA DE FIXAÇÃO. AF_05/2017_P</t>
  </si>
  <si>
    <t>APLICAÇÃO MANUAL DE MASSA ACRÍLICA EM PANOS DE FACHADA COM PRESENÇA DE VÃOS, DE EDIFÍCIOS DE MÚLTIPLOS PAVIMENTOS, DUAS DEMÃOS. AF_05/2017</t>
  </si>
  <si>
    <t>APLICAÇÃO MANUAL DE MASSA ACRÍLICA EM SUPERFÍCIES INTERNAS DE SACADA DE EDIFÍCIOS DE MÚLTIPLOS PAVIMENTOS, DUAS DEMÃOS. AF_05/2017</t>
  </si>
  <si>
    <t>PAREDE COM PLACAS DE GESSO ACARTONADO (DRYWALL), PARA USO INTERNO, COM DUAS FACES SIMPLES E ESTRUTURA METÁLICA COM GUIAS SIMPLES, COM VÃOS AF_06/2017_P</t>
  </si>
  <si>
    <t>PAREDE COM PLACAS DE GESSO ACARTONADO (DRYWALL), PARA USO INTERNO, COM DUAS FACES DUPLAS E ESTRUTURA METÁLICA COM GUIAS DUPLAS, COM VÃOS. AF_06/2017_P</t>
  </si>
  <si>
    <t xml:space="preserve"> 96463 </t>
  </si>
  <si>
    <t>ROLO COMPACTADOR DE PNEUS, ESTATICO, PRESSAO VARIAVEL, POTENCIA 110 HP, PESO SEM/COM LASTRO 10,8/27 T, LARGURA DE ROLAGEM 2,30 M - CHP DIURNO. AF_06/2017</t>
  </si>
  <si>
    <t xml:space="preserve"> 96464 </t>
  </si>
  <si>
    <t>ROLO COMPACTADOR DE PNEUS, ESTATICO, PRESSAO VARIAVEL, POTENCIA 110 HP, PESO SEM/COM LASTRO 10,8/27 T, LARGURA DE ROLAGEM 2,30 M - CHI DIURNO. AF_06/2017</t>
  </si>
  <si>
    <t>ESCAVAÇÃO MANUAL DE VALA PARA VIGA BALDRAME (INCLUINDO ESCAVAÇÃO PARA COLOCAÇÃO DE FÔRMAS). AF_06/2017</t>
  </si>
  <si>
    <t>REATERRO MANUAL APILOADO COM SOQUETE. AF_10/2017</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</si>
  <si>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</si>
  <si>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</si>
  <si>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DEMOLIÇÃO DE ALVENARIA DE BLOCO FURADO, DE FORMA MANUAL, SEM REAPROVEITAMENTO. AF_12/2017</t>
  </si>
  <si>
    <t>DEMOLIÇÃO DE LAJES, DE FORMA MECANIZADA COM MARTELETE, SEM REAPROVEITAMENTO. AF_12/2017</t>
  </si>
  <si>
    <t>DEMOLIÇÃO DE ARGAMASSAS, DE FORMA MANUAL, SEM REAPROVEITAMENTO. AF_12/2017</t>
  </si>
  <si>
    <t>DEMOLIÇÃO DE REVESTIMENTO CERÂMICO, DE FORMA MECANIZADA COM MARTELETE, SEM REAPROVEITAMENTO. AF_12/2017</t>
  </si>
  <si>
    <t>DEMOLIÇÃO PARCIAL DE PAVIMENTO ASFÁLTICO, DE FORMA MECANIZADA, SEM REAPROVEITAMENTO. AF_12/2017</t>
  </si>
  <si>
    <t>REMOÇÃO DE FORRO DE GESSO, DE FORMA MANUAL, SEM REAPROVEITAMENTO. AF_12/2017</t>
  </si>
  <si>
    <t>REMOÇÃO DE PORTAS, DE FORMA MANUAL, SEM REAPROVEITAMENTO. AF_12/2017</t>
  </si>
  <si>
    <t>REMOÇÃO DE CABOS ELÉTRICOS, DE FORMA MANUAL, SEM REAPROVEITAMENTO. AF_12/2017</t>
  </si>
  <si>
    <t>REMOÇÃO DE LUMINÁRIAS, DE FORMA MANUAL, SEM REAPROVEITAMENTO. AF_12/2017</t>
  </si>
  <si>
    <t>PAVIMENTO COM TRATAMENTO SUPERFICIAL DUPLO, COM EMULSÃO ASFÁLTICA RR-2C, COM BANHO DILUÍDO. AF_01/2020</t>
  </si>
  <si>
    <t>TRANSPORTE COM CAMINHÃO BASCULANTE DE 6 M³, EM VIA URBANA PAVIMENTADA, DMT ATÉ 30 KM (UNIDADE: M3XKM). AF_07/2020</t>
  </si>
  <si>
    <t>M3XKM</t>
  </si>
  <si>
    <t>TRANSPORTE COM CAMINHÃO BASCULANTE DE 6 M³, EM VIA URBANA PAVIMENTADA, ADICIONAL PARA DMT EXCEDENTE A 30 KM (UNIDADE: M3XKM). AF_07/2020</t>
  </si>
  <si>
    <t>ACRÉSCIMO PARA POÇO DE VISITA CIRCULAR PARA ESGOTO, EM CONCRETO PRÉ-MOLDADO, DIÂMETRO INTERNO = 1,2 M. AF_12/2020</t>
  </si>
  <si>
    <t>IMPERMEABILIZAÇÃO DE SUPERFÍCIE COM EMULSÃO ASFÁLTICA, 2 DEMÃOS AF_06/2018</t>
  </si>
  <si>
    <t>LIMPEZA DE CONTRAPISO COM VASSOURA A SECO. AF_04/2019</t>
  </si>
  <si>
    <t>LIMPEZA DE SUPERFÍCIE COM JATO DE ALTA PRESSÃO. AF_04/2019</t>
  </si>
  <si>
    <t>LIMPEZA DE JANELA DE VIDRO COM CAIXILHO EM AÇO/ALUMÍNIO/PVC. AF_04/2019</t>
  </si>
  <si>
    <t>LIMPEZA DE PORTA EM AÇO/ALUMÍNIO. AF_04/2019</t>
  </si>
  <si>
    <t>Eletroduto rígido de 25mm em aço carbono sem costura, parede classe pesada de espessura ≥1,5mm, com revestimento protetor de zinco aplicado a quente, extremidades com rosa BSP. Fabricação Apolo Tubos e Equipamentos</t>
  </si>
  <si>
    <t>Fornecimento e instalação de tabica metálica pré pintada, para forro em gesso acartonado</t>
  </si>
  <si>
    <t>Marcadores tipo anilha aberta com garra em PVC, Ø6mm, fab. Hellerman Tyton 1000 unidades, mod. WIC W3</t>
  </si>
  <si>
    <t>cx</t>
  </si>
  <si>
    <t>Laminado melamínico, acabamento texturizado, cor branca, espessura 1,3mm, referência L190, fab. Fórmica</t>
  </si>
  <si>
    <t>Eletrocalha perfurada, chapa mínima de 20, tipo "C", 100x50mm, fab. Mopa</t>
  </si>
  <si>
    <t>Plug macho 2P+T 10A para tomada</t>
  </si>
  <si>
    <t>Anotação de Resposanbilidade Técnica (Faixa 3 - Tabela A - CONFEA)</t>
  </si>
  <si>
    <t>vb</t>
  </si>
  <si>
    <t>Revestimento impermeabilizante flexível, bicomponente, à base de resinas termoplásticas e cimentos com aditivos e incorporação de fibras sintéticas, Viaplus 7000</t>
  </si>
  <si>
    <t>Fita plástica zebrada para demarcação de áreas, largura = 7 cm, sem adesivo</t>
  </si>
  <si>
    <t>Revestimento impermeabilizante semi-flexível, bicomponente - à base de cimentos especiais, adtivos minerais e polímeros, Viaplus 1000</t>
  </si>
  <si>
    <t>Grelha em alumínio, dimensões de 425 x 325mm, acabamento natural, ref. AGS-T com contra moldura, fab. Trox Brasil</t>
  </si>
  <si>
    <t>Saída horizontal para eletroduto Ø 3/4"</t>
  </si>
  <si>
    <t>Tampão para caixa de inspeção / pluvial / esgoto , com 2 travas Oliv, Cl400 - ferro fundido nodular, T100 - base 72cm, tampa 53cm, Fundição Vesúvio Fl-51682</t>
  </si>
  <si>
    <t>Fundo preparador para metais, ref. Super Galvite, fab. Sherwin Williams</t>
  </si>
  <si>
    <t>l</t>
  </si>
  <si>
    <t>Caixa sifonada 125mm - saída de 63mm, em polipropileno preto de ultra resistência, ref. Tecnofluidos, linha Duratop X</t>
  </si>
  <si>
    <t>Tubo de 58mm em polipropileno preto de ultra resistência, ref. Tecnofluidos, linha Duratop XR</t>
  </si>
  <si>
    <t>Tubo de 63mm em polipropileno preto de ultra resistência, ref. Tecnofluidos, linha Duratop XR</t>
  </si>
  <si>
    <t>Tubo de 78mm em polipropileno preto de ultra resistência, ref. Tecnofluidos, linha Duratop XR</t>
  </si>
  <si>
    <t>Tubo de 110mm em polipropileno preto de ultra resistência, ref. Tecnofluidos, linha Duratop XR</t>
  </si>
  <si>
    <t>Junção 45º, DN 110x110mm em polipropileno preto de ultra resistência, ref. Tecnofluidos, linha Duratop XR</t>
  </si>
  <si>
    <t>Junção 45º, DN 110x78mm em polipropileno preto de ultra resistência, ref. Tecnofluidos, linha Duratop XR</t>
  </si>
  <si>
    <t>Junção 45º, DN 78x78mm em polipropileno preto de ultra resistência, ref. Tecnofluidos, linha Duratop XR</t>
  </si>
  <si>
    <t>Redução, DN 78x63mm em polipropileno preto de ultra resistência, ref. Tecnofluidos, linha Duratop XR</t>
  </si>
  <si>
    <t>Joelho 45º, DN 63mm em polipropileno preto de ultra resistência, ref. Tecnofluidos, linha Duratop XR</t>
  </si>
  <si>
    <t>Joelho 45º, DN 58mm em polipropileno preto de ultra resistência, ref. Tecnofluidos, linha Duratop XR</t>
  </si>
  <si>
    <t>Tampão (Cap) DN 110mm, em polipropileno preto de ultra resistência, ref. Tecnofluidos, linha Duratop XR</t>
  </si>
  <si>
    <t>TAMPA DE ALUMÍNIO COM 1 POSTO PARA INTERRUPTOR/TOMADA</t>
  </si>
  <si>
    <t>LUMINÁRIA DE EMBUTIR DE 2 X 32W-T8, FACETADO EM ALUMÍNIO ALTO BRILHO, COM DIMENSÕES DE 1,25M, NA COR BRANCA. MARCA: LUMICENTER, MODELO: CAC02-E</t>
  </si>
  <si>
    <t>TAMPA PARA CONDULETE, EM ALUMÍNIO, COM 2 POSTOS PARA RJ45 ou RJ11</t>
  </si>
  <si>
    <t>Grelha de ferro fundido com requadro 50x50cm</t>
  </si>
  <si>
    <t>Resina de vedação temporária Sika® Injection-150 VEDA</t>
  </si>
  <si>
    <t>Resina de vedação permanente Sika Injection-250 VEDA</t>
  </si>
  <si>
    <t>JANELA DE CORRER EM ALUMÍNIO ANODIZADO PRETO, SEM VIDRO</t>
  </si>
  <si>
    <t>M²</t>
  </si>
  <si>
    <t>Planilha de Marcas e Modelos</t>
  </si>
  <si>
    <t>Referência Comercial</t>
  </si>
  <si>
    <t>Produto Ofertado</t>
  </si>
  <si>
    <t>Marca</t>
  </si>
  <si>
    <t>Modelo</t>
  </si>
  <si>
    <t>Emulsão adesiva</t>
  </si>
  <si>
    <t>Viapol</t>
  </si>
  <si>
    <t>Viafix</t>
  </si>
  <si>
    <t>Composto de asfaltos modificados</t>
  </si>
  <si>
    <t>Viabit</t>
  </si>
  <si>
    <t>Cimento asfáltico</t>
  </si>
  <si>
    <t>Asfalto modificado III</t>
  </si>
  <si>
    <t>Manta asfáltica</t>
  </si>
  <si>
    <t>Torodin</t>
  </si>
  <si>
    <t>Selante elastomérico</t>
  </si>
  <si>
    <t>Monopol PU 40 - Cor cinza</t>
  </si>
  <si>
    <t>Geotextil</t>
  </si>
  <si>
    <t>Bidim</t>
  </si>
  <si>
    <t>Manta RT - 14</t>
  </si>
  <si>
    <t>Massa asfáltica</t>
  </si>
  <si>
    <t>Vedacit</t>
  </si>
  <si>
    <t>Carbolastico 3</t>
  </si>
  <si>
    <t>Impermeabilizante semiflexível</t>
  </si>
  <si>
    <t xml:space="preserve"> Viaplus 1000</t>
  </si>
  <si>
    <t xml:space="preserve">Impermeabilizante flexível </t>
  </si>
  <si>
    <t>Viaplus 7000</t>
  </si>
  <si>
    <t xml:space="preserve">Resina de poliuretano bi-componente, 
</t>
  </si>
  <si>
    <t>Sika</t>
  </si>
  <si>
    <t>Sika® Injection-150 VEDA</t>
  </si>
  <si>
    <t>Sika® Injection 250 Veda </t>
  </si>
  <si>
    <t>Espuma expansiva de PU</t>
  </si>
  <si>
    <t>Sika Boom® M</t>
  </si>
  <si>
    <t xml:space="preserve">Forro em placas de gesso acartonado; </t>
  </si>
  <si>
    <t>Knauf</t>
  </si>
  <si>
    <t>Tipo Tetos, código D112.</t>
  </si>
  <si>
    <t>Tabicas para forro</t>
  </si>
  <si>
    <t>******</t>
  </si>
  <si>
    <t>Visitas</t>
  </si>
  <si>
    <t>Paredes em gesso acartonado</t>
  </si>
  <si>
    <t>Chapa Knauf Standard - St</t>
  </si>
  <si>
    <t>Chapa Resistente à umidade</t>
  </si>
  <si>
    <t>Paredes em gesso acartonado reforçadas</t>
  </si>
  <si>
    <t>Chapa Resistente à umidade e Standart</t>
  </si>
  <si>
    <t>Pintura acrílica interior</t>
  </si>
  <si>
    <t xml:space="preserve">Suvinil </t>
  </si>
  <si>
    <t>Suvinil Fosco completo</t>
  </si>
  <si>
    <t xml:space="preserve">Pintura acrílica exterior </t>
  </si>
  <si>
    <t xml:space="preserve">Sherwin Willians
</t>
  </si>
  <si>
    <t>Novacor Piso mais resistente</t>
  </si>
  <si>
    <t>Pintura acrílica piso</t>
  </si>
  <si>
    <t>Sherwin Willians</t>
  </si>
  <si>
    <t>Novacor Piso</t>
  </si>
  <si>
    <t>Selador
(fundo impermeabilizante)</t>
  </si>
  <si>
    <t>Suvinil Suviflex</t>
  </si>
  <si>
    <t>Textura</t>
  </si>
  <si>
    <t>Texturatto efeito suave</t>
  </si>
  <si>
    <t xml:space="preserve">Porta de madeira Folha única de abrir, semioca, construída com folhas de compensado e=4 mm, estruturadas internamente e encabeçadas com tarugos de cedro, espessura final de 35 mm. Instalada em portal de aço. </t>
  </si>
  <si>
    <t xml:space="preserve">Porta para gesso acartonado. Folha única de abrir, semioca, construída com folhas de compensado e=4 mm, estruturadas internamente e encabeçadas com tarugos de cedro, espessura final de 35 mm. </t>
  </si>
  <si>
    <t>Porta para gesso acartonado. Folha dupla de abrir, semioca, construída com folhas de compensado e=4 mm, estruturadas internamente e encabeçadas com tarugos de cedro, espessura final de 35 mm.  
Fecho de face com fixação no piso.</t>
  </si>
  <si>
    <t xml:space="preserve"> Maçaneta e fechamento</t>
  </si>
  <si>
    <t>Papaiz</t>
  </si>
  <si>
    <t>Linha Elite, código 340</t>
  </si>
  <si>
    <t>Dobradiças</t>
  </si>
  <si>
    <t>Código 1296</t>
  </si>
  <si>
    <t>Mola aérea</t>
  </si>
  <si>
    <t>Mola aérea PPZ200</t>
  </si>
  <si>
    <t>Laminado portas</t>
  </si>
  <si>
    <t xml:space="preserve">Formica         </t>
  </si>
  <si>
    <t xml:space="preserve"> L122</t>
  </si>
  <si>
    <t>Grelhas de ventilação</t>
  </si>
  <si>
    <t>Trox Brasil</t>
  </si>
  <si>
    <t>AGS-T com contra-moldura</t>
  </si>
  <si>
    <t>Porta de alumínio</t>
  </si>
  <si>
    <t>Loja do Alumínio</t>
  </si>
  <si>
    <t>All Soft</t>
  </si>
  <si>
    <t xml:space="preserve">Janela com requadro em alumínio anodizado na cor preta, vidro 6mm. </t>
  </si>
  <si>
    <t>*******</t>
  </si>
  <si>
    <t xml:space="preserve">Tubulações e conexões </t>
  </si>
  <si>
    <t>Tigre</t>
  </si>
  <si>
    <t>Tubulações e conexões</t>
  </si>
  <si>
    <t>Technofluidos</t>
  </si>
  <si>
    <t xml:space="preserve">Duratop XR </t>
  </si>
  <si>
    <t>Caixas sifonadas</t>
  </si>
  <si>
    <t>Duratop X</t>
  </si>
  <si>
    <t>Solução lubrificante</t>
  </si>
  <si>
    <t>Duratop</t>
  </si>
  <si>
    <t xml:space="preserve">Tipo split (condensadora e evaporadora), modelo hi-wall inverter, capacidade de 12.000 btu/h, incluindo controle remoto e demais, na sala dos vigilantes localizada no 1º subsolo da etapa 1. </t>
  </si>
  <si>
    <t>DAIKIN</t>
  </si>
  <si>
    <t xml:space="preserve"> FTK12P5VL + RK12P5VL</t>
  </si>
  <si>
    <t>Tubo de cobre</t>
  </si>
  <si>
    <t xml:space="preserve">Eluma </t>
  </si>
  <si>
    <t xml:space="preserve">Diâmetros: 6,35mm,  9,53mm e 12,70mm </t>
  </si>
  <si>
    <t>Suporte estruturado para fixação de abraçadeira metálica</t>
  </si>
  <si>
    <t xml:space="preserve">Armacell </t>
  </si>
  <si>
    <t xml:space="preserve">AF/Armaflex 
Diâmetros: 6,35mm,  9,53mm e 12,70mm </t>
  </si>
  <si>
    <t>Alumínio liso  espessura 0,6mm</t>
  </si>
  <si>
    <t xml:space="preserve">Isar </t>
  </si>
  <si>
    <t xml:space="preserve">  Isolamento térmico </t>
  </si>
  <si>
    <t xml:space="preserve">Armacell  </t>
  </si>
  <si>
    <t xml:space="preserve">AF/Armaflex </t>
  </si>
  <si>
    <t xml:space="preserve"> Grelha de exaustão</t>
  </si>
  <si>
    <t xml:space="preserve">TROX VAT-DG </t>
  </si>
  <si>
    <t xml:space="preserve">GE-01: 225x125mm
GE-02: 425x225mm
GE-03: 825x225mm                 </t>
  </si>
  <si>
    <t>TROX AH-0/DG</t>
  </si>
  <si>
    <t>GE-04: 225mm x 165mm
GE-05: 425mm x 225mm</t>
  </si>
  <si>
    <t xml:space="preserve">Tubos e Conexões </t>
  </si>
  <si>
    <t>*****</t>
  </si>
  <si>
    <t>Cabo de cobre</t>
  </si>
  <si>
    <t xml:space="preserve">Prysmian </t>
  </si>
  <si>
    <t>Afumex Green</t>
  </si>
  <si>
    <t>Disjuntores</t>
  </si>
  <si>
    <t xml:space="preserve">Schneider Electric </t>
  </si>
  <si>
    <t>Linha K32</t>
  </si>
  <si>
    <t>Anilhas, etiquetas adesivas, placas de identificação e terminais isolantes</t>
  </si>
  <si>
    <t>Caixa Condulete</t>
  </si>
  <si>
    <t>Tramontina</t>
  </si>
  <si>
    <t>****</t>
  </si>
  <si>
    <t>Eletroduto Metálico</t>
  </si>
  <si>
    <t>Apollo</t>
  </si>
  <si>
    <t>Luminária</t>
  </si>
  <si>
    <t>Abalux</t>
  </si>
  <si>
    <t>A407</t>
  </si>
  <si>
    <t>Lâmpadas</t>
  </si>
  <si>
    <t>‎Outrace Technology</t>
  </si>
  <si>
    <t>OL TL18P4AO</t>
  </si>
  <si>
    <t>Interruptor</t>
  </si>
  <si>
    <t>Pial / Tramontina</t>
  </si>
  <si>
    <t>Silentoque / Múltiplo</t>
  </si>
  <si>
    <t>Tomada</t>
  </si>
  <si>
    <t>RADIAL / Tramontina</t>
  </si>
  <si>
    <t>Prata / Múltiplo</t>
  </si>
  <si>
    <t>Tramontina / Tramontina</t>
  </si>
  <si>
    <t>*** / Múltiplo</t>
  </si>
  <si>
    <t>Composição de BDI</t>
  </si>
  <si>
    <t>Discriminação</t>
  </si>
  <si>
    <t>%</t>
  </si>
  <si>
    <t>Grupo A</t>
  </si>
  <si>
    <t>% em relação ao custo direto CD</t>
  </si>
  <si>
    <t>Despesas Indiretas</t>
  </si>
  <si>
    <t>a1</t>
  </si>
  <si>
    <t>Administração Central</t>
  </si>
  <si>
    <t>a2</t>
  </si>
  <si>
    <t>Seguro + garantia</t>
  </si>
  <si>
    <t>a3</t>
  </si>
  <si>
    <t>Risco</t>
  </si>
  <si>
    <t>a4</t>
  </si>
  <si>
    <t>Despesa Financeira</t>
  </si>
  <si>
    <t>a5</t>
  </si>
  <si>
    <t>Lucro</t>
  </si>
  <si>
    <t>Grupo B</t>
  </si>
  <si>
    <t>% em relação ao valor total VT</t>
  </si>
  <si>
    <t>Tributos</t>
  </si>
  <si>
    <t>Pis</t>
  </si>
  <si>
    <t>Cofins</t>
  </si>
  <si>
    <t>ISS (2% após desconto das mercadorias aplicadas)</t>
  </si>
  <si>
    <t>BDI</t>
  </si>
  <si>
    <t>BDI = [(((1+(a1+a2+a3))*(1+a4)*(1+a5)))/(1-B1)-1]</t>
  </si>
  <si>
    <t>Composição de Encargos Sociais - Mensalista não desonerado</t>
  </si>
  <si>
    <t>GRUPO A</t>
  </si>
  <si>
    <t>INSS</t>
  </si>
  <si>
    <t>SESI</t>
  </si>
  <si>
    <t>A3</t>
  </si>
  <si>
    <t>SENAI</t>
  </si>
  <si>
    <t>A4</t>
  </si>
  <si>
    <t>INCRA</t>
  </si>
  <si>
    <t>A5</t>
  </si>
  <si>
    <t>SEBRAE</t>
  </si>
  <si>
    <t>A6</t>
  </si>
  <si>
    <t>Salário-Educação</t>
  </si>
  <si>
    <t>A7</t>
  </si>
  <si>
    <t>Seguro Contra Acidentes Trabalho</t>
  </si>
  <si>
    <t>A8</t>
  </si>
  <si>
    <t>Fundo de Garantia por Tempo de Serviços</t>
  </si>
  <si>
    <t>A9</t>
  </si>
  <si>
    <t>SECONCI</t>
  </si>
  <si>
    <t xml:space="preserve"> Total dos Encargos Sociais Básicos</t>
  </si>
  <si>
    <t>GRUPO B</t>
  </si>
  <si>
    <t>Repouso Semanal Remunerado</t>
  </si>
  <si>
    <t>Feriados</t>
  </si>
  <si>
    <t>Auxílio-enfermidade</t>
  </si>
  <si>
    <t>B4</t>
  </si>
  <si>
    <t>13º Salário</t>
  </si>
  <si>
    <t>B5</t>
  </si>
  <si>
    <t>Licença-paternidade</t>
  </si>
  <si>
    <t>B6</t>
  </si>
  <si>
    <t>Faltas justificadas</t>
  </si>
  <si>
    <t>B7</t>
  </si>
  <si>
    <t>Dias de chuva</t>
  </si>
  <si>
    <t>B8</t>
  </si>
  <si>
    <t>Auxílio acidente de trabalho</t>
  </si>
  <si>
    <t>B9</t>
  </si>
  <si>
    <t>Férias gozadas</t>
  </si>
  <si>
    <t>B10</t>
  </si>
  <si>
    <t>Salário maternidade</t>
  </si>
  <si>
    <t>Total de Encargos Sociais que recebem incidências de A</t>
  </si>
  <si>
    <t>GRUPO C</t>
  </si>
  <si>
    <t>Aviso prévio indenizado</t>
  </si>
  <si>
    <t>Aviso prévio trabalhado</t>
  </si>
  <si>
    <t>Férias indenizadas</t>
  </si>
  <si>
    <t>Depósito rescisão sem justa causa</t>
  </si>
  <si>
    <t>C5</t>
  </si>
  <si>
    <t>Indenização adicional</t>
  </si>
  <si>
    <t>GRUPO D</t>
  </si>
  <si>
    <t>Reincidência de A sobre B</t>
  </si>
  <si>
    <t>Reincidência do FGTS sobre API e Grupo A sobre APT</t>
  </si>
  <si>
    <t xml:space="preserve">D </t>
  </si>
  <si>
    <t>Total das Taxas incidências e reincidências</t>
  </si>
  <si>
    <t>Total das taxas incidências e reincidências</t>
  </si>
  <si>
    <t>Cronograma Físico e Financeiro</t>
  </si>
  <si>
    <t>Total Por Etapa</t>
  </si>
  <si>
    <t>30 DIAS</t>
  </si>
  <si>
    <t>60 DIAS</t>
  </si>
  <si>
    <t>90 DIAS</t>
  </si>
  <si>
    <t>Porcentagem</t>
  </si>
  <si>
    <t>Custo</t>
  </si>
  <si>
    <t>Valor Mensal</t>
  </si>
  <si>
    <t>Porcentagem Acumulado</t>
  </si>
  <si>
    <t>Custo Acumulado</t>
  </si>
  <si>
    <t>Valor Acumulado</t>
  </si>
  <si>
    <t>Instruções de Preenchimento do Modelo de Proposta</t>
  </si>
  <si>
    <t>CONSIDERAÇÕES GERAIS</t>
  </si>
  <si>
    <r>
      <rPr>
        <sz val="8"/>
        <rFont val="Arial"/>
        <family val="2"/>
      </rPr>
      <t xml:space="preserve">O cabeçalho deverá ser preenchido somente na </t>
    </r>
    <r>
      <rPr>
        <b/>
        <sz val="8"/>
        <color indexed="45"/>
        <rFont val="Arial"/>
        <family val="2"/>
      </rPr>
      <t>PLANILHA DE ORÇAMENTO SINTÉTICO</t>
    </r>
    <r>
      <rPr>
        <sz val="8"/>
        <rFont val="Arial"/>
        <family val="2"/>
      </rPr>
      <t>, pois será repetido automaticamente nas demais planilhas. Para isso, o mouse deverá ser posicionado sobre a célula que contem a informação, e posteriormente pressionado F2</t>
    </r>
  </si>
  <si>
    <t>Sugerimos a seguinte sequência de preenchimento de planilhas:</t>
  </si>
  <si>
    <t>2.1</t>
  </si>
  <si>
    <r>
      <rPr>
        <sz val="8"/>
        <rFont val="Arial"/>
        <family val="2"/>
      </rPr>
      <t xml:space="preserve">Valide os valores constantes na </t>
    </r>
    <r>
      <rPr>
        <b/>
        <sz val="8"/>
        <rFont val="Arial"/>
        <family val="2"/>
      </rPr>
      <t>Planilha de Insumos</t>
    </r>
    <r>
      <rPr>
        <sz val="8"/>
        <rFont val="Arial"/>
        <family val="2"/>
      </rPr>
      <t xml:space="preserve"> </t>
    </r>
    <r>
      <rPr>
        <b/>
        <sz val="8"/>
        <rFont val="Arial"/>
        <family val="2"/>
      </rPr>
      <t>e Serviços</t>
    </r>
    <r>
      <rPr>
        <sz val="8"/>
        <rFont val="Arial"/>
        <family val="2"/>
      </rPr>
      <t>, observando as orientações contidas no edital no tocante aos valores máximos.</t>
    </r>
  </si>
  <si>
    <t>2.2</t>
  </si>
  <si>
    <r>
      <rPr>
        <sz val="8"/>
        <rFont val="Arial"/>
        <family val="2"/>
      </rPr>
      <t xml:space="preserve">Valide os coeficientes de participação dos insumos, constantes na </t>
    </r>
    <r>
      <rPr>
        <b/>
        <sz val="8"/>
        <rFont val="Arial"/>
        <family val="2"/>
      </rPr>
      <t>Planilha de Orçamento Analítico</t>
    </r>
    <r>
      <rPr>
        <sz val="8"/>
        <rFont val="Arial"/>
        <family val="2"/>
      </rPr>
      <t>.</t>
    </r>
  </si>
  <si>
    <t>2.3</t>
  </si>
  <si>
    <r>
      <rPr>
        <sz val="8"/>
        <rFont val="Arial"/>
        <family val="2"/>
      </rPr>
      <t xml:space="preserve">Preencha os coeficientes relativo à cada item da </t>
    </r>
    <r>
      <rPr>
        <b/>
        <sz val="8"/>
        <rFont val="Arial"/>
        <family val="2"/>
      </rPr>
      <t xml:space="preserve">Planilha de Composição do BDI, </t>
    </r>
    <r>
      <rPr>
        <sz val="8"/>
        <rFont val="Arial"/>
        <family val="2"/>
      </rPr>
      <t>realizando os ajustes que julgar necessário, observando as orientações sobre esta planilha, que estão descritas abaixo;</t>
    </r>
  </si>
  <si>
    <t>2.4</t>
  </si>
  <si>
    <r>
      <rPr>
        <sz val="8"/>
        <rFont val="Arial"/>
        <family val="2"/>
      </rPr>
      <t xml:space="preserve">Preencha o percentual referente à mão-de-obra na célula </t>
    </r>
    <r>
      <rPr>
        <b/>
        <sz val="8"/>
        <color indexed="45"/>
        <rFont val="Arial"/>
        <family val="2"/>
      </rPr>
      <t xml:space="preserve">B275 </t>
    </r>
    <r>
      <rPr>
        <sz val="8"/>
        <rFont val="Arial"/>
        <family val="2"/>
      </rPr>
      <t xml:space="preserve">da </t>
    </r>
    <r>
      <rPr>
        <b/>
        <sz val="8"/>
        <rFont val="Arial"/>
        <family val="2"/>
      </rPr>
      <t>Planilha de Orçamento Sintético</t>
    </r>
    <r>
      <rPr>
        <sz val="8"/>
        <rFont val="Arial"/>
        <family val="2"/>
      </rPr>
      <t>;</t>
    </r>
  </si>
  <si>
    <t>2.5</t>
  </si>
  <si>
    <r>
      <rPr>
        <sz val="8"/>
        <rFont val="Arial"/>
        <family val="2"/>
      </rPr>
      <t xml:space="preserve">Neste momento o valor final da proposta já será conhecido. Preencha a </t>
    </r>
    <r>
      <rPr>
        <b/>
        <sz val="8"/>
        <rFont val="Arial"/>
        <family val="2"/>
      </rPr>
      <t>Planilha de Composição de Encargos Sociais</t>
    </r>
    <r>
      <rPr>
        <sz val="8"/>
        <rFont val="Arial"/>
        <family val="2"/>
      </rPr>
      <t xml:space="preserve"> com os percentuais de cada item que a compoe.</t>
    </r>
  </si>
  <si>
    <t>A</t>
  </si>
  <si>
    <t>SOBRE A PLANILHA DE ORÇAMENTO SINTÉTICO</t>
  </si>
  <si>
    <t>A1</t>
  </si>
  <si>
    <r>
      <rPr>
        <sz val="8"/>
        <rFont val="Arial"/>
        <family val="2"/>
      </rPr>
      <t xml:space="preserve">A Planilha Orçamentária </t>
    </r>
    <r>
      <rPr>
        <b/>
        <u val="single"/>
        <sz val="8"/>
        <color indexed="45"/>
        <rFont val="Arial"/>
        <family val="2"/>
      </rPr>
      <t>não</t>
    </r>
    <r>
      <rPr>
        <sz val="8"/>
        <rFont val="Arial"/>
        <family val="2"/>
      </rPr>
      <t xml:space="preserve"> poderá sofrer alterações em sua estrutura (adição ou subtração de serviços, ou mesmo alteração na quantidade dos itens);</t>
    </r>
  </si>
  <si>
    <t>A2</t>
  </si>
  <si>
    <r>
      <rPr>
        <sz val="8"/>
        <rFont val="Arial"/>
        <family val="2"/>
      </rPr>
      <t xml:space="preserve">Os preços unitários desta planilha estão vinculados, por dependência, às demais planilhas (Orçamento Analítico, Insumos e Serviços). Desta forma </t>
    </r>
    <r>
      <rPr>
        <b/>
        <u val="single"/>
        <sz val="8"/>
        <color indexed="45"/>
        <rFont val="Arial"/>
        <family val="2"/>
      </rPr>
      <t>NENHUM</t>
    </r>
    <r>
      <rPr>
        <sz val="8"/>
        <rFont val="Arial"/>
        <family val="2"/>
      </rPr>
      <t xml:space="preserve"> valor unitário deverá ser preenchido diretamente nesta planilha;</t>
    </r>
  </si>
  <si>
    <t>B</t>
  </si>
  <si>
    <t>SOBRE A PLANILHA DE ORÇAMENTO ANALÍTICO</t>
  </si>
  <si>
    <t>B1</t>
  </si>
  <si>
    <r>
      <rPr>
        <sz val="8"/>
        <rFont val="Arial"/>
        <family val="2"/>
      </rPr>
      <t xml:space="preserve">Esta planilha é referencial, portanto os </t>
    </r>
    <r>
      <rPr>
        <b/>
        <sz val="8"/>
        <rFont val="Arial"/>
        <family val="2"/>
      </rPr>
      <t xml:space="preserve">coeficientes </t>
    </r>
    <r>
      <rPr>
        <sz val="8"/>
        <rFont val="Arial"/>
        <family val="2"/>
      </rPr>
      <t>de participação dos insumos poderão sofrer alterações;</t>
    </r>
  </si>
  <si>
    <t>B2</t>
  </si>
  <si>
    <t>Esta planilha contem vínculos. Tornando-se dependente dos preços, descrições e unidades constantes tanto na Planilha de Insumos e Serviços quanto na Planilha de Orçamento Sintético;</t>
  </si>
  <si>
    <t>B3</t>
  </si>
  <si>
    <t>Os valores unitários de serviços compostos nesta planilha, são transportados automaticamente para a Planilha de Orçamento Sintético;</t>
  </si>
  <si>
    <t>C</t>
  </si>
  <si>
    <t>SOBRE A PLANILHA DE INSUMOS E SERVIÇOS</t>
  </si>
  <si>
    <t>C1</t>
  </si>
  <si>
    <t>Esta planilha constitui a base para estruturação dos preços unitários e totais.</t>
  </si>
  <si>
    <t>C2</t>
  </si>
  <si>
    <t>Valide os valores constantes nesta planilha, observando as orientações contidas no edital no tocante aos valores máximos.</t>
  </si>
  <si>
    <t>C3</t>
  </si>
  <si>
    <r>
      <rPr>
        <sz val="8"/>
        <rFont val="Arial"/>
        <family val="2"/>
      </rPr>
      <t>Os valores unitários deverão ser preenchidos com</t>
    </r>
    <r>
      <rPr>
        <b/>
        <u val="single"/>
        <sz val="8"/>
        <color indexed="45"/>
        <rFont val="Arial"/>
        <family val="2"/>
      </rPr>
      <t xml:space="preserve"> no máximo duas casas decimais</t>
    </r>
    <r>
      <rPr>
        <sz val="8"/>
        <rFont val="Arial"/>
        <family val="2"/>
      </rPr>
      <t>. Caso opte por aplicar um percentual lde desconto, certifique-se de utilizar fórmula de arredondamento ou truncamento respeitando este limite.</t>
    </r>
  </si>
  <si>
    <t>C4</t>
  </si>
  <si>
    <r>
      <rPr>
        <sz val="8"/>
        <rFont val="Arial"/>
        <family val="2"/>
      </rPr>
      <t xml:space="preserve">Indique a marca e modelo dos itens (quando aplicável). </t>
    </r>
    <r>
      <rPr>
        <b/>
        <u val="single"/>
        <sz val="8"/>
        <color indexed="45"/>
        <rFont val="Arial"/>
        <family val="2"/>
      </rPr>
      <t>A não indicação  de marca e ou modelo de referência constitui afronta ao edital, sob pena de desclassificação da proposta.</t>
    </r>
  </si>
  <si>
    <t>D</t>
  </si>
  <si>
    <t>SOBRE A PLANILHA DE COMPOSIÇÃO DE BDI</t>
  </si>
  <si>
    <t>D1</t>
  </si>
  <si>
    <t>Os itens constantes nesta planilha foram adotados por este Órgão com base no decreto 7.983 de 8 de abril de 2013. Os percentuais são referenciais e foram baseados no Acórdão TCU 2622/2013-Plenário. É de responsabilidade da licitante o preenchimento dos percetuais desta planilha, em conformidade com sua realidade;</t>
  </si>
  <si>
    <t>D2</t>
  </si>
  <si>
    <t>O percentual aplicável do ISS está vinculado ao percentual de mão de obra informado na Planilha de Composição de Custo Total, e será automaticamente ajustado quando executado a orientação contida em 2.4;</t>
  </si>
  <si>
    <t>D3</t>
  </si>
  <si>
    <t>O valor final da composição do BDI está vinculado, por precedência, à Planilha de Orçamento Sintético.</t>
  </si>
  <si>
    <t>E</t>
  </si>
  <si>
    <t>SOBRE A PLANILHA DE COMPOSIÇÃO DE ENCARGOS SOCIAIS</t>
  </si>
  <si>
    <t>E1</t>
  </si>
  <si>
    <t>Esta planilha é meramente demonstrativa (não influi sobre o valor final do orçamento).</t>
  </si>
  <si>
    <t>F</t>
  </si>
  <si>
    <t>SOBRE O CRONOGRAMA FÍSICO-FINANCEIRO</t>
  </si>
  <si>
    <t>F.1</t>
  </si>
  <si>
    <t>Os itens e valores desta planiha são provenientes da Planilha de Orçamento Sintético;</t>
  </si>
  <si>
    <t>F.2</t>
  </si>
  <si>
    <r>
      <rPr>
        <sz val="8"/>
        <rFont val="Arial"/>
        <family val="2"/>
      </rPr>
      <t xml:space="preserve">Os </t>
    </r>
    <r>
      <rPr>
        <b/>
        <sz val="8"/>
        <color indexed="45"/>
        <rFont val="Arial"/>
        <family val="2"/>
      </rPr>
      <t>serviços</t>
    </r>
    <r>
      <rPr>
        <sz val="8"/>
        <rFont val="Arial"/>
        <family val="2"/>
      </rPr>
      <t xml:space="preserve"> a serem executados mensalmente, deverão ser informadas na</t>
    </r>
    <r>
      <rPr>
        <b/>
        <sz val="8"/>
        <color indexed="45"/>
        <rFont val="Arial"/>
        <family val="2"/>
      </rPr>
      <t xml:space="preserve"> linha do percentual</t>
    </r>
    <r>
      <rPr>
        <sz val="8"/>
        <rFont val="Arial"/>
        <family val="2"/>
      </rPr>
      <t>, e os valores serão preenchidos automaticamente, inclusive nas etapas macro;</t>
    </r>
  </si>
  <si>
    <t>F.3</t>
  </si>
  <si>
    <t>O ajuste final (última etapa) de um determinado item, deverá respeitar a fórmula inserida no último mês do cronograma, transportando-a quando necessário.</t>
  </si>
  <si>
    <t>Planilha Orçamentária Resumida</t>
  </si>
  <si>
    <t>Item</t>
  </si>
  <si>
    <t>Descrição</t>
  </si>
  <si>
    <t>Total</t>
  </si>
  <si>
    <t>Peso (%)</t>
  </si>
  <si>
    <t xml:space="preserve"> 01 </t>
  </si>
  <si>
    <t xml:space="preserve"> 02 </t>
  </si>
  <si>
    <t xml:space="preserve"> 03 </t>
  </si>
  <si>
    <t xml:space="preserve"> 04 </t>
  </si>
  <si>
    <t xml:space="preserve"> 05 </t>
  </si>
  <si>
    <t xml:space="preserve"> 08 </t>
  </si>
  <si>
    <t xml:space="preserve"> 09 </t>
  </si>
  <si>
    <t xml:space="preserve"> 10 </t>
  </si>
  <si>
    <t xml:space="preserve"> 11 </t>
  </si>
  <si>
    <t>Total sem BDI</t>
  </si>
  <si>
    <t>Total do BDI</t>
  </si>
  <si>
    <t>Total Geral</t>
  </si>
  <si>
    <t>P. Execução:</t>
  </si>
  <si>
    <t>Licitação:</t>
  </si>
  <si>
    <r>
      <rPr>
        <b/>
        <sz val="8"/>
        <color indexed="55"/>
        <rFont val="Arial"/>
        <family val="2"/>
      </rPr>
      <t xml:space="preserve">Objeto: </t>
    </r>
    <r>
      <rPr>
        <sz val="8"/>
        <color indexed="55"/>
        <rFont val="Arial"/>
        <family val="2"/>
      </rPr>
      <t>Impermeabilização, revitalização, construção de guaritas e depósitos no subsolo do Edifício Sede</t>
    </r>
  </si>
  <si>
    <t>Data:</t>
  </si>
  <si>
    <r>
      <rPr>
        <b/>
        <sz val="8"/>
        <color indexed="55"/>
        <rFont val="Arial"/>
        <family val="2"/>
      </rPr>
      <t>Local:</t>
    </r>
    <r>
      <rPr>
        <sz val="8"/>
        <color indexed="55"/>
        <rFont val="Arial"/>
        <family val="2"/>
      </rPr>
      <t xml:space="preserve"> Eixo Monumental, Praça do Buriti, Lote 2, Sede do MPDFT, Brasília-DF</t>
    </r>
  </si>
  <si>
    <t>P. Validade:</t>
  </si>
  <si>
    <t>Razão Social:</t>
  </si>
  <si>
    <t>Telefone:</t>
  </si>
  <si>
    <t>P. Garantia:</t>
  </si>
  <si>
    <t>CNPJ:</t>
  </si>
  <si>
    <t>E-mail:</t>
  </si>
  <si>
    <t>G</t>
  </si>
  <si>
    <t>H</t>
  </si>
  <si>
    <t>Orçamento Sintético</t>
  </si>
  <si>
    <t>Código</t>
  </si>
  <si>
    <t>Banco</t>
  </si>
  <si>
    <t>Und</t>
  </si>
  <si>
    <t>Quant.</t>
  </si>
  <si>
    <t>Valor Unit</t>
  </si>
  <si>
    <t>SERVIÇOS TÉCNICO-PROFISSIONAIS</t>
  </si>
  <si>
    <t xml:space="preserve"> 01.08 </t>
  </si>
  <si>
    <t>TAXAS E EMOLUMENTOS</t>
  </si>
  <si>
    <t xml:space="preserve"> 01.08.1 </t>
  </si>
  <si>
    <t xml:space="preserve"> MPDFT1020 </t>
  </si>
  <si>
    <t>Próprio</t>
  </si>
  <si>
    <t>Anotação de Responsabilidade Técnica (Faixa 3 - Tabela A - CONFEA)</t>
  </si>
  <si>
    <t>un</t>
  </si>
  <si>
    <t>SERVIÇOS PRELIMINARES</t>
  </si>
  <si>
    <t xml:space="preserve"> 02.01 </t>
  </si>
  <si>
    <t>CANTEIRO DE OBRA: IMPLANTAÇÃO, OPERAÇÃO E MANUTENÇÃO</t>
  </si>
  <si>
    <t xml:space="preserve"> 02.01.03</t>
  </si>
  <si>
    <t>PROTEÇÃO E SINALIZAÇÃO</t>
  </si>
  <si>
    <t xml:space="preserve"> 02.01.03.1 </t>
  </si>
  <si>
    <t xml:space="preserve"> MPDFT1580 </t>
  </si>
  <si>
    <t>Cópia da FDE (13.80.013) - Proteção / isolamento de superfícies com lona plástica preta</t>
  </si>
  <si>
    <t>m²</t>
  </si>
  <si>
    <t xml:space="preserve"> 02.01.03.2 </t>
  </si>
  <si>
    <t xml:space="preserve"> MPDFT1187 </t>
  </si>
  <si>
    <t>Cópia da Sudecap (01.04.11) - Fita plástica zebrada para demarcação de áreas, fixada em estrutura, largura = 7 cm, sem adesivo</t>
  </si>
  <si>
    <t>m</t>
  </si>
  <si>
    <t xml:space="preserve"> 02.01.03.3 </t>
  </si>
  <si>
    <t xml:space="preserve"> 00041805 </t>
  </si>
  <si>
    <t xml:space="preserve"> 02.01.03.4 </t>
  </si>
  <si>
    <t xml:space="preserve"> 00010776 </t>
  </si>
  <si>
    <t xml:space="preserve"> 02.01.03.5 </t>
  </si>
  <si>
    <t xml:space="preserve"> MPDFT0488 </t>
  </si>
  <si>
    <t>Transporte, carga e descarga de container</t>
  </si>
  <si>
    <t>sv</t>
  </si>
  <si>
    <t xml:space="preserve"> 02.02 </t>
  </si>
  <si>
    <t>DEMOLIÇÃO E REMOÇÃO</t>
  </si>
  <si>
    <t xml:space="preserve"> 02.02.01 </t>
  </si>
  <si>
    <t>DEMOLIÇÃO CONVENCIONAL</t>
  </si>
  <si>
    <t xml:space="preserve"> 02.02.01.1 </t>
  </si>
  <si>
    <t xml:space="preserve"> 97622 </t>
  </si>
  <si>
    <t xml:space="preserve"> 02.02.01.2 </t>
  </si>
  <si>
    <t xml:space="preserve"> 90437 </t>
  </si>
  <si>
    <t xml:space="preserve"> 02.02.01.3 </t>
  </si>
  <si>
    <t xml:space="preserve"> MPDFT0104 </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</si>
</sst>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d/m/yyyy"/>
    <numFmt numFmtId="165" formatCode="#,##0.00\ %"/>
    <numFmt numFmtId="166" formatCode="_-* #,##0.00_-;\-* #,##0.00_-;_-* \-??_-;_-@_-"/>
    <numFmt numFmtId="167" formatCode="#,##0.0000000"/>
    <numFmt numFmtId="168" formatCode="00000"/>
  </numFmts>
  <fonts count="33">
    <font>
      <sz val="10"/>
      <name val="Arial"/>
      <family val="2"/>
    </font>
    <font>
      <sz val="11"/>
      <color indexed="55"/>
      <name val="Calibri"/>
      <family val="2"/>
    </font>
    <font>
      <sz val="11"/>
      <name val="Arial"/>
      <family val="1"/>
    </font>
    <font>
      <sz val="10"/>
      <name val="Tahoma"/>
      <family val="2"/>
    </font>
    <font>
      <b/>
      <sz val="10"/>
      <name val="Arial"/>
      <family val="2"/>
    </font>
    <font>
      <sz val="4"/>
      <name val="Arial"/>
      <family val="2"/>
    </font>
    <font>
      <b/>
      <sz val="8"/>
      <name val="Arial"/>
      <family val="2"/>
    </font>
    <font>
      <b/>
      <sz val="8"/>
      <color indexed="55"/>
      <name val="Arial"/>
      <family val="2"/>
    </font>
    <font>
      <sz val="8"/>
      <name val="Arial"/>
      <family val="2"/>
    </font>
    <font>
      <b/>
      <sz val="8"/>
      <color indexed="45"/>
      <name val="Arial"/>
      <family val="2"/>
    </font>
    <font>
      <b/>
      <u val="single"/>
      <sz val="8"/>
      <color indexed="45"/>
      <name val="Arial"/>
      <family val="2"/>
    </font>
    <font>
      <sz val="8"/>
      <color indexed="55"/>
      <name val="Arial"/>
      <family val="2"/>
    </font>
    <font>
      <b/>
      <sz val="11"/>
      <name val="Arial"/>
      <family val="1"/>
    </font>
    <font>
      <b/>
      <sz val="11"/>
      <color indexed="55"/>
      <name val="Arial"/>
      <family val="2"/>
    </font>
    <font>
      <b/>
      <i/>
      <sz val="8"/>
      <name val="Arial"/>
      <family val="1"/>
    </font>
    <font>
      <b/>
      <i/>
      <sz val="8"/>
      <color indexed="55"/>
      <name val="Arial"/>
      <family val="2"/>
    </font>
    <font>
      <i/>
      <sz val="8"/>
      <name val="Arial"/>
      <family val="2"/>
    </font>
    <font>
      <i/>
      <sz val="8"/>
      <color indexed="55"/>
      <name val="Arial"/>
      <family val="2"/>
    </font>
    <font>
      <b/>
      <sz val="18"/>
      <color indexed="46"/>
      <name val="Calibri Light"/>
      <family val="2"/>
    </font>
    <font>
      <b/>
      <sz val="15"/>
      <color indexed="46"/>
      <name val="Calibri"/>
      <family val="2"/>
    </font>
    <font>
      <b/>
      <sz val="13"/>
      <color indexed="46"/>
      <name val="Calibri"/>
      <family val="2"/>
    </font>
    <font>
      <b/>
      <sz val="11"/>
      <color indexed="46"/>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55"/>
      <name val="Calibri"/>
      <family val="2"/>
    </font>
    <font>
      <b/>
      <sz val="11"/>
      <color indexed="44"/>
      <name val="Calibri"/>
      <family val="2"/>
    </font>
    <font>
      <sz val="11"/>
      <color indexed="44"/>
      <name val="Calibri"/>
      <family val="2"/>
    </font>
    <font>
      <b/>
      <sz val="11"/>
      <color indexed="33"/>
      <name val="Calibri"/>
      <family val="2"/>
    </font>
    <font>
      <sz val="11"/>
      <color indexed="45"/>
      <name val="Calibri"/>
      <family val="2"/>
    </font>
    <font>
      <i/>
      <sz val="11"/>
      <color indexed="15"/>
      <name val="Calibri"/>
      <family val="2"/>
    </font>
    <font>
      <sz val="11"/>
      <color indexed="33"/>
      <name val="Calibri"/>
      <family val="2"/>
    </font>
  </fonts>
  <fills count="31">
    <fill>
      <patternFill/>
    </fill>
    <fill>
      <patternFill patternType="gray125"/>
    </fill>
    <fill>
      <patternFill patternType="solid">
        <fgColor indexed="19"/>
        <bgColor indexed="64"/>
      </patternFill>
    </fill>
    <fill>
      <patternFill patternType="solid">
        <fgColor indexed="43"/>
        <bgColor indexed="64"/>
      </patternFill>
    </fill>
    <fill>
      <patternFill patternType="solid">
        <fgColor indexed="33"/>
        <bgColor indexed="64"/>
      </patternFill>
    </fill>
    <fill>
      <patternFill patternType="solid">
        <fgColor indexed="35"/>
        <bgColor indexed="64"/>
      </patternFill>
    </fill>
    <fill>
      <patternFill patternType="solid">
        <fgColor indexed="39"/>
        <bgColor indexed="64"/>
      </patternFill>
    </fill>
    <fill>
      <patternFill patternType="solid">
        <fgColor indexed="34"/>
        <bgColor indexed="64"/>
      </patternFill>
    </fill>
    <fill>
      <patternFill patternType="solid">
        <fgColor indexed="37"/>
        <bgColor indexed="64"/>
      </patternFill>
    </fill>
    <fill>
      <patternFill patternType="solid">
        <fgColor indexed="23"/>
        <bgColor indexed="64"/>
      </patternFill>
    </fill>
    <fill>
      <patternFill patternType="solid">
        <fgColor indexed="49"/>
        <bgColor indexed="64"/>
      </patternFill>
    </fill>
    <fill>
      <patternFill patternType="solid">
        <fgColor indexed="47"/>
        <bgColor indexed="64"/>
      </patternFill>
    </fill>
    <fill>
      <patternFill patternType="solid">
        <fgColor indexed="54"/>
        <bgColor indexed="64"/>
      </patternFill>
    </fill>
    <fill>
      <patternFill patternType="solid">
        <fgColor indexed="45"/>
        <bgColor indexed="64"/>
      </patternFill>
    </fill>
    <fill>
      <patternFill patternType="solid">
        <fgColor indexed="44"/>
        <bgColor indexed="64"/>
      </patternFill>
    </fill>
    <fill>
      <patternFill patternType="solid">
        <fgColor indexed="41"/>
        <bgColor indexed="64"/>
      </patternFill>
    </fill>
    <fill>
      <patternFill patternType="solid">
        <fgColor indexed="25"/>
        <bgColor indexed="64"/>
      </patternFill>
    </fill>
    <fill>
      <patternFill patternType="solid">
        <fgColor indexed="44"/>
        <bgColor indexed="64"/>
      </patternFill>
    </fill>
    <fill>
      <patternFill patternType="solid">
        <fgColor indexed="34"/>
        <bgColor indexed="64"/>
      </patternFill>
    </fill>
    <fill>
      <patternFill patternType="solid">
        <fgColor indexed="33"/>
        <bgColor indexed="64"/>
      </patternFill>
    </fill>
    <fill>
      <patternFill patternType="solid">
        <fgColor indexed="38"/>
        <bgColor indexed="64"/>
      </patternFill>
    </fill>
    <fill>
      <patternFill patternType="solid">
        <fgColor indexed="39"/>
        <bgColor indexed="64"/>
      </patternFill>
    </fill>
    <fill>
      <patternFill patternType="solid">
        <fgColor indexed="26"/>
        <bgColor indexed="64"/>
      </patternFill>
    </fill>
    <fill>
      <patternFill patternType="solid">
        <fgColor indexed="18"/>
        <bgColor indexed="64"/>
      </patternFill>
    </fill>
    <fill>
      <patternFill patternType="solid">
        <fgColor indexed="33"/>
        <bgColor indexed="64"/>
      </patternFill>
    </fill>
    <fill>
      <patternFill patternType="solid">
        <fgColor indexed="23"/>
        <bgColor indexed="64"/>
      </patternFill>
    </fill>
    <fill>
      <patternFill patternType="solid">
        <fgColor indexed="19"/>
        <bgColor indexed="64"/>
      </patternFill>
    </fill>
    <fill>
      <patternFill patternType="solid">
        <fgColor indexed="37"/>
        <bgColor indexed="64"/>
      </patternFill>
    </fill>
    <fill>
      <patternFill patternType="solid">
        <fgColor indexed="43"/>
        <bgColor indexed="64"/>
      </patternFill>
    </fill>
    <fill>
      <patternFill patternType="solid">
        <fgColor indexed="35"/>
        <bgColor indexed="64"/>
      </patternFill>
    </fill>
    <fill>
      <patternFill patternType="solid">
        <fgColor indexed="14"/>
        <bgColor indexed="64"/>
      </patternFill>
    </fill>
  </fills>
  <borders count="39">
    <border>
      <left/>
      <right/>
      <top/>
      <bottom/>
      <diagonal/>
    </border>
    <border>
      <left style="thin">
        <color indexed="15"/>
      </left>
      <right style="thin">
        <color indexed="15"/>
      </right>
      <top style="thin">
        <color indexed="15"/>
      </top>
      <bottom style="thin">
        <color indexed="15"/>
      </bottom>
    </border>
    <border>
      <left style="double">
        <color indexed="55"/>
      </left>
      <right style="double">
        <color indexed="55"/>
      </right>
      <top style="double">
        <color indexed="55"/>
      </top>
      <bottom style="double">
        <color indexed="55"/>
      </bottom>
    </border>
    <border>
      <left>
        <color indexed="63"/>
      </left>
      <right>
        <color indexed="63"/>
      </right>
      <top>
        <color indexed="63"/>
      </top>
      <bottom style="double">
        <color indexed="44"/>
      </bottom>
    </border>
    <border>
      <left style="thin">
        <color indexed="36"/>
      </left>
      <right style="thin">
        <color indexed="36"/>
      </right>
      <top style="thin">
        <color indexed="36"/>
      </top>
      <bottom style="thin">
        <color indexed="36"/>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54"/>
      </bottom>
    </border>
    <border>
      <left>
        <color indexed="63"/>
      </left>
      <right>
        <color indexed="63"/>
      </right>
      <top>
        <color indexed="63"/>
      </top>
      <bottom style="thick">
        <color indexed="19"/>
      </bottom>
    </border>
    <border>
      <left>
        <color indexed="63"/>
      </left>
      <right>
        <color indexed="63"/>
      </right>
      <top>
        <color indexed="63"/>
      </top>
      <bottom style="medium">
        <color indexed="19"/>
      </bottom>
    </border>
    <border>
      <left>
        <color indexed="63"/>
      </left>
      <right>
        <color indexed="63"/>
      </right>
      <top style="thin">
        <color indexed="54"/>
      </top>
      <bottom style="double">
        <color indexed="54"/>
      </bottom>
    </border>
    <border>
      <left style="thin"/>
      <right/>
      <top style="thin"/>
      <bottom/>
    </border>
    <border>
      <left/>
      <right style="thin"/>
      <top style="thin"/>
      <bottom/>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top/>
      <bottom/>
    </border>
    <border>
      <left/>
      <right style="thin"/>
      <top/>
      <bottom/>
    </border>
    <border>
      <left style="thin"/>
      <right style="thin"/>
      <top style="thin"/>
      <bottom/>
    </border>
    <border>
      <left style="thin"/>
      <right/>
      <top/>
      <bottom style="thin"/>
    </border>
    <border>
      <left style="thin"/>
      <right style="thin"/>
      <top/>
      <bottom style="thin"/>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right/>
      <top style="thin"/>
      <bottom/>
    </border>
    <border>
      <left/>
      <right style="thin">
        <color indexed="23"/>
      </right>
      <top style="thin">
        <color indexed="23"/>
      </top>
      <bottom style="thin">
        <color indexed="23"/>
      </bottom>
    </border>
    <border>
      <left/>
      <right/>
      <top style="thick"/>
      <bottom/>
    </border>
    <border>
      <left style="thin"/>
      <right style="thin"/>
      <top/>
      <bottom/>
    </border>
    <border>
      <left style="thin">
        <color indexed="23"/>
      </left>
      <right style="thin">
        <color indexed="23"/>
      </right>
      <top style="thin">
        <color indexed="23"/>
      </top>
      <bottom/>
    </border>
    <border>
      <left style="thin">
        <color indexed="23"/>
      </left>
      <right style="thin">
        <color indexed="23"/>
      </right>
      <top/>
      <bottom/>
    </border>
    <border>
      <left style="thin">
        <color indexed="23"/>
      </left>
      <right style="thin">
        <color indexed="23"/>
      </right>
      <top/>
      <bottom style="thin">
        <color indexed="23"/>
      </bottom>
    </border>
    <border>
      <left/>
      <right/>
      <top/>
      <bottom style="thin"/>
    </border>
    <border>
      <left/>
      <right style="thin"/>
      <top/>
      <bottom style="thin"/>
    </border>
    <border>
      <left style="thin"/>
      <right style="thin"/>
      <top style="thin"/>
      <bottom style="thin"/>
    </border>
    <border>
      <left/>
      <right/>
      <top style="thin"/>
      <bottom style="thin">
        <color indexed="23"/>
      </bottom>
    </border>
    <border>
      <left/>
      <right/>
      <top style="thin">
        <color indexed="23"/>
      </top>
      <bottom style="thin">
        <color indexed="23"/>
      </bottom>
    </border>
    <border>
      <left/>
      <right/>
      <top/>
      <bottom style="thin">
        <color indexed="23"/>
      </bottom>
    </border>
    <border>
      <left/>
      <right/>
      <top style="thin">
        <color indexed="23"/>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32" fillId="2"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2" borderId="0" applyNumberFormat="0" applyBorder="0" applyAlignment="0" applyProtection="0"/>
    <xf numFmtId="0" fontId="32" fillId="10" borderId="0" applyNumberFormat="0" applyBorder="0" applyAlignment="0" applyProtection="0"/>
    <xf numFmtId="0" fontId="22" fillId="2" borderId="0" applyNumberFormat="0" applyBorder="0" applyAlignment="0" applyProtection="0"/>
    <xf numFmtId="0" fontId="27" fillId="4" borderId="1" applyNumberFormat="0" applyAlignment="0" applyProtection="0"/>
    <xf numFmtId="0" fontId="29" fillId="11" borderId="2" applyNumberFormat="0" applyAlignment="0" applyProtection="0"/>
    <xf numFmtId="0" fontId="28" fillId="0" borderId="3" applyNumberFormat="0" applyFill="0" applyAlignment="0" applyProtection="0"/>
    <xf numFmtId="0" fontId="32" fillId="12" borderId="0" applyNumberFormat="0" applyBorder="0" applyAlignment="0" applyProtection="0"/>
    <xf numFmtId="0" fontId="32" fillId="13"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25" fillId="5" borderId="1" applyNumberFormat="0" applyAlignment="0" applyProtection="0"/>
    <xf numFmtId="0" fontId="23" fillId="1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5"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4" applyNumberFormat="0" applyFont="0" applyAlignment="0" applyProtection="0"/>
    <xf numFmtId="9" fontId="2" fillId="0" borderId="0" applyBorder="0" applyProtection="0">
      <alignment/>
    </xf>
    <xf numFmtId="9" fontId="2" fillId="0" borderId="0" applyBorder="0" applyProtection="0">
      <alignment/>
    </xf>
    <xf numFmtId="0" fontId="26" fillId="4" borderId="5" applyNumberFormat="0" applyAlignment="0" applyProtection="0"/>
    <xf numFmtId="166" fontId="2" fillId="0" borderId="0" applyBorder="0" applyProtection="0">
      <alignment/>
    </xf>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 fillId="0" borderId="0">
      <alignment/>
      <protection/>
    </xf>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6" fillId="0" borderId="9" applyNumberFormat="0" applyFill="0" applyAlignment="0" applyProtection="0"/>
  </cellStyleXfs>
  <cellXfs count="273">
    <xf numFmtId="0" fontId="0" fillId="0" borderId="0" xfId="0" applyAlignment="1">
      <alignment/>
    </xf>
    <xf numFmtId="0" fontId="5" fillId="0" borderId="10" xfId="56" applyFont="1" applyBorder="1">
      <alignment/>
      <protection/>
    </xf>
    <xf numFmtId="0" fontId="5" fillId="0" borderId="11" xfId="56" applyFont="1" applyBorder="1">
      <alignment/>
      <protection/>
    </xf>
    <xf numFmtId="0" fontId="6" fillId="17" borderId="12" xfId="56" applyFont="1" applyFill="1" applyBorder="1" applyAlignment="1">
      <alignment horizontal="center"/>
      <protection/>
    </xf>
    <xf numFmtId="0" fontId="7" fillId="17" borderId="13" xfId="54" applyFont="1" applyFill="1" applyBorder="1" applyAlignment="1">
      <alignment vertical="distributed" wrapText="1"/>
      <protection/>
    </xf>
    <xf numFmtId="0" fontId="8" fillId="0" borderId="14" xfId="56" applyFont="1" applyBorder="1" applyAlignment="1">
      <alignment horizontal="center"/>
      <protection/>
    </xf>
    <xf numFmtId="0" fontId="8" fillId="0" borderId="15" xfId="56" applyFont="1" applyBorder="1" applyAlignment="1">
      <alignment horizontal="justify" vertical="distributed" wrapText="1"/>
      <protection/>
    </xf>
    <xf numFmtId="0" fontId="8" fillId="0" borderId="16" xfId="56" applyFont="1" applyBorder="1" applyAlignment="1">
      <alignment horizontal="center"/>
      <protection/>
    </xf>
    <xf numFmtId="0" fontId="8" fillId="0" borderId="17" xfId="56" applyFont="1" applyBorder="1" applyAlignment="1">
      <alignment horizontal="justify" vertical="distributed" wrapText="1"/>
      <protection/>
    </xf>
    <xf numFmtId="0" fontId="0" fillId="0" borderId="18" xfId="56" applyBorder="1">
      <alignment/>
      <protection/>
    </xf>
    <xf numFmtId="0" fontId="0" fillId="0" borderId="19" xfId="56" applyBorder="1">
      <alignment/>
      <protection/>
    </xf>
    <xf numFmtId="0" fontId="6" fillId="17" borderId="14" xfId="56" applyFont="1" applyFill="1" applyBorder="1" applyAlignment="1">
      <alignment horizontal="center"/>
      <protection/>
    </xf>
    <xf numFmtId="0" fontId="7" fillId="17" borderId="15" xfId="54" applyFont="1" applyFill="1" applyBorder="1" applyAlignment="1">
      <alignment vertical="distributed" wrapText="1"/>
      <protection/>
    </xf>
    <xf numFmtId="0" fontId="6" fillId="17" borderId="14" xfId="0" applyFont="1" applyFill="1" applyBorder="1" applyAlignment="1">
      <alignment horizontal="center"/>
    </xf>
    <xf numFmtId="0" fontId="7" fillId="17" borderId="15" xfId="52" applyFont="1" applyFill="1" applyBorder="1" applyAlignment="1">
      <alignment vertical="distributed" wrapText="1"/>
      <protection/>
    </xf>
    <xf numFmtId="0" fontId="8" fillId="0" borderId="14" xfId="0" applyFont="1" applyBorder="1" applyAlignment="1">
      <alignment horizontal="center"/>
    </xf>
    <xf numFmtId="0" fontId="8" fillId="0" borderId="15" xfId="0" applyFont="1" applyBorder="1" applyAlignment="1">
      <alignment horizontal="justify" vertical="distributed" wrapText="1"/>
    </xf>
    <xf numFmtId="0" fontId="8" fillId="0" borderId="16" xfId="0" applyFont="1" applyBorder="1" applyAlignment="1">
      <alignment horizontal="center"/>
    </xf>
    <xf numFmtId="0" fontId="8" fillId="0" borderId="17" xfId="0" applyFont="1" applyBorder="1" applyAlignment="1">
      <alignment horizontal="justify" vertical="distributed" wrapText="1"/>
    </xf>
    <xf numFmtId="0" fontId="8" fillId="0" borderId="0" xfId="0" applyFont="1" applyAlignment="1">
      <alignment/>
    </xf>
    <xf numFmtId="0" fontId="11" fillId="0" borderId="10" xfId="53" applyFont="1" applyBorder="1" applyAlignment="1">
      <alignment horizontal="left" vertical="center"/>
      <protection/>
    </xf>
    <xf numFmtId="0" fontId="11" fillId="0" borderId="20" xfId="0" applyFont="1" applyBorder="1" applyAlignment="1">
      <alignment vertical="center" wrapText="1"/>
    </xf>
    <xf numFmtId="0" fontId="11" fillId="0" borderId="20" xfId="53" applyFont="1" applyBorder="1" applyAlignment="1">
      <alignment horizontal="left" vertical="center"/>
      <protection/>
    </xf>
    <xf numFmtId="0" fontId="7" fillId="0" borderId="21" xfId="53" applyFont="1" applyBorder="1" applyAlignment="1">
      <alignment horizontal="center" vertical="center"/>
      <protection/>
    </xf>
    <xf numFmtId="0" fontId="11" fillId="0" borderId="22" xfId="0" applyFont="1" applyBorder="1" applyAlignment="1">
      <alignment vertical="center"/>
    </xf>
    <xf numFmtId="164" fontId="7" fillId="0" borderId="22" xfId="0" applyNumberFormat="1" applyFont="1" applyBorder="1" applyAlignment="1">
      <alignment horizontal="center" vertical="center"/>
    </xf>
    <xf numFmtId="17" fontId="11" fillId="0" borderId="10" xfId="53" applyNumberFormat="1" applyFont="1" applyBorder="1" applyAlignment="1">
      <alignment horizontal="left" vertical="center"/>
      <protection/>
    </xf>
    <xf numFmtId="164" fontId="7" fillId="0" borderId="21" xfId="53" applyNumberFormat="1" applyFont="1" applyBorder="1" applyAlignment="1">
      <alignment horizontal="center" vertical="center"/>
      <protection/>
    </xf>
    <xf numFmtId="0" fontId="4" fillId="18" borderId="23" xfId="0" applyFont="1" applyFill="1" applyBorder="1" applyAlignment="1">
      <alignment horizontal="center" vertical="top" wrapText="1"/>
    </xf>
    <xf numFmtId="0" fontId="7" fillId="17" borderId="23" xfId="0" applyFont="1" applyFill="1" applyBorder="1" applyAlignment="1">
      <alignment horizontal="left" vertical="top" wrapText="1"/>
    </xf>
    <xf numFmtId="0" fontId="7" fillId="17" borderId="24" xfId="0" applyFont="1" applyFill="1" applyBorder="1" applyAlignment="1">
      <alignment horizontal="left" vertical="top" wrapText="1"/>
    </xf>
    <xf numFmtId="4" fontId="7" fillId="17" borderId="23" xfId="0" applyNumberFormat="1" applyFont="1" applyFill="1" applyBorder="1" applyAlignment="1">
      <alignment horizontal="right" vertical="top" wrapText="1"/>
    </xf>
    <xf numFmtId="165" fontId="7" fillId="17" borderId="23" xfId="0" applyNumberFormat="1" applyFont="1" applyFill="1" applyBorder="1" applyAlignment="1">
      <alignment horizontal="right" vertical="top" wrapText="1"/>
    </xf>
    <xf numFmtId="0" fontId="8" fillId="19" borderId="0" xfId="49" applyFont="1" applyFill="1" applyAlignment="1">
      <alignment horizontal="center" vertical="top" wrapText="1"/>
      <protection/>
    </xf>
    <xf numFmtId="0" fontId="6" fillId="20" borderId="0" xfId="0" applyFont="1" applyFill="1" applyAlignment="1">
      <alignment horizontal="right" vertical="top" wrapText="1"/>
    </xf>
    <xf numFmtId="166" fontId="6" fillId="20" borderId="0" xfId="61" applyFont="1" applyFill="1" applyBorder="1" applyAlignment="1" applyProtection="1">
      <alignment vertical="top" wrapText="1"/>
      <protection/>
    </xf>
    <xf numFmtId="166" fontId="6" fillId="20" borderId="0" xfId="61" applyFont="1" applyFill="1" applyBorder="1" applyAlignment="1" applyProtection="1">
      <alignment horizontal="center" vertical="top" wrapText="1"/>
      <protection/>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justify" vertical="center"/>
    </xf>
    <xf numFmtId="2" fontId="8" fillId="0" borderId="0" xfId="0" applyNumberFormat="1" applyFont="1" applyAlignment="1">
      <alignment vertical="center"/>
    </xf>
    <xf numFmtId="4" fontId="8" fillId="0" borderId="0" xfId="0" applyNumberFormat="1" applyFont="1" applyAlignment="1">
      <alignment vertical="center"/>
    </xf>
    <xf numFmtId="0" fontId="11" fillId="0" borderId="11" xfId="53" applyFont="1" applyBorder="1" applyAlignment="1">
      <alignment horizontal="center" vertical="center"/>
      <protection/>
    </xf>
    <xf numFmtId="0" fontId="7" fillId="0" borderId="20" xfId="0" applyFont="1" applyBorder="1" applyAlignment="1">
      <alignment horizontal="justify" vertical="center"/>
    </xf>
    <xf numFmtId="4" fontId="8" fillId="0" borderId="25" xfId="0" applyNumberFormat="1" applyFont="1" applyBorder="1" applyAlignment="1">
      <alignment vertical="center"/>
    </xf>
    <xf numFmtId="0" fontId="7" fillId="0" borderId="22" xfId="0" applyFont="1" applyBorder="1" applyAlignment="1">
      <alignment horizontal="center" vertical="center"/>
    </xf>
    <xf numFmtId="0" fontId="7" fillId="0" borderId="22" xfId="0" applyFont="1" applyBorder="1" applyAlignment="1">
      <alignment horizontal="justify" vertical="center"/>
    </xf>
    <xf numFmtId="0" fontId="11" fillId="0" borderId="25" xfId="53" applyFont="1" applyBorder="1" applyAlignment="1">
      <alignment horizontal="left" vertical="center"/>
      <protection/>
    </xf>
    <xf numFmtId="0" fontId="8" fillId="0" borderId="18" xfId="52" applyFont="1" applyBorder="1" applyAlignment="1">
      <alignment horizontal="left" vertical="center"/>
      <protection/>
    </xf>
    <xf numFmtId="0" fontId="11" fillId="0" borderId="19" xfId="53" applyFont="1" applyBorder="1" applyAlignment="1">
      <alignment horizontal="left" vertical="center"/>
      <protection/>
    </xf>
    <xf numFmtId="0" fontId="8" fillId="0" borderId="10" xfId="52" applyFont="1" applyBorder="1" applyAlignment="1">
      <alignment horizontal="left" vertical="center"/>
      <protection/>
    </xf>
    <xf numFmtId="0" fontId="11" fillId="0" borderId="11" xfId="53" applyFont="1" applyBorder="1" applyAlignment="1">
      <alignment horizontal="justify" vertical="center"/>
      <protection/>
    </xf>
    <xf numFmtId="0" fontId="6" fillId="20" borderId="23" xfId="0" applyFont="1" applyFill="1" applyBorder="1" applyAlignment="1">
      <alignment horizontal="center" vertical="center" wrapText="1"/>
    </xf>
    <xf numFmtId="0" fontId="6" fillId="20" borderId="23" xfId="0" applyFont="1" applyFill="1" applyBorder="1" applyAlignment="1">
      <alignment horizontal="justify" vertical="center" wrapText="1"/>
    </xf>
    <xf numFmtId="2" fontId="6" fillId="20" borderId="23" xfId="0" applyNumberFormat="1" applyFont="1" applyFill="1" applyBorder="1" applyAlignment="1">
      <alignment horizontal="center" vertical="center" wrapText="1"/>
    </xf>
    <xf numFmtId="4" fontId="6" fillId="20" borderId="23" xfId="0" applyNumberFormat="1" applyFont="1" applyFill="1" applyBorder="1" applyAlignment="1">
      <alignment horizontal="center" vertical="center" wrapText="1"/>
    </xf>
    <xf numFmtId="0" fontId="7" fillId="17" borderId="23" xfId="0" applyFont="1" applyFill="1" applyBorder="1" applyAlignment="1">
      <alignment horizontal="left" vertical="center" wrapText="1"/>
    </xf>
    <xf numFmtId="0" fontId="7" fillId="17" borderId="23" xfId="0" applyFont="1" applyFill="1" applyBorder="1" applyAlignment="1">
      <alignment horizontal="center" vertical="center" wrapText="1"/>
    </xf>
    <xf numFmtId="0" fontId="7" fillId="17" borderId="23" xfId="0" applyFont="1" applyFill="1" applyBorder="1" applyAlignment="1">
      <alignment horizontal="justify" vertical="center" wrapText="1"/>
    </xf>
    <xf numFmtId="2" fontId="7" fillId="17" borderId="23" xfId="0" applyNumberFormat="1" applyFont="1" applyFill="1" applyBorder="1" applyAlignment="1">
      <alignment horizontal="right" vertical="center" wrapText="1"/>
    </xf>
    <xf numFmtId="2" fontId="7" fillId="17" borderId="23" xfId="0" applyNumberFormat="1" applyFont="1" applyFill="1" applyBorder="1" applyAlignment="1">
      <alignment horizontal="left" vertical="center" wrapText="1"/>
    </xf>
    <xf numFmtId="4" fontId="7" fillId="17" borderId="23" xfId="0" applyNumberFormat="1" applyFont="1" applyFill="1" applyBorder="1" applyAlignment="1">
      <alignment horizontal="right" vertical="center" wrapText="1"/>
    </xf>
    <xf numFmtId="0" fontId="7" fillId="21" borderId="23" xfId="48" applyFont="1" applyFill="1" applyBorder="1" applyAlignment="1">
      <alignment horizontal="left" vertical="center" wrapText="1"/>
      <protection/>
    </xf>
    <xf numFmtId="0" fontId="7" fillId="21" borderId="23" xfId="48" applyFont="1" applyFill="1" applyBorder="1" applyAlignment="1">
      <alignment horizontal="center" vertical="center" wrapText="1"/>
      <protection/>
    </xf>
    <xf numFmtId="0" fontId="7" fillId="21" borderId="23" xfId="48" applyFont="1" applyFill="1" applyBorder="1" applyAlignment="1">
      <alignment horizontal="justify" vertical="center" wrapText="1"/>
      <protection/>
    </xf>
    <xf numFmtId="2" fontId="7" fillId="21" borderId="23" xfId="48" applyNumberFormat="1" applyFont="1" applyFill="1" applyBorder="1" applyAlignment="1">
      <alignment horizontal="right" vertical="center" wrapText="1"/>
      <protection/>
    </xf>
    <xf numFmtId="2" fontId="7" fillId="21" borderId="23" xfId="48" applyNumberFormat="1" applyFont="1" applyFill="1" applyBorder="1" applyAlignment="1">
      <alignment horizontal="left" vertical="center" wrapText="1"/>
      <protection/>
    </xf>
    <xf numFmtId="4" fontId="7" fillId="21" borderId="23" xfId="48" applyNumberFormat="1" applyFont="1" applyFill="1" applyBorder="1" applyAlignment="1">
      <alignment horizontal="right" vertical="center" wrapText="1"/>
      <protection/>
    </xf>
    <xf numFmtId="0" fontId="11" fillId="19" borderId="23" xfId="0" applyFont="1" applyFill="1" applyBorder="1" applyAlignment="1">
      <alignment horizontal="left" vertical="center" wrapText="1"/>
    </xf>
    <xf numFmtId="0" fontId="11" fillId="19" borderId="23" xfId="0" applyFont="1" applyFill="1" applyBorder="1" applyAlignment="1">
      <alignment horizontal="center" vertical="center" wrapText="1"/>
    </xf>
    <xf numFmtId="0" fontId="11" fillId="19" borderId="23" xfId="0" applyFont="1" applyFill="1" applyBorder="1" applyAlignment="1">
      <alignment horizontal="justify" vertical="center" wrapText="1"/>
    </xf>
    <xf numFmtId="2" fontId="11" fillId="19" borderId="23" xfId="0" applyNumberFormat="1" applyFont="1" applyFill="1" applyBorder="1" applyAlignment="1">
      <alignment horizontal="right" vertical="center" wrapText="1"/>
    </xf>
    <xf numFmtId="4" fontId="11" fillId="0" borderId="23" xfId="0" applyNumberFormat="1" applyFont="1" applyBorder="1" applyAlignment="1">
      <alignment horizontal="right" vertical="center" wrapText="1"/>
    </xf>
    <xf numFmtId="4" fontId="11" fillId="0" borderId="23" xfId="49" applyNumberFormat="1" applyFont="1" applyBorder="1" applyAlignment="1">
      <alignment horizontal="right" vertical="center" wrapText="1"/>
      <protection/>
    </xf>
    <xf numFmtId="0" fontId="7" fillId="22" borderId="23" xfId="48" applyFont="1" applyFill="1" applyBorder="1" applyAlignment="1">
      <alignment horizontal="left" vertical="center" wrapText="1"/>
      <protection/>
    </xf>
    <xf numFmtId="0" fontId="7" fillId="22" borderId="23" xfId="48" applyFont="1" applyFill="1" applyBorder="1" applyAlignment="1">
      <alignment horizontal="center" vertical="center" wrapText="1"/>
      <protection/>
    </xf>
    <xf numFmtId="0" fontId="7" fillId="22" borderId="23" xfId="48" applyFont="1" applyFill="1" applyBorder="1" applyAlignment="1">
      <alignment horizontal="justify" vertical="center" wrapText="1"/>
      <protection/>
    </xf>
    <xf numFmtId="2" fontId="7" fillId="22" borderId="23" xfId="48" applyNumberFormat="1" applyFont="1" applyFill="1" applyBorder="1" applyAlignment="1">
      <alignment horizontal="left" vertical="center" wrapText="1"/>
      <protection/>
    </xf>
    <xf numFmtId="4" fontId="7" fillId="22" borderId="23" xfId="48" applyNumberFormat="1" applyFont="1" applyFill="1" applyBorder="1" applyAlignment="1">
      <alignment horizontal="right" vertical="center" wrapText="1"/>
      <protection/>
    </xf>
    <xf numFmtId="0" fontId="11" fillId="0" borderId="23" xfId="49" applyFont="1" applyBorder="1" applyAlignment="1">
      <alignment horizontal="left" vertical="center" wrapText="1"/>
      <protection/>
    </xf>
    <xf numFmtId="0" fontId="11" fillId="0" borderId="23" xfId="49" applyFont="1" applyBorder="1" applyAlignment="1">
      <alignment horizontal="center" vertical="center" wrapText="1"/>
      <protection/>
    </xf>
    <xf numFmtId="0" fontId="11" fillId="0" borderId="23" xfId="49" applyFont="1" applyBorder="1" applyAlignment="1">
      <alignment horizontal="justify" vertical="center" wrapText="1"/>
      <protection/>
    </xf>
    <xf numFmtId="2" fontId="11" fillId="0" borderId="23" xfId="49" applyNumberFormat="1" applyFont="1" applyBorder="1" applyAlignment="1">
      <alignment horizontal="right" vertical="center" wrapText="1"/>
      <protection/>
    </xf>
    <xf numFmtId="0" fontId="7" fillId="23" borderId="23" xfId="48" applyFont="1" applyFill="1" applyBorder="1" applyAlignment="1">
      <alignment horizontal="left" vertical="center" wrapText="1"/>
      <protection/>
    </xf>
    <xf numFmtId="0" fontId="7" fillId="23" borderId="23" xfId="48" applyFont="1" applyFill="1" applyBorder="1" applyAlignment="1">
      <alignment horizontal="center" vertical="center" wrapText="1"/>
      <protection/>
    </xf>
    <xf numFmtId="0" fontId="7" fillId="23" borderId="23" xfId="48" applyFont="1" applyFill="1" applyBorder="1" applyAlignment="1">
      <alignment horizontal="justify" vertical="center" wrapText="1"/>
      <protection/>
    </xf>
    <xf numFmtId="2" fontId="7" fillId="23" borderId="23" xfId="48" applyNumberFormat="1" applyFont="1" applyFill="1" applyBorder="1" applyAlignment="1">
      <alignment horizontal="left" vertical="center" wrapText="1"/>
      <protection/>
    </xf>
    <xf numFmtId="4" fontId="7" fillId="23" borderId="23" xfId="48" applyNumberFormat="1" applyFont="1" applyFill="1" applyBorder="1" applyAlignment="1">
      <alignment horizontal="right" vertical="center" wrapText="1"/>
      <protection/>
    </xf>
    <xf numFmtId="0" fontId="8" fillId="19" borderId="0" xfId="49" applyFont="1" applyFill="1" applyAlignment="1">
      <alignment horizontal="center" vertical="center" wrapText="1"/>
      <protection/>
    </xf>
    <xf numFmtId="0" fontId="8" fillId="19" borderId="0" xfId="49" applyFont="1" applyFill="1" applyAlignment="1">
      <alignment horizontal="justify" vertical="center" wrapText="1"/>
      <protection/>
    </xf>
    <xf numFmtId="2" fontId="8" fillId="19" borderId="0" xfId="49" applyNumberFormat="1" applyFont="1" applyFill="1" applyAlignment="1">
      <alignment horizontal="center" vertical="center" wrapText="1"/>
      <protection/>
    </xf>
    <xf numFmtId="4" fontId="8" fillId="19" borderId="0" xfId="49" applyNumberFormat="1" applyFont="1" applyFill="1" applyAlignment="1">
      <alignment horizontal="center" vertical="center" wrapText="1"/>
      <protection/>
    </xf>
    <xf numFmtId="0" fontId="6" fillId="20" borderId="4" xfId="0" applyFont="1" applyFill="1" applyBorder="1" applyAlignment="1">
      <alignment horizontal="center" vertical="center" wrapText="1"/>
    </xf>
    <xf numFmtId="9" fontId="6" fillId="20" borderId="4" xfId="59" applyFont="1" applyFill="1" applyBorder="1" applyAlignment="1" applyProtection="1">
      <alignment horizontal="center" vertical="center" wrapText="1"/>
      <protection/>
    </xf>
    <xf numFmtId="0" fontId="6" fillId="20" borderId="0" xfId="0" applyFont="1" applyFill="1" applyAlignment="1">
      <alignment horizontal="center" vertical="center" wrapText="1"/>
    </xf>
    <xf numFmtId="0" fontId="6" fillId="20" borderId="0" xfId="0" applyFont="1" applyFill="1" applyAlignment="1">
      <alignment horizontal="right" vertical="center"/>
    </xf>
    <xf numFmtId="166" fontId="6" fillId="20" borderId="0" xfId="61" applyFont="1" applyFill="1" applyBorder="1" applyAlignment="1" applyProtection="1">
      <alignment vertical="center" wrapText="1"/>
      <protection/>
    </xf>
    <xf numFmtId="0" fontId="6" fillId="20" borderId="0" xfId="0" applyFont="1" applyFill="1" applyAlignment="1">
      <alignment horizontal="right" vertical="center" wrapText="1"/>
    </xf>
    <xf numFmtId="0" fontId="7" fillId="20" borderId="0" xfId="0" applyFont="1" applyFill="1" applyAlignment="1">
      <alignment horizontal="right" vertical="center" wrapText="1"/>
    </xf>
    <xf numFmtId="0" fontId="6" fillId="19" borderId="0" xfId="49" applyFont="1" applyFill="1" applyAlignment="1">
      <alignment horizontal="center" vertical="center" wrapText="1"/>
      <protection/>
    </xf>
    <xf numFmtId="0" fontId="6" fillId="19" borderId="0" xfId="49" applyFont="1" applyFill="1" applyAlignment="1">
      <alignment horizontal="justify" vertical="center" wrapText="1"/>
      <protection/>
    </xf>
    <xf numFmtId="2" fontId="6" fillId="19" borderId="0" xfId="49" applyNumberFormat="1" applyFont="1" applyFill="1" applyAlignment="1">
      <alignment horizontal="center" vertical="center" wrapText="1"/>
      <protection/>
    </xf>
    <xf numFmtId="4" fontId="6" fillId="19" borderId="0" xfId="49" applyNumberFormat="1" applyFont="1" applyFill="1" applyAlignment="1">
      <alignment horizontal="center" vertical="center" wrapText="1"/>
      <protection/>
    </xf>
    <xf numFmtId="0" fontId="11" fillId="0" borderId="25" xfId="53" applyFont="1" applyBorder="1" applyAlignment="1">
      <alignment horizontal="center" vertical="center"/>
      <protection/>
    </xf>
    <xf numFmtId="0" fontId="11" fillId="0" borderId="11" xfId="53" applyFont="1" applyBorder="1" applyAlignment="1">
      <alignment horizontal="left" vertical="center"/>
      <protection/>
    </xf>
    <xf numFmtId="164" fontId="7" fillId="0" borderId="22" xfId="53" applyNumberFormat="1" applyFont="1" applyBorder="1" applyAlignment="1">
      <alignment horizontal="center" vertical="center"/>
      <protection/>
    </xf>
    <xf numFmtId="17" fontId="11" fillId="0" borderId="25" xfId="53" applyNumberFormat="1" applyFont="1" applyBorder="1" applyAlignment="1">
      <alignment horizontal="center" vertical="center"/>
      <protection/>
    </xf>
    <xf numFmtId="0" fontId="7" fillId="17" borderId="23" xfId="0" applyFont="1" applyFill="1" applyBorder="1" applyAlignment="1">
      <alignment horizontal="left" vertical="center" wrapText="1"/>
    </xf>
    <xf numFmtId="0" fontId="7" fillId="17" borderId="23" xfId="0" applyFont="1" applyFill="1" applyBorder="1" applyAlignment="1">
      <alignment horizontal="center" vertical="center" wrapText="1"/>
    </xf>
    <xf numFmtId="0" fontId="7" fillId="17" borderId="26" xfId="0" applyFont="1" applyFill="1" applyBorder="1" applyAlignment="1">
      <alignment horizontal="left" vertical="center" wrapText="1"/>
    </xf>
    <xf numFmtId="0" fontId="7" fillId="17" borderId="23" xfId="0" applyFont="1" applyFill="1" applyBorder="1" applyAlignment="1">
      <alignment horizontal="right" vertical="center" wrapText="1"/>
    </xf>
    <xf numFmtId="4" fontId="7" fillId="17" borderId="23" xfId="0" applyNumberFormat="1" applyFont="1" applyFill="1" applyBorder="1" applyAlignment="1">
      <alignment horizontal="right" vertical="center" wrapText="1"/>
    </xf>
    <xf numFmtId="0" fontId="8" fillId="0" borderId="0" xfId="0" applyFont="1" applyAlignment="1">
      <alignment/>
    </xf>
    <xf numFmtId="3" fontId="7" fillId="21" borderId="23" xfId="48" applyNumberFormat="1" applyFont="1" applyFill="1" applyBorder="1" applyAlignment="1">
      <alignment horizontal="right" vertical="center" wrapText="1"/>
      <protection/>
    </xf>
    <xf numFmtId="0" fontId="6" fillId="24" borderId="23" xfId="0" applyFont="1" applyFill="1" applyBorder="1" applyAlignment="1">
      <alignment horizontal="left" vertical="center" wrapText="1"/>
    </xf>
    <xf numFmtId="0" fontId="6" fillId="24" borderId="23" xfId="0" applyFont="1" applyFill="1" applyBorder="1" applyAlignment="1">
      <alignment horizontal="center" vertical="center" wrapText="1"/>
    </xf>
    <xf numFmtId="0" fontId="6" fillId="24" borderId="23" xfId="0" applyFont="1" applyFill="1" applyBorder="1" applyAlignment="1">
      <alignment horizontal="justify" vertical="center" wrapText="1"/>
    </xf>
    <xf numFmtId="167" fontId="7" fillId="24" borderId="23" xfId="0" applyNumberFormat="1" applyFont="1" applyFill="1" applyBorder="1" applyAlignment="1">
      <alignment vertical="center" wrapText="1"/>
    </xf>
    <xf numFmtId="4" fontId="7" fillId="24" borderId="23" xfId="0" applyNumberFormat="1" applyFont="1" applyFill="1" applyBorder="1" applyAlignment="1">
      <alignment horizontal="right" vertical="center" wrapText="1"/>
    </xf>
    <xf numFmtId="4" fontId="6" fillId="24" borderId="23" xfId="0" applyNumberFormat="1" applyFont="1" applyFill="1" applyBorder="1" applyAlignment="1">
      <alignment horizontal="right" vertical="center" wrapText="1"/>
    </xf>
    <xf numFmtId="0" fontId="11" fillId="0" borderId="23" xfId="0" applyFont="1" applyBorder="1" applyAlignment="1">
      <alignment horizontal="justify" vertical="center" wrapText="1"/>
    </xf>
    <xf numFmtId="0" fontId="8" fillId="0" borderId="23" xfId="0" applyFont="1" applyBorder="1" applyAlignment="1">
      <alignment horizontal="center" vertical="center" wrapText="1"/>
    </xf>
    <xf numFmtId="0" fontId="11" fillId="0" borderId="23" xfId="0" applyFont="1" applyBorder="1" applyAlignment="1">
      <alignment horizontal="center" vertical="center" wrapText="1"/>
    </xf>
    <xf numFmtId="167" fontId="8" fillId="0" borderId="23" xfId="0" applyNumberFormat="1" applyFont="1" applyBorder="1" applyAlignment="1">
      <alignment vertical="center" wrapText="1"/>
    </xf>
    <xf numFmtId="0" fontId="11" fillId="0" borderId="27" xfId="0" applyFont="1" applyBorder="1" applyAlignment="1">
      <alignment horizontal="left" vertical="center" wrapText="1"/>
    </xf>
    <xf numFmtId="0" fontId="11" fillId="0" borderId="27" xfId="0" applyFont="1" applyBorder="1" applyAlignment="1">
      <alignment horizontal="center" vertical="center" wrapText="1"/>
    </xf>
    <xf numFmtId="0" fontId="11" fillId="0" borderId="27" xfId="0" applyFont="1" applyBorder="1" applyAlignment="1">
      <alignment horizontal="justify" vertical="center" wrapText="1"/>
    </xf>
    <xf numFmtId="0" fontId="11" fillId="0" borderId="27" xfId="0" applyFont="1" applyBorder="1" applyAlignment="1">
      <alignment vertical="center" wrapText="1"/>
    </xf>
    <xf numFmtId="0" fontId="11" fillId="0" borderId="27" xfId="0" applyFont="1" applyBorder="1" applyAlignment="1">
      <alignment horizontal="right" vertical="center" wrapText="1"/>
    </xf>
    <xf numFmtId="3" fontId="7" fillId="22" borderId="23" xfId="48" applyNumberFormat="1" applyFont="1" applyFill="1" applyBorder="1" applyAlignment="1">
      <alignment horizontal="right" vertical="center" wrapText="1"/>
      <protection/>
    </xf>
    <xf numFmtId="0" fontId="7" fillId="17" borderId="23" xfId="0" applyFont="1" applyFill="1" applyBorder="1" applyAlignment="1">
      <alignment horizontal="justify" vertical="center" wrapText="1"/>
    </xf>
    <xf numFmtId="0" fontId="7" fillId="17" borderId="23" xfId="0" applyFont="1" applyFill="1" applyBorder="1" applyAlignment="1">
      <alignment vertical="center" wrapText="1"/>
    </xf>
    <xf numFmtId="3" fontId="7" fillId="23" borderId="23" xfId="48" applyNumberFormat="1" applyFont="1" applyFill="1" applyBorder="1" applyAlignment="1">
      <alignment horizontal="right" vertical="center" wrapText="1"/>
      <protection/>
    </xf>
    <xf numFmtId="0" fontId="8" fillId="0" borderId="23" xfId="49" applyFont="1" applyBorder="1" applyAlignment="1">
      <alignment horizontal="center" vertical="center" wrapText="1"/>
      <protection/>
    </xf>
    <xf numFmtId="17" fontId="11" fillId="0" borderId="25" xfId="53" applyNumberFormat="1" applyFont="1" applyBorder="1" applyAlignment="1">
      <alignment horizontal="left" vertical="center"/>
      <protection/>
    </xf>
    <xf numFmtId="0" fontId="6" fillId="25" borderId="23" xfId="0" applyFont="1" applyFill="1" applyBorder="1" applyAlignment="1">
      <alignment horizontal="center" vertical="center" wrapText="1"/>
    </xf>
    <xf numFmtId="0" fontId="8" fillId="0" borderId="23" xfId="49" applyFont="1" applyBorder="1" applyAlignment="1">
      <alignment horizontal="justify" vertical="center" wrapText="1"/>
      <protection/>
    </xf>
    <xf numFmtId="4" fontId="8" fillId="0" borderId="23" xfId="49" applyNumberFormat="1" applyFont="1" applyBorder="1" applyAlignment="1">
      <alignment horizontal="right" vertical="center" wrapText="1"/>
      <protection/>
    </xf>
    <xf numFmtId="2" fontId="8" fillId="0" borderId="23" xfId="49" applyNumberFormat="1" applyFont="1" applyBorder="1" applyAlignment="1">
      <alignment horizontal="right" vertical="center" wrapText="1"/>
      <protection/>
    </xf>
    <xf numFmtId="0" fontId="8" fillId="0" borderId="10" xfId="53" applyFont="1" applyBorder="1" applyAlignment="1">
      <alignment horizontal="left" vertical="top"/>
      <protection/>
    </xf>
    <xf numFmtId="0" fontId="8" fillId="0" borderId="20" xfId="53" applyFont="1" applyBorder="1" applyAlignment="1">
      <alignment horizontal="left" vertical="top"/>
      <protection/>
    </xf>
    <xf numFmtId="0" fontId="6" fillId="0" borderId="21" xfId="53" applyFont="1" applyBorder="1" applyAlignment="1">
      <alignment horizontal="center" vertical="top"/>
      <protection/>
    </xf>
    <xf numFmtId="0" fontId="6" fillId="0" borderId="22" xfId="50" applyFont="1" applyBorder="1" applyAlignment="1">
      <alignment horizontal="center" vertical="top"/>
      <protection/>
    </xf>
    <xf numFmtId="17" fontId="8" fillId="0" borderId="18" xfId="53" applyNumberFormat="1" applyFont="1" applyBorder="1" applyAlignment="1">
      <alignment horizontal="left" vertical="top"/>
      <protection/>
    </xf>
    <xf numFmtId="0" fontId="8" fillId="0" borderId="28" xfId="53" applyFont="1" applyBorder="1" applyAlignment="1">
      <alignment horizontal="left" vertical="top"/>
      <protection/>
    </xf>
    <xf numFmtId="164" fontId="6" fillId="0" borderId="22" xfId="53" applyNumberFormat="1" applyFont="1" applyBorder="1" applyAlignment="1">
      <alignment horizontal="center" vertical="top"/>
      <protection/>
    </xf>
    <xf numFmtId="0" fontId="4" fillId="20" borderId="23" xfId="50" applyFont="1" applyFill="1" applyBorder="1" applyAlignment="1">
      <alignment horizontal="center" vertical="top" wrapText="1"/>
      <protection/>
    </xf>
    <xf numFmtId="0" fontId="12" fillId="0" borderId="29" xfId="50" applyFont="1" applyBorder="1" applyAlignment="1">
      <alignment horizontal="center" vertical="top" wrapText="1"/>
      <protection/>
    </xf>
    <xf numFmtId="0" fontId="4" fillId="0" borderId="30" xfId="50" applyFont="1" applyBorder="1" applyAlignment="1">
      <alignment horizontal="center" vertical="top" wrapText="1"/>
      <protection/>
    </xf>
    <xf numFmtId="49" fontId="8" fillId="0" borderId="23" xfId="0" applyNumberFormat="1" applyFont="1" applyBorder="1" applyAlignment="1">
      <alignment horizontal="center" vertical="center" wrapText="1"/>
    </xf>
    <xf numFmtId="0" fontId="11" fillId="0" borderId="23" xfId="52" applyFont="1" applyBorder="1" applyAlignment="1">
      <alignment horizontal="justify" vertical="center" wrapText="1"/>
      <protection/>
    </xf>
    <xf numFmtId="49" fontId="8" fillId="0" borderId="23" xfId="0" applyNumberFormat="1" applyFont="1" applyBorder="1" applyAlignment="1">
      <alignment horizontal="center" vertical="center"/>
    </xf>
    <xf numFmtId="0" fontId="11" fillId="0" borderId="23" xfId="55" applyFont="1" applyBorder="1" applyAlignment="1">
      <alignment horizontal="center" vertical="center" wrapText="1"/>
      <protection/>
    </xf>
    <xf numFmtId="168" fontId="11" fillId="0" borderId="23" xfId="55" applyNumberFormat="1" applyFont="1" applyBorder="1" applyAlignment="1">
      <alignment horizontal="center" vertical="center" wrapText="1"/>
      <protection/>
    </xf>
    <xf numFmtId="0" fontId="0" fillId="0" borderId="30" xfId="0" applyBorder="1" applyAlignment="1">
      <alignment/>
    </xf>
    <xf numFmtId="0" fontId="0" fillId="0" borderId="23" xfId="0" applyBorder="1" applyAlignment="1">
      <alignment/>
    </xf>
    <xf numFmtId="0" fontId="11"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8" fillId="19" borderId="23" xfId="0" applyFont="1" applyFill="1" applyBorder="1" applyAlignment="1">
      <alignment horizontal="center" vertical="center" wrapText="1"/>
    </xf>
    <xf numFmtId="0" fontId="8" fillId="0" borderId="23" xfId="0" applyFont="1" applyBorder="1" applyAlignment="1">
      <alignment horizontal="center" vertical="center"/>
    </xf>
    <xf numFmtId="0" fontId="8" fillId="0" borderId="23" xfId="0" applyFont="1" applyBorder="1" applyAlignment="1">
      <alignment horizontal="left" vertical="center" wrapText="1"/>
    </xf>
    <xf numFmtId="0" fontId="8" fillId="0" borderId="23" xfId="55" applyFont="1" applyBorder="1" applyAlignment="1">
      <alignment horizontal="center" vertical="center" wrapText="1"/>
      <protection/>
    </xf>
    <xf numFmtId="0" fontId="0" fillId="0" borderId="31" xfId="0" applyBorder="1" applyAlignment="1">
      <alignment/>
    </xf>
    <xf numFmtId="0" fontId="2" fillId="0" borderId="0" xfId="48">
      <alignment/>
      <protection/>
    </xf>
    <xf numFmtId="0" fontId="4" fillId="20" borderId="23" xfId="48" applyFont="1" applyFill="1" applyBorder="1" applyAlignment="1">
      <alignment horizontal="center" vertical="top" wrapText="1"/>
      <protection/>
    </xf>
    <xf numFmtId="0" fontId="6" fillId="17" borderId="24" xfId="65" applyFont="1" applyFill="1" applyBorder="1" applyAlignment="1">
      <alignment horizontal="center" vertical="distributed" wrapText="1"/>
      <protection/>
    </xf>
    <xf numFmtId="10" fontId="6" fillId="17" borderId="26" xfId="59" applyNumberFormat="1" applyFont="1" applyFill="1" applyBorder="1" applyAlignment="1" applyProtection="1">
      <alignment horizontal="center" vertical="distributed" wrapText="1"/>
      <protection/>
    </xf>
    <xf numFmtId="0" fontId="6" fillId="26" borderId="24" xfId="65" applyFont="1" applyFill="1" applyBorder="1" applyAlignment="1">
      <alignment horizontal="center" vertical="distributed" wrapText="1"/>
      <protection/>
    </xf>
    <xf numFmtId="10" fontId="6" fillId="26" borderId="26" xfId="59" applyNumberFormat="1" applyFont="1" applyFill="1" applyBorder="1" applyAlignment="1" applyProtection="1">
      <alignment horizontal="center" vertical="distributed" wrapText="1"/>
      <protection/>
    </xf>
    <xf numFmtId="0" fontId="8" fillId="0" borderId="23" xfId="48" applyFont="1" applyBorder="1" applyAlignment="1">
      <alignment horizontal="center" vertical="top" wrapText="1"/>
      <protection/>
    </xf>
    <xf numFmtId="0" fontId="8" fillId="0" borderId="24" xfId="48" applyFont="1" applyBorder="1" applyAlignment="1">
      <alignment vertical="top"/>
      <protection/>
    </xf>
    <xf numFmtId="0" fontId="8" fillId="0" borderId="26" xfId="48" applyFont="1" applyBorder="1" applyAlignment="1">
      <alignment vertical="top"/>
      <protection/>
    </xf>
    <xf numFmtId="10" fontId="8" fillId="0" borderId="23" xfId="59" applyNumberFormat="1" applyFont="1" applyBorder="1" applyAlignment="1" applyProtection="1">
      <alignment horizontal="center" vertical="top" wrapText="1"/>
      <protection/>
    </xf>
    <xf numFmtId="0" fontId="8" fillId="0" borderId="23" xfId="48" applyFont="1" applyBorder="1" applyAlignment="1">
      <alignment horizontal="left" vertical="top" wrapText="1"/>
      <protection/>
    </xf>
    <xf numFmtId="0" fontId="6" fillId="20" borderId="24" xfId="65" applyFont="1" applyFill="1" applyBorder="1" applyAlignment="1">
      <alignment horizontal="center" vertical="distributed" wrapText="1"/>
      <protection/>
    </xf>
    <xf numFmtId="10" fontId="6" fillId="20" borderId="26" xfId="59" applyNumberFormat="1" applyFont="1" applyFill="1" applyBorder="1" applyAlignment="1" applyProtection="1">
      <alignment horizontal="center" vertical="distributed" wrapText="1"/>
      <protection/>
    </xf>
    <xf numFmtId="0" fontId="8" fillId="0" borderId="23" xfId="48" applyFont="1" applyBorder="1" applyAlignment="1">
      <alignment horizontal="center" vertical="top" wrapText="1"/>
      <protection/>
    </xf>
    <xf numFmtId="0" fontId="8" fillId="0" borderId="24" xfId="48" applyFont="1" applyBorder="1" applyAlignment="1">
      <alignment vertical="top"/>
      <protection/>
    </xf>
    <xf numFmtId="0" fontId="8" fillId="0" borderId="26" xfId="48" applyFont="1" applyBorder="1" applyAlignment="1">
      <alignment vertical="top"/>
      <protection/>
    </xf>
    <xf numFmtId="10" fontId="8" fillId="0" borderId="23" xfId="59" applyNumberFormat="1" applyFont="1" applyBorder="1" applyAlignment="1" applyProtection="1">
      <alignment horizontal="center" vertical="top" wrapText="1"/>
      <protection/>
    </xf>
    <xf numFmtId="0" fontId="6" fillId="0" borderId="23" xfId="48" applyFont="1" applyBorder="1" applyAlignment="1">
      <alignment horizontal="center" vertical="top" wrapText="1"/>
      <protection/>
    </xf>
    <xf numFmtId="0" fontId="6" fillId="0" borderId="24" xfId="48" applyFont="1" applyBorder="1" applyAlignment="1">
      <alignment vertical="top"/>
      <protection/>
    </xf>
    <xf numFmtId="0" fontId="6" fillId="0" borderId="26" xfId="48" applyFont="1" applyBorder="1" applyAlignment="1">
      <alignment vertical="top"/>
      <protection/>
    </xf>
    <xf numFmtId="10" fontId="6" fillId="0" borderId="23" xfId="59" applyNumberFormat="1" applyFont="1" applyBorder="1" applyAlignment="1" applyProtection="1">
      <alignment horizontal="center" vertical="top" wrapText="1"/>
      <protection/>
    </xf>
    <xf numFmtId="0" fontId="8" fillId="0" borderId="0" xfId="0" applyFont="1" applyAlignment="1">
      <alignment vertical="top"/>
    </xf>
    <xf numFmtId="0" fontId="8" fillId="0" borderId="10" xfId="53" applyFont="1" applyBorder="1" applyAlignment="1">
      <alignment horizontal="left" vertical="center"/>
      <protection/>
    </xf>
    <xf numFmtId="0" fontId="8" fillId="0" borderId="20" xfId="0" applyFont="1" applyBorder="1" applyAlignment="1">
      <alignment vertical="center" wrapText="1"/>
    </xf>
    <xf numFmtId="0" fontId="6" fillId="0" borderId="0" xfId="0" applyFont="1" applyAlignment="1">
      <alignment vertical="top" wrapText="1"/>
    </xf>
    <xf numFmtId="0" fontId="6" fillId="0" borderId="21" xfId="53" applyFont="1" applyBorder="1" applyAlignment="1">
      <alignment horizontal="center" vertical="center"/>
      <protection/>
    </xf>
    <xf numFmtId="0" fontId="8" fillId="0" borderId="22" xfId="0" applyFont="1" applyBorder="1" applyAlignment="1">
      <alignment vertical="center"/>
    </xf>
    <xf numFmtId="0" fontId="6" fillId="0" borderId="21" xfId="0" applyFont="1" applyBorder="1" applyAlignment="1">
      <alignment horizontal="center" vertical="center"/>
    </xf>
    <xf numFmtId="17" fontId="8" fillId="0" borderId="10" xfId="53" applyNumberFormat="1" applyFont="1" applyBorder="1" applyAlignment="1">
      <alignment horizontal="left" vertical="center"/>
      <protection/>
    </xf>
    <xf numFmtId="164" fontId="6" fillId="0" borderId="21" xfId="53" applyNumberFormat="1" applyFont="1" applyBorder="1" applyAlignment="1">
      <alignment horizontal="center" vertical="center"/>
      <protection/>
    </xf>
    <xf numFmtId="0" fontId="6" fillId="19" borderId="18" xfId="0" applyFont="1" applyFill="1" applyBorder="1" applyAlignment="1">
      <alignment horizontal="center" vertical="center" wrapText="1"/>
    </xf>
    <xf numFmtId="0" fontId="6" fillId="19" borderId="0" xfId="0" applyFont="1" applyFill="1" applyBorder="1" applyAlignment="1">
      <alignment horizontal="center" vertical="center" wrapText="1"/>
    </xf>
    <xf numFmtId="0" fontId="6" fillId="19" borderId="19" xfId="0" applyFont="1" applyFill="1" applyBorder="1" applyAlignment="1">
      <alignment horizontal="center" vertical="center" wrapText="1"/>
    </xf>
    <xf numFmtId="0" fontId="6" fillId="19" borderId="21" xfId="0" applyFont="1" applyFill="1" applyBorder="1" applyAlignment="1">
      <alignment horizontal="center" vertical="center" wrapText="1"/>
    </xf>
    <xf numFmtId="0" fontId="6" fillId="19" borderId="32" xfId="0" applyFont="1" applyFill="1" applyBorder="1" applyAlignment="1">
      <alignment horizontal="center" vertical="center" wrapText="1"/>
    </xf>
    <xf numFmtId="0" fontId="6" fillId="19" borderId="33" xfId="0" applyFont="1" applyFill="1" applyBorder="1" applyAlignment="1">
      <alignment horizontal="center" vertical="center" wrapText="1"/>
    </xf>
    <xf numFmtId="0" fontId="6" fillId="0" borderId="0" xfId="0" applyFont="1" applyAlignment="1">
      <alignment wrapText="1"/>
    </xf>
    <xf numFmtId="0" fontId="6" fillId="19" borderId="23" xfId="0" applyFont="1" applyFill="1" applyBorder="1" applyAlignment="1">
      <alignment horizontal="left" vertical="center" wrapText="1"/>
    </xf>
    <xf numFmtId="0" fontId="6" fillId="19" borderId="23" xfId="0" applyFont="1" applyFill="1" applyBorder="1" applyAlignment="1">
      <alignment horizontal="right" vertical="top" wrapText="1"/>
    </xf>
    <xf numFmtId="10" fontId="14" fillId="17" borderId="29" xfId="59" applyNumberFormat="1" applyFont="1" applyFill="1" applyBorder="1" applyAlignment="1" applyProtection="1">
      <alignment horizontal="right" vertical="top" wrapText="1"/>
      <protection/>
    </xf>
    <xf numFmtId="10" fontId="14" fillId="17" borderId="29" xfId="59" applyNumberFormat="1" applyFont="1" applyFill="1" applyBorder="1" applyAlignment="1" applyProtection="1">
      <alignment horizontal="right" vertical="top" wrapText="1"/>
      <protection/>
    </xf>
    <xf numFmtId="0" fontId="7" fillId="0" borderId="0" xfId="0" applyFont="1" applyAlignment="1">
      <alignment horizontal="left" vertical="center" wrapText="1"/>
    </xf>
    <xf numFmtId="166" fontId="6" fillId="17" borderId="31" xfId="61" applyFont="1" applyFill="1" applyBorder="1" applyAlignment="1" applyProtection="1">
      <alignment horizontal="right" vertical="top" wrapText="1"/>
      <protection/>
    </xf>
    <xf numFmtId="166" fontId="6" fillId="17" borderId="31" xfId="61" applyFont="1" applyFill="1" applyBorder="1" applyAlignment="1" applyProtection="1">
      <alignment horizontal="right" vertical="top" wrapText="1"/>
      <protection/>
    </xf>
    <xf numFmtId="10" fontId="15" fillId="27" borderId="29" xfId="48" applyNumberFormat="1" applyFont="1" applyFill="1" applyBorder="1" applyAlignment="1">
      <alignment vertical="top" wrapText="1"/>
      <protection/>
    </xf>
    <xf numFmtId="10" fontId="7" fillId="27" borderId="29" xfId="48" applyNumberFormat="1" applyFont="1" applyFill="1" applyBorder="1" applyAlignment="1">
      <alignment vertical="top" wrapText="1"/>
      <protection/>
    </xf>
    <xf numFmtId="0" fontId="11" fillId="0" borderId="0" xfId="0" applyFont="1" applyAlignment="1">
      <alignment horizontal="left" vertical="center" wrapText="1"/>
    </xf>
    <xf numFmtId="4" fontId="7" fillId="27" borderId="31" xfId="48" applyNumberFormat="1" applyFont="1" applyFill="1" applyBorder="1" applyAlignment="1">
      <alignment horizontal="right" vertical="top" wrapText="1"/>
      <protection/>
    </xf>
    <xf numFmtId="10" fontId="16" fillId="0" borderId="29" xfId="59" applyNumberFormat="1" applyFont="1" applyBorder="1" applyAlignment="1" applyProtection="1">
      <alignment horizontal="right" vertical="top" wrapText="1"/>
      <protection/>
    </xf>
    <xf numFmtId="10" fontId="17" fillId="0" borderId="29" xfId="58" applyNumberFormat="1" applyFont="1" applyBorder="1" applyAlignment="1" applyProtection="1">
      <alignment horizontal="right" vertical="top" wrapText="1"/>
      <protection/>
    </xf>
    <xf numFmtId="166" fontId="8" fillId="0" borderId="31" xfId="61" applyFont="1" applyBorder="1" applyAlignment="1" applyProtection="1">
      <alignment horizontal="right" vertical="top" wrapText="1"/>
      <protection/>
    </xf>
    <xf numFmtId="166" fontId="11" fillId="0" borderId="31" xfId="61" applyFont="1" applyBorder="1" applyAlignment="1" applyProtection="1">
      <alignment horizontal="right" vertical="top" wrapText="1"/>
      <protection/>
    </xf>
    <xf numFmtId="10" fontId="14" fillId="28" borderId="29" xfId="59" applyNumberFormat="1" applyFont="1" applyFill="1" applyBorder="1" applyAlignment="1" applyProtection="1">
      <alignment horizontal="right" vertical="top" wrapText="1"/>
      <protection/>
    </xf>
    <xf numFmtId="4" fontId="7" fillId="28" borderId="31" xfId="48" applyNumberFormat="1" applyFont="1" applyFill="1" applyBorder="1" applyAlignment="1">
      <alignment horizontal="right" vertical="top" wrapText="1"/>
      <protection/>
    </xf>
    <xf numFmtId="10" fontId="14" fillId="29" borderId="29" xfId="59" applyNumberFormat="1" applyFont="1" applyFill="1" applyBorder="1" applyAlignment="1" applyProtection="1">
      <alignment horizontal="right" vertical="top" wrapText="1"/>
      <protection/>
    </xf>
    <xf numFmtId="10" fontId="14" fillId="29" borderId="29" xfId="59" applyNumberFormat="1" applyFont="1" applyFill="1" applyBorder="1" applyAlignment="1" applyProtection="1">
      <alignment horizontal="right" vertical="top" wrapText="1"/>
      <protection/>
    </xf>
    <xf numFmtId="166" fontId="6" fillId="29" borderId="31" xfId="61" applyFont="1" applyFill="1" applyBorder="1" applyAlignment="1" applyProtection="1">
      <alignment horizontal="right" vertical="top" wrapText="1"/>
      <protection/>
    </xf>
    <xf numFmtId="166" fontId="6" fillId="29" borderId="31" xfId="61" applyFont="1" applyFill="1" applyBorder="1" applyAlignment="1" applyProtection="1">
      <alignment horizontal="right" vertical="top" wrapText="1"/>
      <protection/>
    </xf>
    <xf numFmtId="0" fontId="6" fillId="19" borderId="0" xfId="0" applyFont="1" applyFill="1" applyAlignment="1">
      <alignment horizontal="left" vertical="top" wrapText="1"/>
    </xf>
    <xf numFmtId="10" fontId="6" fillId="19" borderId="0" xfId="59" applyNumberFormat="1" applyFont="1" applyFill="1" applyBorder="1" applyAlignment="1" applyProtection="1">
      <alignment horizontal="right" vertical="top" wrapText="1"/>
      <protection/>
    </xf>
    <xf numFmtId="4" fontId="6" fillId="19" borderId="0" xfId="0" applyNumberFormat="1" applyFont="1" applyFill="1" applyAlignment="1">
      <alignment horizontal="right" vertical="top" wrapText="1"/>
    </xf>
    <xf numFmtId="166" fontId="6" fillId="19" borderId="0" xfId="61" applyFont="1" applyFill="1" applyBorder="1" applyAlignment="1" applyProtection="1">
      <alignment horizontal="right" vertical="top" wrapText="1"/>
      <protection/>
    </xf>
    <xf numFmtId="0" fontId="6" fillId="26" borderId="23" xfId="0" applyFont="1" applyFill="1" applyBorder="1" applyAlignment="1">
      <alignment horizontal="right" vertical="top" wrapText="1"/>
    </xf>
    <xf numFmtId="166" fontId="6" fillId="26" borderId="23" xfId="61" applyFont="1" applyFill="1" applyBorder="1" applyAlignment="1" applyProtection="1">
      <alignment horizontal="right" vertical="top" wrapText="1"/>
      <protection/>
    </xf>
    <xf numFmtId="0" fontId="7" fillId="0" borderId="20" xfId="52" applyFont="1" applyBorder="1" applyAlignment="1">
      <alignment horizontal="center" vertical="center"/>
      <protection/>
    </xf>
    <xf numFmtId="164" fontId="7" fillId="0" borderId="21" xfId="52" applyNumberFormat="1" applyFont="1" applyBorder="1" applyAlignment="1">
      <alignment horizontal="center" vertical="center"/>
      <protection/>
    </xf>
    <xf numFmtId="0" fontId="7" fillId="0" borderId="28" xfId="52" applyFont="1" applyBorder="1" applyAlignment="1">
      <alignment horizontal="center" vertical="center"/>
      <protection/>
    </xf>
    <xf numFmtId="164" fontId="7" fillId="0" borderId="22" xfId="53" applyNumberFormat="1" applyFont="1" applyBorder="1" applyAlignment="1">
      <alignment horizontal="center" vertical="center"/>
      <protection/>
    </xf>
    <xf numFmtId="0" fontId="4" fillId="30" borderId="34" xfId="56" applyFont="1" applyFill="1" applyBorder="1" applyAlignment="1">
      <alignment horizontal="center"/>
      <protection/>
    </xf>
    <xf numFmtId="0" fontId="0" fillId="0" borderId="34" xfId="0" applyBorder="1" applyAlignment="1">
      <alignment horizontal="center" vertical="center"/>
    </xf>
    <xf numFmtId="0" fontId="12" fillId="19" borderId="35" xfId="0" applyFont="1" applyFill="1" applyBorder="1" applyAlignment="1">
      <alignment horizontal="center" wrapText="1"/>
    </xf>
    <xf numFmtId="0" fontId="7" fillId="0" borderId="22" xfId="52" applyFont="1" applyBorder="1" applyAlignment="1">
      <alignment horizontal="center" vertical="center"/>
      <protection/>
    </xf>
    <xf numFmtId="0" fontId="7" fillId="0" borderId="22" xfId="53" applyFont="1" applyBorder="1" applyAlignment="1">
      <alignment horizontal="center" vertical="center"/>
      <protection/>
    </xf>
    <xf numFmtId="0" fontId="7" fillId="0" borderId="21" xfId="53" applyFont="1" applyBorder="1" applyAlignment="1">
      <alignment horizontal="center" vertical="center"/>
      <protection/>
    </xf>
    <xf numFmtId="0" fontId="8" fillId="19" borderId="0" xfId="49" applyFont="1" applyFill="1" applyBorder="1" applyAlignment="1">
      <alignment horizontal="center" vertical="center" wrapText="1"/>
      <protection/>
    </xf>
    <xf numFmtId="0" fontId="12" fillId="19" borderId="0" xfId="0" applyFont="1" applyFill="1" applyBorder="1" applyAlignment="1">
      <alignment horizontal="center" vertical="center" wrapText="1"/>
    </xf>
    <xf numFmtId="166" fontId="6" fillId="20" borderId="0" xfId="61" applyFont="1" applyFill="1" applyBorder="1" applyAlignment="1" applyProtection="1">
      <alignment horizontal="center" vertical="center" wrapText="1"/>
      <protection/>
    </xf>
    <xf numFmtId="0" fontId="6" fillId="20" borderId="4" xfId="0" applyFont="1" applyFill="1" applyBorder="1" applyAlignment="1">
      <alignment horizontal="center" vertical="center" wrapText="1"/>
    </xf>
    <xf numFmtId="9" fontId="6" fillId="20" borderId="4" xfId="59" applyFont="1" applyFill="1" applyBorder="1" applyAlignment="1" applyProtection="1">
      <alignment horizontal="center" vertical="center" wrapText="1"/>
      <protection/>
    </xf>
    <xf numFmtId="17" fontId="11" fillId="0" borderId="20" xfId="53" applyNumberFormat="1" applyFont="1" applyBorder="1" applyAlignment="1">
      <alignment horizontal="justify" vertical="center"/>
      <protection/>
    </xf>
    <xf numFmtId="0" fontId="12" fillId="19" borderId="0" xfId="0" applyFont="1" applyFill="1" applyBorder="1" applyAlignment="1">
      <alignment horizontal="center" wrapText="1"/>
    </xf>
    <xf numFmtId="0" fontId="6" fillId="0" borderId="22" xfId="50" applyFont="1" applyBorder="1" applyAlignment="1">
      <alignment horizontal="center" vertical="top"/>
      <protection/>
    </xf>
    <xf numFmtId="0" fontId="12" fillId="19" borderId="0" xfId="50" applyFont="1" applyFill="1" applyBorder="1" applyAlignment="1">
      <alignment horizontal="center" wrapText="1"/>
      <protection/>
    </xf>
    <xf numFmtId="0" fontId="4" fillId="20" borderId="23" xfId="50" applyFont="1" applyFill="1" applyBorder="1" applyAlignment="1">
      <alignment horizontal="center" vertical="center" wrapText="1"/>
      <protection/>
    </xf>
    <xf numFmtId="0" fontId="4" fillId="20" borderId="23" xfId="50" applyFont="1" applyFill="1" applyBorder="1" applyAlignment="1">
      <alignment horizontal="center" vertical="top" wrapText="1"/>
      <protection/>
    </xf>
    <xf numFmtId="0" fontId="8" fillId="0" borderId="20" xfId="50" applyFont="1" applyBorder="1" applyAlignment="1">
      <alignment horizontal="justify" vertical="top"/>
      <protection/>
    </xf>
    <xf numFmtId="0" fontId="8" fillId="0" borderId="22" xfId="50" applyFont="1" applyBorder="1" applyAlignment="1">
      <alignment horizontal="justify" vertical="top"/>
      <protection/>
    </xf>
    <xf numFmtId="17" fontId="8" fillId="0" borderId="20" xfId="50" applyNumberFormat="1" applyFont="1" applyBorder="1" applyAlignment="1">
      <alignment horizontal="left" vertical="top"/>
      <protection/>
    </xf>
    <xf numFmtId="0" fontId="8" fillId="0" borderId="20" xfId="50" applyFont="1" applyBorder="1" applyAlignment="1">
      <alignment horizontal="left" vertical="top"/>
      <protection/>
    </xf>
    <xf numFmtId="0" fontId="6" fillId="20" borderId="36" xfId="65" applyFont="1" applyFill="1" applyBorder="1" applyAlignment="1">
      <alignment horizontal="justify" vertical="distributed" wrapText="1"/>
      <protection/>
    </xf>
    <xf numFmtId="0" fontId="4" fillId="20" borderId="23" xfId="48" applyFont="1" applyFill="1" applyBorder="1" applyAlignment="1">
      <alignment horizontal="center" vertical="top"/>
      <protection/>
    </xf>
    <xf numFmtId="0" fontId="6" fillId="17" borderId="36" xfId="65" applyFont="1" applyFill="1" applyBorder="1" applyAlignment="1">
      <alignment horizontal="justify" vertical="distributed" wrapText="1"/>
      <protection/>
    </xf>
    <xf numFmtId="0" fontId="6" fillId="26" borderId="36" xfId="65" applyFont="1" applyFill="1" applyBorder="1" applyAlignment="1">
      <alignment horizontal="justify" vertical="distributed" wrapText="1"/>
      <protection/>
    </xf>
    <xf numFmtId="0" fontId="13" fillId="0" borderId="35" xfId="48" applyFont="1" applyBorder="1" applyAlignment="1">
      <alignment horizontal="center" vertical="center" wrapText="1"/>
      <protection/>
    </xf>
    <xf numFmtId="0" fontId="6" fillId="20" borderId="24" xfId="65" applyFont="1" applyFill="1" applyBorder="1" applyAlignment="1">
      <alignment horizontal="center" vertical="distributed" wrapText="1"/>
      <protection/>
    </xf>
    <xf numFmtId="0" fontId="6" fillId="26" borderId="23" xfId="65" applyFont="1" applyFill="1" applyBorder="1" applyAlignment="1">
      <alignment horizontal="center" vertical="distributed" wrapText="1"/>
      <protection/>
    </xf>
    <xf numFmtId="0" fontId="13" fillId="0" borderId="35" xfId="65" applyFont="1" applyBorder="1" applyAlignment="1">
      <alignment horizontal="center" vertical="center"/>
      <protection/>
    </xf>
    <xf numFmtId="0" fontId="6" fillId="19" borderId="37" xfId="0" applyFont="1" applyFill="1" applyBorder="1" applyAlignment="1">
      <alignment horizontal="right" vertical="top" wrapText="1"/>
    </xf>
    <xf numFmtId="0" fontId="6" fillId="26" borderId="23" xfId="0" applyFont="1" applyFill="1" applyBorder="1" applyAlignment="1">
      <alignment horizontal="right" vertical="top" wrapText="1"/>
    </xf>
    <xf numFmtId="0" fontId="8" fillId="0" borderId="23" xfId="0" applyFont="1" applyBorder="1" applyAlignment="1">
      <alignment horizontal="justify" vertical="center" wrapText="1"/>
    </xf>
    <xf numFmtId="0" fontId="6" fillId="19" borderId="0" xfId="0" applyFont="1" applyFill="1" applyBorder="1" applyAlignment="1">
      <alignment horizontal="right" vertical="top" wrapText="1"/>
    </xf>
    <xf numFmtId="0" fontId="6" fillId="19" borderId="38" xfId="0" applyFont="1" applyFill="1" applyBorder="1" applyAlignment="1">
      <alignment horizontal="right" vertical="top" wrapText="1"/>
    </xf>
    <xf numFmtId="0" fontId="7" fillId="21" borderId="23" xfId="48" applyFont="1" applyFill="1" applyBorder="1" applyAlignment="1">
      <alignment vertical="center" wrapText="1"/>
      <protection/>
    </xf>
    <xf numFmtId="0" fontId="7" fillId="22" borderId="23" xfId="48" applyFont="1" applyFill="1" applyBorder="1" applyAlignment="1">
      <alignment vertical="center" wrapText="1"/>
      <protection/>
    </xf>
    <xf numFmtId="0" fontId="6" fillId="17" borderId="23" xfId="0" applyFont="1" applyFill="1" applyBorder="1" applyAlignment="1">
      <alignment vertical="center" wrapText="1"/>
    </xf>
    <xf numFmtId="0" fontId="6" fillId="17" borderId="23" xfId="0" applyFont="1" applyFill="1" applyBorder="1" applyAlignment="1">
      <alignment horizontal="justify" vertical="center" wrapText="1"/>
    </xf>
    <xf numFmtId="0" fontId="7" fillId="23" borderId="23" xfId="48" applyFont="1" applyFill="1" applyBorder="1" applyAlignment="1">
      <alignment vertical="center" wrapText="1"/>
      <protection/>
    </xf>
    <xf numFmtId="0" fontId="11" fillId="0" borderId="23" xfId="0" applyFont="1" applyBorder="1" applyAlignment="1">
      <alignment horizontal="justify" vertical="center" wrapText="1"/>
    </xf>
    <xf numFmtId="0" fontId="6" fillId="19" borderId="20" xfId="0" applyFont="1" applyFill="1" applyBorder="1" applyAlignment="1">
      <alignment horizontal="center" vertical="center" wrapText="1"/>
    </xf>
    <xf numFmtId="0" fontId="6" fillId="19" borderId="35" xfId="0" applyFont="1" applyFill="1" applyBorder="1" applyAlignment="1">
      <alignment horizontal="center" wrapText="1"/>
    </xf>
  </cellXfs>
  <cellStyles count="5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rmal 3" xfId="49"/>
    <cellStyle name="Normal 3 2" xfId="50"/>
    <cellStyle name="Normal 4" xfId="51"/>
    <cellStyle name="Normal_Orç 041_2009 Adaptação Copa PJ Ceilândia" xfId="52"/>
    <cellStyle name="Normal_Orç 041_2009 Adaptação Copa PJ Ceilândia_Orçamento Sintético" xfId="53"/>
    <cellStyle name="Normal_Orç 041_2009 Adaptação Copa PJ Ceilândia_Plan1" xfId="54"/>
    <cellStyle name="Normal_Plan1" xfId="55"/>
    <cellStyle name="Normal_Plan1_1 2" xfId="56"/>
    <cellStyle name="Nota" xfId="57"/>
    <cellStyle name="Percent" xfId="58"/>
    <cellStyle name="Porcentagem 2" xfId="59"/>
    <cellStyle name="Saída" xfId="60"/>
    <cellStyle name="Comma" xfId="61"/>
    <cellStyle name="Comma [0]" xfId="62"/>
    <cellStyle name="Texto de Aviso" xfId="63"/>
    <cellStyle name="Texto Explicativo" xfId="64"/>
    <cellStyle name="Texto Explicativo 2" xfId="65"/>
    <cellStyle name="Título" xfId="66"/>
    <cellStyle name="Título 1" xfId="67"/>
    <cellStyle name="Título 2" xfId="68"/>
    <cellStyle name="Título 3" xfId="69"/>
    <cellStyle name="Título 4" xfId="70"/>
    <cellStyle name="Total" xfId="71"/>
  </cellStyles>
  <dxfs count="130">
    <dxf>
      <font>
        <name val="Arial"/>
        <color rgb="FFFFFFFF"/>
      </font>
    </dxf>
    <dxf>
      <font>
        <name val="Arial"/>
        <color rgb="FFFFF2CC"/>
      </font>
    </dxf>
    <dxf>
      <font>
        <name val="Arial"/>
        <color rgb="FFFFF2CC"/>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FFFFF"/>
      </font>
    </dxf>
    <dxf>
      <font>
        <name val="Arial"/>
        <color rgb="FFF4B183"/>
      </font>
    </dxf>
    <dxf>
      <font>
        <name val="Arial"/>
        <color rgb="FFF4B183"/>
      </font>
    </dxf>
    <dxf>
      <font>
        <name val="Arial"/>
        <color rgb="FFF4B183"/>
      </font>
    </dxf>
    <dxf>
      <font>
        <name val="Arial"/>
        <color rgb="FFFBE5D6"/>
      </font>
    </dxf>
    <dxf>
      <font>
        <name val="Arial"/>
        <color rgb="FFFBE5D6"/>
      </font>
    </dxf>
    <dxf>
      <font>
        <name val="Arial"/>
        <color rgb="FFFBE5D6"/>
      </font>
    </dxf>
    <dxf>
      <font>
        <name val="Arial"/>
        <color rgb="FFFBE5D6"/>
      </font>
    </dxf>
    <dxf>
      <font>
        <name val="Arial"/>
        <color rgb="FFFBE5D6"/>
      </font>
    </dxf>
    <dxf>
      <font>
        <name val="Arial"/>
        <color rgb="FFFBE5D6"/>
      </font>
    </dxf>
    <dxf>
      <font>
        <name val="Arial"/>
        <color rgb="FFFFFFFF"/>
      </font>
    </dxf>
    <dxf>
      <font>
        <name val="Arial"/>
        <color rgb="FFFFFFFF"/>
      </font>
    </dxf>
    <dxf>
      <font>
        <name val="Arial"/>
        <color rgb="FFFFFFFF"/>
      </font>
    </dxf>
    <dxf>
      <font>
        <name val="Arial"/>
        <color rgb="FFF4B183"/>
      </font>
    </dxf>
    <dxf>
      <font>
        <name val="Arial"/>
        <color rgb="FFF4B183"/>
      </font>
    </dxf>
    <dxf>
      <font>
        <name val="Arial"/>
        <color rgb="FFF4B183"/>
      </font>
    </dxf>
    <dxf>
      <font>
        <name val="Arial"/>
        <color rgb="FFFBE5D6"/>
      </font>
    </dxf>
    <dxf>
      <font>
        <name val="Arial"/>
        <color rgb="FFFBE5D6"/>
      </font>
    </dxf>
    <dxf>
      <font>
        <name val="Arial"/>
        <color rgb="FFF4B183"/>
      </font>
    </dxf>
    <dxf>
      <font>
        <name val="Arial"/>
        <color rgb="FFF4B183"/>
      </font>
    </dxf>
    <dxf>
      <font>
        <name val="Arial"/>
        <color rgb="FFF4B183"/>
      </font>
    </dxf>
    <dxf>
      <font>
        <name val="Arial"/>
        <color rgb="FFF4B183"/>
      </font>
    </dxf>
    <dxf>
      <font>
        <name val="Arial"/>
        <color rgb="FFD8ECF6"/>
      </font>
    </dxf>
    <dxf>
      <font>
        <name val="Arial"/>
        <color rgb="FFFFFF00"/>
      </font>
    </dxf>
    <dxf>
      <font>
        <name val="Arial"/>
        <color rgb="FFFFFF00"/>
      </font>
    </dxf>
    <dxf>
      <font>
        <name val="Arial"/>
        <color rgb="FFFFFF00"/>
      </font>
    </dxf>
    <dxf>
      <font>
        <name val="Arial"/>
        <color rgb="FFFFFFFF"/>
      </font>
    </dxf>
    <dxf>
      <font>
        <name val="Arial"/>
        <color rgb="FFFFFF00"/>
      </font>
    </dxf>
    <dxf>
      <font>
        <name val="Arial"/>
        <color rgb="FFFFFF00"/>
      </font>
    </dxf>
    <dxf>
      <font>
        <name val="Arial"/>
        <color rgb="FFFFFF00"/>
      </font>
    </dxf>
    <dxf>
      <font>
        <name val="Arial"/>
        <color rgb="FFFFFF00"/>
      </font>
    </dxf>
    <dxf>
      <font>
        <name val="Arial"/>
        <color rgb="FFFFFF00"/>
      </font>
    </dxf>
    <dxf>
      <font>
        <name val="Arial"/>
        <color rgb="FFFFFF00"/>
      </font>
    </dxf>
    <dxf>
      <font>
        <name val="Arial"/>
        <color rgb="FFFFFF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8E5"/>
      <rgbColor rgb="00D8ECF6"/>
      <rgbColor rgb="00660066"/>
      <rgbColor rgb="00FF8080"/>
      <rgbColor rgb="000066CC"/>
      <rgbColor rgb="00CCCCCC"/>
      <rgbColor rgb="00000080"/>
      <rgbColor rgb="00FF00FF"/>
      <rgbColor rgb="00FDF2EA"/>
      <rgbColor rgb="0000FFFF"/>
      <rgbColor rgb="00800080"/>
      <rgbColor rgb="00800000"/>
      <rgbColor rgb="00008080"/>
      <rgbColor rgb="000000FF"/>
      <rgbColor rgb="0000CCFF"/>
      <rgbColor rgb="00F2F2F2"/>
      <rgbColor rgb="00DBDBDB"/>
      <rgbColor rgb="00FFF2CC"/>
      <rgbColor rgb="00BFBFBF"/>
      <rgbColor rgb="00F4B183"/>
      <rgbColor rgb="00D9D9D9"/>
      <rgbColor rgb="00F9D8C1"/>
      <rgbColor rgb="003366FF"/>
      <rgbColor rgb="0033CCCC"/>
      <rgbColor rgb="0099CC00"/>
      <rgbColor rgb="00FBE5D6"/>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3"/>
  <sheetViews>
    <sheetView showOutlineSymbols="0" view="pageBreakPreview" zoomScale="85" zoomScaleSheetLayoutView="85" zoomScalePageLayoutView="140" workbookViewId="0" topLeftCell="A1">
      <selection activeCell="A1" sqref="A1:B1"/>
    </sheetView>
  </sheetViews>
  <sheetFormatPr defaultColWidth="9.421875" defaultRowHeight="12.75"/>
  <cols>
    <col min="1" max="1" width="6.57421875" style="0" customWidth="1"/>
    <col min="2" max="2" width="80.8515625" style="0" customWidth="1"/>
  </cols>
  <sheetData>
    <row r="1" spans="1:2" ht="12.75">
      <c r="A1" s="231" t="s">
        <v>1206</v>
      </c>
      <c r="B1" s="231"/>
    </row>
    <row r="2" spans="1:2" ht="12.75">
      <c r="A2" s="1"/>
      <c r="B2" s="2"/>
    </row>
    <row r="3" spans="1:2" ht="12.75">
      <c r="A3" s="3"/>
      <c r="B3" s="4" t="s">
        <v>1207</v>
      </c>
    </row>
    <row r="4" spans="1:2" ht="33.75">
      <c r="A4" s="5">
        <v>1</v>
      </c>
      <c r="B4" s="6" t="s">
        <v>1208</v>
      </c>
    </row>
    <row r="5" spans="1:2" ht="12.75">
      <c r="A5" s="5">
        <v>2</v>
      </c>
      <c r="B5" s="6" t="s">
        <v>1209</v>
      </c>
    </row>
    <row r="6" spans="1:2" ht="22.5">
      <c r="A6" s="5" t="s">
        <v>1210</v>
      </c>
      <c r="B6" s="6" t="s">
        <v>1211</v>
      </c>
    </row>
    <row r="7" spans="1:2" ht="12.75">
      <c r="A7" s="5" t="s">
        <v>1212</v>
      </c>
      <c r="B7" s="6" t="s">
        <v>1213</v>
      </c>
    </row>
    <row r="8" spans="1:2" ht="22.5">
      <c r="A8" s="5" t="s">
        <v>1214</v>
      </c>
      <c r="B8" s="6" t="s">
        <v>1215</v>
      </c>
    </row>
    <row r="9" spans="1:2" ht="12.75">
      <c r="A9" s="5" t="s">
        <v>1216</v>
      </c>
      <c r="B9" s="6" t="s">
        <v>1217</v>
      </c>
    </row>
    <row r="10" spans="1:2" ht="22.5">
      <c r="A10" s="7" t="s">
        <v>1218</v>
      </c>
      <c r="B10" s="8" t="s">
        <v>1219</v>
      </c>
    </row>
    <row r="11" spans="1:2" ht="12.75">
      <c r="A11" s="9"/>
      <c r="B11" s="10"/>
    </row>
    <row r="12" spans="1:2" ht="12.75">
      <c r="A12" s="3" t="s">
        <v>1220</v>
      </c>
      <c r="B12" s="4" t="s">
        <v>1221</v>
      </c>
    </row>
    <row r="13" spans="1:2" ht="22.5">
      <c r="A13" s="5" t="s">
        <v>1222</v>
      </c>
      <c r="B13" s="6" t="s">
        <v>1223</v>
      </c>
    </row>
    <row r="14" spans="1:2" ht="33.75">
      <c r="A14" s="5" t="s">
        <v>1224</v>
      </c>
      <c r="B14" s="6" t="s">
        <v>1225</v>
      </c>
    </row>
    <row r="15" spans="1:2" ht="12.75">
      <c r="A15" s="11" t="s">
        <v>1226</v>
      </c>
      <c r="B15" s="12" t="s">
        <v>1227</v>
      </c>
    </row>
    <row r="16" spans="1:2" ht="12.75">
      <c r="A16" s="5" t="s">
        <v>1228</v>
      </c>
      <c r="B16" s="6" t="s">
        <v>1229</v>
      </c>
    </row>
    <row r="17" spans="1:2" ht="22.5">
      <c r="A17" s="5" t="s">
        <v>1230</v>
      </c>
      <c r="B17" s="6" t="s">
        <v>1231</v>
      </c>
    </row>
    <row r="18" spans="1:2" ht="22.5">
      <c r="A18" s="5" t="s">
        <v>1232</v>
      </c>
      <c r="B18" s="6" t="s">
        <v>1233</v>
      </c>
    </row>
    <row r="19" spans="1:2" ht="12.75">
      <c r="A19" s="11" t="s">
        <v>1234</v>
      </c>
      <c r="B19" s="12" t="s">
        <v>1235</v>
      </c>
    </row>
    <row r="20" spans="1:2" ht="12.75">
      <c r="A20" s="5" t="s">
        <v>1236</v>
      </c>
      <c r="B20" s="6" t="s">
        <v>1237</v>
      </c>
    </row>
    <row r="21" spans="1:2" ht="22.5">
      <c r="A21" s="5" t="s">
        <v>1238</v>
      </c>
      <c r="B21" s="6" t="s">
        <v>1239</v>
      </c>
    </row>
    <row r="22" spans="1:2" ht="33.75">
      <c r="A22" s="5" t="s">
        <v>1240</v>
      </c>
      <c r="B22" s="6" t="s">
        <v>1241</v>
      </c>
    </row>
    <row r="23" spans="1:2" ht="22.5">
      <c r="A23" s="5" t="s">
        <v>1242</v>
      </c>
      <c r="B23" s="6" t="s">
        <v>1243</v>
      </c>
    </row>
    <row r="24" spans="1:2" ht="12.75">
      <c r="A24" s="11" t="s">
        <v>1244</v>
      </c>
      <c r="B24" s="12" t="s">
        <v>1245</v>
      </c>
    </row>
    <row r="25" spans="1:2" ht="45">
      <c r="A25" s="5" t="s">
        <v>1246</v>
      </c>
      <c r="B25" s="6" t="s">
        <v>1247</v>
      </c>
    </row>
    <row r="26" spans="1:2" ht="22.5">
      <c r="A26" s="5" t="s">
        <v>1248</v>
      </c>
      <c r="B26" s="6" t="s">
        <v>1249</v>
      </c>
    </row>
    <row r="27" spans="1:2" ht="12.75">
      <c r="A27" s="5" t="s">
        <v>1250</v>
      </c>
      <c r="B27" s="6" t="s">
        <v>1251</v>
      </c>
    </row>
    <row r="28" spans="1:2" ht="12.75">
      <c r="A28" s="11" t="s">
        <v>1252</v>
      </c>
      <c r="B28" s="12" t="s">
        <v>1253</v>
      </c>
    </row>
    <row r="29" spans="1:2" ht="12.75">
      <c r="A29" s="5" t="s">
        <v>1254</v>
      </c>
      <c r="B29" s="6" t="s">
        <v>1255</v>
      </c>
    </row>
    <row r="30" spans="1:2" ht="12.75">
      <c r="A30" s="13" t="s">
        <v>1256</v>
      </c>
      <c r="B30" s="14" t="s">
        <v>1257</v>
      </c>
    </row>
    <row r="31" spans="1:2" ht="12.75">
      <c r="A31" s="15" t="s">
        <v>1258</v>
      </c>
      <c r="B31" s="16" t="s">
        <v>1259</v>
      </c>
    </row>
    <row r="32" spans="1:2" ht="22.5">
      <c r="A32" s="15" t="s">
        <v>1260</v>
      </c>
      <c r="B32" s="16" t="s">
        <v>1261</v>
      </c>
    </row>
    <row r="33" spans="1:2" ht="22.5">
      <c r="A33" s="17" t="s">
        <v>1262</v>
      </c>
      <c r="B33" s="18" t="s">
        <v>1263</v>
      </c>
    </row>
  </sheetData>
  <sheetProtection/>
  <mergeCells count="1">
    <mergeCell ref="A1:B1"/>
  </mergeCells>
  <printOptions/>
  <pageMargins left="0.7875" right="0.7875" top="1.05277777777778" bottom="1.05277777777778" header="0.7875" footer="0.7875"/>
  <pageSetup horizontalDpi="300" verticalDpi="300" orientation="portrait" paperSize="9" scale="79" r:id="rId1"/>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D21"/>
  <sheetViews>
    <sheetView tabSelected="1" showOutlineSymbols="0" view="pageBreakPreview" zoomScale="85" zoomScaleSheetLayoutView="85" zoomScalePageLayoutView="140" workbookViewId="0" topLeftCell="A1">
      <selection activeCell="A1" sqref="A1"/>
    </sheetView>
  </sheetViews>
  <sheetFormatPr defaultColWidth="9.421875" defaultRowHeight="12.75"/>
  <cols>
    <col min="1" max="1" width="11.00390625" style="19" customWidth="1"/>
    <col min="2" max="2" width="65.8515625" style="19" customWidth="1"/>
    <col min="3" max="3" width="11.00390625" style="19" customWidth="1"/>
    <col min="4" max="4" width="19.8515625" style="19" customWidth="1"/>
    <col min="5" max="16384" width="9.421875" style="19" customWidth="1"/>
  </cols>
  <sheetData>
    <row r="1" spans="1:4" ht="22.5">
      <c r="A1" s="20" t="str">
        <f>'Orçamento Sintético'!A1:A2</f>
        <v>P. Execução:</v>
      </c>
      <c r="B1" s="21" t="str">
        <f>'Orçamento Sintético'!D1</f>
        <v>Objeto: Impermeabilização, revitalização, construção de guaritas e depósitos no subsolo do Edifício Sede</v>
      </c>
      <c r="C1" s="22" t="str">
        <f>'Orçamento Sintético'!C1</f>
        <v>Licitação:</v>
      </c>
      <c r="D1" s="232"/>
    </row>
    <row r="2" spans="1:4" ht="11.25">
      <c r="A2" s="23" t="str">
        <f>'Orçamento Sintético'!A2:B2</f>
        <v>A</v>
      </c>
      <c r="B2" s="24" t="str">
        <f>'Orçamento Sintético'!D2</f>
        <v>Local: Eixo Monumental, Praça do Buriti, Lote 2, Sede do MPDFT, Brasília-DF</v>
      </c>
      <c r="C2" s="25" t="str">
        <f>'Orçamento Sintético'!C2</f>
        <v>B</v>
      </c>
      <c r="D2" s="232"/>
    </row>
    <row r="3" spans="1:4" ht="12.75" customHeight="1">
      <c r="A3" s="26" t="str">
        <f>'Orçamento Sintético'!A3:B3</f>
        <v>P. Validade:</v>
      </c>
      <c r="B3" s="26" t="str">
        <f>'Orçamento Sintético'!C3</f>
        <v>Razão Social:</v>
      </c>
      <c r="C3" s="20" t="str">
        <f>'Orçamento Sintético'!E1</f>
        <v>Data:</v>
      </c>
      <c r="D3" s="232"/>
    </row>
    <row r="4" spans="1:4" ht="20.25" customHeight="1">
      <c r="A4" s="23" t="str">
        <f>'Orçamento Sintético'!A4:B4</f>
        <v>C</v>
      </c>
      <c r="B4" s="27" t="str">
        <f>'Orçamento Sintético'!C4</f>
        <v>D</v>
      </c>
      <c r="C4" s="27">
        <f>'Orçamento Sintético'!E2</f>
        <v>1</v>
      </c>
      <c r="D4" s="232"/>
    </row>
    <row r="5" spans="1:4" ht="20.25" customHeight="1">
      <c r="A5" s="20" t="str">
        <f>'Orçamento Sintético'!A5</f>
        <v>P. Garantia:</v>
      </c>
      <c r="B5" s="26" t="str">
        <f>'Orçamento Sintético'!C5</f>
        <v>CNPJ:</v>
      </c>
      <c r="C5" s="20" t="str">
        <f>'Orçamento Sintético'!E3</f>
        <v>Telefone:</v>
      </c>
      <c r="D5" s="232"/>
    </row>
    <row r="6" spans="1:4" ht="20.25" customHeight="1">
      <c r="A6" s="23" t="str">
        <f>'Orçamento Sintético'!A6:B6</f>
        <v>F</v>
      </c>
      <c r="B6" s="27" t="str">
        <f>'Orçamento Sintético'!C6</f>
        <v>G</v>
      </c>
      <c r="C6" s="27" t="str">
        <f>'Orçamento Sintético'!E4</f>
        <v>E</v>
      </c>
      <c r="D6" s="232"/>
    </row>
    <row r="7" spans="1:4" ht="13.5" customHeight="1">
      <c r="A7" s="233" t="s">
        <v>1264</v>
      </c>
      <c r="B7" s="233"/>
      <c r="C7" s="233"/>
      <c r="D7" s="233"/>
    </row>
    <row r="8" spans="1:4" ht="30" customHeight="1">
      <c r="A8" s="28" t="s">
        <v>1265</v>
      </c>
      <c r="B8" s="28" t="s">
        <v>1266</v>
      </c>
      <c r="C8" s="28" t="s">
        <v>1267</v>
      </c>
      <c r="D8" s="28" t="s">
        <v>1268</v>
      </c>
    </row>
    <row r="9" spans="1:4" ht="24" customHeight="1">
      <c r="A9" s="29" t="s">
        <v>1269</v>
      </c>
      <c r="B9" s="30" t="str">
        <f>VLOOKUP(A9,'Orçamento Sintético'!$A:$H,4,0)</f>
        <v>SERVIÇOS TÉCNICO-PROFISSIONAIS</v>
      </c>
      <c r="C9" s="31">
        <f>VLOOKUP(A9,'Orçamento Sintético'!$A:$H,8,0)</f>
        <v>233.94</v>
      </c>
      <c r="D9" s="32">
        <f aca="true" t="shared" si="0" ref="D9:D17">ROUND(C9/$D$19,4)</f>
        <v>0.0006</v>
      </c>
    </row>
    <row r="10" spans="1:4" ht="24" customHeight="1">
      <c r="A10" s="29" t="s">
        <v>1270</v>
      </c>
      <c r="B10" s="30" t="str">
        <f>VLOOKUP(A10,'Orçamento Sintético'!$A:$H,4,0)</f>
        <v>SERVIÇOS PRELIMINARES</v>
      </c>
      <c r="C10" s="31">
        <f>VLOOKUP(A10,'Orçamento Sintético'!$A:$H,8,0)</f>
        <v>21433.090000000004</v>
      </c>
      <c r="D10" s="32">
        <f t="shared" si="0"/>
        <v>0.0545</v>
      </c>
    </row>
    <row r="11" spans="1:4" ht="24" customHeight="1">
      <c r="A11" s="29" t="s">
        <v>1271</v>
      </c>
      <c r="B11" s="30" t="str">
        <f>VLOOKUP(A11,'Orçamento Sintético'!$A:$H,4,0)</f>
        <v>SERVIÇOS AUXILIARES E ADMINISTRATIVOS</v>
      </c>
      <c r="C11" s="31">
        <f>VLOOKUP(A11,'Orçamento Sintético'!$A:$H,8,0)</f>
        <v>24889.47</v>
      </c>
      <c r="D11" s="32">
        <f t="shared" si="0"/>
        <v>0.0633</v>
      </c>
    </row>
    <row r="12" spans="1:4" ht="24" customHeight="1">
      <c r="A12" s="29" t="s">
        <v>1272</v>
      </c>
      <c r="B12" s="30" t="str">
        <f>VLOOKUP(A12,'Orçamento Sintético'!$A:$H,4,0)</f>
        <v>ARQUITETURA</v>
      </c>
      <c r="C12" s="31">
        <f>VLOOKUP(A12,'Orçamento Sintético'!$A:$H,8,0)</f>
        <v>288883.11</v>
      </c>
      <c r="D12" s="32">
        <f t="shared" si="0"/>
        <v>0.7346</v>
      </c>
    </row>
    <row r="13" spans="1:4" ht="24" customHeight="1">
      <c r="A13" s="29" t="s">
        <v>1273</v>
      </c>
      <c r="B13" s="30" t="str">
        <f>VLOOKUP(A13,'Orçamento Sintético'!$A:$H,4,0)</f>
        <v>SERVIÇOS COMPLEMENTARES</v>
      </c>
      <c r="C13" s="31">
        <f>VLOOKUP(A13,'Orçamento Sintético'!$A:$H,8,0)</f>
        <v>2738.9700000000003</v>
      </c>
      <c r="D13" s="32">
        <f t="shared" si="0"/>
        <v>0.007</v>
      </c>
    </row>
    <row r="14" spans="1:4" ht="24" customHeight="1">
      <c r="A14" s="29" t="s">
        <v>1274</v>
      </c>
      <c r="B14" s="30" t="str">
        <f>VLOOKUP(A14,'Orçamento Sintético'!$A:$H,4,0)</f>
        <v>FUNDAÇÕES E ESTRUTURAS</v>
      </c>
      <c r="C14" s="31">
        <f>VLOOKUP(A14,'Orçamento Sintético'!$A:$H,8,0)</f>
        <v>1073.28</v>
      </c>
      <c r="D14" s="32">
        <f t="shared" si="0"/>
        <v>0.0027</v>
      </c>
    </row>
    <row r="15" spans="1:4" ht="24" customHeight="1">
      <c r="A15" s="29" t="s">
        <v>1275</v>
      </c>
      <c r="B15" s="30" t="str">
        <f>VLOOKUP(A15,'Orçamento Sintético'!$A:$H,4,0)</f>
        <v>INSTALAÇÕES HIDRÁULICAS E SANITÁRIAS</v>
      </c>
      <c r="C15" s="31">
        <f>VLOOKUP(A15,'Orçamento Sintético'!$A:$H,8,0)</f>
        <v>16236.210000000001</v>
      </c>
      <c r="D15" s="32">
        <f t="shared" si="0"/>
        <v>0.0413</v>
      </c>
    </row>
    <row r="16" spans="1:4" ht="24" customHeight="1">
      <c r="A16" s="29" t="s">
        <v>1276</v>
      </c>
      <c r="B16" s="30" t="str">
        <f>VLOOKUP(A16,'Orçamento Sintético'!$A:$H,4,0)</f>
        <v>INSTALAÇÕES ELÉTRICAS E ELETRÔNICAS</v>
      </c>
      <c r="C16" s="31">
        <f>VLOOKUP(A16,'Orçamento Sintético'!$A:$H,8,0)</f>
        <v>28647.399999999998</v>
      </c>
      <c r="D16" s="32">
        <f t="shared" si="0"/>
        <v>0.0728</v>
      </c>
    </row>
    <row r="17" spans="1:4" ht="24" customHeight="1">
      <c r="A17" s="29" t="s">
        <v>1277</v>
      </c>
      <c r="B17" s="30" t="str">
        <f>VLOOKUP(A17,'Orçamento Sintético'!$A:$H,4,0)</f>
        <v>INSTALAÇÕES MECÂNICAS</v>
      </c>
      <c r="C17" s="31">
        <f>VLOOKUP(A17,'Orçamento Sintético'!$A:$H,8,0)</f>
        <v>9112.91</v>
      </c>
      <c r="D17" s="32">
        <f t="shared" si="0"/>
        <v>0.0232</v>
      </c>
    </row>
    <row r="18" spans="1:4" ht="11.25">
      <c r="A18" s="33"/>
      <c r="B18" s="33"/>
      <c r="C18" s="33"/>
      <c r="D18" s="33"/>
    </row>
    <row r="19" spans="1:4" ht="11.25">
      <c r="A19" s="34"/>
      <c r="B19" s="34" t="s">
        <v>1278</v>
      </c>
      <c r="C19" s="35"/>
      <c r="D19" s="35">
        <f>SUM(C9:C17)</f>
        <v>393248.38</v>
      </c>
    </row>
    <row r="20" spans="1:4" ht="11.25">
      <c r="A20" s="34"/>
      <c r="B20" s="34" t="s">
        <v>1279</v>
      </c>
      <c r="C20" s="36" t="str">
        <f>"("&amp;'Composição de BDI'!$D$23*100&amp;"%)"</f>
        <v>(22,12%)</v>
      </c>
      <c r="D20" s="35">
        <f>TRUNC(D19*'Composição de BDI'!D23,2)</f>
        <v>86986.54</v>
      </c>
    </row>
    <row r="21" spans="1:4" ht="11.25">
      <c r="A21" s="34"/>
      <c r="B21" s="34" t="s">
        <v>1280</v>
      </c>
      <c r="C21" s="35"/>
      <c r="D21" s="35">
        <f>SUM(D19:D20)</f>
        <v>480234.92</v>
      </c>
    </row>
  </sheetData>
  <sheetProtection/>
  <mergeCells count="2">
    <mergeCell ref="D1:D6"/>
    <mergeCell ref="A7:D7"/>
  </mergeCells>
  <printOptions/>
  <pageMargins left="0.7875" right="0.7875" top="0.7875" bottom="0.7875" header="0.511805555555555" footer="0.511805555555555"/>
  <pageSetup horizontalDpi="300" verticalDpi="3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H278"/>
  <sheetViews>
    <sheetView showOutlineSymbols="0" view="pageBreakPreview" zoomScaleSheetLayoutView="100" zoomScalePageLayoutView="140" workbookViewId="0" topLeftCell="A1">
      <selection activeCell="A1" sqref="A1"/>
    </sheetView>
  </sheetViews>
  <sheetFormatPr defaultColWidth="9.421875" defaultRowHeight="12.75"/>
  <cols>
    <col min="1" max="1" width="11.00390625" style="37" customWidth="1"/>
    <col min="2" max="2" width="11.00390625" style="38" customWidth="1"/>
    <col min="3" max="3" width="14.421875" style="38" customWidth="1"/>
    <col min="4" max="4" width="65.8515625" style="39" customWidth="1"/>
    <col min="5" max="5" width="8.8515625" style="37" customWidth="1"/>
    <col min="6" max="7" width="14.28125" style="40" customWidth="1"/>
    <col min="8" max="8" width="14.28125" style="41" customWidth="1"/>
    <col min="9" max="9" width="14.28125" style="37" customWidth="1"/>
    <col min="10" max="16384" width="9.421875" style="37" customWidth="1"/>
  </cols>
  <sheetData>
    <row r="1" spans="1:8" ht="22.5">
      <c r="A1" s="20" t="s">
        <v>1281</v>
      </c>
      <c r="B1" s="42"/>
      <c r="C1" s="22" t="s">
        <v>1282</v>
      </c>
      <c r="D1" s="43" t="s">
        <v>1283</v>
      </c>
      <c r="E1" s="20" t="s">
        <v>1284</v>
      </c>
      <c r="F1" s="44"/>
      <c r="G1" s="227"/>
      <c r="H1" s="227"/>
    </row>
    <row r="2" spans="1:8" ht="12.75" customHeight="1">
      <c r="A2" s="235" t="s">
        <v>1220</v>
      </c>
      <c r="B2" s="235"/>
      <c r="C2" s="45" t="s">
        <v>1226</v>
      </c>
      <c r="D2" s="46" t="s">
        <v>1285</v>
      </c>
      <c r="E2" s="228">
        <v>1</v>
      </c>
      <c r="F2" s="228"/>
      <c r="G2" s="229"/>
      <c r="H2" s="229"/>
    </row>
    <row r="3" spans="1:8" ht="12.75" customHeight="1">
      <c r="A3" s="242" t="s">
        <v>1286</v>
      </c>
      <c r="B3" s="242"/>
      <c r="C3" s="242" t="s">
        <v>1287</v>
      </c>
      <c r="D3" s="242"/>
      <c r="E3" s="20" t="s">
        <v>1288</v>
      </c>
      <c r="F3" s="47"/>
      <c r="G3" s="48"/>
      <c r="H3" s="49"/>
    </row>
    <row r="4" spans="1:8" ht="20.25" customHeight="1">
      <c r="A4" s="235" t="s">
        <v>1234</v>
      </c>
      <c r="B4" s="235"/>
      <c r="C4" s="235" t="s">
        <v>1244</v>
      </c>
      <c r="D4" s="235"/>
      <c r="E4" s="236" t="s">
        <v>1252</v>
      </c>
      <c r="F4" s="236"/>
      <c r="G4" s="229"/>
      <c r="H4" s="229"/>
    </row>
    <row r="5" spans="1:8" ht="20.25" customHeight="1">
      <c r="A5" s="50" t="s">
        <v>1289</v>
      </c>
      <c r="B5" s="42"/>
      <c r="C5" s="20" t="s">
        <v>1290</v>
      </c>
      <c r="D5" s="51"/>
      <c r="E5" s="20" t="s">
        <v>1291</v>
      </c>
      <c r="F5" s="47"/>
      <c r="G5" s="48"/>
      <c r="H5" s="49"/>
    </row>
    <row r="6" spans="1:8" ht="20.25" customHeight="1">
      <c r="A6" s="234" t="s">
        <v>1256</v>
      </c>
      <c r="B6" s="234"/>
      <c r="C6" s="235" t="s">
        <v>1292</v>
      </c>
      <c r="D6" s="235"/>
      <c r="E6" s="236" t="s">
        <v>1293</v>
      </c>
      <c r="F6" s="236"/>
      <c r="G6" s="234"/>
      <c r="H6" s="234"/>
    </row>
    <row r="7" spans="1:8" ht="13.5" customHeight="1">
      <c r="A7" s="238" t="s">
        <v>1294</v>
      </c>
      <c r="B7" s="238"/>
      <c r="C7" s="238"/>
      <c r="D7" s="238"/>
      <c r="E7" s="238"/>
      <c r="F7" s="238"/>
      <c r="G7" s="238"/>
      <c r="H7" s="238"/>
    </row>
    <row r="8" spans="1:8" s="38" customFormat="1" ht="11.25">
      <c r="A8" s="52" t="s">
        <v>1265</v>
      </c>
      <c r="B8" s="52" t="s">
        <v>1295</v>
      </c>
      <c r="C8" s="52" t="s">
        <v>1296</v>
      </c>
      <c r="D8" s="53" t="s">
        <v>1266</v>
      </c>
      <c r="E8" s="52" t="s">
        <v>1297</v>
      </c>
      <c r="F8" s="54" t="s">
        <v>1298</v>
      </c>
      <c r="G8" s="54" t="s">
        <v>1299</v>
      </c>
      <c r="H8" s="55" t="s">
        <v>1267</v>
      </c>
    </row>
    <row r="9" spans="1:8" ht="11.25">
      <c r="A9" s="56" t="s">
        <v>1269</v>
      </c>
      <c r="B9" s="57"/>
      <c r="C9" s="57"/>
      <c r="D9" s="58" t="s">
        <v>1300</v>
      </c>
      <c r="E9" s="56"/>
      <c r="F9" s="59"/>
      <c r="G9" s="60"/>
      <c r="H9" s="61">
        <f>H10</f>
        <v>233.94</v>
      </c>
    </row>
    <row r="10" spans="1:8" ht="11.25">
      <c r="A10" s="62" t="s">
        <v>1301</v>
      </c>
      <c r="B10" s="63"/>
      <c r="C10" s="63"/>
      <c r="D10" s="64" t="s">
        <v>1302</v>
      </c>
      <c r="E10" s="63"/>
      <c r="F10" s="65"/>
      <c r="G10" s="66"/>
      <c r="H10" s="67">
        <f>H11</f>
        <v>233.94</v>
      </c>
    </row>
    <row r="11" spans="1:8" ht="11.25">
      <c r="A11" s="68" t="s">
        <v>1303</v>
      </c>
      <c r="B11" s="69" t="s">
        <v>1304</v>
      </c>
      <c r="C11" s="69" t="s">
        <v>1305</v>
      </c>
      <c r="D11" s="70" t="s">
        <v>1306</v>
      </c>
      <c r="E11" s="69" t="s">
        <v>1307</v>
      </c>
      <c r="F11" s="71">
        <v>1</v>
      </c>
      <c r="G11" s="72">
        <f>VLOOKUP(A11,'Orçamento Analítico'!$A:$H,8,0)</f>
        <v>233.94</v>
      </c>
      <c r="H11" s="73">
        <f>TRUNC(F11*G11,2)</f>
        <v>233.94</v>
      </c>
    </row>
    <row r="12" spans="1:8" ht="11.25">
      <c r="A12" s="56" t="s">
        <v>1270</v>
      </c>
      <c r="B12" s="57"/>
      <c r="C12" s="57"/>
      <c r="D12" s="58" t="s">
        <v>1308</v>
      </c>
      <c r="E12" s="56"/>
      <c r="F12" s="59"/>
      <c r="G12" s="60"/>
      <c r="H12" s="61">
        <f>H13+H20+H46</f>
        <v>21433.090000000004</v>
      </c>
    </row>
    <row r="13" spans="1:8" ht="11.25">
      <c r="A13" s="62" t="s">
        <v>1309</v>
      </c>
      <c r="B13" s="63"/>
      <c r="C13" s="63"/>
      <c r="D13" s="64" t="s">
        <v>1310</v>
      </c>
      <c r="E13" s="63"/>
      <c r="F13" s="65"/>
      <c r="G13" s="66"/>
      <c r="H13" s="67">
        <f>H14</f>
        <v>3880.36</v>
      </c>
    </row>
    <row r="14" spans="1:8" ht="11.25">
      <c r="A14" s="74" t="s">
        <v>1311</v>
      </c>
      <c r="B14" s="75"/>
      <c r="C14" s="75"/>
      <c r="D14" s="76" t="s">
        <v>1312</v>
      </c>
      <c r="E14" s="74"/>
      <c r="F14" s="77"/>
      <c r="G14" s="77"/>
      <c r="H14" s="78">
        <f>SUM(H15:H19)</f>
        <v>3880.36</v>
      </c>
    </row>
    <row r="15" spans="1:8" ht="11.25">
      <c r="A15" s="79" t="s">
        <v>1313</v>
      </c>
      <c r="B15" s="80" t="s">
        <v>1314</v>
      </c>
      <c r="C15" s="80" t="s">
        <v>1305</v>
      </c>
      <c r="D15" s="81" t="s">
        <v>1315</v>
      </c>
      <c r="E15" s="80" t="s">
        <v>1316</v>
      </c>
      <c r="F15" s="82">
        <v>197</v>
      </c>
      <c r="G15" s="72">
        <f>VLOOKUP(A15,'Orçamento Analítico'!$A:$H,8,0)</f>
        <v>2.4</v>
      </c>
      <c r="H15" s="73">
        <f>TRUNC(F15*G15,2)</f>
        <v>472.8</v>
      </c>
    </row>
    <row r="16" spans="1:8" ht="22.5">
      <c r="A16" s="79" t="s">
        <v>1317</v>
      </c>
      <c r="B16" s="80" t="s">
        <v>1318</v>
      </c>
      <c r="C16" s="80" t="s">
        <v>1305</v>
      </c>
      <c r="D16" s="81" t="s">
        <v>1319</v>
      </c>
      <c r="E16" s="80" t="s">
        <v>1320</v>
      </c>
      <c r="F16" s="82">
        <v>158</v>
      </c>
      <c r="G16" s="72">
        <f>VLOOKUP(A16,'Orçamento Analítico'!$A:$H,8,0)</f>
        <v>3.7099999999999995</v>
      </c>
      <c r="H16" s="73">
        <f>TRUNC(F16*G16,2)</f>
        <v>586.18</v>
      </c>
    </row>
    <row r="17" spans="1:8" ht="33.75">
      <c r="A17" s="79" t="s">
        <v>1321</v>
      </c>
      <c r="B17" s="80" t="s">
        <v>1322</v>
      </c>
      <c r="C17" s="80" t="str">
        <f>VLOOKUP(B17,'Insumos e Serviços'!$A:$F,2,0)</f>
        <v>SINAPI</v>
      </c>
      <c r="D17" s="81" t="str">
        <f>VLOOKUP(B17,'Insumos e Serviços'!$A:$F,4,0)</f>
        <v>LOCACAO DE ANDAIME SUSPENSO OU BALANCIM MANUAL, CAPACIDADE DE CARGA TOTAL DE APROXIMADAMENTE 250 KG/M2, PLATAFORMA DE 1,50 M X 0,80 M (C X L), CABO DE 45 M</v>
      </c>
      <c r="E17" s="80" t="str">
        <f>VLOOKUP(B17,'Insumos e Serviços'!$A:$F,5,0)</f>
        <v>MES</v>
      </c>
      <c r="F17" s="82">
        <v>2</v>
      </c>
      <c r="G17" s="82">
        <f>VLOOKUP(B17,'Insumos e Serviços'!$A:$F,6,0)</f>
        <v>600</v>
      </c>
      <c r="H17" s="73">
        <f>TRUNC(F17*G17,2)</f>
        <v>1200</v>
      </c>
    </row>
    <row r="18" spans="1:8" ht="22.5">
      <c r="A18" s="79" t="s">
        <v>1323</v>
      </c>
      <c r="B18" s="80" t="s">
        <v>1324</v>
      </c>
      <c r="C18" s="80" t="str">
        <f>VLOOKUP(B18,'Insumos e Serviços'!$A:$F,2,0)</f>
        <v>SINAPI</v>
      </c>
      <c r="D18" s="81" t="str">
        <f>VLOOKUP(B18,'Insumos e Serviços'!$A:$F,4,0)</f>
        <v>LOCACAO DE CONTAINER 2,30 X 6,00 M, ALT. 2,50 M, PARA ESCRITORIO, SEM DIVISORIAS INTERNAS E SEM SANITARIO (NAO INCLUI MOBILIZACAO/DESMOBILIZACAO)</v>
      </c>
      <c r="E18" s="80" t="str">
        <f>VLOOKUP(B18,'Insumos e Serviços'!$A:$F,5,0)</f>
        <v>MES</v>
      </c>
      <c r="F18" s="82">
        <v>1</v>
      </c>
      <c r="G18" s="82">
        <f>VLOOKUP(B18,'Insumos e Serviços'!$A:$F,6,0)</f>
        <v>851.56</v>
      </c>
      <c r="H18" s="73">
        <f>TRUNC(F18*G18,2)</f>
        <v>851.56</v>
      </c>
    </row>
    <row r="19" spans="1:8" ht="11.25">
      <c r="A19" s="79" t="s">
        <v>1325</v>
      </c>
      <c r="B19" s="80" t="s">
        <v>1326</v>
      </c>
      <c r="C19" s="80" t="s">
        <v>1305</v>
      </c>
      <c r="D19" s="81" t="s">
        <v>1327</v>
      </c>
      <c r="E19" s="80" t="s">
        <v>1328</v>
      </c>
      <c r="F19" s="82">
        <v>1</v>
      </c>
      <c r="G19" s="72">
        <f>VLOOKUP(A19,'Orçamento Analítico'!$A:$H,8,0)</f>
        <v>769.82</v>
      </c>
      <c r="H19" s="73">
        <f>TRUNC(F19*G19,2)</f>
        <v>769.82</v>
      </c>
    </row>
    <row r="20" spans="1:8" ht="11.25">
      <c r="A20" s="62" t="s">
        <v>1329</v>
      </c>
      <c r="B20" s="63"/>
      <c r="C20" s="63"/>
      <c r="D20" s="64" t="s">
        <v>1330</v>
      </c>
      <c r="E20" s="63"/>
      <c r="F20" s="65"/>
      <c r="G20" s="66"/>
      <c r="H20" s="67">
        <f>H21+H27</f>
        <v>13780.830000000002</v>
      </c>
    </row>
    <row r="21" spans="1:8" ht="11.25">
      <c r="A21" s="74" t="s">
        <v>1331</v>
      </c>
      <c r="B21" s="75"/>
      <c r="C21" s="75"/>
      <c r="D21" s="76" t="s">
        <v>1332</v>
      </c>
      <c r="E21" s="74"/>
      <c r="F21" s="77"/>
      <c r="G21" s="77"/>
      <c r="H21" s="78">
        <f>SUM(H22:H26)</f>
        <v>4441.500000000001</v>
      </c>
    </row>
    <row r="22" spans="1:8" ht="22.5">
      <c r="A22" s="79" t="s">
        <v>1333</v>
      </c>
      <c r="B22" s="80" t="s">
        <v>1334</v>
      </c>
      <c r="C22" s="80" t="str">
        <f>VLOOKUP(B22,'Insumos e Serviços'!$A:$F,2,0)</f>
        <v>SINAPI</v>
      </c>
      <c r="D22" s="81" t="str">
        <f>VLOOKUP(B22,'Insumos e Serviços'!$A:$F,4,0)</f>
        <v>DEMOLIÇÃO DE ALVENARIA DE BLOCO FURADO, DE FORMA MANUAL, SEM REAPROVEITAMENTO. AF_12/2017</v>
      </c>
      <c r="E22" s="80" t="str">
        <f>VLOOKUP(B22,'Insumos e Serviços'!$A:$F,5,0)</f>
        <v>m³</v>
      </c>
      <c r="F22" s="82">
        <v>1</v>
      </c>
      <c r="G22" s="82">
        <f>VLOOKUP(B22,'Insumos e Serviços'!$A:$F,6,0)</f>
        <v>50.96</v>
      </c>
      <c r="H22" s="73">
        <f>TRUNC(F22*G22,2)</f>
        <v>50.96</v>
      </c>
    </row>
    <row r="23" spans="1:8" ht="22.5">
      <c r="A23" s="79" t="s">
        <v>1335</v>
      </c>
      <c r="B23" s="80" t="s">
        <v>1336</v>
      </c>
      <c r="C23" s="80" t="str">
        <f>VLOOKUP(B23,'Insumos e Serviços'!$A:$F,2,0)</f>
        <v>SINAPI</v>
      </c>
      <c r="D23" s="81" t="str">
        <f>VLOOKUP(B23,'Insumos e Serviços'!$A:$F,4,0)</f>
        <v>FURO EM ALVENARIA PARA DIÂMETROS MAIORES QUE 40 MM E MENORES OU IGUAIS A 75 MM. AF_05/2015</v>
      </c>
      <c r="E23" s="80" t="str">
        <f>VLOOKUP(B23,'Insumos e Serviços'!$A:$F,5,0)</f>
        <v>UN</v>
      </c>
      <c r="F23" s="82">
        <v>3</v>
      </c>
      <c r="G23" s="82">
        <f>VLOOKUP(B23,'Insumos e Serviços'!$A:$F,6,0)</f>
        <v>34.44</v>
      </c>
      <c r="H23" s="73">
        <f>TRUNC(F23*G23,2)</f>
        <v>103.32</v>
      </c>
    </row>
    <row r="24" spans="1:8" ht="11.25">
      <c r="A24" s="79" t="s">
        <v>1337</v>
      </c>
      <c r="B24" s="80" t="s">
        <v>1338</v>
      </c>
      <c r="C24" s="80" t="s">
        <v>1305</v>
      </c>
      <c r="D24" s="81" t="s">
        <v>0</v>
      </c>
      <c r="E24" s="80" t="s">
        <v>1</v>
      </c>
      <c r="F24" s="82">
        <v>1</v>
      </c>
      <c r="G24" s="72">
        <f>VLOOKUP(A24,'Orçamento Analítico'!$A:$H,8,0)</f>
        <v>286.13</v>
      </c>
      <c r="H24" s="73">
        <f>TRUNC(F24*G24,2)</f>
        <v>286.13</v>
      </c>
    </row>
    <row r="25" spans="1:8" ht="11.25">
      <c r="A25" s="79" t="s">
        <v>2</v>
      </c>
      <c r="B25" s="80" t="s">
        <v>3</v>
      </c>
      <c r="C25" s="80" t="s">
        <v>1305</v>
      </c>
      <c r="D25" s="81" t="s">
        <v>4</v>
      </c>
      <c r="E25" s="80" t="s">
        <v>1316</v>
      </c>
      <c r="F25" s="82">
        <v>271</v>
      </c>
      <c r="G25" s="72">
        <f>VLOOKUP(A25,'Orçamento Analítico'!$A:$H,8,0)</f>
        <v>14.18</v>
      </c>
      <c r="H25" s="73">
        <f>TRUNC(F25*G25,2)</f>
        <v>3842.78</v>
      </c>
    </row>
    <row r="26" spans="1:8" ht="22.5">
      <c r="A26" s="79" t="s">
        <v>5</v>
      </c>
      <c r="B26" s="80" t="s">
        <v>6</v>
      </c>
      <c r="C26" s="80" t="str">
        <f>VLOOKUP(B26,'Insumos e Serviços'!$A:$F,2,0)</f>
        <v>SINAPI</v>
      </c>
      <c r="D26" s="81" t="str">
        <f>VLOOKUP(B26,'Insumos e Serviços'!$A:$F,4,0)</f>
        <v>DEMOLIÇÃO PARCIAL DE PAVIMENTO ASFÁLTICO, DE FORMA MECANIZADA, SEM REAPROVEITAMENTO. AF_12/2017</v>
      </c>
      <c r="E26" s="80" t="str">
        <f>VLOOKUP(B26,'Insumos e Serviços'!$A:$F,5,0)</f>
        <v>m²</v>
      </c>
      <c r="F26" s="82">
        <v>9</v>
      </c>
      <c r="G26" s="82">
        <f>VLOOKUP(B26,'Insumos e Serviços'!$A:$F,6,0)</f>
        <v>17.59</v>
      </c>
      <c r="H26" s="73">
        <f>TRUNC(F26*G26,2)</f>
        <v>158.31</v>
      </c>
    </row>
    <row r="27" spans="1:8" ht="11.25">
      <c r="A27" s="74" t="s">
        <v>7</v>
      </c>
      <c r="B27" s="75"/>
      <c r="C27" s="75"/>
      <c r="D27" s="76" t="s">
        <v>8</v>
      </c>
      <c r="E27" s="74"/>
      <c r="F27" s="77"/>
      <c r="G27" s="77"/>
      <c r="H27" s="78">
        <f>SUM(H28:H45)</f>
        <v>9339.33</v>
      </c>
    </row>
    <row r="28" spans="1:8" ht="11.25">
      <c r="A28" s="79" t="s">
        <v>9</v>
      </c>
      <c r="B28" s="80" t="s">
        <v>10</v>
      </c>
      <c r="C28" s="80" t="str">
        <f>VLOOKUP(B28,'Insumos e Serviços'!$A:$F,2,0)</f>
        <v>SINAPI</v>
      </c>
      <c r="D28" s="81" t="str">
        <f>VLOOKUP(B28,'Insumos e Serviços'!$A:$F,4,0)</f>
        <v>REMOÇÃO DE LUMINÁRIAS, DE FORMA MANUAL, SEM REAPROVEITAMENTO. AF_12/2017</v>
      </c>
      <c r="E28" s="80" t="str">
        <f>VLOOKUP(B28,'Insumos e Serviços'!$A:$F,5,0)</f>
        <v>UN</v>
      </c>
      <c r="F28" s="82">
        <v>11</v>
      </c>
      <c r="G28" s="82">
        <f>VLOOKUP(B28,'Insumos e Serviços'!$A:$F,6,0)</f>
        <v>1.17</v>
      </c>
      <c r="H28" s="73">
        <f aca="true" t="shared" si="0" ref="H28:H45">TRUNC(F28*G28,2)</f>
        <v>12.87</v>
      </c>
    </row>
    <row r="29" spans="1:8" ht="22.5">
      <c r="A29" s="79" t="s">
        <v>11</v>
      </c>
      <c r="B29" s="80" t="s">
        <v>12</v>
      </c>
      <c r="C29" s="80" t="str">
        <f>VLOOKUP(B29,'Insumos e Serviços'!$A:$F,2,0)</f>
        <v>SINAPI</v>
      </c>
      <c r="D29" s="81" t="str">
        <f>VLOOKUP(B29,'Insumos e Serviços'!$A:$F,4,0)</f>
        <v>REMOÇÃO DE FORRO DE GESSO, DE FORMA MANUAL, SEM REAPROVEITAMENTO. AF_12/2017</v>
      </c>
      <c r="E29" s="80" t="str">
        <f>VLOOKUP(B29,'Insumos e Serviços'!$A:$F,5,0)</f>
        <v>m²</v>
      </c>
      <c r="F29" s="82">
        <v>29</v>
      </c>
      <c r="G29" s="82">
        <f>VLOOKUP(B29,'Insumos e Serviços'!$A:$F,6,0)</f>
        <v>4.56</v>
      </c>
      <c r="H29" s="73">
        <f t="shared" si="0"/>
        <v>132.24</v>
      </c>
    </row>
    <row r="30" spans="1:8" ht="22.5">
      <c r="A30" s="79" t="s">
        <v>13</v>
      </c>
      <c r="B30" s="80" t="s">
        <v>14</v>
      </c>
      <c r="C30" s="80" t="s">
        <v>1305</v>
      </c>
      <c r="D30" s="81" t="s">
        <v>15</v>
      </c>
      <c r="E30" s="80" t="s">
        <v>1320</v>
      </c>
      <c r="F30" s="82">
        <v>2</v>
      </c>
      <c r="G30" s="72">
        <f>VLOOKUP(A30,'Orçamento Analítico'!$A:$H,8,0)</f>
        <v>7.75</v>
      </c>
      <c r="H30" s="73">
        <f t="shared" si="0"/>
        <v>15.5</v>
      </c>
    </row>
    <row r="31" spans="1:8" ht="11.25">
      <c r="A31" s="79" t="s">
        <v>16</v>
      </c>
      <c r="B31" s="80" t="s">
        <v>17</v>
      </c>
      <c r="C31" s="80" t="s">
        <v>1305</v>
      </c>
      <c r="D31" s="81" t="s">
        <v>18</v>
      </c>
      <c r="E31" s="80" t="s">
        <v>1328</v>
      </c>
      <c r="F31" s="82">
        <v>1</v>
      </c>
      <c r="G31" s="72">
        <f>VLOOKUP(A31,'Orçamento Analítico'!$A:$H,8,0)</f>
        <v>40.5</v>
      </c>
      <c r="H31" s="73">
        <f t="shared" si="0"/>
        <v>40.5</v>
      </c>
    </row>
    <row r="32" spans="1:8" ht="11.25">
      <c r="A32" s="79" t="s">
        <v>19</v>
      </c>
      <c r="B32" s="80" t="s">
        <v>20</v>
      </c>
      <c r="C32" s="80" t="s">
        <v>1305</v>
      </c>
      <c r="D32" s="81" t="s">
        <v>21</v>
      </c>
      <c r="E32" s="80" t="s">
        <v>1320</v>
      </c>
      <c r="F32" s="82">
        <v>38</v>
      </c>
      <c r="G32" s="72">
        <f>VLOOKUP(A32,'Orçamento Analítico'!$A:$H,8,0)</f>
        <v>20.47</v>
      </c>
      <c r="H32" s="73">
        <f t="shared" si="0"/>
        <v>777.86</v>
      </c>
    </row>
    <row r="33" spans="1:8" ht="22.5">
      <c r="A33" s="79" t="s">
        <v>22</v>
      </c>
      <c r="B33" s="80" t="s">
        <v>23</v>
      </c>
      <c r="C33" s="80" t="s">
        <v>1305</v>
      </c>
      <c r="D33" s="81" t="s">
        <v>24</v>
      </c>
      <c r="E33" s="80" t="s">
        <v>1316</v>
      </c>
      <c r="F33" s="82">
        <v>37</v>
      </c>
      <c r="G33" s="72">
        <f>VLOOKUP(A33,'Orçamento Analítico'!$A:$H,8,0)</f>
        <v>33.790000000000006</v>
      </c>
      <c r="H33" s="73">
        <f t="shared" si="0"/>
        <v>1250.23</v>
      </c>
    </row>
    <row r="34" spans="1:8" ht="11.25">
      <c r="A34" s="79" t="s">
        <v>25</v>
      </c>
      <c r="B34" s="80" t="s">
        <v>26</v>
      </c>
      <c r="C34" s="80" t="str">
        <f>VLOOKUP(B34,'Insumos e Serviços'!$A:$F,2,0)</f>
        <v>SINAPI</v>
      </c>
      <c r="D34" s="81" t="str">
        <f>VLOOKUP(B34,'Insumos e Serviços'!$A:$F,4,0)</f>
        <v>REMOÇÃO DE PORTAS, DE FORMA MANUAL, SEM REAPROVEITAMENTO. AF_12/2017</v>
      </c>
      <c r="E34" s="80" t="str">
        <f>VLOOKUP(B34,'Insumos e Serviços'!$A:$F,5,0)</f>
        <v>m²</v>
      </c>
      <c r="F34" s="82">
        <v>2</v>
      </c>
      <c r="G34" s="82">
        <f>VLOOKUP(B34,'Insumos e Serviços'!$A:$F,6,0)</f>
        <v>8.44</v>
      </c>
      <c r="H34" s="73">
        <f t="shared" si="0"/>
        <v>16.88</v>
      </c>
    </row>
    <row r="35" spans="1:8" ht="22.5">
      <c r="A35" s="79" t="s">
        <v>27</v>
      </c>
      <c r="B35" s="80" t="s">
        <v>28</v>
      </c>
      <c r="C35" s="80" t="str">
        <f>VLOOKUP(B35,'Insumos e Serviços'!$A:$F,2,0)</f>
        <v>SINAPI</v>
      </c>
      <c r="D35" s="81" t="str">
        <f>VLOOKUP(B35,'Insumos e Serviços'!$A:$F,4,0)</f>
        <v>TRANSPORTE HORIZONTAL COM CARRINHO DE MÃO, DE SACOS DE 50 KG (UNIDADE: KGXKM). AF_07/2019</v>
      </c>
      <c r="E35" s="80" t="str">
        <f>VLOOKUP(B35,'Insumos e Serviços'!$A:$F,5,0)</f>
        <v>KGXKM</v>
      </c>
      <c r="F35" s="82">
        <v>729</v>
      </c>
      <c r="G35" s="82">
        <f>VLOOKUP(B35,'Insumos e Serviços'!$A:$F,6,0)</f>
        <v>0.72</v>
      </c>
      <c r="H35" s="73">
        <f t="shared" si="0"/>
        <v>524.88</v>
      </c>
    </row>
    <row r="36" spans="1:8" ht="11.25">
      <c r="A36" s="79" t="s">
        <v>29</v>
      </c>
      <c r="B36" s="80" t="s">
        <v>30</v>
      </c>
      <c r="C36" s="80" t="s">
        <v>1305</v>
      </c>
      <c r="D36" s="81" t="s">
        <v>31</v>
      </c>
      <c r="E36" s="80" t="s">
        <v>1</v>
      </c>
      <c r="F36" s="82">
        <v>21</v>
      </c>
      <c r="G36" s="72">
        <f>VLOOKUP(A36,'Orçamento Analítico'!$A:$H,8,0)</f>
        <v>141.76</v>
      </c>
      <c r="H36" s="73">
        <f t="shared" si="0"/>
        <v>2976.96</v>
      </c>
    </row>
    <row r="37" spans="1:8" ht="11.25">
      <c r="A37" s="79" t="s">
        <v>32</v>
      </c>
      <c r="B37" s="80" t="s">
        <v>33</v>
      </c>
      <c r="C37" s="80" t="s">
        <v>1305</v>
      </c>
      <c r="D37" s="81" t="s">
        <v>34</v>
      </c>
      <c r="E37" s="80" t="s">
        <v>35</v>
      </c>
      <c r="F37" s="82">
        <v>72</v>
      </c>
      <c r="G37" s="72">
        <f>VLOOKUP(A37,'Orçamento Analítico'!$A:$H,8,0)</f>
        <v>0.7899999999999999</v>
      </c>
      <c r="H37" s="73">
        <f t="shared" si="0"/>
        <v>56.88</v>
      </c>
    </row>
    <row r="38" spans="1:8" ht="22.5">
      <c r="A38" s="79" t="s">
        <v>36</v>
      </c>
      <c r="B38" s="80" t="s">
        <v>37</v>
      </c>
      <c r="C38" s="80" t="s">
        <v>1305</v>
      </c>
      <c r="D38" s="81" t="s">
        <v>38</v>
      </c>
      <c r="E38" s="80" t="s">
        <v>39</v>
      </c>
      <c r="F38" s="82">
        <v>1</v>
      </c>
      <c r="G38" s="72">
        <f>VLOOKUP(A38,'Orçamento Analítico'!$A:$H,8,0)</f>
        <v>57.28</v>
      </c>
      <c r="H38" s="73">
        <f t="shared" si="0"/>
        <v>57.28</v>
      </c>
    </row>
    <row r="39" spans="1:8" ht="22.5">
      <c r="A39" s="79" t="s">
        <v>40</v>
      </c>
      <c r="B39" s="80" t="s">
        <v>41</v>
      </c>
      <c r="C39" s="80" t="str">
        <f>VLOOKUP(B39,'Insumos e Serviços'!$A:$F,2,0)</f>
        <v>SINAPI</v>
      </c>
      <c r="D39" s="81" t="str">
        <f>VLOOKUP(B39,'Insumos e Serviços'!$A:$F,4,0)</f>
        <v>REMOÇÃO DE CABOS ELÉTRICOS, DE FORMA MANUAL, SEM REAPROVEITAMENTO. AF_12/2017</v>
      </c>
      <c r="E39" s="80" t="str">
        <f>VLOOKUP(B39,'Insumos e Serviços'!$A:$F,5,0)</f>
        <v>M</v>
      </c>
      <c r="F39" s="82">
        <v>9</v>
      </c>
      <c r="G39" s="82">
        <f>VLOOKUP(B39,'Insumos e Serviços'!$A:$F,6,0)</f>
        <v>0.61</v>
      </c>
      <c r="H39" s="73">
        <f t="shared" si="0"/>
        <v>5.49</v>
      </c>
    </row>
    <row r="40" spans="1:8" ht="11.25">
      <c r="A40" s="79" t="s">
        <v>42</v>
      </c>
      <c r="B40" s="80" t="s">
        <v>43</v>
      </c>
      <c r="C40" s="80" t="s">
        <v>1305</v>
      </c>
      <c r="D40" s="81" t="s">
        <v>44</v>
      </c>
      <c r="E40" s="80" t="s">
        <v>1316</v>
      </c>
      <c r="F40" s="82">
        <v>9</v>
      </c>
      <c r="G40" s="72">
        <f>VLOOKUP(A40,'Orçamento Analítico'!$A:$H,8,0)</f>
        <v>3.83</v>
      </c>
      <c r="H40" s="73">
        <f t="shared" si="0"/>
        <v>34.47</v>
      </c>
    </row>
    <row r="41" spans="1:8" ht="11.25">
      <c r="A41" s="79" t="s">
        <v>45</v>
      </c>
      <c r="B41" s="80" t="s">
        <v>46</v>
      </c>
      <c r="C41" s="80" t="s">
        <v>1305</v>
      </c>
      <c r="D41" s="81" t="s">
        <v>47</v>
      </c>
      <c r="E41" s="80" t="s">
        <v>1328</v>
      </c>
      <c r="F41" s="82">
        <v>1</v>
      </c>
      <c r="G41" s="72">
        <f>VLOOKUP(A41,'Orçamento Analítico'!$A:$H,8,0)</f>
        <v>341.88</v>
      </c>
      <c r="H41" s="73">
        <f t="shared" si="0"/>
        <v>341.88</v>
      </c>
    </row>
    <row r="42" spans="1:8" ht="11.25">
      <c r="A42" s="79" t="s">
        <v>48</v>
      </c>
      <c r="B42" s="80" t="s">
        <v>49</v>
      </c>
      <c r="C42" s="80" t="s">
        <v>1305</v>
      </c>
      <c r="D42" s="81" t="s">
        <v>50</v>
      </c>
      <c r="E42" s="80" t="s">
        <v>1328</v>
      </c>
      <c r="F42" s="82">
        <v>1</v>
      </c>
      <c r="G42" s="72">
        <f>VLOOKUP(A42,'Orçamento Analítico'!$A:$H,8,0)</f>
        <v>1817.91</v>
      </c>
      <c r="H42" s="73">
        <f t="shared" si="0"/>
        <v>1817.91</v>
      </c>
    </row>
    <row r="43" spans="1:8" ht="11.25">
      <c r="A43" s="79" t="s">
        <v>51</v>
      </c>
      <c r="B43" s="80" t="s">
        <v>52</v>
      </c>
      <c r="C43" s="80" t="s">
        <v>1305</v>
      </c>
      <c r="D43" s="81" t="s">
        <v>53</v>
      </c>
      <c r="E43" s="80" t="s">
        <v>1316</v>
      </c>
      <c r="F43" s="82">
        <v>200</v>
      </c>
      <c r="G43" s="72">
        <f>VLOOKUP(A43,'Orçamento Analítico'!$A:$H,8,0)</f>
        <v>6.2</v>
      </c>
      <c r="H43" s="73">
        <f t="shared" si="0"/>
        <v>1240</v>
      </c>
    </row>
    <row r="44" spans="1:8" ht="33.75">
      <c r="A44" s="79" t="s">
        <v>54</v>
      </c>
      <c r="B44" s="80" t="s">
        <v>55</v>
      </c>
      <c r="C44" s="80" t="s">
        <v>1305</v>
      </c>
      <c r="D44" s="81" t="s">
        <v>56</v>
      </c>
      <c r="E44" s="80" t="s">
        <v>57</v>
      </c>
      <c r="F44" s="82">
        <v>10</v>
      </c>
      <c r="G44" s="72">
        <f>VLOOKUP(A44,'Orçamento Analítico'!$A:$H,8,0)</f>
        <v>0.45</v>
      </c>
      <c r="H44" s="73">
        <f t="shared" si="0"/>
        <v>4.5</v>
      </c>
    </row>
    <row r="45" spans="1:8" ht="22.5">
      <c r="A45" s="79" t="s">
        <v>58</v>
      </c>
      <c r="B45" s="80" t="s">
        <v>59</v>
      </c>
      <c r="C45" s="80" t="s">
        <v>1305</v>
      </c>
      <c r="D45" s="81" t="s">
        <v>60</v>
      </c>
      <c r="E45" s="80" t="s">
        <v>57</v>
      </c>
      <c r="F45" s="82">
        <v>3</v>
      </c>
      <c r="G45" s="72">
        <f>VLOOKUP(A45,'Orçamento Analítico'!$A:$H,8,0)</f>
        <v>11</v>
      </c>
      <c r="H45" s="73">
        <f t="shared" si="0"/>
        <v>33</v>
      </c>
    </row>
    <row r="46" spans="1:8" ht="11.25">
      <c r="A46" s="62" t="s">
        <v>61</v>
      </c>
      <c r="B46" s="63"/>
      <c r="C46" s="63"/>
      <c r="D46" s="64" t="s">
        <v>62</v>
      </c>
      <c r="E46" s="63"/>
      <c r="F46" s="65"/>
      <c r="G46" s="66"/>
      <c r="H46" s="67">
        <f>H47+H50</f>
        <v>3771.9</v>
      </c>
    </row>
    <row r="47" spans="1:8" ht="11.25">
      <c r="A47" s="74" t="s">
        <v>63</v>
      </c>
      <c r="B47" s="75"/>
      <c r="C47" s="75"/>
      <c r="D47" s="76" t="s">
        <v>64</v>
      </c>
      <c r="E47" s="74"/>
      <c r="F47" s="77"/>
      <c r="G47" s="77"/>
      <c r="H47" s="78">
        <f>SUM(H48:H49)</f>
        <v>2051.4</v>
      </c>
    </row>
    <row r="48" spans="1:8" ht="22.5">
      <c r="A48" s="79" t="s">
        <v>65</v>
      </c>
      <c r="B48" s="80" t="s">
        <v>66</v>
      </c>
      <c r="C48" s="80" t="str">
        <f>VLOOKUP(B48,'Insumos e Serviços'!$A:$F,2,0)</f>
        <v>SINAPI</v>
      </c>
      <c r="D48" s="81" t="str">
        <f>VLOOKUP(B48,'Insumos e Serviços'!$A:$F,4,0)</f>
        <v>ESCAVAÇÃO MANUAL DE VALA PARA VIGA BALDRAME (INCLUINDO ESCAVAÇÃO PARA COLOCAÇÃO DE FÔRMAS). AF_06/2017</v>
      </c>
      <c r="E48" s="80" t="str">
        <f>VLOOKUP(B48,'Insumos e Serviços'!$A:$F,5,0)</f>
        <v>m³</v>
      </c>
      <c r="F48" s="82">
        <v>16</v>
      </c>
      <c r="G48" s="82">
        <f>VLOOKUP(B48,'Insumos e Serviços'!$A:$F,6,0)</f>
        <v>118.45</v>
      </c>
      <c r="H48" s="73">
        <f>TRUNC(F48*G48,2)</f>
        <v>1895.2</v>
      </c>
    </row>
    <row r="49" spans="1:8" ht="45">
      <c r="A49" s="79" t="s">
        <v>67</v>
      </c>
      <c r="B49" s="80" t="s">
        <v>68</v>
      </c>
      <c r="C49" s="80" t="str">
        <f>VLOOKUP(B49,'Insumos e Serviços'!$A:$F,2,0)</f>
        <v>SINAPI</v>
      </c>
      <c r="D49" s="81" t="str">
        <f>VLOOKUP(B49,'Insumos e Serviços'!$A:$F,4,0)</f>
        <v>ESCAVAÇÃO MECANIZADA DE VALA COM PROF. MAIOR QUE 1,5 M ATÉ 3,0 M (MÉDIA MONTANTE E JUSANTE/UMA COMPOSIÇÃO POR TRECHO), RETROESCAV. (0,26 M3), LARG. DE 0,8 M A 1,5 M, EM SOLO DE 2A CATEGORIA, EM LOCAIS COM BAIXO NÍVEL DE INTERFERÊNCIA. AF_02/2021</v>
      </c>
      <c r="E49" s="80" t="str">
        <f>VLOOKUP(B49,'Insumos e Serviços'!$A:$F,5,0)</f>
        <v>m³</v>
      </c>
      <c r="F49" s="82">
        <v>20</v>
      </c>
      <c r="G49" s="82">
        <f>VLOOKUP(B49,'Insumos e Serviços'!$A:$F,6,0)</f>
        <v>7.81</v>
      </c>
      <c r="H49" s="73">
        <f>TRUNC(F49*G49,2)</f>
        <v>156.2</v>
      </c>
    </row>
    <row r="50" spans="1:8" ht="11.25">
      <c r="A50" s="74" t="s">
        <v>69</v>
      </c>
      <c r="B50" s="75"/>
      <c r="C50" s="75"/>
      <c r="D50" s="76" t="s">
        <v>70</v>
      </c>
      <c r="E50" s="74"/>
      <c r="F50" s="77"/>
      <c r="G50" s="77"/>
      <c r="H50" s="78">
        <f>SUM(H51)</f>
        <v>1720.5</v>
      </c>
    </row>
    <row r="51" spans="1:8" ht="11.25">
      <c r="A51" s="79" t="s">
        <v>71</v>
      </c>
      <c r="B51" s="80" t="s">
        <v>72</v>
      </c>
      <c r="C51" s="80" t="str">
        <f>VLOOKUP(B51,'Insumos e Serviços'!$A:$F,2,0)</f>
        <v>SINAPI</v>
      </c>
      <c r="D51" s="81" t="str">
        <f>VLOOKUP(B51,'Insumos e Serviços'!$A:$F,4,0)</f>
        <v>REATERRO MANUAL APILOADO COM SOQUETE. AF_10/2017</v>
      </c>
      <c r="E51" s="80" t="str">
        <f>VLOOKUP(B51,'Insumos e Serviços'!$A:$F,5,0)</f>
        <v>m³</v>
      </c>
      <c r="F51" s="82">
        <v>37</v>
      </c>
      <c r="G51" s="82">
        <f>VLOOKUP(B51,'Insumos e Serviços'!$A:$F,6,0)</f>
        <v>46.5</v>
      </c>
      <c r="H51" s="73">
        <f>TRUNC(F51*G51,2)</f>
        <v>1720.5</v>
      </c>
    </row>
    <row r="52" spans="1:8" ht="11.25">
      <c r="A52" s="56" t="s">
        <v>1271</v>
      </c>
      <c r="B52" s="57"/>
      <c r="C52" s="57"/>
      <c r="D52" s="58" t="s">
        <v>73</v>
      </c>
      <c r="E52" s="56"/>
      <c r="F52" s="59"/>
      <c r="G52" s="60"/>
      <c r="H52" s="61">
        <f>H53</f>
        <v>24889.47</v>
      </c>
    </row>
    <row r="53" spans="1:8" ht="11.25">
      <c r="A53" s="62" t="s">
        <v>74</v>
      </c>
      <c r="B53" s="63"/>
      <c r="C53" s="63"/>
      <c r="D53" s="64" t="s">
        <v>75</v>
      </c>
      <c r="E53" s="63"/>
      <c r="F53" s="65"/>
      <c r="G53" s="66"/>
      <c r="H53" s="67">
        <f>H54</f>
        <v>24889.47</v>
      </c>
    </row>
    <row r="54" spans="1:8" ht="11.25">
      <c r="A54" s="74" t="s">
        <v>76</v>
      </c>
      <c r="B54" s="75"/>
      <c r="C54" s="75"/>
      <c r="D54" s="76" t="s">
        <v>77</v>
      </c>
      <c r="E54" s="74"/>
      <c r="F54" s="77"/>
      <c r="G54" s="77"/>
      <c r="H54" s="78">
        <f>SUM(H55:H56)</f>
        <v>24889.47</v>
      </c>
    </row>
    <row r="55" spans="1:8" ht="11.25">
      <c r="A55" s="79" t="s">
        <v>78</v>
      </c>
      <c r="B55" s="80" t="s">
        <v>79</v>
      </c>
      <c r="C55" s="80" t="str">
        <f>VLOOKUP(B55,'Insumos e Serviços'!$A:$F,2,0)</f>
        <v>SINAPI</v>
      </c>
      <c r="D55" s="81" t="str">
        <f>VLOOKUP(B55,'Insumos e Serviços'!$A:$F,4,0)</f>
        <v>ENCARREGADO GERAL DE OBRAS COM ENCARGOS COMPLEMENTARES</v>
      </c>
      <c r="E55" s="80" t="str">
        <f>VLOOKUP(B55,'Insumos e Serviços'!$A:$F,5,0)</f>
        <v>MES</v>
      </c>
      <c r="F55" s="82">
        <v>3</v>
      </c>
      <c r="G55" s="82">
        <f>VLOOKUP(B55,'Insumos e Serviços'!$A:$F,6,0)</f>
        <v>3807.72</v>
      </c>
      <c r="H55" s="73">
        <f>TRUNC(F55*G55,2)</f>
        <v>11423.16</v>
      </c>
    </row>
    <row r="56" spans="1:8" ht="11.25">
      <c r="A56" s="79" t="s">
        <v>80</v>
      </c>
      <c r="B56" s="80" t="s">
        <v>81</v>
      </c>
      <c r="C56" s="80" t="str">
        <f>VLOOKUP(B56,'Insumos e Serviços'!$A:$F,2,0)</f>
        <v>SINAPI</v>
      </c>
      <c r="D56" s="81" t="str">
        <f>VLOOKUP(B56,'Insumos e Serviços'!$A:$F,4,0)</f>
        <v>ENGENHEIRO CIVIL DE OBRA PLENO COM ENCARGOS COMPLEMENTARES</v>
      </c>
      <c r="E56" s="80" t="str">
        <f>VLOOKUP(B56,'Insumos e Serviços'!$A:$F,5,0)</f>
        <v>H</v>
      </c>
      <c r="F56" s="82">
        <v>129</v>
      </c>
      <c r="G56" s="82">
        <f>VLOOKUP(B56,'Insumos e Serviços'!$A:$F,6,0)</f>
        <v>104.39</v>
      </c>
      <c r="H56" s="73">
        <f>TRUNC(F56*G56,2)</f>
        <v>13466.31</v>
      </c>
    </row>
    <row r="57" spans="1:8" ht="11.25">
      <c r="A57" s="56" t="s">
        <v>1272</v>
      </c>
      <c r="B57" s="57"/>
      <c r="C57" s="57"/>
      <c r="D57" s="58" t="s">
        <v>82</v>
      </c>
      <c r="E57" s="56"/>
      <c r="F57" s="59"/>
      <c r="G57" s="60"/>
      <c r="H57" s="61">
        <f>H58+H82+H101+H111+H142+H164+H169</f>
        <v>288883.11</v>
      </c>
    </row>
    <row r="58" spans="1:8" ht="11.25">
      <c r="A58" s="62" t="s">
        <v>83</v>
      </c>
      <c r="B58" s="63"/>
      <c r="C58" s="63"/>
      <c r="D58" s="64" t="s">
        <v>84</v>
      </c>
      <c r="E58" s="63"/>
      <c r="F58" s="65"/>
      <c r="G58" s="66"/>
      <c r="H58" s="67">
        <f>H59+H76</f>
        <v>52028.42999999999</v>
      </c>
    </row>
    <row r="59" spans="1:8" ht="11.25">
      <c r="A59" s="74" t="s">
        <v>85</v>
      </c>
      <c r="B59" s="75"/>
      <c r="C59" s="75"/>
      <c r="D59" s="76" t="s">
        <v>86</v>
      </c>
      <c r="E59" s="74"/>
      <c r="F59" s="77"/>
      <c r="G59" s="77"/>
      <c r="H59" s="78">
        <f>H60</f>
        <v>17757.059999999998</v>
      </c>
    </row>
    <row r="60" spans="1:8" ht="11.25">
      <c r="A60" s="83" t="s">
        <v>87</v>
      </c>
      <c r="B60" s="84"/>
      <c r="C60" s="84"/>
      <c r="D60" s="85" t="s">
        <v>88</v>
      </c>
      <c r="E60" s="83"/>
      <c r="F60" s="86"/>
      <c r="G60" s="86"/>
      <c r="H60" s="87">
        <f>SUM(H61:H75)</f>
        <v>17757.059999999998</v>
      </c>
    </row>
    <row r="61" spans="1:8" ht="33.75">
      <c r="A61" s="79" t="s">
        <v>89</v>
      </c>
      <c r="B61" s="80" t="s">
        <v>90</v>
      </c>
      <c r="C61" s="80" t="str">
        <f>VLOOKUP(B61,'Insumos e Serviços'!$A:$F,2,0)</f>
        <v>SINAPI</v>
      </c>
      <c r="D61" s="81" t="str">
        <f>VLOOKUP(B61,'Insumos e Serviços'!$A:$F,4,0)</f>
        <v>ALVENARIA DE VEDAÇÃO DE BLOCOS VAZADOS DE CONCRETO DE 9X19X39 CM (ESPESSURA 9 CM) E ARGAMASSA DE ASSENTAMENTO COM PREPARO EM BETONEIRA. AF_12/2021</v>
      </c>
      <c r="E61" s="80" t="str">
        <f>VLOOKUP(B61,'Insumos e Serviços'!$A:$F,5,0)</f>
        <v>m²</v>
      </c>
      <c r="F61" s="82">
        <v>114</v>
      </c>
      <c r="G61" s="82">
        <f>VLOOKUP(B61,'Insumos e Serviços'!$A:$F,6,0)</f>
        <v>71.7</v>
      </c>
      <c r="H61" s="73">
        <f aca="true" t="shared" si="1" ref="H61:H75">TRUNC(F61*G61,2)</f>
        <v>8173.8</v>
      </c>
    </row>
    <row r="62" spans="1:8" ht="33.75">
      <c r="A62" s="79" t="s">
        <v>91</v>
      </c>
      <c r="B62" s="80" t="s">
        <v>92</v>
      </c>
      <c r="C62" s="80" t="str">
        <f>VLOOKUP(B62,'Insumos e Serviços'!$A:$F,2,0)</f>
        <v>SINAPI</v>
      </c>
      <c r="D62" s="81" t="str">
        <f>VLOOKUP(B62,'Insumos e Serviços'!$A:$F,4,0)</f>
        <v>ALVENARIA DE VEDAÇÃO DE BLOCOS CERÂMICOS MACIÇOS DE 5X10X20CM (ESPESSURA 10CM) E ARGAMASSA DE ASSENTAMENTO COM PREPARO EM BETONEIRA. AF_05/2020</v>
      </c>
      <c r="E62" s="80" t="str">
        <f>VLOOKUP(B62,'Insumos e Serviços'!$A:$F,5,0)</f>
        <v>m²</v>
      </c>
      <c r="F62" s="82">
        <v>4</v>
      </c>
      <c r="G62" s="82">
        <f>VLOOKUP(B62,'Insumos e Serviços'!$A:$F,6,0)</f>
        <v>140.5</v>
      </c>
      <c r="H62" s="73">
        <f t="shared" si="1"/>
        <v>562</v>
      </c>
    </row>
    <row r="63" spans="1:8" ht="22.5">
      <c r="A63" s="79" t="s">
        <v>93</v>
      </c>
      <c r="B63" s="80" t="s">
        <v>94</v>
      </c>
      <c r="C63" s="80" t="str">
        <f>VLOOKUP(B63,'Insumos e Serviços'!$A:$F,2,0)</f>
        <v>SINAPI</v>
      </c>
      <c r="D63" s="81" t="str">
        <f>VLOOKUP(B63,'Insumos e Serviços'!$A:$F,4,0)</f>
        <v>FIXAÇÃO (ENCUNHAMENTO) DE ALVENARIA DE VEDAÇÃO COM ESPUMA DE POLIURETANO EXPANSIVA. AF_03/2016</v>
      </c>
      <c r="E63" s="80" t="str">
        <f>VLOOKUP(B63,'Insumos e Serviços'!$A:$F,5,0)</f>
        <v>M</v>
      </c>
      <c r="F63" s="82">
        <v>35</v>
      </c>
      <c r="G63" s="82">
        <f>VLOOKUP(B63,'Insumos e Serviços'!$A:$F,6,0)</f>
        <v>15.85</v>
      </c>
      <c r="H63" s="73">
        <f t="shared" si="1"/>
        <v>554.75</v>
      </c>
    </row>
    <row r="64" spans="1:8" ht="22.5">
      <c r="A64" s="79" t="s">
        <v>95</v>
      </c>
      <c r="B64" s="80" t="s">
        <v>96</v>
      </c>
      <c r="C64" s="80" t="str">
        <f>VLOOKUP(B64,'Insumos e Serviços'!$A:$F,2,0)</f>
        <v>SINAPI</v>
      </c>
      <c r="D64" s="81" t="str">
        <f>VLOOKUP(B64,'Insumos e Serviços'!$A:$F,4,0)</f>
        <v>CONTRAVERGA PRÉ-MOLDADA PARA VÃOS DE MAIS DE 1,5 M DE COMPRIMENTO. AF_03/2016</v>
      </c>
      <c r="E64" s="80" t="str">
        <f>VLOOKUP(B64,'Insumos e Serviços'!$A:$F,5,0)</f>
        <v>M</v>
      </c>
      <c r="F64" s="82">
        <v>11</v>
      </c>
      <c r="G64" s="82">
        <f>VLOOKUP(B64,'Insumos e Serviços'!$A:$F,6,0)</f>
        <v>65.71</v>
      </c>
      <c r="H64" s="73">
        <f t="shared" si="1"/>
        <v>722.81</v>
      </c>
    </row>
    <row r="65" spans="1:8" ht="22.5">
      <c r="A65" s="79" t="s">
        <v>97</v>
      </c>
      <c r="B65" s="80" t="s">
        <v>98</v>
      </c>
      <c r="C65" s="80" t="str">
        <f>VLOOKUP(B65,'Insumos e Serviços'!$A:$F,2,0)</f>
        <v>SINAPI</v>
      </c>
      <c r="D65" s="81" t="str">
        <f>VLOOKUP(B65,'Insumos e Serviços'!$A:$F,4,0)</f>
        <v>CONTRAVERGA PRÉ-MOLDADA PARA VÃOS DE ATÉ 1,5 M DE COMPRIMENTO. AF_03/2016</v>
      </c>
      <c r="E65" s="80" t="str">
        <f>VLOOKUP(B65,'Insumos e Serviços'!$A:$F,5,0)</f>
        <v>M</v>
      </c>
      <c r="F65" s="82">
        <v>2</v>
      </c>
      <c r="G65" s="82">
        <f>VLOOKUP(B65,'Insumos e Serviços'!$A:$F,6,0)</f>
        <v>53.75</v>
      </c>
      <c r="H65" s="73">
        <f t="shared" si="1"/>
        <v>107.5</v>
      </c>
    </row>
    <row r="66" spans="1:8" ht="11.25">
      <c r="A66" s="79" t="s">
        <v>99</v>
      </c>
      <c r="B66" s="80" t="s">
        <v>100</v>
      </c>
      <c r="C66" s="80" t="str">
        <f>VLOOKUP(B66,'Insumos e Serviços'!$A:$F,2,0)</f>
        <v>SINAPI</v>
      </c>
      <c r="D66" s="81" t="str">
        <f>VLOOKUP(B66,'Insumos e Serviços'!$A:$F,4,0)</f>
        <v>VERGA PRÉ-MOLDADA PARA PORTAS COM ATÉ 1,5 M DE VÃO. AF_03/2016</v>
      </c>
      <c r="E66" s="80" t="str">
        <f>VLOOKUP(B66,'Insumos e Serviços'!$A:$F,5,0)</f>
        <v>M</v>
      </c>
      <c r="F66" s="82">
        <v>3</v>
      </c>
      <c r="G66" s="82">
        <f>VLOOKUP(B66,'Insumos e Serviços'!$A:$F,6,0)</f>
        <v>40.45</v>
      </c>
      <c r="H66" s="73">
        <f t="shared" si="1"/>
        <v>121.35</v>
      </c>
    </row>
    <row r="67" spans="1:8" ht="11.25">
      <c r="A67" s="79" t="s">
        <v>101</v>
      </c>
      <c r="B67" s="80" t="s">
        <v>102</v>
      </c>
      <c r="C67" s="80" t="str">
        <f>VLOOKUP(B67,'Insumos e Serviços'!$A:$F,2,0)</f>
        <v>SINAPI</v>
      </c>
      <c r="D67" s="81" t="str">
        <f>VLOOKUP(B67,'Insumos e Serviços'!$A:$F,4,0)</f>
        <v>VERGA PRÉ-MOLDADA PARA JANELAS COM MAIS DE 1,5 M DE VÃO. AF_03/2016</v>
      </c>
      <c r="E67" s="80" t="str">
        <f>VLOOKUP(B67,'Insumos e Serviços'!$A:$F,5,0)</f>
        <v>M</v>
      </c>
      <c r="F67" s="82">
        <v>11</v>
      </c>
      <c r="G67" s="82">
        <f>VLOOKUP(B67,'Insumos e Serviços'!$A:$F,6,0)</f>
        <v>70.39</v>
      </c>
      <c r="H67" s="73">
        <f t="shared" si="1"/>
        <v>774.29</v>
      </c>
    </row>
    <row r="68" spans="1:8" ht="22.5">
      <c r="A68" s="79" t="s">
        <v>103</v>
      </c>
      <c r="B68" s="80" t="s">
        <v>104</v>
      </c>
      <c r="C68" s="80" t="s">
        <v>1305</v>
      </c>
      <c r="D68" s="81" t="s">
        <v>105</v>
      </c>
      <c r="E68" s="80" t="s">
        <v>39</v>
      </c>
      <c r="F68" s="82">
        <v>67</v>
      </c>
      <c r="G68" s="72">
        <f>VLOOKUP(A68,'Orçamento Analítico'!$A:$H,8,0)</f>
        <v>9.32</v>
      </c>
      <c r="H68" s="73">
        <f t="shared" si="1"/>
        <v>624.44</v>
      </c>
    </row>
    <row r="69" spans="1:8" ht="22.5">
      <c r="A69" s="79" t="s">
        <v>106</v>
      </c>
      <c r="B69" s="80" t="s">
        <v>107</v>
      </c>
      <c r="C69" s="80" t="s">
        <v>1305</v>
      </c>
      <c r="D69" s="81" t="s">
        <v>108</v>
      </c>
      <c r="E69" s="80" t="s">
        <v>1</v>
      </c>
      <c r="F69" s="82">
        <v>1</v>
      </c>
      <c r="G69" s="72">
        <f>VLOOKUP(A69,'Orçamento Analítico'!$A:$H,8,0)</f>
        <v>903.1500000000001</v>
      </c>
      <c r="H69" s="73">
        <f t="shared" si="1"/>
        <v>903.15</v>
      </c>
    </row>
    <row r="70" spans="1:8" ht="33.75">
      <c r="A70" s="79" t="s">
        <v>109</v>
      </c>
      <c r="B70" s="80" t="s">
        <v>110</v>
      </c>
      <c r="C70" s="80" t="s">
        <v>1305</v>
      </c>
      <c r="D70" s="81" t="s">
        <v>111</v>
      </c>
      <c r="E70" s="80" t="s">
        <v>1</v>
      </c>
      <c r="F70" s="82">
        <v>1</v>
      </c>
      <c r="G70" s="72">
        <f>VLOOKUP(A70,'Orçamento Analítico'!$A:$H,8,0)</f>
        <v>918.56</v>
      </c>
      <c r="H70" s="73">
        <f t="shared" si="1"/>
        <v>918.56</v>
      </c>
    </row>
    <row r="71" spans="1:8" ht="33.75">
      <c r="A71" s="79" t="s">
        <v>112</v>
      </c>
      <c r="B71" s="80" t="s">
        <v>113</v>
      </c>
      <c r="C71" s="80" t="str">
        <f>VLOOKUP(B71,'Insumos e Serviços'!$A:$F,2,0)</f>
        <v>SINAPI</v>
      </c>
      <c r="D71" s="81" t="str">
        <f>VLOOKUP(B71,'Insumos e Serviços'!$A:$F,4,0)</f>
        <v>ARMAÇÃO DE PILAR OU VIGA DE ESTRUTURA CONVENCIONAL DE CONCRETO ARMADO UTILIZANDO AÇO CA-50 DE 8,0 MM - MONTAGEM. AF_06/2022</v>
      </c>
      <c r="E71" s="80" t="str">
        <f>VLOOKUP(B71,'Insumos e Serviços'!$A:$F,5,0)</f>
        <v>KG</v>
      </c>
      <c r="F71" s="82">
        <v>40</v>
      </c>
      <c r="G71" s="82">
        <f>VLOOKUP(B71,'Insumos e Serviços'!$A:$F,6,0)</f>
        <v>15.29</v>
      </c>
      <c r="H71" s="73">
        <f t="shared" si="1"/>
        <v>611.6</v>
      </c>
    </row>
    <row r="72" spans="1:8" ht="33.75">
      <c r="A72" s="79" t="s">
        <v>114</v>
      </c>
      <c r="B72" s="80" t="s">
        <v>115</v>
      </c>
      <c r="C72" s="80" t="str">
        <f>VLOOKUP(B72,'Insumos e Serviços'!$A:$F,2,0)</f>
        <v>SINAPI</v>
      </c>
      <c r="D72" s="81" t="str">
        <f>VLOOKUP(B72,'Insumos e Serviços'!$A:$F,4,0)</f>
        <v>ARMAÇÃO DE PILAR OU VIGA DE ESTRUTURA CONVENCIONAL DE CONCRETO ARMADO UTILIZANDO AÇO CA-60 DE 5,0 MM - MONTAGEM. AF_06/2022</v>
      </c>
      <c r="E72" s="80" t="str">
        <f>VLOOKUP(B72,'Insumos e Serviços'!$A:$F,5,0)</f>
        <v>KG</v>
      </c>
      <c r="F72" s="82">
        <v>16</v>
      </c>
      <c r="G72" s="82">
        <f>VLOOKUP(B72,'Insumos e Serviços'!$A:$F,6,0)</f>
        <v>16.35</v>
      </c>
      <c r="H72" s="73">
        <f t="shared" si="1"/>
        <v>261.6</v>
      </c>
    </row>
    <row r="73" spans="1:8" ht="33.75">
      <c r="A73" s="79" t="s">
        <v>116</v>
      </c>
      <c r="B73" s="80" t="s">
        <v>117</v>
      </c>
      <c r="C73" s="80" t="str">
        <f>VLOOKUP(B73,'Insumos e Serviços'!$A:$F,2,0)</f>
        <v>SINAPI</v>
      </c>
      <c r="D73" s="81" t="str">
        <f>VLOOKUP(B73,'Insumos e Serviços'!$A:$F,4,0)</f>
        <v>MONTAGEM E DESMONTAGEM DE FÔRMA DE PILARES RETANGULARES E ESTRUTURAS SIMILARES, PÉ-DIREITO SIMPLES, EM CHAPA DE MADEIRA COMPENSADA RESINADA, 2 UTILIZAÇÕES. AF_09/2020</v>
      </c>
      <c r="E73" s="80" t="str">
        <f>VLOOKUP(B73,'Insumos e Serviços'!$A:$F,5,0)</f>
        <v>m²</v>
      </c>
      <c r="F73" s="82">
        <v>7</v>
      </c>
      <c r="G73" s="82">
        <f>VLOOKUP(B73,'Insumos e Serviços'!$A:$F,6,0)</f>
        <v>140.31</v>
      </c>
      <c r="H73" s="73">
        <f t="shared" si="1"/>
        <v>982.17</v>
      </c>
    </row>
    <row r="74" spans="1:8" ht="33.75">
      <c r="A74" s="79" t="s">
        <v>118</v>
      </c>
      <c r="B74" s="80" t="s">
        <v>119</v>
      </c>
      <c r="C74" s="80" t="str">
        <f>VLOOKUP(B74,'Insumos e Serviços'!$A:$F,2,0)</f>
        <v>SINAPI</v>
      </c>
      <c r="D74" s="81" t="str">
        <f>VLOOKUP(B74,'Insumos e Serviços'!$A:$F,4,0)</f>
        <v>MONTAGEM E DESMONTAGEM DE FÔRMA DE VIGA, ESCORAMENTO COM GARFO DE MADEIRA, PÉ-DIREITO SIMPLES, EM CHAPA DE MADEIRA RESINADA, 2 UTILIZAÇÕES. AF_09/2020</v>
      </c>
      <c r="E74" s="80" t="str">
        <f>VLOOKUP(B74,'Insumos e Serviços'!$A:$F,5,0)</f>
        <v>m²</v>
      </c>
      <c r="F74" s="82">
        <v>10</v>
      </c>
      <c r="G74" s="82">
        <f>VLOOKUP(B74,'Insumos e Serviços'!$A:$F,6,0)</f>
        <v>196.51</v>
      </c>
      <c r="H74" s="73">
        <f t="shared" si="1"/>
        <v>1965.1</v>
      </c>
    </row>
    <row r="75" spans="1:8" ht="33.75">
      <c r="A75" s="79" t="s">
        <v>120</v>
      </c>
      <c r="B75" s="80" t="s">
        <v>121</v>
      </c>
      <c r="C75" s="80" t="str">
        <f>VLOOKUP(B75,'Insumos e Serviços'!$A:$F,2,0)</f>
        <v>SINAPI</v>
      </c>
      <c r="D75" s="81" t="str">
        <f>VLOOKUP(B75,'Insumos e Serviços'!$A:$F,4,0)</f>
        <v>CONCRETO MAGRO PARA LASTRO, TRAÇO 1:4,5:4,5 (EM MASSA SECA DE CIMENTO/ AREIA MÉDIA/ BRITA 1) - PREPARO MECÂNICO COM BETONEIRA 400 L. AF_05/2021</v>
      </c>
      <c r="E75" s="80" t="str">
        <f>VLOOKUP(B75,'Insumos e Serviços'!$A:$F,5,0)</f>
        <v>m³</v>
      </c>
      <c r="F75" s="82">
        <v>1</v>
      </c>
      <c r="G75" s="82">
        <f>VLOOKUP(B75,'Insumos e Serviços'!$A:$F,6,0)</f>
        <v>473.94</v>
      </c>
      <c r="H75" s="73">
        <f t="shared" si="1"/>
        <v>473.94</v>
      </c>
    </row>
    <row r="76" spans="1:8" ht="11.25">
      <c r="A76" s="74" t="s">
        <v>122</v>
      </c>
      <c r="B76" s="75"/>
      <c r="C76" s="75"/>
      <c r="D76" s="76" t="s">
        <v>123</v>
      </c>
      <c r="E76" s="74"/>
      <c r="F76" s="77"/>
      <c r="G76" s="77"/>
      <c r="H76" s="78">
        <f>H77</f>
        <v>34271.369999999995</v>
      </c>
    </row>
    <row r="77" spans="1:8" ht="11.25">
      <c r="A77" s="83" t="s">
        <v>124</v>
      </c>
      <c r="B77" s="84"/>
      <c r="C77" s="84"/>
      <c r="D77" s="85" t="s">
        <v>125</v>
      </c>
      <c r="E77" s="83"/>
      <c r="F77" s="86"/>
      <c r="G77" s="86"/>
      <c r="H77" s="87">
        <f>SUM(H78:H81)</f>
        <v>34271.369999999995</v>
      </c>
    </row>
    <row r="78" spans="1:8" ht="33.75">
      <c r="A78" s="79" t="s">
        <v>126</v>
      </c>
      <c r="B78" s="80" t="s">
        <v>127</v>
      </c>
      <c r="C78" s="80" t="s">
        <v>1305</v>
      </c>
      <c r="D78" s="81" t="s">
        <v>128</v>
      </c>
      <c r="E78" s="80" t="s">
        <v>1316</v>
      </c>
      <c r="F78" s="82">
        <v>61</v>
      </c>
      <c r="G78" s="72">
        <f>VLOOKUP(A78,'Orçamento Analítico'!$A:$H,8,0)</f>
        <v>110.12</v>
      </c>
      <c r="H78" s="73">
        <f>TRUNC(F78*G78,2)</f>
        <v>6717.32</v>
      </c>
    </row>
    <row r="79" spans="1:8" ht="33.75">
      <c r="A79" s="79" t="s">
        <v>129</v>
      </c>
      <c r="B79" s="80" t="s">
        <v>130</v>
      </c>
      <c r="C79" s="80" t="s">
        <v>1305</v>
      </c>
      <c r="D79" s="81" t="s">
        <v>131</v>
      </c>
      <c r="E79" s="80" t="s">
        <v>1316</v>
      </c>
      <c r="F79" s="82">
        <v>28</v>
      </c>
      <c r="G79" s="72">
        <f>VLOOKUP(A79,'Orçamento Analítico'!$A:$H,8,0)</f>
        <v>213.55</v>
      </c>
      <c r="H79" s="73">
        <f>TRUNC(F79*G79,2)</f>
        <v>5979.4</v>
      </c>
    </row>
    <row r="80" spans="1:8" ht="33.75">
      <c r="A80" s="79" t="s">
        <v>132</v>
      </c>
      <c r="B80" s="80" t="s">
        <v>133</v>
      </c>
      <c r="C80" s="80" t="str">
        <f>VLOOKUP(B80,'Insumos e Serviços'!$A:$F,2,0)</f>
        <v>SINAPI</v>
      </c>
      <c r="D80" s="81" t="str">
        <f>VLOOKUP(B80,'Insumos e Serviços'!$A:$F,4,0)</f>
        <v>PAREDE COM PLACAS DE GESSO ACARTONADO (DRYWALL), PARA USO INTERNO, COM DUAS FACES SIMPLES E ESTRUTURA METÁLICA COM GUIAS SIMPLES, COM VÃOS AF_06/2017_P</v>
      </c>
      <c r="E80" s="80" t="str">
        <f>VLOOKUP(B80,'Insumos e Serviços'!$A:$F,5,0)</f>
        <v>m²</v>
      </c>
      <c r="F80" s="82">
        <v>95</v>
      </c>
      <c r="G80" s="82">
        <f>VLOOKUP(B80,'Insumos e Serviços'!$A:$F,6,0)</f>
        <v>97.82</v>
      </c>
      <c r="H80" s="73">
        <f>TRUNC(F80*G80,2)</f>
        <v>9292.9</v>
      </c>
    </row>
    <row r="81" spans="1:8" ht="33.75">
      <c r="A81" s="79" t="s">
        <v>134</v>
      </c>
      <c r="B81" s="80" t="s">
        <v>135</v>
      </c>
      <c r="C81" s="80" t="str">
        <f>VLOOKUP(B81,'Insumos e Serviços'!$A:$F,2,0)</f>
        <v>SINAPI</v>
      </c>
      <c r="D81" s="81" t="str">
        <f>VLOOKUP(B81,'Insumos e Serviços'!$A:$F,4,0)</f>
        <v>PAREDE COM PLACAS DE GESSO ACARTONADO (DRYWALL), PARA USO INTERNO, COM DUAS FACES DUPLAS E ESTRUTURA METÁLICA COM GUIAS DUPLAS, COM VÃOS. AF_06/2017_P</v>
      </c>
      <c r="E81" s="80" t="str">
        <f>VLOOKUP(B81,'Insumos e Serviços'!$A:$F,5,0)</f>
        <v>m²</v>
      </c>
      <c r="F81" s="82">
        <v>65</v>
      </c>
      <c r="G81" s="82">
        <f>VLOOKUP(B81,'Insumos e Serviços'!$A:$F,6,0)</f>
        <v>188.95</v>
      </c>
      <c r="H81" s="73">
        <f>TRUNC(F81*G81,2)</f>
        <v>12281.75</v>
      </c>
    </row>
    <row r="82" spans="1:8" ht="11.25">
      <c r="A82" s="62" t="s">
        <v>136</v>
      </c>
      <c r="B82" s="63"/>
      <c r="C82" s="63"/>
      <c r="D82" s="64" t="s">
        <v>137</v>
      </c>
      <c r="E82" s="63"/>
      <c r="F82" s="65"/>
      <c r="G82" s="66"/>
      <c r="H82" s="67">
        <f>H83+H88+H96</f>
        <v>35777.39</v>
      </c>
    </row>
    <row r="83" spans="1:8" ht="11.25">
      <c r="A83" s="74" t="s">
        <v>138</v>
      </c>
      <c r="B83" s="75"/>
      <c r="C83" s="75"/>
      <c r="D83" s="76" t="s">
        <v>139</v>
      </c>
      <c r="E83" s="74"/>
      <c r="F83" s="77"/>
      <c r="G83" s="77"/>
      <c r="H83" s="78">
        <f>H84+H86</f>
        <v>6918.790000000001</v>
      </c>
    </row>
    <row r="84" spans="1:8" ht="11.25">
      <c r="A84" s="83" t="s">
        <v>140</v>
      </c>
      <c r="B84" s="84"/>
      <c r="C84" s="84"/>
      <c r="D84" s="85" t="s">
        <v>141</v>
      </c>
      <c r="E84" s="83"/>
      <c r="F84" s="86"/>
      <c r="G84" s="86"/>
      <c r="H84" s="87">
        <f>H85</f>
        <v>3457.51</v>
      </c>
    </row>
    <row r="85" spans="1:8" ht="22.5">
      <c r="A85" s="79" t="s">
        <v>142</v>
      </c>
      <c r="B85" s="80" t="s">
        <v>143</v>
      </c>
      <c r="C85" s="80" t="s">
        <v>1305</v>
      </c>
      <c r="D85" s="81" t="s">
        <v>144</v>
      </c>
      <c r="E85" s="80" t="s">
        <v>1316</v>
      </c>
      <c r="F85" s="82">
        <v>7</v>
      </c>
      <c r="G85" s="72">
        <f>VLOOKUP(A85,'Orçamento Analítico'!$A:$H,8,0)</f>
        <v>493.92999999999995</v>
      </c>
      <c r="H85" s="73">
        <f>TRUNC(F85*G85,2)</f>
        <v>3457.51</v>
      </c>
    </row>
    <row r="86" spans="1:8" ht="11.25">
      <c r="A86" s="83" t="s">
        <v>145</v>
      </c>
      <c r="B86" s="84"/>
      <c r="C86" s="84"/>
      <c r="D86" s="85" t="s">
        <v>146</v>
      </c>
      <c r="E86" s="83"/>
      <c r="F86" s="86"/>
      <c r="G86" s="86"/>
      <c r="H86" s="87">
        <f>H87</f>
        <v>3461.28</v>
      </c>
    </row>
    <row r="87" spans="1:8" ht="22.5">
      <c r="A87" s="79" t="s">
        <v>147</v>
      </c>
      <c r="B87" s="80" t="s">
        <v>148</v>
      </c>
      <c r="C87" s="80" t="s">
        <v>1305</v>
      </c>
      <c r="D87" s="81" t="s">
        <v>149</v>
      </c>
      <c r="E87" s="80" t="s">
        <v>1316</v>
      </c>
      <c r="F87" s="82">
        <v>8</v>
      </c>
      <c r="G87" s="72">
        <f>VLOOKUP(A87,'Orçamento Analítico'!$A:$H,8,0)</f>
        <v>432.65999999999997</v>
      </c>
      <c r="H87" s="73">
        <f>TRUNC(F87*G87,2)</f>
        <v>3461.28</v>
      </c>
    </row>
    <row r="88" spans="1:8" ht="11.25">
      <c r="A88" s="74" t="s">
        <v>150</v>
      </c>
      <c r="B88" s="75"/>
      <c r="C88" s="75"/>
      <c r="D88" s="76" t="s">
        <v>151</v>
      </c>
      <c r="E88" s="74"/>
      <c r="F88" s="77"/>
      <c r="G88" s="77"/>
      <c r="H88" s="78">
        <f>H89+H91</f>
        <v>25329.379999999997</v>
      </c>
    </row>
    <row r="89" spans="1:8" ht="11.25">
      <c r="A89" s="83" t="s">
        <v>152</v>
      </c>
      <c r="B89" s="84"/>
      <c r="C89" s="84"/>
      <c r="D89" s="85" t="s">
        <v>153</v>
      </c>
      <c r="E89" s="83"/>
      <c r="F89" s="86"/>
      <c r="G89" s="86"/>
      <c r="H89" s="87">
        <f>H90</f>
        <v>3755.28</v>
      </c>
    </row>
    <row r="90" spans="1:8" ht="22.5">
      <c r="A90" s="79" t="s">
        <v>154</v>
      </c>
      <c r="B90" s="80" t="s">
        <v>155</v>
      </c>
      <c r="C90" s="80" t="str">
        <f>VLOOKUP(B90,'Insumos e Serviços'!$A:$F,2,0)</f>
        <v>SINAPI</v>
      </c>
      <c r="D90" s="81" t="str">
        <f>VLOOKUP(B90,'Insumos e Serviços'!$A:$F,4,0)</f>
        <v>PORTA EM ALUMÍNIO DE ABRIR TIPO VENEZIANA COM GUARNIÇÃO, FIXAÇÃO COM PARAFUSOS - FORNECIMENTO E INSTALAÇÃO. AF_12/2019</v>
      </c>
      <c r="E90" s="80" t="str">
        <f>VLOOKUP(B90,'Insumos e Serviços'!$A:$F,5,0)</f>
        <v>m²</v>
      </c>
      <c r="F90" s="82">
        <v>6</v>
      </c>
      <c r="G90" s="82">
        <f>VLOOKUP(B90,'Insumos e Serviços'!$A:$F,6,0)</f>
        <v>625.88</v>
      </c>
      <c r="H90" s="73">
        <f>TRUNC(F90*G90,2)</f>
        <v>3755.28</v>
      </c>
    </row>
    <row r="91" spans="1:8" ht="11.25">
      <c r="A91" s="83" t="s">
        <v>156</v>
      </c>
      <c r="B91" s="84"/>
      <c r="C91" s="84"/>
      <c r="D91" s="85" t="s">
        <v>157</v>
      </c>
      <c r="E91" s="83"/>
      <c r="F91" s="86"/>
      <c r="G91" s="86"/>
      <c r="H91" s="87">
        <f>SUM(H92:H95)</f>
        <v>21574.1</v>
      </c>
    </row>
    <row r="92" spans="1:8" ht="22.5">
      <c r="A92" s="79" t="s">
        <v>158</v>
      </c>
      <c r="B92" s="80" t="s">
        <v>159</v>
      </c>
      <c r="C92" s="80" t="s">
        <v>1305</v>
      </c>
      <c r="D92" s="81" t="s">
        <v>160</v>
      </c>
      <c r="E92" s="80" t="s">
        <v>1307</v>
      </c>
      <c r="F92" s="82">
        <v>1</v>
      </c>
      <c r="G92" s="72">
        <f>VLOOKUP(A92,'Orçamento Analítico'!$A:$H,8,0)</f>
        <v>1629.3799999999999</v>
      </c>
      <c r="H92" s="73">
        <f>TRUNC(F92*G92,2)</f>
        <v>1629.38</v>
      </c>
    </row>
    <row r="93" spans="1:8" ht="22.5">
      <c r="A93" s="79" t="s">
        <v>161</v>
      </c>
      <c r="B93" s="80" t="s">
        <v>162</v>
      </c>
      <c r="C93" s="80" t="s">
        <v>1305</v>
      </c>
      <c r="D93" s="81" t="s">
        <v>163</v>
      </c>
      <c r="E93" s="80" t="s">
        <v>1307</v>
      </c>
      <c r="F93" s="82">
        <v>4</v>
      </c>
      <c r="G93" s="72">
        <f>VLOOKUP(A93,'Orçamento Analítico'!$A:$H,8,0)</f>
        <v>1614.16</v>
      </c>
      <c r="H93" s="73">
        <f>TRUNC(F93*G93,2)</f>
        <v>6456.64</v>
      </c>
    </row>
    <row r="94" spans="1:8" ht="22.5">
      <c r="A94" s="79" t="s">
        <v>164</v>
      </c>
      <c r="B94" s="80" t="s">
        <v>165</v>
      </c>
      <c r="C94" s="80" t="s">
        <v>1305</v>
      </c>
      <c r="D94" s="81" t="s">
        <v>166</v>
      </c>
      <c r="E94" s="80" t="s">
        <v>1307</v>
      </c>
      <c r="F94" s="82">
        <v>2</v>
      </c>
      <c r="G94" s="72">
        <f>VLOOKUP(A94,'Orçamento Analítico'!$A:$H,8,0)</f>
        <v>2218.33</v>
      </c>
      <c r="H94" s="73">
        <f>TRUNC(F94*G94,2)</f>
        <v>4436.66</v>
      </c>
    </row>
    <row r="95" spans="1:8" ht="22.5">
      <c r="A95" s="79" t="s">
        <v>167</v>
      </c>
      <c r="B95" s="80" t="s">
        <v>168</v>
      </c>
      <c r="C95" s="80" t="s">
        <v>1305</v>
      </c>
      <c r="D95" s="81" t="s">
        <v>169</v>
      </c>
      <c r="E95" s="80" t="s">
        <v>1307</v>
      </c>
      <c r="F95" s="82">
        <v>3</v>
      </c>
      <c r="G95" s="72">
        <f>VLOOKUP(A95,'Orçamento Analítico'!$A:$H,8,0)</f>
        <v>3017.14</v>
      </c>
      <c r="H95" s="73">
        <f>TRUNC(F95*G95,2)</f>
        <v>9051.42</v>
      </c>
    </row>
    <row r="96" spans="1:8" ht="11.25">
      <c r="A96" s="74" t="s">
        <v>170</v>
      </c>
      <c r="B96" s="75"/>
      <c r="C96" s="75"/>
      <c r="D96" s="76" t="s">
        <v>171</v>
      </c>
      <c r="E96" s="74"/>
      <c r="F96" s="77"/>
      <c r="G96" s="77"/>
      <c r="H96" s="78">
        <f>H97</f>
        <v>3529.22</v>
      </c>
    </row>
    <row r="97" spans="1:8" ht="11.25">
      <c r="A97" s="83" t="s">
        <v>172</v>
      </c>
      <c r="B97" s="84"/>
      <c r="C97" s="84"/>
      <c r="D97" s="85" t="s">
        <v>173</v>
      </c>
      <c r="E97" s="83"/>
      <c r="F97" s="86"/>
      <c r="G97" s="86"/>
      <c r="H97" s="87">
        <f>SUM(H98:H100)</f>
        <v>3529.22</v>
      </c>
    </row>
    <row r="98" spans="1:8" ht="33.75">
      <c r="A98" s="79" t="s">
        <v>174</v>
      </c>
      <c r="B98" s="80" t="s">
        <v>175</v>
      </c>
      <c r="C98" s="80" t="s">
        <v>1305</v>
      </c>
      <c r="D98" s="81" t="s">
        <v>176</v>
      </c>
      <c r="E98" s="80" t="s">
        <v>1307</v>
      </c>
      <c r="F98" s="82">
        <v>5</v>
      </c>
      <c r="G98" s="72">
        <f>VLOOKUP(A98,'Orçamento Analítico'!$A:$H,8,0)</f>
        <v>323.73</v>
      </c>
      <c r="H98" s="73">
        <f>TRUNC(F98*G98,2)</f>
        <v>1618.65</v>
      </c>
    </row>
    <row r="99" spans="1:8" ht="22.5">
      <c r="A99" s="79" t="s">
        <v>177</v>
      </c>
      <c r="B99" s="80" t="s">
        <v>178</v>
      </c>
      <c r="C99" s="80" t="s">
        <v>1305</v>
      </c>
      <c r="D99" s="81" t="s">
        <v>179</v>
      </c>
      <c r="E99" s="80" t="s">
        <v>1307</v>
      </c>
      <c r="F99" s="82">
        <v>2</v>
      </c>
      <c r="G99" s="72">
        <f>VLOOKUP(A99,'Orçamento Analítico'!$A:$H,8,0)</f>
        <v>372.88</v>
      </c>
      <c r="H99" s="73">
        <f>TRUNC(F99*G99,2)</f>
        <v>745.76</v>
      </c>
    </row>
    <row r="100" spans="1:8" ht="33.75">
      <c r="A100" s="79" t="s">
        <v>180</v>
      </c>
      <c r="B100" s="80" t="s">
        <v>181</v>
      </c>
      <c r="C100" s="80" t="s">
        <v>1305</v>
      </c>
      <c r="D100" s="81" t="s">
        <v>182</v>
      </c>
      <c r="E100" s="80" t="s">
        <v>1307</v>
      </c>
      <c r="F100" s="82">
        <v>3</v>
      </c>
      <c r="G100" s="72">
        <f>VLOOKUP(A100,'Orçamento Analítico'!$A:$H,8,0)</f>
        <v>388.27</v>
      </c>
      <c r="H100" s="73">
        <f>TRUNC(F100*G100,2)</f>
        <v>1164.81</v>
      </c>
    </row>
    <row r="101" spans="1:8" ht="11.25">
      <c r="A101" s="62" t="s">
        <v>183</v>
      </c>
      <c r="B101" s="63"/>
      <c r="C101" s="63"/>
      <c r="D101" s="64" t="s">
        <v>184</v>
      </c>
      <c r="E101" s="63"/>
      <c r="F101" s="65"/>
      <c r="G101" s="66"/>
      <c r="H101" s="67">
        <f>H102+H105</f>
        <v>2145.4</v>
      </c>
    </row>
    <row r="102" spans="1:8" ht="11.25">
      <c r="A102" s="74" t="s">
        <v>185</v>
      </c>
      <c r="B102" s="75"/>
      <c r="C102" s="75"/>
      <c r="D102" s="76" t="s">
        <v>186</v>
      </c>
      <c r="E102" s="74"/>
      <c r="F102" s="77"/>
      <c r="G102" s="77"/>
      <c r="H102" s="78">
        <f>SUM(H103:H104)</f>
        <v>420.12</v>
      </c>
    </row>
    <row r="103" spans="1:8" ht="22.5">
      <c r="A103" s="79" t="s">
        <v>187</v>
      </c>
      <c r="B103" s="80" t="s">
        <v>188</v>
      </c>
      <c r="C103" s="80" t="str">
        <f>VLOOKUP(B103,'Insumos e Serviços'!$A:$F,2,0)</f>
        <v>SINAPI</v>
      </c>
      <c r="D103" s="81" t="str">
        <f>VLOOKUP(B103,'Insumos e Serviços'!$A:$F,4,0)</f>
        <v>REGULARIZAÇÃO E COMPACTAÇÃO DE SUBLEITO DE SOLO PREDOMINANTEMENTE ARENOSO. AF_11/2019</v>
      </c>
      <c r="E103" s="80" t="str">
        <f>VLOOKUP(B103,'Insumos e Serviços'!$A:$F,5,0)</f>
        <v>m²</v>
      </c>
      <c r="F103" s="82">
        <v>9</v>
      </c>
      <c r="G103" s="82">
        <f>VLOOKUP(B103,'Insumos e Serviços'!$A:$F,6,0)</f>
        <v>1.1</v>
      </c>
      <c r="H103" s="73">
        <f>TRUNC(F103*G103,2)</f>
        <v>9.9</v>
      </c>
    </row>
    <row r="104" spans="1:8" ht="22.5">
      <c r="A104" s="79" t="s">
        <v>189</v>
      </c>
      <c r="B104" s="80" t="s">
        <v>190</v>
      </c>
      <c r="C104" s="80" t="s">
        <v>1305</v>
      </c>
      <c r="D104" s="81" t="s">
        <v>191</v>
      </c>
      <c r="E104" s="80" t="s">
        <v>1320</v>
      </c>
      <c r="F104" s="82">
        <v>43</v>
      </c>
      <c r="G104" s="72">
        <f>VLOOKUP(A104,'Orçamento Analítico'!$A:$H,8,0)</f>
        <v>9.54</v>
      </c>
      <c r="H104" s="73">
        <f>TRUNC(F104*G104,2)</f>
        <v>410.22</v>
      </c>
    </row>
    <row r="105" spans="1:8" ht="11.25">
      <c r="A105" s="74" t="s">
        <v>192</v>
      </c>
      <c r="B105" s="75"/>
      <c r="C105" s="75"/>
      <c r="D105" s="76" t="s">
        <v>193</v>
      </c>
      <c r="E105" s="74"/>
      <c r="F105" s="77"/>
      <c r="G105" s="77"/>
      <c r="H105" s="78">
        <f>H106+H108</f>
        <v>1725.28</v>
      </c>
    </row>
    <row r="106" spans="1:8" ht="11.25">
      <c r="A106" s="83" t="s">
        <v>194</v>
      </c>
      <c r="B106" s="84"/>
      <c r="C106" s="84"/>
      <c r="D106" s="85" t="s">
        <v>195</v>
      </c>
      <c r="E106" s="83"/>
      <c r="F106" s="86"/>
      <c r="G106" s="86"/>
      <c r="H106" s="87">
        <f>H107</f>
        <v>222.84</v>
      </c>
    </row>
    <row r="107" spans="1:8" ht="22.5">
      <c r="A107" s="79" t="s">
        <v>196</v>
      </c>
      <c r="B107" s="80" t="s">
        <v>197</v>
      </c>
      <c r="C107" s="80" t="str">
        <f>VLOOKUP(B107,'Insumos e Serviços'!$A:$F,2,0)</f>
        <v>SINAPI</v>
      </c>
      <c r="D107" s="81" t="str">
        <f>VLOOKUP(B107,'Insumos e Serviços'!$A:$F,4,0)</f>
        <v>PAVIMENTO COM TRATAMENTO SUPERFICIAL DUPLO, COM EMULSÃO ASFÁLTICA RR-2C, COM BANHO DILUÍDO. AF_01/2020</v>
      </c>
      <c r="E107" s="80" t="str">
        <f>VLOOKUP(B107,'Insumos e Serviços'!$A:$F,5,0)</f>
        <v>m²</v>
      </c>
      <c r="F107" s="82">
        <v>9</v>
      </c>
      <c r="G107" s="82">
        <f>VLOOKUP(B107,'Insumos e Serviços'!$A:$F,6,0)</f>
        <v>24.76</v>
      </c>
      <c r="H107" s="73">
        <f>TRUNC(F107*G107,2)</f>
        <v>222.84</v>
      </c>
    </row>
    <row r="108" spans="1:8" ht="11.25">
      <c r="A108" s="83" t="s">
        <v>198</v>
      </c>
      <c r="B108" s="84"/>
      <c r="C108" s="84"/>
      <c r="D108" s="85" t="s">
        <v>199</v>
      </c>
      <c r="E108" s="83"/>
      <c r="F108" s="86"/>
      <c r="G108" s="86"/>
      <c r="H108" s="87">
        <f>SUM(H109:H110)</f>
        <v>1502.44</v>
      </c>
    </row>
    <row r="109" spans="1:8" ht="22.5">
      <c r="A109" s="79" t="s">
        <v>200</v>
      </c>
      <c r="B109" s="80" t="s">
        <v>201</v>
      </c>
      <c r="C109" s="80" t="str">
        <f>VLOOKUP(B109,'Insumos e Serviços'!$A:$F,2,0)</f>
        <v>SINAPI</v>
      </c>
      <c r="D109" s="81" t="str">
        <f>VLOOKUP(B109,'Insumos e Serviços'!$A:$F,4,0)</f>
        <v>EXECUÇÃO DE PASSEIO (CALÇADA) OU PISO DE CONCRETO COM CONCRETO MOLDADO IN LOCO, FEITO EM OBRA, ACABAMENTO CONVENCIONAL, NÃO ARMADO. AF_07/2016</v>
      </c>
      <c r="E109" s="80" t="str">
        <f>VLOOKUP(B109,'Insumos e Serviços'!$A:$F,5,0)</f>
        <v>m³</v>
      </c>
      <c r="F109" s="82">
        <v>1</v>
      </c>
      <c r="G109" s="82">
        <f>VLOOKUP(B109,'Insumos e Serviços'!$A:$F,6,0)</f>
        <v>885.18</v>
      </c>
      <c r="H109" s="73">
        <f>TRUNC(F109*G109,2)</f>
        <v>885.18</v>
      </c>
    </row>
    <row r="110" spans="1:8" ht="45">
      <c r="A110" s="79" t="s">
        <v>202</v>
      </c>
      <c r="B110" s="80" t="s">
        <v>203</v>
      </c>
      <c r="C110" s="80" t="str">
        <f>VLOOKUP(B110,'Insumos e Serviços'!$A:$F,2,0)</f>
        <v>SINAPI</v>
      </c>
      <c r="D110" s="81" t="str">
        <f>VLOOKUP(B110,'Insumos e Serviços'!$A:$F,4,0)</f>
        <v>(COMPOSIÇÃO REPRESENTATIVA) DO SERVIÇO DE CONTRAPISO EM ARGAMASSA TRAÇO 1:4 (CIM E AREIA), EM BETONEIRA 400 L, ESPESSURA 3 CM ÁREAS SECAS E 3 CM ÁREAS MOLHADAS, PARA EDIFICAÇÃO HABITACIONAL MULTIFAMILIAR (PRÉDIO). AF_11/2014</v>
      </c>
      <c r="E110" s="80" t="str">
        <f>VLOOKUP(B110,'Insumos e Serviços'!$A:$F,5,0)</f>
        <v>m²</v>
      </c>
      <c r="F110" s="82">
        <v>14</v>
      </c>
      <c r="G110" s="82">
        <f>VLOOKUP(B110,'Insumos e Serviços'!$A:$F,6,0)</f>
        <v>44.09</v>
      </c>
      <c r="H110" s="73">
        <f>TRUNC(F110*G110,2)</f>
        <v>617.26</v>
      </c>
    </row>
    <row r="111" spans="1:8" ht="11.25">
      <c r="A111" s="62" t="s">
        <v>204</v>
      </c>
      <c r="B111" s="63"/>
      <c r="C111" s="63"/>
      <c r="D111" s="64" t="s">
        <v>193</v>
      </c>
      <c r="E111" s="63"/>
      <c r="F111" s="65"/>
      <c r="G111" s="66"/>
      <c r="H111" s="67">
        <f>H112+H125+H130</f>
        <v>81801.81</v>
      </c>
    </row>
    <row r="112" spans="1:8" ht="11.25">
      <c r="A112" s="74" t="s">
        <v>205</v>
      </c>
      <c r="B112" s="75"/>
      <c r="C112" s="75"/>
      <c r="D112" s="76" t="s">
        <v>206</v>
      </c>
      <c r="E112" s="74"/>
      <c r="F112" s="77"/>
      <c r="G112" s="77"/>
      <c r="H112" s="78">
        <f>H113+H115+H117+H119+H122</f>
        <v>36205.83</v>
      </c>
    </row>
    <row r="113" spans="1:8" ht="11.25">
      <c r="A113" s="83" t="s">
        <v>207</v>
      </c>
      <c r="B113" s="84"/>
      <c r="C113" s="84"/>
      <c r="D113" s="85" t="s">
        <v>208</v>
      </c>
      <c r="E113" s="83"/>
      <c r="F113" s="86"/>
      <c r="G113" s="86"/>
      <c r="H113" s="87">
        <f>H114</f>
        <v>161.61</v>
      </c>
    </row>
    <row r="114" spans="1:8" ht="45">
      <c r="A114" s="79" t="s">
        <v>209</v>
      </c>
      <c r="B114" s="80" t="s">
        <v>210</v>
      </c>
      <c r="C114" s="80" t="str">
        <f>VLOOKUP(B114,'Insumos e Serviços'!$A:$F,2,0)</f>
        <v>SINAPI</v>
      </c>
      <c r="D114" s="81" t="str">
        <f>VLOOKUP(B114,'Insumos e Serviços'!$A:$F,4,0)</f>
        <v>ASSENTAMENTO DE GUIA (MEIO-FIO) EM TRECHO RETO, CONFECCIONADA EM CONCRETO PRÉ-FABRICADO, DIMENSÕES 100X15X13X30 CM (COMPRIMENTO X BASE INFERIOR X BASE SUPERIOR X ALTURA), PARA VIAS URBANAS (USO VIÁRIO). AF_06/2016</v>
      </c>
      <c r="E114" s="80" t="str">
        <f>VLOOKUP(B114,'Insumos e Serviços'!$A:$F,5,0)</f>
        <v>M</v>
      </c>
      <c r="F114" s="82">
        <v>3</v>
      </c>
      <c r="G114" s="82">
        <f>VLOOKUP(B114,'Insumos e Serviços'!$A:$F,6,0)</f>
        <v>53.87</v>
      </c>
      <c r="H114" s="73">
        <f>TRUNC(F114*G114,2)</f>
        <v>161.61</v>
      </c>
    </row>
    <row r="115" spans="1:8" ht="11.25">
      <c r="A115" s="83" t="s">
        <v>211</v>
      </c>
      <c r="B115" s="84"/>
      <c r="C115" s="84"/>
      <c r="D115" s="85" t="s">
        <v>212</v>
      </c>
      <c r="E115" s="83"/>
      <c r="F115" s="86"/>
      <c r="G115" s="86"/>
      <c r="H115" s="87">
        <f>H116</f>
        <v>952.6</v>
      </c>
    </row>
    <row r="116" spans="1:8" ht="33.75">
      <c r="A116" s="79" t="s">
        <v>213</v>
      </c>
      <c r="B116" s="80" t="s">
        <v>214</v>
      </c>
      <c r="C116" s="80" t="str">
        <f>VLOOKUP(B116,'Insumos e Serviços'!$A:$F,2,0)</f>
        <v>SINAPI</v>
      </c>
      <c r="D116" s="81" t="str">
        <f>VLOOKUP(B116,'Insumos e Serviços'!$A:$F,4,0)</f>
        <v>CHAPISCO APLICADO EM ALVENARIAS E ESTRUTURAS DE CONCRETO INTERNAS, COM COLHER DE PEDREIRO.  ARGAMASSA TRAÇO 1:3 COM PREPARO EM BETONEIRA 400L. AF_06/2014</v>
      </c>
      <c r="E116" s="80" t="str">
        <f>VLOOKUP(B116,'Insumos e Serviços'!$A:$F,5,0)</f>
        <v>m²</v>
      </c>
      <c r="F116" s="82">
        <v>220</v>
      </c>
      <c r="G116" s="82">
        <f>VLOOKUP(B116,'Insumos e Serviços'!$A:$F,6,0)</f>
        <v>4.33</v>
      </c>
      <c r="H116" s="73">
        <f>TRUNC(F116*G116,2)</f>
        <v>952.6</v>
      </c>
    </row>
    <row r="117" spans="1:8" ht="11.25">
      <c r="A117" s="83" t="s">
        <v>215</v>
      </c>
      <c r="B117" s="84"/>
      <c r="C117" s="84"/>
      <c r="D117" s="85" t="s">
        <v>216</v>
      </c>
      <c r="E117" s="83"/>
      <c r="F117" s="86"/>
      <c r="G117" s="86"/>
      <c r="H117" s="87">
        <f>H118</f>
        <v>8433.67</v>
      </c>
    </row>
    <row r="118" spans="1:8" ht="45">
      <c r="A118" s="79" t="s">
        <v>217</v>
      </c>
      <c r="B118" s="80" t="s">
        <v>218</v>
      </c>
      <c r="C118" s="80" t="str">
        <f>VLOOKUP(B118,'Insumos e Serviços'!$A:$F,2,0)</f>
        <v>SINAPI</v>
      </c>
      <c r="D118" s="81" t="str">
        <f>VLOOKUP(B118,'Insumos e Serviços'!$A:$F,4,0)</f>
        <v>(COMPOSIÇÃO REPRESENTATIVA) DO SERVIÇO DE EMBOÇO/MASSA ÚNICA, APLICADO MANUALMENTE, TRAÇO 1:2:8, EM BETONEIRA DE 400L, PAREDES INTERNAS, COM EXECUÇÃO DE TALISCAS, EDIFICAÇÃO HABITACIONAL UNIFAMILIAR (CASAS) E EDIFICAÇÃO PÚBLICA PADRÃO. AF_12/2014</v>
      </c>
      <c r="E118" s="80" t="str">
        <f>VLOOKUP(B118,'Insumos e Serviços'!$A:$F,5,0)</f>
        <v>m²</v>
      </c>
      <c r="F118" s="82">
        <v>211</v>
      </c>
      <c r="G118" s="82">
        <f>VLOOKUP(B118,'Insumos e Serviços'!$A:$F,6,0)</f>
        <v>39.97</v>
      </c>
      <c r="H118" s="73">
        <f>TRUNC(F118*G118,2)</f>
        <v>8433.67</v>
      </c>
    </row>
    <row r="119" spans="1:8" ht="11.25">
      <c r="A119" s="83" t="s">
        <v>219</v>
      </c>
      <c r="B119" s="84"/>
      <c r="C119" s="84"/>
      <c r="D119" s="85" t="s">
        <v>220</v>
      </c>
      <c r="E119" s="83"/>
      <c r="F119" s="86"/>
      <c r="G119" s="86"/>
      <c r="H119" s="87">
        <f>SUM(H120:H121)</f>
        <v>2901.23</v>
      </c>
    </row>
    <row r="120" spans="1:8" ht="11.25">
      <c r="A120" s="79" t="s">
        <v>221</v>
      </c>
      <c r="B120" s="80" t="s">
        <v>222</v>
      </c>
      <c r="C120" s="80" t="str">
        <f>VLOOKUP(B120,'Insumos e Serviços'!$A:$F,2,0)</f>
        <v>SINAPI</v>
      </c>
      <c r="D120" s="81" t="str">
        <f>VLOOKUP(B120,'Insumos e Serviços'!$A:$F,4,0)</f>
        <v>APLICAÇÃO DE FUNDO SELADOR ACRÍLICO EM TETO, UMA DEMÃO. AF_06/2014</v>
      </c>
      <c r="E120" s="80" t="str">
        <f>VLOOKUP(B120,'Insumos e Serviços'!$A:$F,5,0)</f>
        <v>m²</v>
      </c>
      <c r="F120" s="82">
        <v>167</v>
      </c>
      <c r="G120" s="82">
        <f>VLOOKUP(B120,'Insumos e Serviços'!$A:$F,6,0)</f>
        <v>3.43</v>
      </c>
      <c r="H120" s="73">
        <f>TRUNC(F120*G120,2)</f>
        <v>572.81</v>
      </c>
    </row>
    <row r="121" spans="1:8" ht="11.25">
      <c r="A121" s="79" t="s">
        <v>223</v>
      </c>
      <c r="B121" s="80" t="s">
        <v>224</v>
      </c>
      <c r="C121" s="80" t="str">
        <f>VLOOKUP(B121,'Insumos e Serviços'!$A:$F,2,0)</f>
        <v>SINAPI</v>
      </c>
      <c r="D121" s="81" t="str">
        <f>VLOOKUP(B121,'Insumos e Serviços'!$A:$F,4,0)</f>
        <v>APLICAÇÃO DE FUNDO SELADOR ACRÍLICO EM PAREDES, UMA DEMÃO. AF_06/2014</v>
      </c>
      <c r="E121" s="80" t="str">
        <f>VLOOKUP(B121,'Insumos e Serviços'!$A:$F,5,0)</f>
        <v>m²</v>
      </c>
      <c r="F121" s="82">
        <v>771</v>
      </c>
      <c r="G121" s="82">
        <f>VLOOKUP(B121,'Insumos e Serviços'!$A:$F,6,0)</f>
        <v>3.02</v>
      </c>
      <c r="H121" s="73">
        <f>TRUNC(F121*G121,2)</f>
        <v>2328.42</v>
      </c>
    </row>
    <row r="122" spans="1:8" ht="11.25">
      <c r="A122" s="83" t="s">
        <v>225</v>
      </c>
      <c r="B122" s="84"/>
      <c r="C122" s="84"/>
      <c r="D122" s="85" t="s">
        <v>226</v>
      </c>
      <c r="E122" s="83"/>
      <c r="F122" s="86"/>
      <c r="G122" s="86"/>
      <c r="H122" s="87">
        <f>SUM(H123:H124)</f>
        <v>23756.72</v>
      </c>
    </row>
    <row r="123" spans="1:8" ht="22.5">
      <c r="A123" s="79" t="s">
        <v>227</v>
      </c>
      <c r="B123" s="80" t="s">
        <v>228</v>
      </c>
      <c r="C123" s="80" t="str">
        <f>VLOOKUP(B123,'Insumos e Serviços'!$A:$F,2,0)</f>
        <v>SINAPI</v>
      </c>
      <c r="D123" s="81" t="str">
        <f>VLOOKUP(B123,'Insumos e Serviços'!$A:$F,4,0)</f>
        <v>APLICAÇÃO MANUAL DE MASSA ACRÍLICA EM PANOS DE FACHADA COM PRESENÇA DE VÃOS, DE EDIFÍCIOS DE MÚLTIPLOS PAVIMENTOS, DUAS DEMÃOS. AF_05/2017</v>
      </c>
      <c r="E123" s="80" t="str">
        <f>VLOOKUP(B123,'Insumos e Serviços'!$A:$F,5,0)</f>
        <v>m²</v>
      </c>
      <c r="F123" s="82">
        <v>580</v>
      </c>
      <c r="G123" s="82">
        <f>VLOOKUP(B123,'Insumos e Serviços'!$A:$F,6,0)</f>
        <v>28.36</v>
      </c>
      <c r="H123" s="73">
        <f>TRUNC(F123*G123,2)</f>
        <v>16448.8</v>
      </c>
    </row>
    <row r="124" spans="1:8" ht="22.5">
      <c r="A124" s="79" t="s">
        <v>229</v>
      </c>
      <c r="B124" s="80" t="s">
        <v>230</v>
      </c>
      <c r="C124" s="80" t="str">
        <f>VLOOKUP(B124,'Insumos e Serviços'!$A:$F,2,0)</f>
        <v>SINAPI</v>
      </c>
      <c r="D124" s="81" t="str">
        <f>VLOOKUP(B124,'Insumos e Serviços'!$A:$F,4,0)</f>
        <v>APLICAÇÃO MANUAL DE MASSA ACRÍLICA EM SUPERFÍCIES INTERNAS DE SACADA DE EDIFÍCIOS DE MÚLTIPLOS PAVIMENTOS, DUAS DEMÃOS. AF_05/2017</v>
      </c>
      <c r="E124" s="80" t="str">
        <f>VLOOKUP(B124,'Insumos e Serviços'!$A:$F,5,0)</f>
        <v>m²</v>
      </c>
      <c r="F124" s="82">
        <v>167</v>
      </c>
      <c r="G124" s="82">
        <f>VLOOKUP(B124,'Insumos e Serviços'!$A:$F,6,0)</f>
        <v>43.76</v>
      </c>
      <c r="H124" s="73">
        <f>TRUNC(F124*G124,2)</f>
        <v>7307.92</v>
      </c>
    </row>
    <row r="125" spans="1:8" ht="11.25">
      <c r="A125" s="74" t="s">
        <v>231</v>
      </c>
      <c r="B125" s="75"/>
      <c r="C125" s="75"/>
      <c r="D125" s="76" t="s">
        <v>232</v>
      </c>
      <c r="E125" s="74"/>
      <c r="F125" s="77"/>
      <c r="G125" s="77"/>
      <c r="H125" s="78">
        <f>H126</f>
        <v>15425.929999999998</v>
      </c>
    </row>
    <row r="126" spans="1:8" ht="11.25">
      <c r="A126" s="83" t="s">
        <v>233</v>
      </c>
      <c r="B126" s="84"/>
      <c r="C126" s="84"/>
      <c r="D126" s="85" t="s">
        <v>234</v>
      </c>
      <c r="E126" s="83"/>
      <c r="F126" s="86"/>
      <c r="G126" s="86"/>
      <c r="H126" s="87">
        <f>SUM(H127:H129)</f>
        <v>15425.929999999998</v>
      </c>
    </row>
    <row r="127" spans="1:8" ht="22.5">
      <c r="A127" s="79" t="s">
        <v>235</v>
      </c>
      <c r="B127" s="80" t="s">
        <v>236</v>
      </c>
      <c r="C127" s="80" t="str">
        <f>VLOOKUP(B127,'Insumos e Serviços'!$A:$F,2,0)</f>
        <v>SINAPI</v>
      </c>
      <c r="D127" s="81" t="str">
        <f>VLOOKUP(B127,'Insumos e Serviços'!$A:$F,4,0)</f>
        <v>FORRO EM DRYWALL, PARA AMBIENTES COMERCIAIS, INCLUSIVE ESTRUTURA DE FIXAÇÃO. AF_05/2017_P</v>
      </c>
      <c r="E127" s="80" t="str">
        <f>VLOOKUP(B127,'Insumos e Serviços'!$A:$F,5,0)</f>
        <v>m²</v>
      </c>
      <c r="F127" s="82">
        <v>166</v>
      </c>
      <c r="G127" s="82">
        <f>VLOOKUP(B127,'Insumos e Serviços'!$A:$F,6,0)</f>
        <v>68.53</v>
      </c>
      <c r="H127" s="73">
        <f>TRUNC(F127*G127,2)</f>
        <v>11375.98</v>
      </c>
    </row>
    <row r="128" spans="1:8" ht="11.25">
      <c r="A128" s="79" t="s">
        <v>237</v>
      </c>
      <c r="B128" s="80" t="s">
        <v>238</v>
      </c>
      <c r="C128" s="80" t="s">
        <v>1305</v>
      </c>
      <c r="D128" s="81" t="s">
        <v>239</v>
      </c>
      <c r="E128" s="80" t="s">
        <v>1320</v>
      </c>
      <c r="F128" s="82">
        <v>135</v>
      </c>
      <c r="G128" s="72">
        <f>VLOOKUP(A128,'Orçamento Analítico'!$A:$H,8,0)</f>
        <v>18.69</v>
      </c>
      <c r="H128" s="73">
        <f>TRUNC(F128*G128,2)</f>
        <v>2523.15</v>
      </c>
    </row>
    <row r="129" spans="1:8" ht="22.5">
      <c r="A129" s="79" t="s">
        <v>240</v>
      </c>
      <c r="B129" s="80" t="s">
        <v>241</v>
      </c>
      <c r="C129" s="80" t="s">
        <v>1305</v>
      </c>
      <c r="D129" s="81" t="s">
        <v>242</v>
      </c>
      <c r="E129" s="80" t="s">
        <v>1307</v>
      </c>
      <c r="F129" s="82">
        <v>10</v>
      </c>
      <c r="G129" s="72">
        <f>VLOOKUP(A129,'Orçamento Analítico'!$A:$H,8,0)</f>
        <v>152.68</v>
      </c>
      <c r="H129" s="73">
        <f>TRUNC(F129*G129,2)</f>
        <v>1526.8</v>
      </c>
    </row>
    <row r="130" spans="1:8" ht="11.25">
      <c r="A130" s="74" t="s">
        <v>243</v>
      </c>
      <c r="B130" s="75"/>
      <c r="C130" s="75"/>
      <c r="D130" s="76" t="s">
        <v>244</v>
      </c>
      <c r="E130" s="74"/>
      <c r="F130" s="77"/>
      <c r="G130" s="77"/>
      <c r="H130" s="78">
        <f>H131+H134+H137+H140</f>
        <v>30170.05</v>
      </c>
    </row>
    <row r="131" spans="1:8" ht="11.25">
      <c r="A131" s="83" t="s">
        <v>245</v>
      </c>
      <c r="B131" s="84"/>
      <c r="C131" s="84"/>
      <c r="D131" s="85" t="s">
        <v>246</v>
      </c>
      <c r="E131" s="83"/>
      <c r="F131" s="86"/>
      <c r="G131" s="86"/>
      <c r="H131" s="87">
        <f>SUM(H132:H133)</f>
        <v>16581.83</v>
      </c>
    </row>
    <row r="132" spans="1:8" ht="22.5">
      <c r="A132" s="79" t="s">
        <v>247</v>
      </c>
      <c r="B132" s="80" t="s">
        <v>248</v>
      </c>
      <c r="C132" s="80" t="str">
        <f>VLOOKUP(B132,'Insumos e Serviços'!$A:$F,2,0)</f>
        <v>SINAPI</v>
      </c>
      <c r="D132" s="81" t="str">
        <f>VLOOKUP(B132,'Insumos e Serviços'!$A:$F,4,0)</f>
        <v>APLICAÇÃO MANUAL DE PINTURA COM TINTA LÁTEX ACRÍLICA EM PAREDES, DUAS DEMÃOS. AF_06/2014</v>
      </c>
      <c r="E132" s="80" t="str">
        <f>VLOOKUP(B132,'Insumos e Serviços'!$A:$F,5,0)</f>
        <v>m²</v>
      </c>
      <c r="F132" s="82">
        <v>943</v>
      </c>
      <c r="G132" s="82">
        <f>VLOOKUP(B132,'Insumos e Serviços'!$A:$F,6,0)</f>
        <v>14.31</v>
      </c>
      <c r="H132" s="73">
        <f>TRUNC(F132*G132,2)</f>
        <v>13494.33</v>
      </c>
    </row>
    <row r="133" spans="1:8" ht="22.5">
      <c r="A133" s="79" t="s">
        <v>249</v>
      </c>
      <c r="B133" s="80" t="s">
        <v>250</v>
      </c>
      <c r="C133" s="80" t="str">
        <f>VLOOKUP(B133,'Insumos e Serviços'!$A:$F,2,0)</f>
        <v>SINAPI</v>
      </c>
      <c r="D133" s="81" t="str">
        <f>VLOOKUP(B133,'Insumos e Serviços'!$A:$F,4,0)</f>
        <v>APLICAÇÃO MANUAL DE PINTURA COM TINTA LÁTEX ACRÍLICA EM TETO, DUAS DEMÃOS. AF_06/2014</v>
      </c>
      <c r="E133" s="80" t="str">
        <f>VLOOKUP(B133,'Insumos e Serviços'!$A:$F,5,0)</f>
        <v>m²</v>
      </c>
      <c r="F133" s="82">
        <v>190</v>
      </c>
      <c r="G133" s="82">
        <f>VLOOKUP(B133,'Insumos e Serviços'!$A:$F,6,0)</f>
        <v>16.25</v>
      </c>
      <c r="H133" s="73">
        <f>TRUNC(F133*G133,2)</f>
        <v>3087.5</v>
      </c>
    </row>
    <row r="134" spans="1:8" ht="11.25">
      <c r="A134" s="83" t="s">
        <v>251</v>
      </c>
      <c r="B134" s="84"/>
      <c r="C134" s="84"/>
      <c r="D134" s="85" t="s">
        <v>252</v>
      </c>
      <c r="E134" s="83"/>
      <c r="F134" s="86"/>
      <c r="G134" s="86"/>
      <c r="H134" s="87">
        <f>SUM(H135:H136)</f>
        <v>6269.94</v>
      </c>
    </row>
    <row r="135" spans="1:8" ht="22.5">
      <c r="A135" s="79" t="s">
        <v>253</v>
      </c>
      <c r="B135" s="80" t="s">
        <v>254</v>
      </c>
      <c r="C135" s="80" t="str">
        <f>VLOOKUP(B135,'Insumos e Serviços'!$A:$F,2,0)</f>
        <v>SINAPI</v>
      </c>
      <c r="D135" s="81" t="str">
        <f>VLOOKUP(B135,'Insumos e Serviços'!$A:$F,4,0)</f>
        <v>PINTURA DE PISO COM TINTA ACRÍLICA, APLICAÇÃO MANUAL, 2 DEMÃOS, INCLUSO FUNDO PREPARADOR. AF_05/2021</v>
      </c>
      <c r="E135" s="80" t="str">
        <f>VLOOKUP(B135,'Insumos e Serviços'!$A:$F,5,0)</f>
        <v>m²</v>
      </c>
      <c r="F135" s="82">
        <v>342</v>
      </c>
      <c r="G135" s="82">
        <f>VLOOKUP(B135,'Insumos e Serviços'!$A:$F,6,0)</f>
        <v>18.32</v>
      </c>
      <c r="H135" s="73">
        <f>TRUNC(F135*G135,2)</f>
        <v>6265.44</v>
      </c>
    </row>
    <row r="136" spans="1:8" ht="11.25">
      <c r="A136" s="79" t="s">
        <v>255</v>
      </c>
      <c r="B136" s="80" t="s">
        <v>256</v>
      </c>
      <c r="C136" s="80" t="str">
        <f>VLOOKUP(B136,'Insumos e Serviços'!$A:$F,2,0)</f>
        <v>SINAPI</v>
      </c>
      <c r="D136" s="81" t="str">
        <f>VLOOKUP(B136,'Insumos e Serviços'!$A:$F,4,0)</f>
        <v>PINTURA DE MEIO-FIO COM TINTA BRANCA A BASE DE CAL (CAIAÇÃO). AF_05/2021</v>
      </c>
      <c r="E136" s="80" t="str">
        <f>VLOOKUP(B136,'Insumos e Serviços'!$A:$F,5,0)</f>
        <v>M</v>
      </c>
      <c r="F136" s="82">
        <v>3</v>
      </c>
      <c r="G136" s="82">
        <f>VLOOKUP(B136,'Insumos e Serviços'!$A:$F,6,0)</f>
        <v>1.5</v>
      </c>
      <c r="H136" s="73">
        <f>TRUNC(F136*G136,2)</f>
        <v>4.5</v>
      </c>
    </row>
    <row r="137" spans="1:8" ht="11.25">
      <c r="A137" s="83" t="s">
        <v>257</v>
      </c>
      <c r="B137" s="84"/>
      <c r="C137" s="84"/>
      <c r="D137" s="85" t="s">
        <v>258</v>
      </c>
      <c r="E137" s="83"/>
      <c r="F137" s="86"/>
      <c r="G137" s="86"/>
      <c r="H137" s="87">
        <f>SUM(H138:H139)</f>
        <v>3982.2799999999997</v>
      </c>
    </row>
    <row r="138" spans="1:8" ht="33.75">
      <c r="A138" s="79" t="s">
        <v>259</v>
      </c>
      <c r="B138" s="80" t="s">
        <v>260</v>
      </c>
      <c r="C138" s="80" t="str">
        <f>VLOOKUP(B138,'Insumos e Serviços'!$A:$F,2,0)</f>
        <v>SINAPI</v>
      </c>
      <c r="D138" s="81" t="str">
        <f>VLOOKUP(B138,'Insumos e Serviços'!$A:$F,4,0)</f>
        <v>PINTURA COM TINTA ALQUÍDICA DE ACABAMENTO (ESMALTE SINTÉTICO ACETINADO) APLICADA A ROLO OU PINCEL SOBRE SUPERFÍCIES METÁLICAS (EXCETO PERFIL) EXECUTADO EM OBRA (02 DEMÃOS). AF_01/2020</v>
      </c>
      <c r="E138" s="80" t="str">
        <f>VLOOKUP(B138,'Insumos e Serviços'!$A:$F,5,0)</f>
        <v>m²</v>
      </c>
      <c r="F138" s="82">
        <v>80</v>
      </c>
      <c r="G138" s="82">
        <f>VLOOKUP(B138,'Insumos e Serviços'!$A:$F,6,0)</f>
        <v>47.92</v>
      </c>
      <c r="H138" s="73">
        <f>TRUNC(F138*G138,2)</f>
        <v>3833.6</v>
      </c>
    </row>
    <row r="139" spans="1:8" ht="33.75">
      <c r="A139" s="79" t="s">
        <v>261</v>
      </c>
      <c r="B139" s="80" t="s">
        <v>262</v>
      </c>
      <c r="C139" s="80" t="s">
        <v>1305</v>
      </c>
      <c r="D139" s="81" t="s">
        <v>263</v>
      </c>
      <c r="E139" s="80" t="s">
        <v>1316</v>
      </c>
      <c r="F139" s="82">
        <v>7</v>
      </c>
      <c r="G139" s="72">
        <f>VLOOKUP(A139,'Orçamento Analítico'!$A:$H,8,0)</f>
        <v>21.240000000000002</v>
      </c>
      <c r="H139" s="73">
        <f>TRUNC(F139*G139,2)</f>
        <v>148.68</v>
      </c>
    </row>
    <row r="140" spans="1:8" ht="11.25">
      <c r="A140" s="83" t="s">
        <v>264</v>
      </c>
      <c r="B140" s="84"/>
      <c r="C140" s="84"/>
      <c r="D140" s="85" t="s">
        <v>265</v>
      </c>
      <c r="E140" s="83"/>
      <c r="F140" s="86"/>
      <c r="G140" s="86"/>
      <c r="H140" s="87">
        <f>H141</f>
        <v>3336</v>
      </c>
    </row>
    <row r="141" spans="1:8" ht="22.5">
      <c r="A141" s="79" t="s">
        <v>266</v>
      </c>
      <c r="B141" s="80">
        <v>88423</v>
      </c>
      <c r="C141" s="80" t="str">
        <f>VLOOKUP(B141,'Insumos e Serviços'!$A:$F,2,0)</f>
        <v>SINAPI</v>
      </c>
      <c r="D141" s="81" t="str">
        <f>VLOOKUP(B141,'Insumos e Serviços'!$A:$F,4,0)</f>
        <v>APLICAÇÃO MANUAL DE PINTURA COM TINTA TEXTURIZADA ACRÍLICA EM PAREDES EXTERNAS DE CASAS, UMA COR. AF_06/2014</v>
      </c>
      <c r="E141" s="80" t="str">
        <f>VLOOKUP(B141,'Insumos e Serviços'!$A:$F,5,0)</f>
        <v>m²</v>
      </c>
      <c r="F141" s="82">
        <v>200</v>
      </c>
      <c r="G141" s="82">
        <f>VLOOKUP(B141,'Insumos e Serviços'!$A:$F,6,0)</f>
        <v>16.68</v>
      </c>
      <c r="H141" s="73">
        <f>TRUNC(F141*G141,2)</f>
        <v>3336</v>
      </c>
    </row>
    <row r="142" spans="1:8" ht="11.25">
      <c r="A142" s="62" t="s">
        <v>267</v>
      </c>
      <c r="B142" s="63"/>
      <c r="C142" s="63"/>
      <c r="D142" s="64" t="s">
        <v>268</v>
      </c>
      <c r="E142" s="63"/>
      <c r="F142" s="65"/>
      <c r="G142" s="66"/>
      <c r="H142" s="67">
        <f>H143+H148+H154+H160</f>
        <v>83983.82</v>
      </c>
    </row>
    <row r="143" spans="1:8" ht="11.25">
      <c r="A143" s="74" t="s">
        <v>269</v>
      </c>
      <c r="B143" s="75"/>
      <c r="C143" s="75"/>
      <c r="D143" s="76" t="s">
        <v>270</v>
      </c>
      <c r="E143" s="74"/>
      <c r="F143" s="77"/>
      <c r="G143" s="77"/>
      <c r="H143" s="78">
        <f>SUM(H144:H147)</f>
        <v>22963.11</v>
      </c>
    </row>
    <row r="144" spans="1:8" ht="22.5">
      <c r="A144" s="79" t="s">
        <v>271</v>
      </c>
      <c r="B144" s="80" t="s">
        <v>272</v>
      </c>
      <c r="C144" s="80" t="s">
        <v>1305</v>
      </c>
      <c r="D144" s="81" t="s">
        <v>273</v>
      </c>
      <c r="E144" s="80" t="s">
        <v>1316</v>
      </c>
      <c r="F144" s="82">
        <v>103</v>
      </c>
      <c r="G144" s="72">
        <f>VLOOKUP(A144,'Orçamento Analítico'!$A:$H,8,0)</f>
        <v>123.86999999999999</v>
      </c>
      <c r="H144" s="73">
        <f>TRUNC(F144*G144,2)</f>
        <v>12758.61</v>
      </c>
    </row>
    <row r="145" spans="1:8" ht="22.5">
      <c r="A145" s="79" t="s">
        <v>274</v>
      </c>
      <c r="B145" s="80" t="s">
        <v>275</v>
      </c>
      <c r="C145" s="80" t="s">
        <v>1305</v>
      </c>
      <c r="D145" s="81" t="s">
        <v>276</v>
      </c>
      <c r="E145" s="80" t="s">
        <v>1316</v>
      </c>
      <c r="F145" s="82">
        <v>16</v>
      </c>
      <c r="G145" s="72">
        <f>VLOOKUP(A145,'Orçamento Analítico'!$A:$H,8,0)</f>
        <v>107.94</v>
      </c>
      <c r="H145" s="73">
        <f>TRUNC(F145*G145,2)</f>
        <v>1727.04</v>
      </c>
    </row>
    <row r="146" spans="1:8" ht="22.5">
      <c r="A146" s="79" t="s">
        <v>277</v>
      </c>
      <c r="B146" s="80" t="s">
        <v>278</v>
      </c>
      <c r="C146" s="80" t="s">
        <v>1305</v>
      </c>
      <c r="D146" s="81" t="s">
        <v>279</v>
      </c>
      <c r="E146" s="80" t="s">
        <v>1316</v>
      </c>
      <c r="F146" s="82">
        <v>25</v>
      </c>
      <c r="G146" s="72">
        <f>VLOOKUP(A146,'Orçamento Analítico'!$A:$H,8,0)</f>
        <v>321.78000000000003</v>
      </c>
      <c r="H146" s="73">
        <f>TRUNC(F146*G146,2)</f>
        <v>8044.5</v>
      </c>
    </row>
    <row r="147" spans="1:8" ht="11.25">
      <c r="A147" s="79" t="s">
        <v>280</v>
      </c>
      <c r="B147" s="80" t="s">
        <v>281</v>
      </c>
      <c r="C147" s="80" t="str">
        <f>VLOOKUP(B147,'Insumos e Serviços'!$A:$F,2,0)</f>
        <v>SINAPI</v>
      </c>
      <c r="D147" s="81" t="str">
        <f>VLOOKUP(B147,'Insumos e Serviços'!$A:$F,4,0)</f>
        <v>LIMPEZA DE SUPERFÍCIE COM JATO DE ALTA PRESSÃO. AF_04/2019</v>
      </c>
      <c r="E147" s="80" t="str">
        <f>VLOOKUP(B147,'Insumos e Serviços'!$A:$F,5,0)</f>
        <v>m²</v>
      </c>
      <c r="F147" s="82">
        <v>246</v>
      </c>
      <c r="G147" s="82">
        <f>VLOOKUP(B147,'Insumos e Serviços'!$A:$F,6,0)</f>
        <v>1.76</v>
      </c>
      <c r="H147" s="73">
        <f>TRUNC(F147*G147,2)</f>
        <v>432.96</v>
      </c>
    </row>
    <row r="148" spans="1:8" ht="11.25">
      <c r="A148" s="74" t="s">
        <v>282</v>
      </c>
      <c r="B148" s="75"/>
      <c r="C148" s="75"/>
      <c r="D148" s="76" t="s">
        <v>283</v>
      </c>
      <c r="E148" s="74"/>
      <c r="F148" s="77"/>
      <c r="G148" s="77"/>
      <c r="H148" s="78">
        <f>SUM(H149:H153)</f>
        <v>38129.05</v>
      </c>
    </row>
    <row r="149" spans="1:8" ht="33.75">
      <c r="A149" s="79" t="s">
        <v>284</v>
      </c>
      <c r="B149" s="80" t="s">
        <v>285</v>
      </c>
      <c r="C149" s="80" t="s">
        <v>1305</v>
      </c>
      <c r="D149" s="81" t="s">
        <v>286</v>
      </c>
      <c r="E149" s="80" t="s">
        <v>1316</v>
      </c>
      <c r="F149" s="82">
        <v>141</v>
      </c>
      <c r="G149" s="72">
        <f>VLOOKUP(A149,'Orçamento Analítico'!$A:$H,8,0)</f>
        <v>76.11</v>
      </c>
      <c r="H149" s="73">
        <f>TRUNC(F149*G149,2)</f>
        <v>10731.51</v>
      </c>
    </row>
    <row r="150" spans="1:8" ht="33.75">
      <c r="A150" s="79" t="s">
        <v>287</v>
      </c>
      <c r="B150" s="80" t="s">
        <v>288</v>
      </c>
      <c r="C150" s="80" t="s">
        <v>1305</v>
      </c>
      <c r="D150" s="81" t="s">
        <v>289</v>
      </c>
      <c r="E150" s="80" t="s">
        <v>1316</v>
      </c>
      <c r="F150" s="82">
        <v>92</v>
      </c>
      <c r="G150" s="72">
        <f>VLOOKUP(A150,'Orçamento Analítico'!$A:$H,8,0)</f>
        <v>107.66000000000001</v>
      </c>
      <c r="H150" s="73">
        <f>TRUNC(F150*G150,2)</f>
        <v>9904.72</v>
      </c>
    </row>
    <row r="151" spans="1:8" ht="33.75">
      <c r="A151" s="79" t="s">
        <v>290</v>
      </c>
      <c r="B151" s="80" t="s">
        <v>291</v>
      </c>
      <c r="C151" s="80" t="s">
        <v>1305</v>
      </c>
      <c r="D151" s="81" t="s">
        <v>292</v>
      </c>
      <c r="E151" s="80" t="s">
        <v>1316</v>
      </c>
      <c r="F151" s="82">
        <v>180</v>
      </c>
      <c r="G151" s="72">
        <f>VLOOKUP(A151,'Orçamento Analítico'!$A:$H,8,0)</f>
        <v>61.32</v>
      </c>
      <c r="H151" s="73">
        <f>TRUNC(F151*G151,2)</f>
        <v>11037.6</v>
      </c>
    </row>
    <row r="152" spans="1:8" ht="33.75">
      <c r="A152" s="79" t="s">
        <v>293</v>
      </c>
      <c r="B152" s="80" t="s">
        <v>294</v>
      </c>
      <c r="C152" s="80" t="s">
        <v>1305</v>
      </c>
      <c r="D152" s="81" t="s">
        <v>295</v>
      </c>
      <c r="E152" s="80" t="s">
        <v>1316</v>
      </c>
      <c r="F152" s="82">
        <v>92</v>
      </c>
      <c r="G152" s="72">
        <f>VLOOKUP(A152,'Orçamento Analítico'!$A:$H,8,0)</f>
        <v>69.71</v>
      </c>
      <c r="H152" s="73">
        <f>TRUNC(F152*G152,2)</f>
        <v>6413.32</v>
      </c>
    </row>
    <row r="153" spans="1:8" ht="33.75">
      <c r="A153" s="79" t="s">
        <v>296</v>
      </c>
      <c r="B153" s="80" t="s">
        <v>297</v>
      </c>
      <c r="C153" s="80" t="s">
        <v>1305</v>
      </c>
      <c r="D153" s="81" t="s">
        <v>298</v>
      </c>
      <c r="E153" s="80" t="s">
        <v>1307</v>
      </c>
      <c r="F153" s="82">
        <v>1</v>
      </c>
      <c r="G153" s="72">
        <f>VLOOKUP(A153,'Orçamento Analítico'!$A:$H,8,0)</f>
        <v>41.9</v>
      </c>
      <c r="H153" s="73">
        <f>TRUNC(F153*G153,2)</f>
        <v>41.9</v>
      </c>
    </row>
    <row r="154" spans="1:8" ht="11.25">
      <c r="A154" s="74" t="s">
        <v>299</v>
      </c>
      <c r="B154" s="75"/>
      <c r="C154" s="75"/>
      <c r="D154" s="76" t="s">
        <v>300</v>
      </c>
      <c r="E154" s="74"/>
      <c r="F154" s="77"/>
      <c r="G154" s="77"/>
      <c r="H154" s="78">
        <f>SUM(H155:H159)</f>
        <v>21443.969999999998</v>
      </c>
    </row>
    <row r="155" spans="1:8" ht="33.75">
      <c r="A155" s="79" t="s">
        <v>301</v>
      </c>
      <c r="B155" s="80" t="s">
        <v>302</v>
      </c>
      <c r="C155" s="80" t="s">
        <v>1305</v>
      </c>
      <c r="D155" s="81" t="s">
        <v>303</v>
      </c>
      <c r="E155" s="80" t="s">
        <v>1316</v>
      </c>
      <c r="F155" s="82">
        <v>165</v>
      </c>
      <c r="G155" s="72">
        <f>VLOOKUP(A155,'Orçamento Analítico'!$A:$H,8,0)</f>
        <v>117.67</v>
      </c>
      <c r="H155" s="73">
        <f>TRUNC(F155*G155,2)</f>
        <v>19415.55</v>
      </c>
    </row>
    <row r="156" spans="1:8" ht="22.5">
      <c r="A156" s="79" t="s">
        <v>304</v>
      </c>
      <c r="B156" s="80" t="s">
        <v>305</v>
      </c>
      <c r="C156" s="80" t="s">
        <v>1305</v>
      </c>
      <c r="D156" s="81" t="s">
        <v>306</v>
      </c>
      <c r="E156" s="80" t="s">
        <v>1316</v>
      </c>
      <c r="F156" s="82">
        <v>39</v>
      </c>
      <c r="G156" s="72">
        <f>VLOOKUP(A156,'Orçamento Analítico'!$A:$H,8,0)</f>
        <v>10.96</v>
      </c>
      <c r="H156" s="73">
        <f>TRUNC(F156*G156,2)</f>
        <v>427.44</v>
      </c>
    </row>
    <row r="157" spans="1:8" ht="22.5">
      <c r="A157" s="79" t="s">
        <v>307</v>
      </c>
      <c r="B157" s="80" t="s">
        <v>308</v>
      </c>
      <c r="C157" s="80" t="s">
        <v>1305</v>
      </c>
      <c r="D157" s="81" t="s">
        <v>309</v>
      </c>
      <c r="E157" s="80" t="s">
        <v>1316</v>
      </c>
      <c r="F157" s="82">
        <v>21</v>
      </c>
      <c r="G157" s="72">
        <f>VLOOKUP(A157,'Orçamento Analítico'!$A:$H,8,0)</f>
        <v>29.72</v>
      </c>
      <c r="H157" s="73">
        <f>TRUNC(F157*G157,2)</f>
        <v>624.12</v>
      </c>
    </row>
    <row r="158" spans="1:8" ht="22.5">
      <c r="A158" s="79" t="s">
        <v>310</v>
      </c>
      <c r="B158" s="80" t="s">
        <v>311</v>
      </c>
      <c r="C158" s="80" t="s">
        <v>1305</v>
      </c>
      <c r="D158" s="81" t="s">
        <v>312</v>
      </c>
      <c r="E158" s="80" t="s">
        <v>1316</v>
      </c>
      <c r="F158" s="82">
        <v>6</v>
      </c>
      <c r="G158" s="72">
        <f>VLOOKUP(A158,'Orçamento Analítico'!$A:$H,8,0)</f>
        <v>118.7</v>
      </c>
      <c r="H158" s="73">
        <f>TRUNC(F158*G158,2)</f>
        <v>712.2</v>
      </c>
    </row>
    <row r="159" spans="1:8" ht="22.5">
      <c r="A159" s="79" t="s">
        <v>313</v>
      </c>
      <c r="B159" s="80" t="s">
        <v>314</v>
      </c>
      <c r="C159" s="80" t="str">
        <f>VLOOKUP(B159,'Insumos e Serviços'!$A:$F,2,0)</f>
        <v>SINAPI</v>
      </c>
      <c r="D159" s="81" t="str">
        <f>VLOOKUP(B159,'Insumos e Serviços'!$A:$F,4,0)</f>
        <v>IMPERMEABILIZAÇÃO DE SUPERFÍCIE COM EMULSÃO ASFÁLTICA, 2 DEMÃOS AF_06/2018</v>
      </c>
      <c r="E159" s="80" t="str">
        <f>VLOOKUP(B159,'Insumos e Serviços'!$A:$F,5,0)</f>
        <v>m²</v>
      </c>
      <c r="F159" s="82">
        <v>6</v>
      </c>
      <c r="G159" s="82">
        <f>VLOOKUP(B159,'Insumos e Serviços'!$A:$F,6,0)</f>
        <v>44.11</v>
      </c>
      <c r="H159" s="73">
        <f>TRUNC(F159*G159,2)</f>
        <v>264.66</v>
      </c>
    </row>
    <row r="160" spans="1:8" ht="11.25">
      <c r="A160" s="74" t="s">
        <v>315</v>
      </c>
      <c r="B160" s="75"/>
      <c r="C160" s="75"/>
      <c r="D160" s="76" t="s">
        <v>316</v>
      </c>
      <c r="E160" s="74"/>
      <c r="F160" s="77"/>
      <c r="G160" s="77"/>
      <c r="H160" s="78">
        <f>SUM(H161:H163)</f>
        <v>1447.69</v>
      </c>
    </row>
    <row r="161" spans="1:8" ht="22.5">
      <c r="A161" s="79" t="s">
        <v>317</v>
      </c>
      <c r="B161" s="80" t="s">
        <v>318</v>
      </c>
      <c r="C161" s="80" t="s">
        <v>1305</v>
      </c>
      <c r="D161" s="81" t="s">
        <v>319</v>
      </c>
      <c r="E161" s="80" t="s">
        <v>1320</v>
      </c>
      <c r="F161" s="82">
        <v>5</v>
      </c>
      <c r="G161" s="72">
        <f>VLOOKUP(A161,'Orçamento Analítico'!$A:$H,8,0)</f>
        <v>59.92</v>
      </c>
      <c r="H161" s="73">
        <f>TRUNC(F161*G161,2)</f>
        <v>299.6</v>
      </c>
    </row>
    <row r="162" spans="1:8" ht="22.5">
      <c r="A162" s="79" t="s">
        <v>320</v>
      </c>
      <c r="B162" s="80" t="s">
        <v>321</v>
      </c>
      <c r="C162" s="80" t="s">
        <v>1305</v>
      </c>
      <c r="D162" s="81" t="s">
        <v>322</v>
      </c>
      <c r="E162" s="80" t="s">
        <v>1320</v>
      </c>
      <c r="F162" s="82">
        <v>12</v>
      </c>
      <c r="G162" s="72">
        <f>VLOOKUP(A162,'Orçamento Analítico'!$A:$H,8,0)</f>
        <v>73.22</v>
      </c>
      <c r="H162" s="73">
        <f>TRUNC(F162*G162,2)</f>
        <v>878.64</v>
      </c>
    </row>
    <row r="163" spans="1:8" ht="11.25">
      <c r="A163" s="79" t="s">
        <v>323</v>
      </c>
      <c r="B163" s="80" t="s">
        <v>324</v>
      </c>
      <c r="C163" s="80" t="s">
        <v>1305</v>
      </c>
      <c r="D163" s="81" t="s">
        <v>325</v>
      </c>
      <c r="E163" s="80" t="s">
        <v>1320</v>
      </c>
      <c r="F163" s="82">
        <v>17</v>
      </c>
      <c r="G163" s="72">
        <f>VLOOKUP(A163,'Orçamento Analítico'!$A:$H,8,0)</f>
        <v>15.85</v>
      </c>
      <c r="H163" s="73">
        <f>TRUNC(F163*G163,2)</f>
        <v>269.45</v>
      </c>
    </row>
    <row r="164" spans="1:8" ht="11.25">
      <c r="A164" s="62" t="s">
        <v>326</v>
      </c>
      <c r="B164" s="63"/>
      <c r="C164" s="63"/>
      <c r="D164" s="64" t="s">
        <v>327</v>
      </c>
      <c r="E164" s="63"/>
      <c r="F164" s="65"/>
      <c r="G164" s="66"/>
      <c r="H164" s="67">
        <f>H165+H167</f>
        <v>20294.870000000003</v>
      </c>
    </row>
    <row r="165" spans="1:8" ht="11.25">
      <c r="A165" s="74" t="s">
        <v>328</v>
      </c>
      <c r="B165" s="75"/>
      <c r="C165" s="75"/>
      <c r="D165" s="76" t="s">
        <v>329</v>
      </c>
      <c r="E165" s="74"/>
      <c r="F165" s="77"/>
      <c r="G165" s="77"/>
      <c r="H165" s="78">
        <f>H166</f>
        <v>5659.68</v>
      </c>
    </row>
    <row r="166" spans="1:8" ht="22.5">
      <c r="A166" s="79" t="s">
        <v>330</v>
      </c>
      <c r="B166" s="80" t="s">
        <v>331</v>
      </c>
      <c r="C166" s="80" t="s">
        <v>1305</v>
      </c>
      <c r="D166" s="81" t="s">
        <v>332</v>
      </c>
      <c r="E166" s="80" t="s">
        <v>1320</v>
      </c>
      <c r="F166" s="82">
        <v>48</v>
      </c>
      <c r="G166" s="72">
        <f>VLOOKUP(A166,'Orçamento Analítico'!$A:$H,8,0)</f>
        <v>117.91000000000001</v>
      </c>
      <c r="H166" s="73">
        <f>TRUNC(F166*G166,2)</f>
        <v>5659.68</v>
      </c>
    </row>
    <row r="167" spans="1:8" ht="11.25">
      <c r="A167" s="74" t="s">
        <v>333</v>
      </c>
      <c r="B167" s="75"/>
      <c r="C167" s="75"/>
      <c r="D167" s="76" t="s">
        <v>334</v>
      </c>
      <c r="E167" s="74"/>
      <c r="F167" s="77"/>
      <c r="G167" s="77"/>
      <c r="H167" s="78">
        <f>H168</f>
        <v>14635.19</v>
      </c>
    </row>
    <row r="168" spans="1:8" ht="11.25">
      <c r="A168" s="79" t="s">
        <v>335</v>
      </c>
      <c r="B168" s="80" t="s">
        <v>336</v>
      </c>
      <c r="C168" s="80" t="s">
        <v>1305</v>
      </c>
      <c r="D168" s="81" t="s">
        <v>337</v>
      </c>
      <c r="E168" s="80" t="s">
        <v>1328</v>
      </c>
      <c r="F168" s="82">
        <v>1</v>
      </c>
      <c r="G168" s="72">
        <f>VLOOKUP(A168,'Orçamento Analítico'!$A:$H,8,0)</f>
        <v>14635.189999999999</v>
      </c>
      <c r="H168" s="73">
        <f>TRUNC(F168*G168,2)</f>
        <v>14635.19</v>
      </c>
    </row>
    <row r="169" spans="1:8" ht="11.25">
      <c r="A169" s="62" t="s">
        <v>338</v>
      </c>
      <c r="B169" s="63"/>
      <c r="C169" s="63"/>
      <c r="D169" s="64" t="s">
        <v>339</v>
      </c>
      <c r="E169" s="63"/>
      <c r="F169" s="65"/>
      <c r="G169" s="66"/>
      <c r="H169" s="67">
        <f>H170+H175</f>
        <v>12851.39</v>
      </c>
    </row>
    <row r="170" spans="1:8" ht="11.25">
      <c r="A170" s="74" t="s">
        <v>340</v>
      </c>
      <c r="B170" s="75"/>
      <c r="C170" s="75"/>
      <c r="D170" s="76" t="s">
        <v>341</v>
      </c>
      <c r="E170" s="74"/>
      <c r="F170" s="77"/>
      <c r="G170" s="77"/>
      <c r="H170" s="78">
        <f>SUM(H171:H174)</f>
        <v>8148.51</v>
      </c>
    </row>
    <row r="171" spans="1:8" ht="11.25">
      <c r="A171" s="79" t="s">
        <v>342</v>
      </c>
      <c r="B171" s="80" t="s">
        <v>343</v>
      </c>
      <c r="C171" s="80" t="s">
        <v>1305</v>
      </c>
      <c r="D171" s="81" t="s">
        <v>344</v>
      </c>
      <c r="E171" s="80" t="s">
        <v>1328</v>
      </c>
      <c r="F171" s="82">
        <v>1</v>
      </c>
      <c r="G171" s="72">
        <f>VLOOKUP(A171,'Orçamento Analítico'!$A:$H,8,0)</f>
        <v>81.00999999999999</v>
      </c>
      <c r="H171" s="73">
        <f>TRUNC(F171*G171,2)</f>
        <v>81.01</v>
      </c>
    </row>
    <row r="172" spans="1:8" ht="11.25">
      <c r="A172" s="79" t="s">
        <v>345</v>
      </c>
      <c r="B172" s="80" t="s">
        <v>346</v>
      </c>
      <c r="C172" s="80" t="s">
        <v>1305</v>
      </c>
      <c r="D172" s="81" t="s">
        <v>347</v>
      </c>
      <c r="E172" s="80" t="s">
        <v>1316</v>
      </c>
      <c r="F172" s="82">
        <v>12</v>
      </c>
      <c r="G172" s="72">
        <f>VLOOKUP(A172,'Orçamento Analítico'!$A:$H,8,0)</f>
        <v>193.14</v>
      </c>
      <c r="H172" s="73">
        <f>TRUNC(F172*G172,2)</f>
        <v>2317.68</v>
      </c>
    </row>
    <row r="173" spans="1:8" ht="11.25">
      <c r="A173" s="79" t="s">
        <v>348</v>
      </c>
      <c r="B173" s="80" t="s">
        <v>349</v>
      </c>
      <c r="C173" s="80" t="s">
        <v>1305</v>
      </c>
      <c r="D173" s="81" t="s">
        <v>350</v>
      </c>
      <c r="E173" s="80" t="s">
        <v>1328</v>
      </c>
      <c r="F173" s="82">
        <v>1</v>
      </c>
      <c r="G173" s="72">
        <f>VLOOKUP(A173,'Orçamento Analítico'!$A:$H,8,0)</f>
        <v>623.16</v>
      </c>
      <c r="H173" s="73">
        <f>TRUNC(F173*G173,2)</f>
        <v>623.16</v>
      </c>
    </row>
    <row r="174" spans="1:8" ht="22.5">
      <c r="A174" s="79" t="s">
        <v>351</v>
      </c>
      <c r="B174" s="80" t="s">
        <v>352</v>
      </c>
      <c r="C174" s="80" t="s">
        <v>1305</v>
      </c>
      <c r="D174" s="81" t="s">
        <v>353</v>
      </c>
      <c r="E174" s="80" t="s">
        <v>57</v>
      </c>
      <c r="F174" s="82">
        <v>154</v>
      </c>
      <c r="G174" s="72">
        <f>VLOOKUP(A174,'Orçamento Analítico'!$A:$H,8,0)</f>
        <v>33.29</v>
      </c>
      <c r="H174" s="73">
        <f>TRUNC(F174*G174,2)</f>
        <v>5126.66</v>
      </c>
    </row>
    <row r="175" spans="1:8" ht="11.25">
      <c r="A175" s="74" t="s">
        <v>354</v>
      </c>
      <c r="B175" s="75"/>
      <c r="C175" s="75"/>
      <c r="D175" s="76" t="s">
        <v>355</v>
      </c>
      <c r="E175" s="74"/>
      <c r="F175" s="77"/>
      <c r="G175" s="77"/>
      <c r="H175" s="78">
        <f>H176</f>
        <v>4702.88</v>
      </c>
    </row>
    <row r="176" spans="1:8" ht="11.25">
      <c r="A176" s="79" t="s">
        <v>356</v>
      </c>
      <c r="B176" s="80" t="s">
        <v>357</v>
      </c>
      <c r="C176" s="80" t="s">
        <v>1305</v>
      </c>
      <c r="D176" s="81" t="s">
        <v>358</v>
      </c>
      <c r="E176" s="80" t="s">
        <v>1320</v>
      </c>
      <c r="F176" s="82">
        <v>16</v>
      </c>
      <c r="G176" s="72">
        <f>VLOOKUP(A176,'Orçamento Analítico'!$A:$H,8,0)</f>
        <v>293.93</v>
      </c>
      <c r="H176" s="73">
        <f>TRUNC(F176*G176,2)</f>
        <v>4702.88</v>
      </c>
    </row>
    <row r="177" spans="1:8" ht="11.25">
      <c r="A177" s="56" t="s">
        <v>1273</v>
      </c>
      <c r="B177" s="57"/>
      <c r="C177" s="57"/>
      <c r="D177" s="58" t="s">
        <v>359</v>
      </c>
      <c r="E177" s="56"/>
      <c r="F177" s="59"/>
      <c r="G177" s="60"/>
      <c r="H177" s="61">
        <f>H178</f>
        <v>2738.9700000000003</v>
      </c>
    </row>
    <row r="178" spans="1:8" ht="11.25">
      <c r="A178" s="62" t="s">
        <v>360</v>
      </c>
      <c r="B178" s="63"/>
      <c r="C178" s="63"/>
      <c r="D178" s="64" t="s">
        <v>361</v>
      </c>
      <c r="E178" s="63"/>
      <c r="F178" s="65"/>
      <c r="G178" s="66"/>
      <c r="H178" s="67">
        <f>SUM(H179:H183)</f>
        <v>2738.9700000000003</v>
      </c>
    </row>
    <row r="179" spans="1:8" ht="11.25">
      <c r="A179" s="79" t="s">
        <v>362</v>
      </c>
      <c r="B179" s="80" t="s">
        <v>363</v>
      </c>
      <c r="C179" s="80" t="str">
        <f>VLOOKUP(B179,'Insumos e Serviços'!$A:$F,2,0)</f>
        <v>SINAPI</v>
      </c>
      <c r="D179" s="81" t="str">
        <f>VLOOKUP(B179,'Insumos e Serviços'!$A:$F,4,0)</f>
        <v>LIMPEZA DE CONTRAPISO COM VASSOURA A SECO. AF_04/2019</v>
      </c>
      <c r="E179" s="80" t="str">
        <f>VLOOKUP(B179,'Insumos e Serviços'!$A:$F,5,0)</f>
        <v>m²</v>
      </c>
      <c r="F179" s="82">
        <v>271</v>
      </c>
      <c r="G179" s="82">
        <f>VLOOKUP(B179,'Insumos e Serviços'!$A:$F,6,0)</f>
        <v>3.19</v>
      </c>
      <c r="H179" s="73">
        <f>TRUNC(F179*G179,2)</f>
        <v>864.49</v>
      </c>
    </row>
    <row r="180" spans="1:8" ht="11.25">
      <c r="A180" s="79" t="s">
        <v>364</v>
      </c>
      <c r="B180" s="80" t="s">
        <v>365</v>
      </c>
      <c r="C180" s="80" t="str">
        <f>VLOOKUP(B180,'Insumos e Serviços'!$A:$F,2,0)</f>
        <v>SINAPI</v>
      </c>
      <c r="D180" s="81" t="str">
        <f>VLOOKUP(B180,'Insumos e Serviços'!$A:$F,4,0)</f>
        <v>LIMPEZA DE JANELA DE VIDRO COM CAIXILHO EM AÇO/ALUMÍNIO/PVC. AF_04/2019</v>
      </c>
      <c r="E180" s="80" t="str">
        <f>VLOOKUP(B180,'Insumos e Serviços'!$A:$F,5,0)</f>
        <v>m²</v>
      </c>
      <c r="F180" s="82">
        <v>8</v>
      </c>
      <c r="G180" s="82">
        <f>VLOOKUP(B180,'Insumos e Serviços'!$A:$F,6,0)</f>
        <v>2.73</v>
      </c>
      <c r="H180" s="73">
        <f>TRUNC(F180*G180,2)</f>
        <v>21.84</v>
      </c>
    </row>
    <row r="181" spans="1:8" ht="11.25">
      <c r="A181" s="79" t="s">
        <v>366</v>
      </c>
      <c r="B181" s="80" t="s">
        <v>367</v>
      </c>
      <c r="C181" s="80" t="str">
        <f>VLOOKUP(B181,'Insumos e Serviços'!$A:$F,2,0)</f>
        <v>SINAPI</v>
      </c>
      <c r="D181" s="81" t="str">
        <f>VLOOKUP(B181,'Insumos e Serviços'!$A:$F,4,0)</f>
        <v>LIMPEZA DE PORTA EM AÇO/ALUMÍNIO. AF_04/2019</v>
      </c>
      <c r="E181" s="80" t="str">
        <f>VLOOKUP(B181,'Insumos e Serviços'!$A:$F,5,0)</f>
        <v>m²</v>
      </c>
      <c r="F181" s="82">
        <v>6</v>
      </c>
      <c r="G181" s="82">
        <f>VLOOKUP(B181,'Insumos e Serviços'!$A:$F,6,0)</f>
        <v>2.27</v>
      </c>
      <c r="H181" s="73">
        <f>TRUNC(F181*G181,2)</f>
        <v>13.62</v>
      </c>
    </row>
    <row r="182" spans="1:8" ht="11.25">
      <c r="A182" s="79" t="s">
        <v>368</v>
      </c>
      <c r="B182" s="80" t="s">
        <v>369</v>
      </c>
      <c r="C182" s="80" t="s">
        <v>1305</v>
      </c>
      <c r="D182" s="81" t="s">
        <v>370</v>
      </c>
      <c r="E182" s="80" t="s">
        <v>1316</v>
      </c>
      <c r="F182" s="82">
        <v>429</v>
      </c>
      <c r="G182" s="72">
        <f>VLOOKUP(A182,'Orçamento Analítico'!$A:$H,8,0)</f>
        <v>1.88</v>
      </c>
      <c r="H182" s="73">
        <f>TRUNC(F182*G182,2)</f>
        <v>806.52</v>
      </c>
    </row>
    <row r="183" spans="1:8" ht="11.25">
      <c r="A183" s="79" t="s">
        <v>371</v>
      </c>
      <c r="B183" s="80" t="s">
        <v>372</v>
      </c>
      <c r="C183" s="80" t="s">
        <v>1305</v>
      </c>
      <c r="D183" s="81" t="s">
        <v>373</v>
      </c>
      <c r="E183" s="80" t="s">
        <v>1316</v>
      </c>
      <c r="F183" s="82">
        <v>125</v>
      </c>
      <c r="G183" s="72">
        <f>VLOOKUP(A183,'Orçamento Analítico'!$A:$H,8,0)</f>
        <v>8.26</v>
      </c>
      <c r="H183" s="73">
        <f>TRUNC(F183*G183,2)</f>
        <v>1032.5</v>
      </c>
    </row>
    <row r="184" spans="1:8" ht="11.25">
      <c r="A184" s="56" t="s">
        <v>1274</v>
      </c>
      <c r="B184" s="57"/>
      <c r="C184" s="57"/>
      <c r="D184" s="58" t="s">
        <v>374</v>
      </c>
      <c r="E184" s="56"/>
      <c r="F184" s="59"/>
      <c r="G184" s="60"/>
      <c r="H184" s="61">
        <f>H185</f>
        <v>1073.28</v>
      </c>
    </row>
    <row r="185" spans="1:8" ht="11.25">
      <c r="A185" s="62" t="s">
        <v>375</v>
      </c>
      <c r="B185" s="63"/>
      <c r="C185" s="63"/>
      <c r="D185" s="64" t="s">
        <v>376</v>
      </c>
      <c r="E185" s="63"/>
      <c r="F185" s="65"/>
      <c r="G185" s="66"/>
      <c r="H185" s="67">
        <f>H186</f>
        <v>1073.28</v>
      </c>
    </row>
    <row r="186" spans="1:8" ht="22.5">
      <c r="A186" s="79" t="s">
        <v>377</v>
      </c>
      <c r="B186" s="80" t="s">
        <v>378</v>
      </c>
      <c r="C186" s="80" t="str">
        <f>VLOOKUP(B186,'Insumos e Serviços'!$A:$F,2,0)</f>
        <v>SINAPI</v>
      </c>
      <c r="D186" s="81" t="str">
        <f>VLOOKUP(B186,'Insumos e Serviços'!$A:$F,4,0)</f>
        <v>ESTACA BROCA DE CONCRETO, DIÂMETRO DE 25CM, ESCAVAÇÃO MANUAL COM TRADO CONCHA, COM ARMADURA DE ARRANQUE. AF_05/2020</v>
      </c>
      <c r="E186" s="80" t="str">
        <f>VLOOKUP(B186,'Insumos e Serviços'!$A:$F,5,0)</f>
        <v>M</v>
      </c>
      <c r="F186" s="82">
        <v>12</v>
      </c>
      <c r="G186" s="82">
        <f>VLOOKUP(B186,'Insumos e Serviços'!$A:$F,6,0)</f>
        <v>89.44</v>
      </c>
      <c r="H186" s="73">
        <f>TRUNC(F186*G186,2)</f>
        <v>1073.28</v>
      </c>
    </row>
    <row r="187" spans="1:8" ht="11.25">
      <c r="A187" s="56" t="s">
        <v>1275</v>
      </c>
      <c r="B187" s="57"/>
      <c r="C187" s="57"/>
      <c r="D187" s="58" t="s">
        <v>379</v>
      </c>
      <c r="E187" s="56"/>
      <c r="F187" s="59"/>
      <c r="G187" s="60"/>
      <c r="H187" s="61">
        <f>H188+H193+H219</f>
        <v>16236.210000000001</v>
      </c>
    </row>
    <row r="188" spans="1:8" ht="11.25">
      <c r="A188" s="62" t="s">
        <v>380</v>
      </c>
      <c r="B188" s="63"/>
      <c r="C188" s="63"/>
      <c r="D188" s="64" t="s">
        <v>381</v>
      </c>
      <c r="E188" s="63"/>
      <c r="F188" s="65"/>
      <c r="G188" s="66"/>
      <c r="H188" s="67">
        <f>H189</f>
        <v>2526.81</v>
      </c>
    </row>
    <row r="189" spans="1:8" ht="11.25">
      <c r="A189" s="74" t="s">
        <v>382</v>
      </c>
      <c r="B189" s="75"/>
      <c r="C189" s="75"/>
      <c r="D189" s="76" t="s">
        <v>383</v>
      </c>
      <c r="E189" s="74"/>
      <c r="F189" s="77"/>
      <c r="G189" s="77"/>
      <c r="H189" s="78">
        <f>SUM(H190:H192)</f>
        <v>2526.81</v>
      </c>
    </row>
    <row r="190" spans="1:8" ht="22.5">
      <c r="A190" s="79" t="s">
        <v>384</v>
      </c>
      <c r="B190" s="80" t="s">
        <v>385</v>
      </c>
      <c r="C190" s="80" t="str">
        <f>VLOOKUP(B190,'Insumos e Serviços'!$A:$F,2,0)</f>
        <v>SINAPI</v>
      </c>
      <c r="D190" s="81" t="str">
        <f>VLOOKUP(B190,'Insumos e Serviços'!$A:$F,4,0)</f>
        <v>TUBO, PVC, SOLDÁVEL, DN 25MM, INSTALADO EM DRENO DE AR-CONDICIONADO - FORNECIMENTO E INSTALAÇÃO. AF_12/2014</v>
      </c>
      <c r="E190" s="80" t="str">
        <f>VLOOKUP(B190,'Insumos e Serviços'!$A:$F,5,0)</f>
        <v>M</v>
      </c>
      <c r="F190" s="82">
        <v>9</v>
      </c>
      <c r="G190" s="82">
        <f>VLOOKUP(B190,'Insumos e Serviços'!$A:$F,6,0)</f>
        <v>13.78</v>
      </c>
      <c r="H190" s="73">
        <f>TRUNC(F190*G190,2)</f>
        <v>124.02</v>
      </c>
    </row>
    <row r="191" spans="1:8" ht="33.75">
      <c r="A191" s="79" t="s">
        <v>386</v>
      </c>
      <c r="B191" s="80" t="s">
        <v>387</v>
      </c>
      <c r="C191" s="80" t="str">
        <f>VLOOKUP(B191,'Insumos e Serviços'!$A:$F,2,0)</f>
        <v>SINAPI</v>
      </c>
      <c r="D191" s="81" t="str">
        <f>VLOOKUP(B191,'Insumos e Serviços'!$A:$F,4,0)</f>
        <v>JOELHO 45 GRAUS, PVC, SERIE R, ÁGUA PLUVIAL, DN 150 MM, JUNTA ELÁSTICA, FORNECIDO E INSTALADO EM CONDUTORES VERTICAIS DE ÁGUAS PLUVIAIS. AF_06/2022</v>
      </c>
      <c r="E191" s="80" t="str">
        <f>VLOOKUP(B191,'Insumos e Serviços'!$A:$F,5,0)</f>
        <v>UN</v>
      </c>
      <c r="F191" s="82">
        <v>3</v>
      </c>
      <c r="G191" s="82">
        <f>VLOOKUP(B191,'Insumos e Serviços'!$A:$F,6,0)</f>
        <v>143.28</v>
      </c>
      <c r="H191" s="73">
        <f>TRUNC(F191*G191,2)</f>
        <v>429.84</v>
      </c>
    </row>
    <row r="192" spans="1:8" ht="22.5">
      <c r="A192" s="79" t="s">
        <v>388</v>
      </c>
      <c r="B192" s="80" t="s">
        <v>389</v>
      </c>
      <c r="C192" s="80" t="str">
        <f>VLOOKUP(B192,'Insumos e Serviços'!$A:$F,2,0)</f>
        <v>SINAPI</v>
      </c>
      <c r="D192" s="81" t="str">
        <f>VLOOKUP(B192,'Insumos e Serviços'!$A:$F,4,0)</f>
        <v>TUBO PVC, SÉRIE R, ÁGUA PLUVIAL, DN 150 MM, FORNECIDO E INSTALADO EM CONDUTORES VERTICAIS DE ÁGUAS PLUVIAIS. AF_06/2022</v>
      </c>
      <c r="E192" s="80" t="str">
        <f>VLOOKUP(B192,'Insumos e Serviços'!$A:$F,5,0)</f>
        <v>M</v>
      </c>
      <c r="F192" s="82">
        <v>21</v>
      </c>
      <c r="G192" s="82">
        <f>VLOOKUP(B192,'Insumos e Serviços'!$A:$F,6,0)</f>
        <v>93.95</v>
      </c>
      <c r="H192" s="73">
        <f>TRUNC(F192*G192,2)</f>
        <v>1972.95</v>
      </c>
    </row>
    <row r="193" spans="1:8" ht="11.25">
      <c r="A193" s="62" t="s">
        <v>390</v>
      </c>
      <c r="B193" s="63"/>
      <c r="C193" s="63"/>
      <c r="D193" s="64" t="s">
        <v>391</v>
      </c>
      <c r="E193" s="63"/>
      <c r="F193" s="65"/>
      <c r="G193" s="66"/>
      <c r="H193" s="67">
        <f>H194+H211+H213</f>
        <v>13198.640000000001</v>
      </c>
    </row>
    <row r="194" spans="1:8" ht="11.25">
      <c r="A194" s="74" t="s">
        <v>392</v>
      </c>
      <c r="B194" s="75"/>
      <c r="C194" s="75"/>
      <c r="D194" s="76" t="s">
        <v>393</v>
      </c>
      <c r="E194" s="74"/>
      <c r="F194" s="77"/>
      <c r="G194" s="77"/>
      <c r="H194" s="78">
        <f>H195+H200+H202+H205+H209</f>
        <v>6605.64</v>
      </c>
    </row>
    <row r="195" spans="1:8" ht="11.25">
      <c r="A195" s="83" t="s">
        <v>394</v>
      </c>
      <c r="B195" s="84"/>
      <c r="C195" s="84"/>
      <c r="D195" s="85" t="s">
        <v>395</v>
      </c>
      <c r="E195" s="83"/>
      <c r="F195" s="86"/>
      <c r="G195" s="86"/>
      <c r="H195" s="87">
        <f>SUM(H196:H199)</f>
        <v>5221.68</v>
      </c>
    </row>
    <row r="196" spans="1:8" ht="22.5">
      <c r="A196" s="79" t="s">
        <v>396</v>
      </c>
      <c r="B196" s="80" t="s">
        <v>397</v>
      </c>
      <c r="C196" s="80" t="s">
        <v>1305</v>
      </c>
      <c r="D196" s="81" t="s">
        <v>398</v>
      </c>
      <c r="E196" s="80" t="s">
        <v>1320</v>
      </c>
      <c r="F196" s="82">
        <v>2</v>
      </c>
      <c r="G196" s="72">
        <f>VLOOKUP(A196,'Orçamento Analítico'!$A:$H,8,0)</f>
        <v>64.29</v>
      </c>
      <c r="H196" s="73">
        <f>TRUNC(F196*G196,2)</f>
        <v>128.58</v>
      </c>
    </row>
    <row r="197" spans="1:8" ht="22.5">
      <c r="A197" s="79" t="s">
        <v>399</v>
      </c>
      <c r="B197" s="80" t="s">
        <v>400</v>
      </c>
      <c r="C197" s="80" t="s">
        <v>1305</v>
      </c>
      <c r="D197" s="81" t="s">
        <v>401</v>
      </c>
      <c r="E197" s="80" t="s">
        <v>1320</v>
      </c>
      <c r="F197" s="82">
        <v>12</v>
      </c>
      <c r="G197" s="72">
        <f>VLOOKUP(A197,'Orçamento Analítico'!$A:$H,8,0)</f>
        <v>70.98</v>
      </c>
      <c r="H197" s="73">
        <f>TRUNC(F197*G197,2)</f>
        <v>851.76</v>
      </c>
    </row>
    <row r="198" spans="1:8" ht="22.5">
      <c r="A198" s="79" t="s">
        <v>402</v>
      </c>
      <c r="B198" s="80" t="s">
        <v>403</v>
      </c>
      <c r="C198" s="80" t="s">
        <v>1305</v>
      </c>
      <c r="D198" s="81" t="s">
        <v>404</v>
      </c>
      <c r="E198" s="80" t="s">
        <v>1320</v>
      </c>
      <c r="F198" s="82">
        <v>6</v>
      </c>
      <c r="G198" s="72">
        <f>VLOOKUP(A198,'Orçamento Analítico'!$A:$H,8,0)</f>
        <v>88.29</v>
      </c>
      <c r="H198" s="73">
        <f>TRUNC(F198*G198,2)</f>
        <v>529.74</v>
      </c>
    </row>
    <row r="199" spans="1:8" ht="22.5">
      <c r="A199" s="79" t="s">
        <v>405</v>
      </c>
      <c r="B199" s="80" t="s">
        <v>406</v>
      </c>
      <c r="C199" s="80" t="s">
        <v>1305</v>
      </c>
      <c r="D199" s="81" t="s">
        <v>407</v>
      </c>
      <c r="E199" s="80" t="s">
        <v>1320</v>
      </c>
      <c r="F199" s="82">
        <v>24</v>
      </c>
      <c r="G199" s="72">
        <f>VLOOKUP(A199,'Orçamento Analítico'!$A:$H,8,0)</f>
        <v>154.65</v>
      </c>
      <c r="H199" s="73">
        <f>TRUNC(F199*G199,2)</f>
        <v>3711.6</v>
      </c>
    </row>
    <row r="200" spans="1:8" ht="11.25">
      <c r="A200" s="83" t="s">
        <v>408</v>
      </c>
      <c r="B200" s="84"/>
      <c r="C200" s="84"/>
      <c r="D200" s="85" t="s">
        <v>409</v>
      </c>
      <c r="E200" s="83"/>
      <c r="F200" s="86"/>
      <c r="G200" s="86"/>
      <c r="H200" s="87">
        <f>H201</f>
        <v>132.75</v>
      </c>
    </row>
    <row r="201" spans="1:8" ht="22.5">
      <c r="A201" s="79" t="s">
        <v>410</v>
      </c>
      <c r="B201" s="80" t="s">
        <v>411</v>
      </c>
      <c r="C201" s="80" t="s">
        <v>1305</v>
      </c>
      <c r="D201" s="81" t="s">
        <v>412</v>
      </c>
      <c r="E201" s="80" t="s">
        <v>1307</v>
      </c>
      <c r="F201" s="82">
        <v>3</v>
      </c>
      <c r="G201" s="72">
        <f>VLOOKUP(A201,'Orçamento Analítico'!$A:$H,8,0)</f>
        <v>44.25</v>
      </c>
      <c r="H201" s="73">
        <f>TRUNC(F201*G201,2)</f>
        <v>132.75</v>
      </c>
    </row>
    <row r="202" spans="1:8" ht="11.25">
      <c r="A202" s="83" t="s">
        <v>413</v>
      </c>
      <c r="B202" s="84"/>
      <c r="C202" s="84"/>
      <c r="D202" s="85" t="s">
        <v>414</v>
      </c>
      <c r="E202" s="83"/>
      <c r="F202" s="86"/>
      <c r="G202" s="86"/>
      <c r="H202" s="87">
        <f>SUM(H203:H204)</f>
        <v>188.32999999999998</v>
      </c>
    </row>
    <row r="203" spans="1:8" ht="22.5">
      <c r="A203" s="79" t="s">
        <v>415</v>
      </c>
      <c r="B203" s="80" t="s">
        <v>416</v>
      </c>
      <c r="C203" s="80" t="s">
        <v>1305</v>
      </c>
      <c r="D203" s="81" t="s">
        <v>417</v>
      </c>
      <c r="E203" s="80" t="s">
        <v>1307</v>
      </c>
      <c r="F203" s="82">
        <v>4</v>
      </c>
      <c r="G203" s="72">
        <f>VLOOKUP(A203,'Orçamento Analítico'!$A:$H,8,0)</f>
        <v>37.260000000000005</v>
      </c>
      <c r="H203" s="73">
        <f>TRUNC(F203*G203,2)</f>
        <v>149.04</v>
      </c>
    </row>
    <row r="204" spans="1:8" ht="22.5">
      <c r="A204" s="79" t="s">
        <v>418</v>
      </c>
      <c r="B204" s="80" t="s">
        <v>419</v>
      </c>
      <c r="C204" s="80" t="s">
        <v>1305</v>
      </c>
      <c r="D204" s="81" t="s">
        <v>420</v>
      </c>
      <c r="E204" s="80" t="s">
        <v>1307</v>
      </c>
      <c r="F204" s="82">
        <v>1</v>
      </c>
      <c r="G204" s="72">
        <f>VLOOKUP(A204,'Orçamento Analítico'!$A:$H,8,0)</f>
        <v>39.29</v>
      </c>
      <c r="H204" s="73">
        <f>TRUNC(F204*G204,2)</f>
        <v>39.29</v>
      </c>
    </row>
    <row r="205" spans="1:8" ht="11.25">
      <c r="A205" s="83" t="s">
        <v>421</v>
      </c>
      <c r="B205" s="84"/>
      <c r="C205" s="84"/>
      <c r="D205" s="85" t="s">
        <v>422</v>
      </c>
      <c r="E205" s="83"/>
      <c r="F205" s="86"/>
      <c r="G205" s="86"/>
      <c r="H205" s="87">
        <f>SUM(H206:H208)</f>
        <v>833.9200000000001</v>
      </c>
    </row>
    <row r="206" spans="1:8" ht="22.5">
      <c r="A206" s="79" t="s">
        <v>423</v>
      </c>
      <c r="B206" s="80" t="s">
        <v>424</v>
      </c>
      <c r="C206" s="80" t="s">
        <v>1305</v>
      </c>
      <c r="D206" s="81" t="s">
        <v>425</v>
      </c>
      <c r="E206" s="80" t="s">
        <v>1307</v>
      </c>
      <c r="F206" s="82">
        <v>5</v>
      </c>
      <c r="G206" s="72">
        <f>VLOOKUP(A206,'Orçamento Analítico'!$A:$H,8,0)</f>
        <v>98.25999999999999</v>
      </c>
      <c r="H206" s="73">
        <f>TRUNC(F206*G206,2)</f>
        <v>491.3</v>
      </c>
    </row>
    <row r="207" spans="1:8" ht="22.5">
      <c r="A207" s="79" t="s">
        <v>426</v>
      </c>
      <c r="B207" s="80" t="s">
        <v>427</v>
      </c>
      <c r="C207" s="80" t="s">
        <v>1305</v>
      </c>
      <c r="D207" s="81" t="s">
        <v>428</v>
      </c>
      <c r="E207" s="80" t="s">
        <v>1307</v>
      </c>
      <c r="F207" s="82">
        <v>1</v>
      </c>
      <c r="G207" s="72">
        <f>VLOOKUP(A207,'Orçamento Analítico'!$A:$H,8,0)</f>
        <v>118.55</v>
      </c>
      <c r="H207" s="73">
        <f>TRUNC(F207*G207,2)</f>
        <v>118.55</v>
      </c>
    </row>
    <row r="208" spans="1:8" ht="22.5">
      <c r="A208" s="79" t="s">
        <v>429</v>
      </c>
      <c r="B208" s="80" t="s">
        <v>430</v>
      </c>
      <c r="C208" s="80" t="s">
        <v>1305</v>
      </c>
      <c r="D208" s="81" t="s">
        <v>431</v>
      </c>
      <c r="E208" s="80" t="s">
        <v>1307</v>
      </c>
      <c r="F208" s="82">
        <v>3</v>
      </c>
      <c r="G208" s="72">
        <f>VLOOKUP(A208,'Orçamento Analítico'!$A:$H,8,0)</f>
        <v>74.69</v>
      </c>
      <c r="H208" s="73">
        <f>TRUNC(F208*G208,2)</f>
        <v>224.07</v>
      </c>
    </row>
    <row r="209" spans="1:8" ht="11.25">
      <c r="A209" s="83" t="s">
        <v>432</v>
      </c>
      <c r="B209" s="84"/>
      <c r="C209" s="84"/>
      <c r="D209" s="85" t="s">
        <v>433</v>
      </c>
      <c r="E209" s="83"/>
      <c r="F209" s="86"/>
      <c r="G209" s="86"/>
      <c r="H209" s="87">
        <f>SUM(H210)</f>
        <v>228.96</v>
      </c>
    </row>
    <row r="210" spans="1:8" ht="22.5">
      <c r="A210" s="79" t="s">
        <v>434</v>
      </c>
      <c r="B210" s="80" t="s">
        <v>435</v>
      </c>
      <c r="C210" s="80" t="s">
        <v>1305</v>
      </c>
      <c r="D210" s="81" t="s">
        <v>436</v>
      </c>
      <c r="E210" s="80" t="s">
        <v>1307</v>
      </c>
      <c r="F210" s="82">
        <v>4</v>
      </c>
      <c r="G210" s="72">
        <f>VLOOKUP(A210,'Orçamento Analítico'!$A:$H,8,0)</f>
        <v>57.239999999999995</v>
      </c>
      <c r="H210" s="73">
        <f>TRUNC(F210*G210,2)</f>
        <v>228.96</v>
      </c>
    </row>
    <row r="211" spans="1:8" ht="11.25">
      <c r="A211" s="74" t="s">
        <v>437</v>
      </c>
      <c r="B211" s="75"/>
      <c r="C211" s="75"/>
      <c r="D211" s="76" t="s">
        <v>438</v>
      </c>
      <c r="E211" s="74"/>
      <c r="F211" s="77"/>
      <c r="G211" s="77"/>
      <c r="H211" s="78">
        <f>H212</f>
        <v>1652.32</v>
      </c>
    </row>
    <row r="212" spans="1:8" ht="45">
      <c r="A212" s="79" t="s">
        <v>439</v>
      </c>
      <c r="B212" s="80" t="s">
        <v>440</v>
      </c>
      <c r="C212" s="80" t="str">
        <f>VLOOKUP(B212,'Insumos e Serviços'!$A:$F,2,0)</f>
        <v>SINAPI</v>
      </c>
      <c r="D212" s="81" t="str">
        <f>VLOOKUP(B212,'Insumos e Serviços'!$A:$F,4,0)</f>
        <v>(COMPOSIÇÃO REPRESENTATIVA) DO SERVIÇO DE INST. TUBO PVC, SÉRIE N, ESGOTO PREDIAL, 100 MM (INST. RAMAL DESCARGA, RAMAL DE ESG. SANIT., PRUMADA ESG. SANIT., VENTILAÇÃO OU SUB-COLETOR AÉREO), INCL. CONEXÕES E CORTES, FIXAÇÕES, P/ PRÉDIOS. AF_10/2015</v>
      </c>
      <c r="E212" s="80" t="str">
        <f>VLOOKUP(B212,'Insumos e Serviços'!$A:$F,5,0)</f>
        <v>M</v>
      </c>
      <c r="F212" s="82">
        <v>23</v>
      </c>
      <c r="G212" s="82">
        <f>VLOOKUP(B212,'Insumos e Serviços'!$A:$F,6,0)</f>
        <v>71.84</v>
      </c>
      <c r="H212" s="73">
        <f>TRUNC(F212*G212,2)</f>
        <v>1652.32</v>
      </c>
    </row>
    <row r="213" spans="1:8" ht="11.25">
      <c r="A213" s="74" t="s">
        <v>441</v>
      </c>
      <c r="B213" s="75"/>
      <c r="C213" s="75"/>
      <c r="D213" s="76" t="s">
        <v>442</v>
      </c>
      <c r="E213" s="74"/>
      <c r="F213" s="77"/>
      <c r="G213" s="77"/>
      <c r="H213" s="78">
        <f>H214+H216</f>
        <v>4940.68</v>
      </c>
    </row>
    <row r="214" spans="1:8" ht="11.25">
      <c r="A214" s="83" t="s">
        <v>443</v>
      </c>
      <c r="B214" s="84"/>
      <c r="C214" s="84"/>
      <c r="D214" s="85" t="s">
        <v>444</v>
      </c>
      <c r="E214" s="83"/>
      <c r="F214" s="86"/>
      <c r="G214" s="86"/>
      <c r="H214" s="87">
        <f>H215</f>
        <v>532.96</v>
      </c>
    </row>
    <row r="215" spans="1:8" ht="22.5">
      <c r="A215" s="79" t="s">
        <v>445</v>
      </c>
      <c r="B215" s="80" t="s">
        <v>446</v>
      </c>
      <c r="C215" s="80" t="s">
        <v>1305</v>
      </c>
      <c r="D215" s="81" t="s">
        <v>447</v>
      </c>
      <c r="E215" s="80" t="s">
        <v>39</v>
      </c>
      <c r="F215" s="82">
        <v>4</v>
      </c>
      <c r="G215" s="72">
        <f>VLOOKUP(A215,'Orçamento Analítico'!$A:$H,8,0)</f>
        <v>133.24</v>
      </c>
      <c r="H215" s="73">
        <f>TRUNC(F215*G215,2)</f>
        <v>532.96</v>
      </c>
    </row>
    <row r="216" spans="1:8" ht="11.25">
      <c r="A216" s="83" t="s">
        <v>448</v>
      </c>
      <c r="B216" s="84"/>
      <c r="C216" s="84"/>
      <c r="D216" s="85" t="s">
        <v>449</v>
      </c>
      <c r="E216" s="83"/>
      <c r="F216" s="86"/>
      <c r="G216" s="86"/>
      <c r="H216" s="87">
        <f>SUM(H217:H218)</f>
        <v>4407.72</v>
      </c>
    </row>
    <row r="217" spans="1:8" ht="22.5">
      <c r="A217" s="79" t="s">
        <v>450</v>
      </c>
      <c r="B217" s="80" t="s">
        <v>451</v>
      </c>
      <c r="C217" s="80" t="s">
        <v>1305</v>
      </c>
      <c r="D217" s="81" t="s">
        <v>452</v>
      </c>
      <c r="E217" s="80" t="s">
        <v>1307</v>
      </c>
      <c r="F217" s="82">
        <v>1</v>
      </c>
      <c r="G217" s="72">
        <f>VLOOKUP(A217,'Orçamento Analítico'!$A:$H,8,0)</f>
        <v>2530.52</v>
      </c>
      <c r="H217" s="73">
        <f>TRUNC(F217*G217,2)</f>
        <v>2530.52</v>
      </c>
    </row>
    <row r="218" spans="1:8" ht="33.75">
      <c r="A218" s="79" t="s">
        <v>453</v>
      </c>
      <c r="B218" s="80" t="s">
        <v>454</v>
      </c>
      <c r="C218" s="80" t="s">
        <v>1305</v>
      </c>
      <c r="D218" s="81" t="s">
        <v>455</v>
      </c>
      <c r="E218" s="80" t="s">
        <v>39</v>
      </c>
      <c r="F218" s="82">
        <v>1</v>
      </c>
      <c r="G218" s="72">
        <f>VLOOKUP(A218,'Orçamento Analítico'!$A:$H,8,0)</f>
        <v>1877.2</v>
      </c>
      <c r="H218" s="73">
        <f>TRUNC(F218*G218,2)</f>
        <v>1877.2</v>
      </c>
    </row>
    <row r="219" spans="1:8" ht="11.25">
      <c r="A219" s="62" t="s">
        <v>456</v>
      </c>
      <c r="B219" s="63"/>
      <c r="C219" s="63"/>
      <c r="D219" s="64" t="s">
        <v>457</v>
      </c>
      <c r="E219" s="63"/>
      <c r="F219" s="65"/>
      <c r="G219" s="66"/>
      <c r="H219" s="67">
        <f>H220</f>
        <v>510.76</v>
      </c>
    </row>
    <row r="220" spans="1:8" ht="22.5">
      <c r="A220" s="79" t="s">
        <v>458</v>
      </c>
      <c r="B220" s="80" t="s">
        <v>459</v>
      </c>
      <c r="C220" s="80" t="str">
        <f>VLOOKUP(B220,'Insumos e Serviços'!$A:$F,2,0)</f>
        <v>SINAPI</v>
      </c>
      <c r="D220" s="81" t="str">
        <f>VLOOKUP(B220,'Insumos e Serviços'!$A:$F,4,0)</f>
        <v>LASTRO COM MATERIAL GRANULAR (AREIA MÉDIA), APLICADO EM PISOS OU LAJES SOBRE SOLO, ESPESSURA DE *10 CM*. AF_07/2019</v>
      </c>
      <c r="E220" s="80" t="str">
        <f>VLOOKUP(B220,'Insumos e Serviços'!$A:$F,5,0)</f>
        <v>m³</v>
      </c>
      <c r="F220" s="82">
        <v>2</v>
      </c>
      <c r="G220" s="82">
        <f>VLOOKUP(B220,'Insumos e Serviços'!$A:$F,6,0)</f>
        <v>255.38</v>
      </c>
      <c r="H220" s="73">
        <f>TRUNC(F220*G220,2)</f>
        <v>510.76</v>
      </c>
    </row>
    <row r="221" spans="1:8" ht="11.25">
      <c r="A221" s="56" t="s">
        <v>1276</v>
      </c>
      <c r="B221" s="57"/>
      <c r="C221" s="57"/>
      <c r="D221" s="58" t="s">
        <v>460</v>
      </c>
      <c r="E221" s="56"/>
      <c r="F221" s="59"/>
      <c r="G221" s="60"/>
      <c r="H221" s="61">
        <f>H222+H244+H249+H253+H264</f>
        <v>28647.399999999998</v>
      </c>
    </row>
    <row r="222" spans="1:8" ht="11.25">
      <c r="A222" s="62" t="s">
        <v>461</v>
      </c>
      <c r="B222" s="63"/>
      <c r="C222" s="63"/>
      <c r="D222" s="64" t="s">
        <v>462</v>
      </c>
      <c r="E222" s="63"/>
      <c r="F222" s="65"/>
      <c r="G222" s="66"/>
      <c r="H222" s="67">
        <f>H223+H227+H235+H241</f>
        <v>12829.06</v>
      </c>
    </row>
    <row r="223" spans="1:8" ht="11.25">
      <c r="A223" s="74" t="s">
        <v>463</v>
      </c>
      <c r="B223" s="75"/>
      <c r="C223" s="75"/>
      <c r="D223" s="76" t="s">
        <v>464</v>
      </c>
      <c r="E223" s="74"/>
      <c r="F223" s="77"/>
      <c r="G223" s="77"/>
      <c r="H223" s="78">
        <f>H224</f>
        <v>90.36</v>
      </c>
    </row>
    <row r="224" spans="1:8" ht="11.25">
      <c r="A224" s="83" t="s">
        <v>465</v>
      </c>
      <c r="B224" s="84"/>
      <c r="C224" s="84"/>
      <c r="D224" s="85" t="s">
        <v>466</v>
      </c>
      <c r="E224" s="83"/>
      <c r="F224" s="86"/>
      <c r="G224" s="86"/>
      <c r="H224" s="87">
        <f>SUM(H225:H226)</f>
        <v>90.36</v>
      </c>
    </row>
    <row r="225" spans="1:8" ht="22.5">
      <c r="A225" s="79" t="s">
        <v>467</v>
      </c>
      <c r="B225" s="80" t="s">
        <v>468</v>
      </c>
      <c r="C225" s="80" t="str">
        <f>VLOOKUP(B225,'Insumos e Serviços'!$A:$F,2,0)</f>
        <v>SINAPI</v>
      </c>
      <c r="D225" s="81" t="str">
        <f>VLOOKUP(B225,'Insumos e Serviços'!$A:$F,4,0)</f>
        <v>DISJUNTOR MONOPOLAR TIPO DIN, CORRENTE NOMINAL DE 10A - FORNECIMENTO E INSTALAÇÃO. AF_10/2020</v>
      </c>
      <c r="E225" s="80" t="str">
        <f>VLOOKUP(B225,'Insumos e Serviços'!$A:$F,5,0)</f>
        <v>UN</v>
      </c>
      <c r="F225" s="82">
        <v>4</v>
      </c>
      <c r="G225" s="82">
        <f>VLOOKUP(B225,'Insumos e Serviços'!$A:$F,6,0)</f>
        <v>12.66</v>
      </c>
      <c r="H225" s="73">
        <f>TRUNC(F225*G225,2)</f>
        <v>50.64</v>
      </c>
    </row>
    <row r="226" spans="1:8" ht="22.5">
      <c r="A226" s="79" t="s">
        <v>469</v>
      </c>
      <c r="B226" s="80" t="s">
        <v>470</v>
      </c>
      <c r="C226" s="80" t="str">
        <f>VLOOKUP(B226,'Insumos e Serviços'!$A:$F,2,0)</f>
        <v>SINAPI</v>
      </c>
      <c r="D226" s="81" t="str">
        <f>VLOOKUP(B226,'Insumos e Serviços'!$A:$F,4,0)</f>
        <v>DISJUNTOR MONOPOLAR TIPO DIN, CORRENTE NOMINAL DE 16A - FORNECIMENTO E INSTALAÇÃO. AF_10/2020</v>
      </c>
      <c r="E226" s="80" t="str">
        <f>VLOOKUP(B226,'Insumos e Serviços'!$A:$F,5,0)</f>
        <v>UN</v>
      </c>
      <c r="F226" s="82">
        <v>3</v>
      </c>
      <c r="G226" s="82">
        <f>VLOOKUP(B226,'Insumos e Serviços'!$A:$F,6,0)</f>
        <v>13.24</v>
      </c>
      <c r="H226" s="73">
        <f>TRUNC(F226*G226,2)</f>
        <v>39.72</v>
      </c>
    </row>
    <row r="227" spans="1:8" ht="11.25">
      <c r="A227" s="74" t="s">
        <v>471</v>
      </c>
      <c r="B227" s="75"/>
      <c r="C227" s="75"/>
      <c r="D227" s="76" t="s">
        <v>472</v>
      </c>
      <c r="E227" s="74"/>
      <c r="F227" s="77"/>
      <c r="G227" s="77"/>
      <c r="H227" s="78">
        <f>H228+H231+H233</f>
        <v>4182.78</v>
      </c>
    </row>
    <row r="228" spans="1:8" ht="11.25">
      <c r="A228" s="83" t="s">
        <v>473</v>
      </c>
      <c r="B228" s="84"/>
      <c r="C228" s="84"/>
      <c r="D228" s="85" t="s">
        <v>474</v>
      </c>
      <c r="E228" s="83"/>
      <c r="F228" s="86"/>
      <c r="G228" s="86"/>
      <c r="H228" s="87">
        <f>SUM(H229:H230)</f>
        <v>2933.6</v>
      </c>
    </row>
    <row r="229" spans="1:8" ht="33.75">
      <c r="A229" s="79" t="s">
        <v>475</v>
      </c>
      <c r="B229" s="80" t="s">
        <v>476</v>
      </c>
      <c r="C229" s="80" t="s">
        <v>1305</v>
      </c>
      <c r="D229" s="81" t="s">
        <v>477</v>
      </c>
      <c r="E229" s="80" t="s">
        <v>39</v>
      </c>
      <c r="F229" s="82">
        <v>16</v>
      </c>
      <c r="G229" s="72">
        <f>VLOOKUP(A229,'Orçamento Analítico'!$A:$H,8,0)</f>
        <v>181.01</v>
      </c>
      <c r="H229" s="73">
        <f>TRUNC(F229*G229,2)</f>
        <v>2896.16</v>
      </c>
    </row>
    <row r="230" spans="1:8" ht="11.25">
      <c r="A230" s="79" t="s">
        <v>478</v>
      </c>
      <c r="B230" s="80" t="s">
        <v>479</v>
      </c>
      <c r="C230" s="80" t="s">
        <v>1305</v>
      </c>
      <c r="D230" s="81" t="s">
        <v>480</v>
      </c>
      <c r="E230" s="80" t="s">
        <v>39</v>
      </c>
      <c r="F230" s="82">
        <v>2</v>
      </c>
      <c r="G230" s="72">
        <f>VLOOKUP(A230,'Orçamento Analítico'!$A:$H,8,0)</f>
        <v>18.72</v>
      </c>
      <c r="H230" s="73">
        <f>TRUNC(F230*G230,2)</f>
        <v>37.44</v>
      </c>
    </row>
    <row r="231" spans="1:8" ht="11.25">
      <c r="A231" s="83" t="s">
        <v>481</v>
      </c>
      <c r="B231" s="84"/>
      <c r="C231" s="84"/>
      <c r="D231" s="85" t="s">
        <v>482</v>
      </c>
      <c r="E231" s="83"/>
      <c r="F231" s="86"/>
      <c r="G231" s="86"/>
      <c r="H231" s="87">
        <f>H232</f>
        <v>987.52</v>
      </c>
    </row>
    <row r="232" spans="1:8" ht="22.5">
      <c r="A232" s="79" t="s">
        <v>483</v>
      </c>
      <c r="B232" s="80" t="s">
        <v>484</v>
      </c>
      <c r="C232" s="80" t="str">
        <f>VLOOKUP(B232,'Insumos e Serviços'!$A:$F,2,0)</f>
        <v>SINAPI</v>
      </c>
      <c r="D232" s="81" t="str">
        <f>VLOOKUP(B232,'Insumos e Serviços'!$A:$F,4,0)</f>
        <v>LÂMPADA TUBULAR LED DE 18/20 W, BASE G13 - FORNECIMENTO E INSTALAÇÃO. AF_02/2020_P</v>
      </c>
      <c r="E232" s="80" t="str">
        <f>VLOOKUP(B232,'Insumos e Serviços'!$A:$F,5,0)</f>
        <v>UN</v>
      </c>
      <c r="F232" s="82">
        <v>32</v>
      </c>
      <c r="G232" s="82">
        <f>VLOOKUP(B232,'Insumos e Serviços'!$A:$F,6,0)</f>
        <v>30.86</v>
      </c>
      <c r="H232" s="73">
        <f>TRUNC(F232*G232,2)</f>
        <v>987.52</v>
      </c>
    </row>
    <row r="233" spans="1:8" ht="11.25">
      <c r="A233" s="83" t="s">
        <v>485</v>
      </c>
      <c r="B233" s="84"/>
      <c r="C233" s="84"/>
      <c r="D233" s="85" t="s">
        <v>486</v>
      </c>
      <c r="E233" s="83"/>
      <c r="F233" s="86"/>
      <c r="G233" s="86"/>
      <c r="H233" s="87">
        <f>H234</f>
        <v>261.66</v>
      </c>
    </row>
    <row r="234" spans="1:8" ht="22.5">
      <c r="A234" s="79" t="s">
        <v>487</v>
      </c>
      <c r="B234" s="80" t="s">
        <v>488</v>
      </c>
      <c r="C234" s="80" t="str">
        <f>VLOOKUP(B234,'Insumos e Serviços'!$A:$F,2,0)</f>
        <v>SINAPI</v>
      </c>
      <c r="D234" s="81" t="str">
        <f>VLOOKUP(B234,'Insumos e Serviços'!$A:$F,4,0)</f>
        <v>INTERRUPTOR SIMPLES (1 MÓDULO), 10A/250V, SEM SUPORTE E SEM PLACA - FORNECIMENTO E INSTALAÇÃO. AF_12/2015</v>
      </c>
      <c r="E234" s="80" t="str">
        <f>VLOOKUP(B234,'Insumos e Serviços'!$A:$F,5,0)</f>
        <v>UN</v>
      </c>
      <c r="F234" s="82">
        <v>14</v>
      </c>
      <c r="G234" s="82">
        <f>VLOOKUP(B234,'Insumos e Serviços'!$A:$F,6,0)</f>
        <v>18.69</v>
      </c>
      <c r="H234" s="73">
        <f>TRUNC(F234*G234,2)</f>
        <v>261.66</v>
      </c>
    </row>
    <row r="235" spans="1:8" ht="11.25">
      <c r="A235" s="74" t="s">
        <v>489</v>
      </c>
      <c r="B235" s="75"/>
      <c r="C235" s="75"/>
      <c r="D235" s="76" t="s">
        <v>490</v>
      </c>
      <c r="E235" s="74"/>
      <c r="F235" s="77"/>
      <c r="G235" s="77"/>
      <c r="H235" s="78">
        <f>H236</f>
        <v>1230</v>
      </c>
    </row>
    <row r="236" spans="1:8" ht="11.25">
      <c r="A236" s="83" t="s">
        <v>491</v>
      </c>
      <c r="B236" s="84"/>
      <c r="C236" s="84"/>
      <c r="D236" s="85" t="s">
        <v>492</v>
      </c>
      <c r="E236" s="83"/>
      <c r="F236" s="86"/>
      <c r="G236" s="86"/>
      <c r="H236" s="87">
        <f>SUM(H237:H240)</f>
        <v>1230</v>
      </c>
    </row>
    <row r="237" spans="1:8" ht="22.5">
      <c r="A237" s="79" t="s">
        <v>493</v>
      </c>
      <c r="B237" s="80" t="s">
        <v>494</v>
      </c>
      <c r="C237" s="80" t="str">
        <f>VLOOKUP(B237,'Insumos e Serviços'!$A:$F,2,0)</f>
        <v>SINAPI</v>
      </c>
      <c r="D237" s="81" t="str">
        <f>VLOOKUP(B237,'Insumos e Serviços'!$A:$F,4,0)</f>
        <v>TOMADA BAIXA DE EMBUTIR (1 MÓDULO), 2P+T 10 A, SEM SUPORTE E SEM PLACA - FORNECIMENTO E INSTALAÇÃO. AF_12/2015</v>
      </c>
      <c r="E237" s="80" t="str">
        <f>VLOOKUP(B237,'Insumos e Serviços'!$A:$F,5,0)</f>
        <v>UN</v>
      </c>
      <c r="F237" s="82">
        <v>27</v>
      </c>
      <c r="G237" s="82">
        <f>VLOOKUP(B237,'Insumos e Serviços'!$A:$F,6,0)</f>
        <v>20.29</v>
      </c>
      <c r="H237" s="73">
        <f>TRUNC(F237*G237,2)</f>
        <v>547.83</v>
      </c>
    </row>
    <row r="238" spans="1:8" ht="22.5">
      <c r="A238" s="79" t="s">
        <v>495</v>
      </c>
      <c r="B238" s="80" t="s">
        <v>496</v>
      </c>
      <c r="C238" s="80" t="str">
        <f>VLOOKUP(B238,'Insumos e Serviços'!$A:$F,2,0)</f>
        <v>SINAPI</v>
      </c>
      <c r="D238" s="81" t="str">
        <f>VLOOKUP(B238,'Insumos e Serviços'!$A:$F,4,0)</f>
        <v>TOMADA ALTA DE EMBUTIR (1 MÓDULO), 2P+T 10 A, SEM SUPORTE E SEM PLACA - FORNECIMENTO E INSTALAÇÃO. AF_12/2015</v>
      </c>
      <c r="E238" s="80" t="str">
        <f>VLOOKUP(B238,'Insumos e Serviços'!$A:$F,5,0)</f>
        <v>UN</v>
      </c>
      <c r="F238" s="82">
        <v>19</v>
      </c>
      <c r="G238" s="82">
        <f>VLOOKUP(B238,'Insumos e Serviços'!$A:$F,6,0)</f>
        <v>32.52</v>
      </c>
      <c r="H238" s="73">
        <f>TRUNC(F238*G238,2)</f>
        <v>617.88</v>
      </c>
    </row>
    <row r="239" spans="1:8" ht="22.5">
      <c r="A239" s="79" t="s">
        <v>497</v>
      </c>
      <c r="B239" s="80" t="s">
        <v>498</v>
      </c>
      <c r="C239" s="80" t="str">
        <f>VLOOKUP(B239,'Insumos e Serviços'!$A:$F,2,0)</f>
        <v>SINAPI</v>
      </c>
      <c r="D239" s="81" t="str">
        <f>VLOOKUP(B239,'Insumos e Serviços'!$A:$F,4,0)</f>
        <v>TOMADA MÉDIA DE EMBUTIR (1 MÓDULO), 2P+T 10 A, SEM SUPORTE E SEM PLACA - FORNECIMENTO E INSTALAÇÃO. AF_12/2015</v>
      </c>
      <c r="E239" s="80" t="str">
        <f>VLOOKUP(B239,'Insumos e Serviços'!$A:$F,5,0)</f>
        <v>UN</v>
      </c>
      <c r="F239" s="82">
        <v>1</v>
      </c>
      <c r="G239" s="82">
        <f>VLOOKUP(B239,'Insumos e Serviços'!$A:$F,6,0)</f>
        <v>23.71</v>
      </c>
      <c r="H239" s="73">
        <f>TRUNC(F239*G239,2)</f>
        <v>23.71</v>
      </c>
    </row>
    <row r="240" spans="1:8" ht="22.5">
      <c r="A240" s="79" t="s">
        <v>499</v>
      </c>
      <c r="B240" s="80" t="s">
        <v>500</v>
      </c>
      <c r="C240" s="80" t="s">
        <v>1305</v>
      </c>
      <c r="D240" s="81" t="s">
        <v>501</v>
      </c>
      <c r="E240" s="80" t="s">
        <v>39</v>
      </c>
      <c r="F240" s="82">
        <v>2</v>
      </c>
      <c r="G240" s="72">
        <f>VLOOKUP(A240,'Orçamento Analítico'!$A:$H,8,0)</f>
        <v>20.29</v>
      </c>
      <c r="H240" s="73">
        <f>TRUNC(F240*G240,2)</f>
        <v>40.58</v>
      </c>
    </row>
    <row r="241" spans="1:8" ht="11.25">
      <c r="A241" s="74" t="s">
        <v>502</v>
      </c>
      <c r="B241" s="75"/>
      <c r="C241" s="75"/>
      <c r="D241" s="76" t="s">
        <v>503</v>
      </c>
      <c r="E241" s="74"/>
      <c r="F241" s="77"/>
      <c r="G241" s="77"/>
      <c r="H241" s="78">
        <f>H242</f>
        <v>7325.92</v>
      </c>
    </row>
    <row r="242" spans="1:8" ht="11.25">
      <c r="A242" s="83" t="s">
        <v>504</v>
      </c>
      <c r="B242" s="84"/>
      <c r="C242" s="84"/>
      <c r="D242" s="85" t="s">
        <v>505</v>
      </c>
      <c r="E242" s="83"/>
      <c r="F242" s="86"/>
      <c r="G242" s="86"/>
      <c r="H242" s="87">
        <f>SUM(H243)</f>
        <v>7325.92</v>
      </c>
    </row>
    <row r="243" spans="1:8" ht="22.5">
      <c r="A243" s="79" t="s">
        <v>506</v>
      </c>
      <c r="B243" s="80" t="s">
        <v>507</v>
      </c>
      <c r="C243" s="80" t="str">
        <f>VLOOKUP(B243,'Insumos e Serviços'!$A:$F,2,0)</f>
        <v>SINAPI</v>
      </c>
      <c r="D243" s="81" t="str">
        <f>VLOOKUP(B243,'Insumos e Serviços'!$A:$F,4,0)</f>
        <v>CABO DE COBRE FLEXÍVEL ISOLADO, 2,5 MM², ANTI-CHAMA 450/750 V, PARA CIRCUITOS TERMINAIS - FORNECIMENTO E INSTALAÇÃO. AF_12/2015</v>
      </c>
      <c r="E243" s="80" t="str">
        <f>VLOOKUP(B243,'Insumos e Serviços'!$A:$F,5,0)</f>
        <v>M</v>
      </c>
      <c r="F243" s="82">
        <v>1736</v>
      </c>
      <c r="G243" s="82">
        <f>VLOOKUP(B243,'Insumos e Serviços'!$A:$F,6,0)</f>
        <v>4.22</v>
      </c>
      <c r="H243" s="73">
        <f>TRUNC(F243*G243,2)</f>
        <v>7325.92</v>
      </c>
    </row>
    <row r="244" spans="1:8" ht="11.25">
      <c r="A244" s="62" t="s">
        <v>508</v>
      </c>
      <c r="B244" s="63"/>
      <c r="C244" s="63"/>
      <c r="D244" s="64" t="s">
        <v>509</v>
      </c>
      <c r="E244" s="63"/>
      <c r="F244" s="65"/>
      <c r="G244" s="66"/>
      <c r="H244" s="67">
        <f>H245</f>
        <v>347.55</v>
      </c>
    </row>
    <row r="245" spans="1:8" ht="11.25">
      <c r="A245" s="74" t="s">
        <v>510</v>
      </c>
      <c r="B245" s="75"/>
      <c r="C245" s="75"/>
      <c r="D245" s="76" t="s">
        <v>511</v>
      </c>
      <c r="E245" s="74"/>
      <c r="F245" s="77"/>
      <c r="G245" s="77"/>
      <c r="H245" s="78">
        <f>H246</f>
        <v>347.55</v>
      </c>
    </row>
    <row r="246" spans="1:8" ht="11.25">
      <c r="A246" s="83" t="s">
        <v>512</v>
      </c>
      <c r="B246" s="84"/>
      <c r="C246" s="84"/>
      <c r="D246" s="85" t="s">
        <v>492</v>
      </c>
      <c r="E246" s="83"/>
      <c r="F246" s="86"/>
      <c r="G246" s="86"/>
      <c r="H246" s="87">
        <f>SUM(H247:H248)</f>
        <v>347.55</v>
      </c>
    </row>
    <row r="247" spans="1:8" ht="22.5">
      <c r="A247" s="79" t="s">
        <v>513</v>
      </c>
      <c r="B247" s="80" t="s">
        <v>514</v>
      </c>
      <c r="C247" s="80" t="s">
        <v>1305</v>
      </c>
      <c r="D247" s="81" t="s">
        <v>515</v>
      </c>
      <c r="E247" s="80" t="s">
        <v>39</v>
      </c>
      <c r="F247" s="82">
        <v>5</v>
      </c>
      <c r="G247" s="72">
        <f>VLOOKUP(A247,'Orçamento Analítico'!$A:$H,8,0)</f>
        <v>40.35</v>
      </c>
      <c r="H247" s="73">
        <f>TRUNC(F247*G247,2)</f>
        <v>201.75</v>
      </c>
    </row>
    <row r="248" spans="1:8" ht="22.5">
      <c r="A248" s="79" t="s">
        <v>516</v>
      </c>
      <c r="B248" s="80" t="s">
        <v>517</v>
      </c>
      <c r="C248" s="80" t="s">
        <v>1305</v>
      </c>
      <c r="D248" s="81" t="s">
        <v>518</v>
      </c>
      <c r="E248" s="80" t="s">
        <v>39</v>
      </c>
      <c r="F248" s="82">
        <v>5</v>
      </c>
      <c r="G248" s="72">
        <f>VLOOKUP(A248,'Orçamento Analítico'!$A:$H,8,0)</f>
        <v>29.16</v>
      </c>
      <c r="H248" s="73">
        <f>TRUNC(F248*G248,2)</f>
        <v>145.8</v>
      </c>
    </row>
    <row r="249" spans="1:8" ht="11.25">
      <c r="A249" s="62" t="s">
        <v>519</v>
      </c>
      <c r="B249" s="63"/>
      <c r="C249" s="63"/>
      <c r="D249" s="64" t="s">
        <v>520</v>
      </c>
      <c r="E249" s="63"/>
      <c r="F249" s="65"/>
      <c r="G249" s="66"/>
      <c r="H249" s="67">
        <f>H250</f>
        <v>117.46</v>
      </c>
    </row>
    <row r="250" spans="1:8" ht="11.25">
      <c r="A250" s="74" t="s">
        <v>521</v>
      </c>
      <c r="B250" s="75"/>
      <c r="C250" s="75"/>
      <c r="D250" s="76" t="s">
        <v>522</v>
      </c>
      <c r="E250" s="74"/>
      <c r="F250" s="77"/>
      <c r="G250" s="77"/>
      <c r="H250" s="78">
        <f>H251</f>
        <v>117.46</v>
      </c>
    </row>
    <row r="251" spans="1:8" ht="11.25">
      <c r="A251" s="83" t="s">
        <v>523</v>
      </c>
      <c r="B251" s="84"/>
      <c r="C251" s="84"/>
      <c r="D251" s="85" t="s">
        <v>524</v>
      </c>
      <c r="E251" s="83"/>
      <c r="F251" s="86"/>
      <c r="G251" s="86"/>
      <c r="H251" s="87">
        <f>H252</f>
        <v>117.46</v>
      </c>
    </row>
    <row r="252" spans="1:8" ht="11.25">
      <c r="A252" s="79" t="s">
        <v>525</v>
      </c>
      <c r="B252" s="80" t="s">
        <v>526</v>
      </c>
      <c r="C252" s="80" t="s">
        <v>1305</v>
      </c>
      <c r="D252" s="81" t="s">
        <v>527</v>
      </c>
      <c r="E252" s="80" t="s">
        <v>528</v>
      </c>
      <c r="F252" s="82">
        <v>1</v>
      </c>
      <c r="G252" s="72">
        <f>VLOOKUP(A252,'Orçamento Analítico'!$A:$H,8,0)</f>
        <v>117.46</v>
      </c>
      <c r="H252" s="73">
        <f>TRUNC(F252*G252,2)</f>
        <v>117.46</v>
      </c>
    </row>
    <row r="253" spans="1:8" ht="11.25">
      <c r="A253" s="62" t="s">
        <v>529</v>
      </c>
      <c r="B253" s="63"/>
      <c r="C253" s="63"/>
      <c r="D253" s="64" t="s">
        <v>530</v>
      </c>
      <c r="E253" s="63"/>
      <c r="F253" s="65"/>
      <c r="G253" s="66"/>
      <c r="H253" s="67">
        <f>H254+H262</f>
        <v>15207.03</v>
      </c>
    </row>
    <row r="254" spans="1:8" ht="11.25">
      <c r="A254" s="74" t="s">
        <v>531</v>
      </c>
      <c r="B254" s="75"/>
      <c r="C254" s="75"/>
      <c r="D254" s="76" t="s">
        <v>532</v>
      </c>
      <c r="E254" s="74"/>
      <c r="F254" s="77"/>
      <c r="G254" s="77"/>
      <c r="H254" s="78">
        <f>H255+H258</f>
        <v>11955.03</v>
      </c>
    </row>
    <row r="255" spans="1:8" ht="11.25">
      <c r="A255" s="83" t="s">
        <v>533</v>
      </c>
      <c r="B255" s="84"/>
      <c r="C255" s="84"/>
      <c r="D255" s="85" t="s">
        <v>534</v>
      </c>
      <c r="E255" s="83"/>
      <c r="F255" s="86"/>
      <c r="G255" s="86"/>
      <c r="H255" s="87">
        <f>SUM(H256:H257)</f>
        <v>6022.38</v>
      </c>
    </row>
    <row r="256" spans="1:8" ht="33.75">
      <c r="A256" s="79" t="s">
        <v>535</v>
      </c>
      <c r="B256" s="80" t="s">
        <v>536</v>
      </c>
      <c r="C256" s="80" t="s">
        <v>1305</v>
      </c>
      <c r="D256" s="81" t="s">
        <v>537</v>
      </c>
      <c r="E256" s="80" t="s">
        <v>57</v>
      </c>
      <c r="F256" s="82">
        <v>201</v>
      </c>
      <c r="G256" s="72">
        <f>VLOOKUP(A256,'Orçamento Analítico'!$A:$H,8,0)</f>
        <v>28.380000000000003</v>
      </c>
      <c r="H256" s="73">
        <f>TRUNC(F256*G256,2)</f>
        <v>5704.38</v>
      </c>
    </row>
    <row r="257" spans="1:8" ht="11.25">
      <c r="A257" s="79" t="s">
        <v>538</v>
      </c>
      <c r="B257" s="80" t="s">
        <v>539</v>
      </c>
      <c r="C257" s="80" t="s">
        <v>1305</v>
      </c>
      <c r="D257" s="81" t="s">
        <v>540</v>
      </c>
      <c r="E257" s="80" t="s">
        <v>1307</v>
      </c>
      <c r="F257" s="82">
        <v>30</v>
      </c>
      <c r="G257" s="72">
        <f>VLOOKUP(A257,'Orçamento Analítico'!$A:$H,8,0)</f>
        <v>10.600000000000001</v>
      </c>
      <c r="H257" s="73">
        <f>TRUNC(F257*G257,2)</f>
        <v>318</v>
      </c>
    </row>
    <row r="258" spans="1:8" ht="11.25">
      <c r="A258" s="83" t="s">
        <v>541</v>
      </c>
      <c r="B258" s="84"/>
      <c r="C258" s="84"/>
      <c r="D258" s="85" t="s">
        <v>542</v>
      </c>
      <c r="E258" s="83"/>
      <c r="F258" s="86"/>
      <c r="G258" s="86"/>
      <c r="H258" s="87">
        <f>SUM(H259:H261)</f>
        <v>5932.650000000001</v>
      </c>
    </row>
    <row r="259" spans="1:8" ht="22.5">
      <c r="A259" s="79" t="s">
        <v>543</v>
      </c>
      <c r="B259" s="80" t="s">
        <v>544</v>
      </c>
      <c r="C259" s="80" t="str">
        <f>VLOOKUP(B259,'Insumos e Serviços'!$A:$F,2,0)</f>
        <v>SINAPI</v>
      </c>
      <c r="D259" s="81" t="str">
        <f>VLOOKUP(B259,'Insumos e Serviços'!$A:$F,4,0)</f>
        <v>CONDULETE DE ALUMÍNIO, TIPO LR, PARA ELETRODUTO DE AÇO GALVANIZADO DN 25 MM (1</v>
      </c>
      <c r="E259" s="80" t="str">
        <f>VLOOKUP(B259,'Insumos e Serviços'!$A:$F,5,0)</f>
        <v>UN</v>
      </c>
      <c r="F259" s="82">
        <v>143</v>
      </c>
      <c r="G259" s="82">
        <f>VLOOKUP(B259,'Insumos e Serviços'!$A:$F,6,0)</f>
        <v>37.79</v>
      </c>
      <c r="H259" s="73">
        <f>TRUNC(F259*G259,2)</f>
        <v>5403.97</v>
      </c>
    </row>
    <row r="260" spans="1:8" ht="11.25">
      <c r="A260" s="79" t="s">
        <v>545</v>
      </c>
      <c r="B260" s="80" t="s">
        <v>546</v>
      </c>
      <c r="C260" s="80" t="s">
        <v>1305</v>
      </c>
      <c r="D260" s="81" t="s">
        <v>547</v>
      </c>
      <c r="E260" s="80" t="s">
        <v>39</v>
      </c>
      <c r="F260" s="82">
        <v>63</v>
      </c>
      <c r="G260" s="72">
        <f>VLOOKUP(A260,'Orçamento Analítico'!$A:$H,8,0)</f>
        <v>7.21</v>
      </c>
      <c r="H260" s="73">
        <f>TRUNC(F260*G260,2)</f>
        <v>454.23</v>
      </c>
    </row>
    <row r="261" spans="1:8" ht="22.5">
      <c r="A261" s="79" t="s">
        <v>548</v>
      </c>
      <c r="B261" s="80" t="s">
        <v>549</v>
      </c>
      <c r="C261" s="80" t="s">
        <v>1305</v>
      </c>
      <c r="D261" s="81" t="s">
        <v>550</v>
      </c>
      <c r="E261" s="80" t="s">
        <v>39</v>
      </c>
      <c r="F261" s="82">
        <v>5</v>
      </c>
      <c r="G261" s="72">
        <f>VLOOKUP(A261,'Orçamento Analítico'!$A:$H,8,0)</f>
        <v>14.89</v>
      </c>
      <c r="H261" s="73">
        <f>TRUNC(F261*G261,2)</f>
        <v>74.45</v>
      </c>
    </row>
    <row r="262" spans="1:8" ht="11.25">
      <c r="A262" s="74" t="s">
        <v>551</v>
      </c>
      <c r="B262" s="75"/>
      <c r="C262" s="75"/>
      <c r="D262" s="76" t="s">
        <v>552</v>
      </c>
      <c r="E262" s="74"/>
      <c r="F262" s="77"/>
      <c r="G262" s="77"/>
      <c r="H262" s="78">
        <f>H263</f>
        <v>3252</v>
      </c>
    </row>
    <row r="263" spans="1:8" ht="22.5">
      <c r="A263" s="79" t="s">
        <v>553</v>
      </c>
      <c r="B263" s="80" t="s">
        <v>554</v>
      </c>
      <c r="C263" s="80" t="s">
        <v>1305</v>
      </c>
      <c r="D263" s="81" t="s">
        <v>555</v>
      </c>
      <c r="E263" s="80" t="s">
        <v>1320</v>
      </c>
      <c r="F263" s="82">
        <v>40</v>
      </c>
      <c r="G263" s="72">
        <f>VLOOKUP(A263,'Orçamento Analítico'!$A:$H,8,0)</f>
        <v>81.3</v>
      </c>
      <c r="H263" s="73">
        <f>TRUNC(F263*G263,2)</f>
        <v>3252</v>
      </c>
    </row>
    <row r="264" spans="1:8" ht="11.25">
      <c r="A264" s="62" t="s">
        <v>556</v>
      </c>
      <c r="B264" s="63"/>
      <c r="C264" s="63"/>
      <c r="D264" s="64" t="s">
        <v>457</v>
      </c>
      <c r="E264" s="63"/>
      <c r="F264" s="65"/>
      <c r="G264" s="66"/>
      <c r="H264" s="67">
        <f>H265</f>
        <v>146.3</v>
      </c>
    </row>
    <row r="265" spans="1:8" ht="11.25">
      <c r="A265" s="79" t="s">
        <v>557</v>
      </c>
      <c r="B265" s="80" t="s">
        <v>558</v>
      </c>
      <c r="C265" s="80" t="s">
        <v>1305</v>
      </c>
      <c r="D265" s="81" t="s">
        <v>559</v>
      </c>
      <c r="E265" s="80" t="s">
        <v>1307</v>
      </c>
      <c r="F265" s="82">
        <v>10</v>
      </c>
      <c r="G265" s="72">
        <f>VLOOKUP(A265,'Orçamento Analítico'!$A:$H,8,0)</f>
        <v>14.63</v>
      </c>
      <c r="H265" s="73">
        <f>TRUNC(F265*G265,2)</f>
        <v>146.3</v>
      </c>
    </row>
    <row r="266" spans="1:8" ht="11.25">
      <c r="A266" s="56" t="s">
        <v>1277</v>
      </c>
      <c r="B266" s="57"/>
      <c r="C266" s="57"/>
      <c r="D266" s="58" t="s">
        <v>560</v>
      </c>
      <c r="E266" s="56"/>
      <c r="F266" s="59"/>
      <c r="G266" s="60"/>
      <c r="H266" s="61">
        <f>H267</f>
        <v>9112.91</v>
      </c>
    </row>
    <row r="267" spans="1:8" ht="11.25">
      <c r="A267" s="62" t="s">
        <v>561</v>
      </c>
      <c r="B267" s="63"/>
      <c r="C267" s="63"/>
      <c r="D267" s="64" t="s">
        <v>562</v>
      </c>
      <c r="E267" s="63"/>
      <c r="F267" s="65"/>
      <c r="G267" s="66"/>
      <c r="H267" s="67">
        <f>H268</f>
        <v>9112.91</v>
      </c>
    </row>
    <row r="268" spans="1:8" ht="11.25">
      <c r="A268" s="74" t="s">
        <v>563</v>
      </c>
      <c r="B268" s="75"/>
      <c r="C268" s="75"/>
      <c r="D268" s="76" t="s">
        <v>564</v>
      </c>
      <c r="E268" s="74"/>
      <c r="F268" s="77"/>
      <c r="G268" s="77"/>
      <c r="H268" s="78">
        <f>SUM(H269:H272)</f>
        <v>9112.91</v>
      </c>
    </row>
    <row r="269" spans="1:8" ht="22.5">
      <c r="A269" s="79" t="s">
        <v>565</v>
      </c>
      <c r="B269" s="80" t="s">
        <v>566</v>
      </c>
      <c r="C269" s="80" t="s">
        <v>1305</v>
      </c>
      <c r="D269" s="81" t="s">
        <v>567</v>
      </c>
      <c r="E269" s="80" t="s">
        <v>39</v>
      </c>
      <c r="F269" s="82">
        <v>1</v>
      </c>
      <c r="G269" s="72">
        <f>VLOOKUP(A269,'Orçamento Analítico'!$A:$H,8,0)</f>
        <v>220.62999999999997</v>
      </c>
      <c r="H269" s="73">
        <f>TRUNC(F269*G269,2)</f>
        <v>220.63</v>
      </c>
    </row>
    <row r="270" spans="1:8" ht="90">
      <c r="A270" s="79" t="s">
        <v>568</v>
      </c>
      <c r="B270" s="80" t="s">
        <v>569</v>
      </c>
      <c r="C270" s="80" t="s">
        <v>1305</v>
      </c>
      <c r="D270" s="81" t="s">
        <v>570</v>
      </c>
      <c r="E270" s="80" t="s">
        <v>1307</v>
      </c>
      <c r="F270" s="82">
        <v>3</v>
      </c>
      <c r="G270" s="72">
        <f>VLOOKUP(A270,'Orçamento Analítico'!$A:$H,8,0)</f>
        <v>2437.2700000000004</v>
      </c>
      <c r="H270" s="73">
        <f>TRUNC(F270*G270,2)</f>
        <v>7311.81</v>
      </c>
    </row>
    <row r="271" spans="1:8" ht="33.75">
      <c r="A271" s="79" t="s">
        <v>571</v>
      </c>
      <c r="B271" s="80" t="s">
        <v>572</v>
      </c>
      <c r="C271" s="80" t="str">
        <f>VLOOKUP(B271,'Insumos e Serviços'!$A:$F,2,0)</f>
        <v>SINAPI</v>
      </c>
      <c r="D271" s="81" t="str">
        <f>VLOOKUP(B271,'Insumos e Serviços'!$A:$F,4,0)</f>
        <v>TUBO EM COBRE FLEXÍVEL, DN 1/4, COM ISOLAMENTO, INSTALADO EM RAMAL DE ALIMENTAÇÃO DE AR CONDICIONADO COM CONDENSADORA INDIVIDUAL   FORNECIMENTO E INSTALAÇÃO. AF_12/2015</v>
      </c>
      <c r="E271" s="80" t="str">
        <f>VLOOKUP(B271,'Insumos e Serviços'!$A:$F,5,0)</f>
        <v>M</v>
      </c>
      <c r="F271" s="82">
        <v>17</v>
      </c>
      <c r="G271" s="82">
        <f>VLOOKUP(B271,'Insumos e Serviços'!$A:$F,6,0)</f>
        <v>32.33</v>
      </c>
      <c r="H271" s="73">
        <f>TRUNC(F271*G271,2)</f>
        <v>549.61</v>
      </c>
    </row>
    <row r="272" spans="1:8" ht="33.75">
      <c r="A272" s="79" t="s">
        <v>573</v>
      </c>
      <c r="B272" s="80" t="s">
        <v>574</v>
      </c>
      <c r="C272" s="80" t="str">
        <f>VLOOKUP(B272,'Insumos e Serviços'!$A:$F,2,0)</f>
        <v>SINAPI</v>
      </c>
      <c r="D272" s="81" t="str">
        <f>VLOOKUP(B272,'Insumos e Serviços'!$A:$F,4,0)</f>
        <v>TUBO EM COBRE FLEXÍVEL, DN 3/8", COM ISOLAMENTO, INSTALADO EM RAMAL DE ALIMENTAÇÃO DE AR CONDICIONADO COM CONDENSADORA INDIVIDUAL  FORNECIMENTO E INSTALAÇÃO. AF_12/2015</v>
      </c>
      <c r="E272" s="80" t="str">
        <f>VLOOKUP(B272,'Insumos e Serviços'!$A:$F,5,0)</f>
        <v>M</v>
      </c>
      <c r="F272" s="82">
        <v>18</v>
      </c>
      <c r="G272" s="82">
        <f>VLOOKUP(B272,'Insumos e Serviços'!$A:$F,6,0)</f>
        <v>57.27</v>
      </c>
      <c r="H272" s="73">
        <f>TRUNC(F272*G272,2)</f>
        <v>1030.86</v>
      </c>
    </row>
    <row r="273" spans="1:8" ht="11.25">
      <c r="A273" s="88"/>
      <c r="B273" s="88"/>
      <c r="C273" s="88"/>
      <c r="D273" s="89"/>
      <c r="E273" s="88"/>
      <c r="F273" s="90"/>
      <c r="G273" s="90"/>
      <c r="H273" s="91"/>
    </row>
    <row r="274" spans="1:8" ht="11.25">
      <c r="A274" s="92" t="s">
        <v>575</v>
      </c>
      <c r="B274" s="93">
        <f>1-B275</f>
        <v>0.5</v>
      </c>
      <c r="C274" s="94"/>
      <c r="D274" s="95" t="s">
        <v>1278</v>
      </c>
      <c r="E274" s="95"/>
      <c r="F274" s="96"/>
      <c r="G274" s="239">
        <f>H9+H12+H52+H57+H177+H184+H187+H221+H266</f>
        <v>393248.38</v>
      </c>
      <c r="H274" s="239"/>
    </row>
    <row r="275" spans="1:8" ht="12.75" customHeight="1">
      <c r="A275" s="240" t="s">
        <v>576</v>
      </c>
      <c r="B275" s="241">
        <v>0.5</v>
      </c>
      <c r="C275" s="94"/>
      <c r="D275" s="97" t="s">
        <v>1279</v>
      </c>
      <c r="E275" s="98" t="str">
        <f>CONCATENATE("(",'Composição de BDI'!$D$23*100,"%)")</f>
        <v>(22,12%)</v>
      </c>
      <c r="F275" s="96"/>
      <c r="G275" s="239">
        <f>TRUNC(G274*'Composição de BDI'!$D$23,2)</f>
        <v>86986.54</v>
      </c>
      <c r="H275" s="239"/>
    </row>
    <row r="276" spans="1:8" ht="11.25">
      <c r="A276" s="240"/>
      <c r="B276" s="241"/>
      <c r="C276" s="94"/>
      <c r="D276" s="95" t="s">
        <v>1280</v>
      </c>
      <c r="E276" s="95"/>
      <c r="F276" s="96"/>
      <c r="G276" s="239">
        <f>G274+G275</f>
        <v>480234.92</v>
      </c>
      <c r="H276" s="239"/>
    </row>
    <row r="277" spans="1:8" ht="11.25">
      <c r="A277" s="99"/>
      <c r="B277" s="99"/>
      <c r="C277" s="99"/>
      <c r="D277" s="100"/>
      <c r="E277" s="99"/>
      <c r="F277" s="101"/>
      <c r="G277" s="101"/>
      <c r="H277" s="102"/>
    </row>
    <row r="278" spans="1:8" ht="11.25">
      <c r="A278" s="237"/>
      <c r="B278" s="237"/>
      <c r="C278" s="237"/>
      <c r="D278" s="237"/>
      <c r="E278" s="237"/>
      <c r="F278" s="237"/>
      <c r="G278" s="237"/>
      <c r="H278" s="237"/>
    </row>
  </sheetData>
  <sheetProtection/>
  <mergeCells count="21">
    <mergeCell ref="E4:F4"/>
    <mergeCell ref="G4:H4"/>
    <mergeCell ref="G1:H1"/>
    <mergeCell ref="A2:B2"/>
    <mergeCell ref="E2:F2"/>
    <mergeCell ref="G2:H2"/>
    <mergeCell ref="A3:B3"/>
    <mergeCell ref="C3:D3"/>
    <mergeCell ref="A4:B4"/>
    <mergeCell ref="C4:D4"/>
    <mergeCell ref="A278:H278"/>
    <mergeCell ref="A7:H7"/>
    <mergeCell ref="G274:H274"/>
    <mergeCell ref="A275:A276"/>
    <mergeCell ref="B275:B276"/>
    <mergeCell ref="G275:H275"/>
    <mergeCell ref="G276:H276"/>
    <mergeCell ref="A6:B6"/>
    <mergeCell ref="C6:D6"/>
    <mergeCell ref="E6:F6"/>
    <mergeCell ref="G6:H6"/>
  </mergeCells>
  <printOptions/>
  <pageMargins left="0.5" right="0.5" top="0.861111111111111" bottom="0.861111111111111" header="0.511805555555555" footer="0.511805555555555"/>
  <pageSetup fitToHeight="0" fitToWidth="1" horizontalDpi="300" verticalDpi="3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H607"/>
  <sheetViews>
    <sheetView showOutlineSymbols="0" view="pageBreakPreview" zoomScale="70" zoomScaleSheetLayoutView="70" zoomScalePageLayoutView="140" workbookViewId="0" topLeftCell="A1">
      <selection activeCell="A1" sqref="A1"/>
    </sheetView>
  </sheetViews>
  <sheetFormatPr defaultColWidth="9.421875" defaultRowHeight="12.75"/>
  <cols>
    <col min="1" max="2" width="12.7109375" style="0" customWidth="1"/>
    <col min="3" max="3" width="10.140625" style="0" customWidth="1"/>
    <col min="4" max="4" width="65.8515625" style="0" customWidth="1"/>
    <col min="5" max="8" width="12.7109375" style="0" customWidth="1"/>
  </cols>
  <sheetData>
    <row r="1" spans="1:8" s="37" customFormat="1" ht="15" customHeight="1">
      <c r="A1" s="20" t="str">
        <f>'Orçamento Sintético'!A1:A2</f>
        <v>P. Execução:</v>
      </c>
      <c r="B1" s="103"/>
      <c r="C1" s="20" t="str">
        <f>'Orçamento Sintético'!C1</f>
        <v>Licitação:</v>
      </c>
      <c r="D1" s="21" t="str">
        <f>'Orçamento Sintético'!D1</f>
        <v>Objeto: Impermeabilização, revitalização, construção de guaritas e depósitos no subsolo do Edifício Sede</v>
      </c>
      <c r="E1" s="20" t="str">
        <f>'Orçamento Sintético'!E1</f>
        <v>Data:</v>
      </c>
      <c r="F1" s="104"/>
      <c r="G1" s="227"/>
      <c r="H1" s="227"/>
    </row>
    <row r="2" spans="1:8" s="37" customFormat="1" ht="15" customHeight="1">
      <c r="A2" s="235" t="str">
        <f>'Orçamento Sintético'!A2:B2</f>
        <v>A</v>
      </c>
      <c r="B2" s="235"/>
      <c r="C2" s="45" t="str">
        <f>'Orçamento Sintético'!C2:D2</f>
        <v>B</v>
      </c>
      <c r="D2" s="24" t="str">
        <f>'Orçamento Sintético'!D2</f>
        <v>Local: Eixo Monumental, Praça do Buriti, Lote 2, Sede do MPDFT, Brasília-DF</v>
      </c>
      <c r="E2" s="230">
        <f>'Orçamento Sintético'!E2:F2</f>
        <v>1</v>
      </c>
      <c r="F2" s="230"/>
      <c r="G2" s="229"/>
      <c r="H2" s="229"/>
    </row>
    <row r="3" spans="1:8" s="37" customFormat="1" ht="15" customHeight="1">
      <c r="A3" s="26" t="str">
        <f>'Orçamento Sintético'!A3:B3</f>
        <v>P. Validade:</v>
      </c>
      <c r="B3" s="106"/>
      <c r="C3" s="26" t="str">
        <f>'Orçamento Sintético'!C3:D3</f>
        <v>Razão Social:</v>
      </c>
      <c r="D3" s="104"/>
      <c r="E3" s="20" t="str">
        <f>'Orçamento Sintético'!E3</f>
        <v>Telefone:</v>
      </c>
      <c r="F3" s="104"/>
      <c r="G3" s="48"/>
      <c r="H3" s="49"/>
    </row>
    <row r="4" spans="1:8" s="37" customFormat="1" ht="24.75" customHeight="1">
      <c r="A4" s="235" t="str">
        <f>'Orçamento Sintético'!A4:B4</f>
        <v>C</v>
      </c>
      <c r="B4" s="235"/>
      <c r="C4" s="235" t="str">
        <f>'Orçamento Sintético'!C4:D4</f>
        <v>D</v>
      </c>
      <c r="D4" s="235"/>
      <c r="E4" s="235" t="str">
        <f>'Orçamento Sintético'!E4:F4</f>
        <v>E</v>
      </c>
      <c r="F4" s="235"/>
      <c r="G4" s="229"/>
      <c r="H4" s="229"/>
    </row>
    <row r="5" spans="1:8" s="37" customFormat="1" ht="24.75" customHeight="1">
      <c r="A5" s="20" t="str">
        <f>'Orçamento Sintético'!A5</f>
        <v>P. Garantia:</v>
      </c>
      <c r="B5" s="103"/>
      <c r="C5" s="20" t="str">
        <f>'Orçamento Sintético'!C5</f>
        <v>CNPJ:</v>
      </c>
      <c r="D5" s="104"/>
      <c r="E5" s="20" t="str">
        <f>'Orçamento Sintético'!E5</f>
        <v>E-mail:</v>
      </c>
      <c r="F5" s="104"/>
      <c r="G5" s="48"/>
      <c r="H5" s="49"/>
    </row>
    <row r="6" spans="1:8" s="37" customFormat="1" ht="24.75" customHeight="1">
      <c r="A6" s="235" t="str">
        <f>'Orçamento Sintético'!A6:B6</f>
        <v>F</v>
      </c>
      <c r="B6" s="235"/>
      <c r="C6" s="235" t="str">
        <f>'Orçamento Sintético'!C6:D6</f>
        <v>G</v>
      </c>
      <c r="D6" s="235"/>
      <c r="E6" s="235" t="str">
        <f>'Orçamento Sintético'!E6:F6</f>
        <v>H</v>
      </c>
      <c r="F6" s="235"/>
      <c r="G6" s="234"/>
      <c r="H6" s="234"/>
    </row>
    <row r="7" spans="1:8" ht="15" customHeight="1">
      <c r="A7" s="243" t="s">
        <v>577</v>
      </c>
      <c r="B7" s="243"/>
      <c r="C7" s="243"/>
      <c r="D7" s="243"/>
      <c r="E7" s="243"/>
      <c r="F7" s="243"/>
      <c r="G7" s="243"/>
      <c r="H7" s="243"/>
    </row>
    <row r="8" spans="1:8" s="112" customFormat="1" ht="11.25">
      <c r="A8" s="107" t="s">
        <v>1269</v>
      </c>
      <c r="B8" s="108"/>
      <c r="C8" s="108"/>
      <c r="D8" s="107" t="s">
        <v>578</v>
      </c>
      <c r="E8" s="109"/>
      <c r="F8" s="110"/>
      <c r="G8" s="107"/>
      <c r="H8" s="111"/>
    </row>
    <row r="9" spans="1:8" s="112" customFormat="1" ht="11.25">
      <c r="A9" s="62" t="s">
        <v>1301</v>
      </c>
      <c r="B9" s="63"/>
      <c r="C9" s="63"/>
      <c r="D9" s="62" t="s">
        <v>1302</v>
      </c>
      <c r="E9" s="63"/>
      <c r="F9" s="113"/>
      <c r="G9" s="62"/>
      <c r="H9" s="67"/>
    </row>
    <row r="10" spans="1:8" s="112" customFormat="1" ht="11.25">
      <c r="A10" s="114" t="s">
        <v>1303</v>
      </c>
      <c r="B10" s="115" t="str">
        <f>VLOOKUP(A10,'Orçamento Sintético'!$A:$H,2,0)</f>
        <v> MPDFT1020 </v>
      </c>
      <c r="C10" s="115" t="str">
        <f>VLOOKUP(A10,'Orçamento Sintético'!$A:$H,3,0)</f>
        <v>Próprio</v>
      </c>
      <c r="D10" s="116" t="str">
        <f>VLOOKUP(A10,'Orçamento Sintético'!$A:$H,4,0)</f>
        <v>Anotação de Responsabilidade Técnica (Faixa 3 - Tabela A - CONFEA)</v>
      </c>
      <c r="E10" s="115" t="str">
        <f>VLOOKUP(A10,'Orçamento Sintético'!$A:$H,5,0)</f>
        <v>un</v>
      </c>
      <c r="F10" s="117"/>
      <c r="G10" s="118"/>
      <c r="H10" s="119">
        <f>SUM(H11)</f>
        <v>233.94</v>
      </c>
    </row>
    <row r="11" spans="1:8" s="112" customFormat="1" ht="11.25">
      <c r="A11" s="120" t="str">
        <f>VLOOKUP(B11,'Insumos e Serviços'!$A:$F,3,0)</f>
        <v>Insumo</v>
      </c>
      <c r="B11" s="121" t="s">
        <v>579</v>
      </c>
      <c r="C11" s="122" t="str">
        <f>VLOOKUP(B11,'Insumos e Serviços'!$A:$F,2,0)</f>
        <v>Próprio</v>
      </c>
      <c r="D11" s="120" t="str">
        <f>VLOOKUP(B11,'Insumos e Serviços'!$A:$F,4,0)</f>
        <v>Anotação de Resposanbilidade Técnica (Faixa 3 - Tabela A - CONFEA)</v>
      </c>
      <c r="E11" s="122" t="str">
        <f>VLOOKUP(B11,'Insumos e Serviços'!$A:$F,5,0)</f>
        <v>vb</v>
      </c>
      <c r="F11" s="123">
        <v>1</v>
      </c>
      <c r="G11" s="72">
        <f>VLOOKUP(B11,'Insumos e Serviços'!$A:$F,6,0)</f>
        <v>233.94</v>
      </c>
      <c r="H11" s="72">
        <f>TRUNC(F11*G11,2)</f>
        <v>233.94</v>
      </c>
    </row>
    <row r="12" spans="1:8" s="112" customFormat="1" ht="11.25">
      <c r="A12" s="124"/>
      <c r="B12" s="125"/>
      <c r="C12" s="125"/>
      <c r="D12" s="126"/>
      <c r="E12" s="125"/>
      <c r="F12" s="127"/>
      <c r="G12" s="128"/>
      <c r="H12" s="128"/>
    </row>
    <row r="13" spans="1:8" s="112" customFormat="1" ht="11.25">
      <c r="A13" s="107" t="s">
        <v>1270</v>
      </c>
      <c r="B13" s="108"/>
      <c r="C13" s="108"/>
      <c r="D13" s="107" t="s">
        <v>1308</v>
      </c>
      <c r="E13" s="109"/>
      <c r="F13" s="110"/>
      <c r="G13" s="107"/>
      <c r="H13" s="111"/>
    </row>
    <row r="14" spans="1:8" s="112" customFormat="1" ht="11.25">
      <c r="A14" s="62" t="s">
        <v>1309</v>
      </c>
      <c r="B14" s="63"/>
      <c r="C14" s="63"/>
      <c r="D14" s="62" t="s">
        <v>1310</v>
      </c>
      <c r="E14" s="63"/>
      <c r="F14" s="113"/>
      <c r="G14" s="62"/>
      <c r="H14" s="67"/>
    </row>
    <row r="15" spans="1:8" s="112" customFormat="1" ht="11.25">
      <c r="A15" s="74" t="s">
        <v>580</v>
      </c>
      <c r="B15" s="75"/>
      <c r="C15" s="75"/>
      <c r="D15" s="74" t="s">
        <v>1312</v>
      </c>
      <c r="E15" s="75"/>
      <c r="F15" s="129"/>
      <c r="G15" s="74"/>
      <c r="H15" s="78"/>
    </row>
    <row r="16" spans="1:8" s="112" customFormat="1" ht="22.5">
      <c r="A16" s="114" t="s">
        <v>1313</v>
      </c>
      <c r="B16" s="115" t="str">
        <f>VLOOKUP(A16,'Orçamento Sintético'!$A:$H,2,0)</f>
        <v> MPDFT1580 </v>
      </c>
      <c r="C16" s="115" t="str">
        <f>VLOOKUP(A16,'Orçamento Sintético'!$A:$H,3,0)</f>
        <v>Próprio</v>
      </c>
      <c r="D16" s="116" t="str">
        <f>VLOOKUP(A16,'Orçamento Sintético'!$A:$H,4,0)</f>
        <v>Cópia da FDE (13.80.013) - Proteção / isolamento de superfícies com lona plástica preta</v>
      </c>
      <c r="E16" s="115" t="str">
        <f>VLOOKUP(A16,'Orçamento Sintético'!$A:$H,5,0)</f>
        <v>m²</v>
      </c>
      <c r="F16" s="117"/>
      <c r="G16" s="118"/>
      <c r="H16" s="118">
        <f>SUM(H17:H18)</f>
        <v>2.4</v>
      </c>
    </row>
    <row r="17" spans="1:8" s="112" customFormat="1" ht="11.25">
      <c r="A17" s="120" t="str">
        <f>VLOOKUP(B17,'Insumos e Serviços'!$A:$F,3,0)</f>
        <v>Composição</v>
      </c>
      <c r="B17" s="121" t="s">
        <v>581</v>
      </c>
      <c r="C17" s="122" t="str">
        <f>VLOOKUP(B17,'Insumos e Serviços'!$A:$F,2,0)</f>
        <v>SINAPI</v>
      </c>
      <c r="D17" s="120" t="str">
        <f>VLOOKUP(B17,'Insumos e Serviços'!$A:$F,4,0)</f>
        <v>SERVENTE COM ENCARGOS COMPLEMENTARES</v>
      </c>
      <c r="E17" s="122" t="str">
        <f>VLOOKUP(B17,'Insumos e Serviços'!$A:$F,5,0)</f>
        <v>H</v>
      </c>
      <c r="F17" s="123">
        <v>0.03</v>
      </c>
      <c r="G17" s="72">
        <f>VLOOKUP(B17,'Insumos e Serviços'!$A:$F,6,0)</f>
        <v>19.39</v>
      </c>
      <c r="H17" s="72">
        <f>TRUNC(F17*G17,2)</f>
        <v>0.58</v>
      </c>
    </row>
    <row r="18" spans="1:8" s="112" customFormat="1" ht="11.25">
      <c r="A18" s="120" t="str">
        <f>VLOOKUP(B18,'Insumos e Serviços'!$A:$F,3,0)</f>
        <v>Insumo</v>
      </c>
      <c r="B18" s="121" t="s">
        <v>582</v>
      </c>
      <c r="C18" s="122" t="str">
        <f>VLOOKUP(B18,'Insumos e Serviços'!$A:$F,2,0)</f>
        <v>SINAPI</v>
      </c>
      <c r="D18" s="120" t="str">
        <f>VLOOKUP(B18,'Insumos e Serviços'!$A:$F,4,0)</f>
        <v>LONA PLASTICA PESADA PRETA, E = 150 MICRA</v>
      </c>
      <c r="E18" s="122" t="str">
        <f>VLOOKUP(B18,'Insumos e Serviços'!$A:$F,5,0)</f>
        <v>m²</v>
      </c>
      <c r="F18" s="123">
        <v>1.1</v>
      </c>
      <c r="G18" s="72">
        <f>VLOOKUP(B18,'Insumos e Serviços'!$A:$F,6,0)</f>
        <v>1.66</v>
      </c>
      <c r="H18" s="72">
        <f>TRUNC(F18*G18,2)</f>
        <v>1.82</v>
      </c>
    </row>
    <row r="19" spans="1:8" s="112" customFormat="1" ht="11.25">
      <c r="A19" s="124"/>
      <c r="B19" s="125"/>
      <c r="C19" s="125"/>
      <c r="D19" s="126"/>
      <c r="E19" s="125"/>
      <c r="F19" s="127"/>
      <c r="G19" s="128"/>
      <c r="H19" s="128"/>
    </row>
    <row r="20" spans="1:8" s="112" customFormat="1" ht="22.5">
      <c r="A20" s="114" t="s">
        <v>1317</v>
      </c>
      <c r="B20" s="115" t="str">
        <f>VLOOKUP(A20,'Orçamento Sintético'!$A:$H,2,0)</f>
        <v> MPDFT1187 </v>
      </c>
      <c r="C20" s="115" t="str">
        <f>VLOOKUP(A20,'Orçamento Sintético'!$A:$H,3,0)</f>
        <v>Próprio</v>
      </c>
      <c r="D20" s="116" t="str">
        <f>VLOOKUP(A20,'Orçamento Sintético'!$A:$H,4,0)</f>
        <v>Cópia da Sudecap (01.04.11) - Fita plástica zebrada para demarcação de áreas, fixada em estrutura, largura = 7 cm, sem adesivo</v>
      </c>
      <c r="E20" s="115" t="str">
        <f>VLOOKUP(A20,'Orçamento Sintético'!$A:$H,5,0)</f>
        <v>m</v>
      </c>
      <c r="F20" s="117"/>
      <c r="G20" s="118"/>
      <c r="H20" s="118">
        <f>SUM(H21:H23)</f>
        <v>3.7099999999999995</v>
      </c>
    </row>
    <row r="21" spans="1:8" s="112" customFormat="1" ht="11.25">
      <c r="A21" s="120" t="str">
        <f>VLOOKUP(B21,'Insumos e Serviços'!$A:$F,3,0)</f>
        <v>Composição</v>
      </c>
      <c r="B21" s="121" t="s">
        <v>583</v>
      </c>
      <c r="C21" s="122" t="str">
        <f>VLOOKUP(B21,'Insumos e Serviços'!$A:$F,2,0)</f>
        <v>SINAPI</v>
      </c>
      <c r="D21" s="120" t="str">
        <f>VLOOKUP(B21,'Insumos e Serviços'!$A:$F,4,0)</f>
        <v>PEDREIRO COM ENCARGOS COMPLEMENTARES</v>
      </c>
      <c r="E21" s="122" t="str">
        <f>VLOOKUP(B21,'Insumos e Serviços'!$A:$F,5,0)</f>
        <v>H</v>
      </c>
      <c r="F21" s="123">
        <v>0.08</v>
      </c>
      <c r="G21" s="72">
        <f>VLOOKUP(B21,'Insumos e Serviços'!$A:$F,6,0)</f>
        <v>26.2</v>
      </c>
      <c r="H21" s="72">
        <f>TRUNC(F21*G21,2)</f>
        <v>2.09</v>
      </c>
    </row>
    <row r="22" spans="1:8" s="112" customFormat="1" ht="11.25">
      <c r="A22" s="120" t="str">
        <f>VLOOKUP(B22,'Insumos e Serviços'!$A:$F,3,0)</f>
        <v>Composição</v>
      </c>
      <c r="B22" s="121" t="s">
        <v>581</v>
      </c>
      <c r="C22" s="122" t="str">
        <f>VLOOKUP(B22,'Insumos e Serviços'!$A:$F,2,0)</f>
        <v>SINAPI</v>
      </c>
      <c r="D22" s="120" t="str">
        <f>VLOOKUP(B22,'Insumos e Serviços'!$A:$F,4,0)</f>
        <v>SERVENTE COM ENCARGOS COMPLEMENTARES</v>
      </c>
      <c r="E22" s="122" t="str">
        <f>VLOOKUP(B22,'Insumos e Serviços'!$A:$F,5,0)</f>
        <v>H</v>
      </c>
      <c r="F22" s="123">
        <v>0.08</v>
      </c>
      <c r="G22" s="72">
        <f>VLOOKUP(B22,'Insumos e Serviços'!$A:$F,6,0)</f>
        <v>19.39</v>
      </c>
      <c r="H22" s="72">
        <f>TRUNC(F22*G22,2)</f>
        <v>1.55</v>
      </c>
    </row>
    <row r="23" spans="1:8" s="112" customFormat="1" ht="11.25">
      <c r="A23" s="120" t="str">
        <f>VLOOKUP(B23,'Insumos e Serviços'!$A:$F,3,0)</f>
        <v>Insumo</v>
      </c>
      <c r="B23" s="121" t="s">
        <v>584</v>
      </c>
      <c r="C23" s="122" t="str">
        <f>VLOOKUP(B23,'Insumos e Serviços'!$A:$F,2,0)</f>
        <v>Próprio</v>
      </c>
      <c r="D23" s="120" t="str">
        <f>VLOOKUP(B23,'Insumos e Serviços'!$A:$F,4,0)</f>
        <v>Fita plástica zebrada para demarcação de áreas, largura = 7 cm, sem adesivo</v>
      </c>
      <c r="E23" s="122" t="str">
        <f>VLOOKUP(B23,'Insumos e Serviços'!$A:$F,5,0)</f>
        <v>m</v>
      </c>
      <c r="F23" s="123">
        <v>1.05</v>
      </c>
      <c r="G23" s="72">
        <f>VLOOKUP(B23,'Insumos e Serviços'!$A:$F,6,0)</f>
        <v>0.07</v>
      </c>
      <c r="H23" s="72">
        <f>TRUNC(F23*G23,2)</f>
        <v>0.07</v>
      </c>
    </row>
    <row r="24" spans="1:8" s="112" customFormat="1" ht="11.25">
      <c r="A24" s="124"/>
      <c r="B24" s="125"/>
      <c r="C24" s="125"/>
      <c r="D24" s="126"/>
      <c r="E24" s="125"/>
      <c r="F24" s="127"/>
      <c r="G24" s="128"/>
      <c r="H24" s="128"/>
    </row>
    <row r="25" spans="1:8" s="112" customFormat="1" ht="11.25">
      <c r="A25" s="114" t="s">
        <v>1325</v>
      </c>
      <c r="B25" s="115" t="str">
        <f>VLOOKUP(A25,'Orçamento Sintético'!$A:$H,2,0)</f>
        <v> MPDFT0488 </v>
      </c>
      <c r="C25" s="115" t="str">
        <f>VLOOKUP(A25,'Orçamento Sintético'!$A:$H,3,0)</f>
        <v>Próprio</v>
      </c>
      <c r="D25" s="116" t="str">
        <f>VLOOKUP(A25,'Orçamento Sintético'!$A:$H,4,0)</f>
        <v>Transporte, carga e descarga de container</v>
      </c>
      <c r="E25" s="115" t="str">
        <f>VLOOKUP(A25,'Orçamento Sintético'!$A:$H,5,0)</f>
        <v>sv</v>
      </c>
      <c r="F25" s="117"/>
      <c r="G25" s="118"/>
      <c r="H25" s="118">
        <f>SUM(H26:H28)</f>
        <v>769.82</v>
      </c>
    </row>
    <row r="26" spans="1:8" s="112" customFormat="1" ht="33.75">
      <c r="A26" s="120" t="str">
        <f>VLOOKUP(B26,'Insumos e Serviços'!$A:$F,3,0)</f>
        <v>Composição</v>
      </c>
      <c r="B26" s="121" t="s">
        <v>585</v>
      </c>
      <c r="C26" s="122" t="str">
        <f>VLOOKUP(B26,'Insumos e Serviços'!$A:$F,2,0)</f>
        <v>SINAPI</v>
      </c>
      <c r="D26" s="120" t="str">
        <f>VLOOKUP(B26,'Insumos e Serviços'!$A:$F,4,0)</f>
        <v>GUINDAUTO HIDRÁULICO, CAPACIDADE MÁXIMA DE CARGA 6200 KG, MOMENTO MÁXIMO DE CARGA 11,7 TM, ALCANCE MÁXIMO HORIZONTAL 9,70 M, INCLUSIVE CAMINHÃO TOCO PBT 16.000 KG, POTÊNCIA DE 189 CV - CHP DIURNO. AF_06/2014</v>
      </c>
      <c r="E26" s="122" t="str">
        <f>VLOOKUP(B26,'Insumos e Serviços'!$A:$F,5,0)</f>
        <v>CHP</v>
      </c>
      <c r="F26" s="123">
        <v>1</v>
      </c>
      <c r="G26" s="72">
        <f>VLOOKUP(B26,'Insumos e Serviços'!$A:$F,6,0)</f>
        <v>289.06</v>
      </c>
      <c r="H26" s="72">
        <f>TRUNC(F26*G26,2)</f>
        <v>289.06</v>
      </c>
    </row>
    <row r="27" spans="1:8" s="112" customFormat="1" ht="33.75">
      <c r="A27" s="120" t="str">
        <f>VLOOKUP(B27,'Insumos e Serviços'!$A:$F,3,0)</f>
        <v>Composição</v>
      </c>
      <c r="B27" s="121" t="s">
        <v>586</v>
      </c>
      <c r="C27" s="122" t="str">
        <f>VLOOKUP(B27,'Insumos e Serviços'!$A:$F,2,0)</f>
        <v>SINAPI</v>
      </c>
      <c r="D27" s="120" t="str">
        <f>VLOOKUP(B27,'Insumos e Serviços'!$A:$F,4,0)</f>
        <v>GUINDAUTO HIDRÁULICO, CAPACIDADE MÁXIMA DE CARGA 6200 KG, MOMENTO MÁXIMO DE CARGA 11,7 TM, ALCANCE MÁXIMO HORIZONTAL 9,70 M, INCLUSIVE CAMINHÃO TOCO PBT 16.000 KG, POTÊNCIA DE 189 CV - CHI DIURNO. AF_06/2014</v>
      </c>
      <c r="E27" s="122" t="str">
        <f>VLOOKUP(B27,'Insumos e Serviços'!$A:$F,5,0)</f>
        <v>CHI</v>
      </c>
      <c r="F27" s="123">
        <v>7</v>
      </c>
      <c r="G27" s="72">
        <f>VLOOKUP(B27,'Insumos e Serviços'!$A:$F,6,0)</f>
        <v>52.06</v>
      </c>
      <c r="H27" s="72">
        <f>TRUNC(F27*G27,2)</f>
        <v>364.42</v>
      </c>
    </row>
    <row r="28" spans="1:8" s="112" customFormat="1" ht="11.25">
      <c r="A28" s="120" t="str">
        <f>VLOOKUP(B28,'Insumos e Serviços'!$A:$F,3,0)</f>
        <v>Composição</v>
      </c>
      <c r="B28" s="121" t="s">
        <v>581</v>
      </c>
      <c r="C28" s="122" t="str">
        <f>VLOOKUP(B28,'Insumos e Serviços'!$A:$F,2,0)</f>
        <v>SINAPI</v>
      </c>
      <c r="D28" s="120" t="str">
        <f>VLOOKUP(B28,'Insumos e Serviços'!$A:$F,4,0)</f>
        <v>SERVENTE COM ENCARGOS COMPLEMENTARES</v>
      </c>
      <c r="E28" s="122" t="str">
        <f>VLOOKUP(B28,'Insumos e Serviços'!$A:$F,5,0)</f>
        <v>H</v>
      </c>
      <c r="F28" s="123">
        <v>6</v>
      </c>
      <c r="G28" s="72">
        <f>VLOOKUP(B28,'Insumos e Serviços'!$A:$F,6,0)</f>
        <v>19.39</v>
      </c>
      <c r="H28" s="72">
        <f>TRUNC(F28*G28,2)</f>
        <v>116.34</v>
      </c>
    </row>
    <row r="29" spans="1:8" s="112" customFormat="1" ht="11.25">
      <c r="A29" s="124"/>
      <c r="B29" s="125"/>
      <c r="C29" s="125"/>
      <c r="D29" s="126"/>
      <c r="E29" s="125"/>
      <c r="F29" s="127"/>
      <c r="G29" s="128"/>
      <c r="H29" s="128"/>
    </row>
    <row r="30" spans="1:8" s="112" customFormat="1" ht="11.25">
      <c r="A30" s="62" t="s">
        <v>1329</v>
      </c>
      <c r="B30" s="63"/>
      <c r="C30" s="63"/>
      <c r="D30" s="62" t="s">
        <v>1330</v>
      </c>
      <c r="E30" s="63"/>
      <c r="F30" s="113"/>
      <c r="G30" s="62"/>
      <c r="H30" s="67"/>
    </row>
    <row r="31" spans="1:8" s="112" customFormat="1" ht="11.25">
      <c r="A31" s="74" t="s">
        <v>1331</v>
      </c>
      <c r="B31" s="75"/>
      <c r="C31" s="75"/>
      <c r="D31" s="74" t="s">
        <v>1332</v>
      </c>
      <c r="E31" s="75"/>
      <c r="F31" s="129"/>
      <c r="G31" s="74"/>
      <c r="H31" s="78"/>
    </row>
    <row r="32" spans="1:8" s="112" customFormat="1" ht="11.25">
      <c r="A32" s="114" t="s">
        <v>1337</v>
      </c>
      <c r="B32" s="115" t="str">
        <f>VLOOKUP(A32,'Orçamento Sintético'!$A:$H,2,0)</f>
        <v> MPDFT0104 </v>
      </c>
      <c r="C32" s="115" t="str">
        <f>VLOOKUP(A32,'Orçamento Sintético'!$A:$H,3,0)</f>
        <v>Próprio</v>
      </c>
      <c r="D32" s="116" t="str">
        <f>VLOOKUP(A32,'Orçamento Sintético'!$A:$H,4,0)</f>
        <v>Copia da SEINFRA (C1049) - DEMOLIÇÃO DE CONCRETO SIMPLES</v>
      </c>
      <c r="E32" s="115" t="str">
        <f>VLOOKUP(A32,'Orçamento Sintético'!$A:$H,5,0)</f>
        <v>m³</v>
      </c>
      <c r="F32" s="117"/>
      <c r="G32" s="118"/>
      <c r="H32" s="118">
        <f>SUM(H33:H34)</f>
        <v>286.13</v>
      </c>
    </row>
    <row r="33" spans="1:8" s="112" customFormat="1" ht="11.25">
      <c r="A33" s="120" t="str">
        <f>VLOOKUP(B33,'Insumos e Serviços'!$A:$F,3,0)</f>
        <v>Composição</v>
      </c>
      <c r="B33" s="121" t="s">
        <v>581</v>
      </c>
      <c r="C33" s="122" t="str">
        <f>VLOOKUP(B33,'Insumos e Serviços'!$A:$F,2,0)</f>
        <v>SINAPI</v>
      </c>
      <c r="D33" s="120" t="str">
        <f>VLOOKUP(B33,'Insumos e Serviços'!$A:$F,4,0)</f>
        <v>SERVENTE COM ENCARGOS COMPLEMENTARES</v>
      </c>
      <c r="E33" s="122" t="str">
        <f>VLOOKUP(B33,'Insumos e Serviços'!$A:$F,5,0)</f>
        <v>H</v>
      </c>
      <c r="F33" s="123">
        <v>13</v>
      </c>
      <c r="G33" s="72">
        <f>VLOOKUP(B33,'Insumos e Serviços'!$A:$F,6,0)</f>
        <v>19.39</v>
      </c>
      <c r="H33" s="72">
        <f>TRUNC(F33*G33,2)</f>
        <v>252.07</v>
      </c>
    </row>
    <row r="34" spans="1:8" s="112" customFormat="1" ht="11.25">
      <c r="A34" s="120" t="str">
        <f>VLOOKUP(B34,'Insumos e Serviços'!$A:$F,3,0)</f>
        <v>Composição</v>
      </c>
      <c r="B34" s="121" t="s">
        <v>583</v>
      </c>
      <c r="C34" s="122" t="str">
        <f>VLOOKUP(B34,'Insumos e Serviços'!$A:$F,2,0)</f>
        <v>SINAPI</v>
      </c>
      <c r="D34" s="120" t="str">
        <f>VLOOKUP(B34,'Insumos e Serviços'!$A:$F,4,0)</f>
        <v>PEDREIRO COM ENCARGOS COMPLEMENTARES</v>
      </c>
      <c r="E34" s="122" t="str">
        <f>VLOOKUP(B34,'Insumos e Serviços'!$A:$F,5,0)</f>
        <v>H</v>
      </c>
      <c r="F34" s="123">
        <v>1.3</v>
      </c>
      <c r="G34" s="72">
        <f>VLOOKUP(B34,'Insumos e Serviços'!$A:$F,6,0)</f>
        <v>26.2</v>
      </c>
      <c r="H34" s="72">
        <f>TRUNC(F34*G34,2)</f>
        <v>34.06</v>
      </c>
    </row>
    <row r="35" spans="1:8" s="112" customFormat="1" ht="11.25">
      <c r="A35" s="124"/>
      <c r="B35" s="125"/>
      <c r="C35" s="125"/>
      <c r="D35" s="126"/>
      <c r="E35" s="125"/>
      <c r="F35" s="127"/>
      <c r="G35" s="128"/>
      <c r="H35" s="128"/>
    </row>
    <row r="36" spans="1:8" s="112" customFormat="1" ht="22.5">
      <c r="A36" s="114" t="s">
        <v>2</v>
      </c>
      <c r="B36" s="115" t="str">
        <f>VLOOKUP(A36,'Orçamento Sintético'!$A:$H,2,0)</f>
        <v> MPDFT0494 </v>
      </c>
      <c r="C36" s="115" t="str">
        <f>VLOOKUP(A36,'Orçamento Sintético'!$A:$H,3,0)</f>
        <v>Próprio</v>
      </c>
      <c r="D36" s="116" t="str">
        <f>VLOOKUP(A36,'Orçamento Sintético'!$A:$H,4,0)</f>
        <v>Demolição de camada de proteção mecânica, impermeabilização e regularização de base</v>
      </c>
      <c r="E36" s="115" t="str">
        <f>VLOOKUP(A36,'Orçamento Sintético'!$A:$H,5,0)</f>
        <v>m²</v>
      </c>
      <c r="F36" s="117"/>
      <c r="G36" s="118"/>
      <c r="H36" s="118">
        <f>SUM(H37:H38)</f>
        <v>14.18</v>
      </c>
    </row>
    <row r="37" spans="1:8" s="112" customFormat="1" ht="22.5">
      <c r="A37" s="120" t="str">
        <f>VLOOKUP(B37,'Insumos e Serviços'!$A:$F,3,0)</f>
        <v>Composição</v>
      </c>
      <c r="B37" s="121" t="s">
        <v>587</v>
      </c>
      <c r="C37" s="122" t="str">
        <f>VLOOKUP(B37,'Insumos e Serviços'!$A:$F,2,0)</f>
        <v>SINAPI</v>
      </c>
      <c r="D37" s="120" t="str">
        <f>VLOOKUP(B37,'Insumos e Serviços'!$A:$F,4,0)</f>
        <v>DEMOLIÇÃO DE REVESTIMENTO CERÂMICO, DE FORMA MECANIZADA COM MARTELETE, SEM REAPROVEITAMENTO. AF_12/2017</v>
      </c>
      <c r="E37" s="122" t="str">
        <f>VLOOKUP(B37,'Insumos e Serviços'!$A:$F,5,0)</f>
        <v>m²</v>
      </c>
      <c r="F37" s="123">
        <v>1</v>
      </c>
      <c r="G37" s="72">
        <f>VLOOKUP(B37,'Insumos e Serviços'!$A:$F,6,0)</f>
        <v>11.17</v>
      </c>
      <c r="H37" s="72">
        <f>TRUNC(F37*G37,2)</f>
        <v>11.17</v>
      </c>
    </row>
    <row r="38" spans="1:8" s="112" customFormat="1" ht="22.5">
      <c r="A38" s="120" t="str">
        <f>VLOOKUP(B38,'Insumos e Serviços'!$A:$F,3,0)</f>
        <v>Composição</v>
      </c>
      <c r="B38" s="121" t="s">
        <v>588</v>
      </c>
      <c r="C38" s="122" t="str">
        <f>VLOOKUP(B38,'Insumos e Serviços'!$A:$F,2,0)</f>
        <v>SINAPI</v>
      </c>
      <c r="D38" s="120" t="str">
        <f>VLOOKUP(B38,'Insumos e Serviços'!$A:$F,4,0)</f>
        <v>DEMOLIÇÃO DE ARGAMASSAS, DE FORMA MANUAL, SEM REAPROVEITAMENTO. AF_12/2017</v>
      </c>
      <c r="E38" s="122" t="str">
        <f>VLOOKUP(B38,'Insumos e Serviços'!$A:$F,5,0)</f>
        <v>m²</v>
      </c>
      <c r="F38" s="123">
        <v>1</v>
      </c>
      <c r="G38" s="72">
        <f>VLOOKUP(B38,'Insumos e Serviços'!$A:$F,6,0)</f>
        <v>3.01</v>
      </c>
      <c r="H38" s="72">
        <f>TRUNC(F38*G38,2)</f>
        <v>3.01</v>
      </c>
    </row>
    <row r="39" spans="1:8" s="112" customFormat="1" ht="11.25">
      <c r="A39" s="124"/>
      <c r="B39" s="125"/>
      <c r="C39" s="125"/>
      <c r="D39" s="126"/>
      <c r="E39" s="125"/>
      <c r="F39" s="127"/>
      <c r="G39" s="128"/>
      <c r="H39" s="128"/>
    </row>
    <row r="40" spans="1:8" s="112" customFormat="1" ht="11.25">
      <c r="A40" s="74" t="s">
        <v>7</v>
      </c>
      <c r="B40" s="75"/>
      <c r="C40" s="75"/>
      <c r="D40" s="74" t="s">
        <v>8</v>
      </c>
      <c r="E40" s="75"/>
      <c r="F40" s="129"/>
      <c r="G40" s="74"/>
      <c r="H40" s="78"/>
    </row>
    <row r="41" spans="1:8" s="112" customFormat="1" ht="22.5">
      <c r="A41" s="114" t="s">
        <v>13</v>
      </c>
      <c r="B41" s="115" t="str">
        <f>VLOOKUP(A41,'Orçamento Sintético'!$A:$H,2,0)</f>
        <v> MPDFT0109 </v>
      </c>
      <c r="C41" s="115" t="str">
        <f>VLOOKUP(A41,'Orçamento Sintético'!$A:$H,3,0)</f>
        <v>Próprio</v>
      </c>
      <c r="D41" s="116" t="str">
        <f>VLOOKUP(A41,'Orçamento Sintético'!$A:$H,4,0)</f>
        <v>Copia da CPOS (04.30.060) - Remoção de tubulação hidráulica em geral, incluindo conexões, caixas e ralos</v>
      </c>
      <c r="E41" s="115" t="str">
        <f>VLOOKUP(A41,'Orçamento Sintético'!$A:$H,5,0)</f>
        <v>m</v>
      </c>
      <c r="F41" s="117"/>
      <c r="G41" s="118"/>
      <c r="H41" s="119">
        <f>SUM(H42)</f>
        <v>7.75</v>
      </c>
    </row>
    <row r="42" spans="1:8" s="112" customFormat="1" ht="11.25">
      <c r="A42" s="120" t="str">
        <f>VLOOKUP(B42,'Insumos e Serviços'!$A:$F,3,0)</f>
        <v>Composição</v>
      </c>
      <c r="B42" s="121" t="s">
        <v>581</v>
      </c>
      <c r="C42" s="122" t="str">
        <f>VLOOKUP(B42,'Insumos e Serviços'!$A:$F,2,0)</f>
        <v>SINAPI</v>
      </c>
      <c r="D42" s="120" t="str">
        <f>VLOOKUP(B42,'Insumos e Serviços'!$A:$F,4,0)</f>
        <v>SERVENTE COM ENCARGOS COMPLEMENTARES</v>
      </c>
      <c r="E42" s="122" t="str">
        <f>VLOOKUP(B42,'Insumos e Serviços'!$A:$F,5,0)</f>
        <v>H</v>
      </c>
      <c r="F42" s="123">
        <v>0.4</v>
      </c>
      <c r="G42" s="72">
        <f>VLOOKUP(B42,'Insumos e Serviços'!$A:$F,6,0)</f>
        <v>19.39</v>
      </c>
      <c r="H42" s="72">
        <f>TRUNC(F42*G42,2)</f>
        <v>7.75</v>
      </c>
    </row>
    <row r="43" spans="1:8" s="112" customFormat="1" ht="11.25">
      <c r="A43" s="124"/>
      <c r="B43" s="125"/>
      <c r="C43" s="125"/>
      <c r="D43" s="126"/>
      <c r="E43" s="125"/>
      <c r="F43" s="127"/>
      <c r="G43" s="128"/>
      <c r="H43" s="128"/>
    </row>
    <row r="44" spans="1:8" s="112" customFormat="1" ht="11.25">
      <c r="A44" s="114" t="s">
        <v>16</v>
      </c>
      <c r="B44" s="115" t="str">
        <f>VLOOKUP(A44,'Orçamento Sintético'!$A:$H,2,0)</f>
        <v> MPDFT1674 </v>
      </c>
      <c r="C44" s="115" t="str">
        <f>VLOOKUP(A44,'Orçamento Sintético'!$A:$H,3,0)</f>
        <v>Próprio</v>
      </c>
      <c r="D44" s="116" t="str">
        <f>VLOOKUP(A44,'Orçamento Sintético'!$A:$H,4,0)</f>
        <v>Remoção de cancela automática e ponto eletrônico</v>
      </c>
      <c r="E44" s="115" t="str">
        <f>VLOOKUP(A44,'Orçamento Sintético'!$A:$H,5,0)</f>
        <v>sv</v>
      </c>
      <c r="F44" s="117"/>
      <c r="G44" s="118"/>
      <c r="H44" s="118">
        <f>SUM(H45:H46)</f>
        <v>40.5</v>
      </c>
    </row>
    <row r="45" spans="1:8" s="112" customFormat="1" ht="11.25">
      <c r="A45" s="120" t="s">
        <v>589</v>
      </c>
      <c r="B45" s="121" t="s">
        <v>583</v>
      </c>
      <c r="C45" s="122" t="str">
        <f>VLOOKUP(B45,'Insumos e Serviços'!$A:$F,2,0)</f>
        <v>SINAPI</v>
      </c>
      <c r="D45" s="120" t="str">
        <f>VLOOKUP(B45,'Insumos e Serviços'!$A:$F,4,0)</f>
        <v>PEDREIRO COM ENCARGOS COMPLEMENTARES</v>
      </c>
      <c r="E45" s="122" t="str">
        <f>VLOOKUP(B45,'Insumos e Serviços'!$A:$F,5,0)</f>
        <v>H</v>
      </c>
      <c r="F45" s="123">
        <v>0.75</v>
      </c>
      <c r="G45" s="72">
        <f>VLOOKUP(B45,'Insumos e Serviços'!$A:$F,6,0)</f>
        <v>26.2</v>
      </c>
      <c r="H45" s="72">
        <f>TRUNC(F45*G45,2)</f>
        <v>19.65</v>
      </c>
    </row>
    <row r="46" spans="1:8" s="112" customFormat="1" ht="11.25">
      <c r="A46" s="120" t="s">
        <v>589</v>
      </c>
      <c r="B46" s="121" t="s">
        <v>590</v>
      </c>
      <c r="C46" s="122" t="str">
        <f>VLOOKUP(B46,'Insumos e Serviços'!$A:$F,2,0)</f>
        <v>SINAPI</v>
      </c>
      <c r="D46" s="120" t="str">
        <f>VLOOKUP(B46,'Insumos e Serviços'!$A:$F,4,0)</f>
        <v>MONTADOR ELETROMECÃNICO COM ENCARGOS COMPLEMENTARES</v>
      </c>
      <c r="E46" s="122" t="str">
        <f>VLOOKUP(B46,'Insumos e Serviços'!$A:$F,5,0)</f>
        <v>H</v>
      </c>
      <c r="F46" s="123">
        <v>0.75</v>
      </c>
      <c r="G46" s="72">
        <f>VLOOKUP(B46,'Insumos e Serviços'!$A:$F,6,0)</f>
        <v>27.81</v>
      </c>
      <c r="H46" s="72">
        <f>TRUNC(F46*G46,2)</f>
        <v>20.85</v>
      </c>
    </row>
    <row r="47" spans="1:8" s="112" customFormat="1" ht="11.25">
      <c r="A47" s="124"/>
      <c r="B47" s="125"/>
      <c r="C47" s="125"/>
      <c r="D47" s="126"/>
      <c r="E47" s="125"/>
      <c r="F47" s="127"/>
      <c r="G47" s="128"/>
      <c r="H47" s="128"/>
    </row>
    <row r="48" spans="1:8" s="112" customFormat="1" ht="11.25">
      <c r="A48" s="114" t="s">
        <v>19</v>
      </c>
      <c r="B48" s="115" t="str">
        <f>VLOOKUP(A48,'Orçamento Sintético'!$A:$H,2,0)</f>
        <v> MPDFT1689 </v>
      </c>
      <c r="C48" s="115" t="str">
        <f>VLOOKUP(A48,'Orçamento Sintético'!$A:$H,3,0)</f>
        <v>Próprio</v>
      </c>
      <c r="D48" s="116" t="str">
        <f>VLOOKUP(A48,'Orçamento Sintético'!$A:$H,4,0)</f>
        <v>Cópia da SBC (022183) - Retirada de rufos metálicos</v>
      </c>
      <c r="E48" s="115" t="str">
        <f>VLOOKUP(A48,'Orçamento Sintético'!$A:$H,5,0)</f>
        <v>m</v>
      </c>
      <c r="F48" s="117"/>
      <c r="G48" s="118"/>
      <c r="H48" s="118">
        <f>SUM(H49:H50)</f>
        <v>20.47</v>
      </c>
    </row>
    <row r="49" spans="1:8" s="112" customFormat="1" ht="11.25">
      <c r="A49" s="120" t="str">
        <f>VLOOKUP(B49,'Insumos e Serviços'!$A:$F,3,0)</f>
        <v>Composição</v>
      </c>
      <c r="B49" s="121" t="s">
        <v>591</v>
      </c>
      <c r="C49" s="122" t="str">
        <f>VLOOKUP(B49,'Insumos e Serviços'!$A:$F,2,0)</f>
        <v>SINAPI</v>
      </c>
      <c r="D49" s="120" t="str">
        <f>VLOOKUP(B49,'Insumos e Serviços'!$A:$F,4,0)</f>
        <v>TELHADISTA COM ENCARGOS COMPLEMENTARES</v>
      </c>
      <c r="E49" s="122" t="str">
        <f>VLOOKUP(B49,'Insumos e Serviços'!$A:$F,5,0)</f>
        <v>H</v>
      </c>
      <c r="F49" s="123">
        <v>0.284</v>
      </c>
      <c r="G49" s="72">
        <f>VLOOKUP(B49,'Insumos e Serviços'!$A:$F,6,0)</f>
        <v>25.7</v>
      </c>
      <c r="H49" s="72">
        <f>TRUNC(F49*G49,2)</f>
        <v>7.29</v>
      </c>
    </row>
    <row r="50" spans="1:8" s="112" customFormat="1" ht="11.25">
      <c r="A50" s="120" t="str">
        <f>VLOOKUP(B50,'Insumos e Serviços'!$A:$F,3,0)</f>
        <v>Composição</v>
      </c>
      <c r="B50" s="121" t="s">
        <v>581</v>
      </c>
      <c r="C50" s="122" t="str">
        <f>VLOOKUP(B50,'Insumos e Serviços'!$A:$F,2,0)</f>
        <v>SINAPI</v>
      </c>
      <c r="D50" s="120" t="str">
        <f>VLOOKUP(B50,'Insumos e Serviços'!$A:$F,4,0)</f>
        <v>SERVENTE COM ENCARGOS COMPLEMENTARES</v>
      </c>
      <c r="E50" s="122" t="str">
        <f>VLOOKUP(B50,'Insumos e Serviços'!$A:$F,5,0)</f>
        <v>H</v>
      </c>
      <c r="F50" s="123">
        <v>0.68</v>
      </c>
      <c r="G50" s="72">
        <f>VLOOKUP(B50,'Insumos e Serviços'!$A:$F,6,0)</f>
        <v>19.39</v>
      </c>
      <c r="H50" s="72">
        <f>TRUNC(F50*G50,2)</f>
        <v>13.18</v>
      </c>
    </row>
    <row r="51" spans="1:8" s="112" customFormat="1" ht="11.25">
      <c r="A51" s="124"/>
      <c r="B51" s="125"/>
      <c r="C51" s="125"/>
      <c r="D51" s="126"/>
      <c r="E51" s="125"/>
      <c r="F51" s="127"/>
      <c r="G51" s="128"/>
      <c r="H51" s="128"/>
    </row>
    <row r="52" spans="1:8" s="112" customFormat="1" ht="22.5">
      <c r="A52" s="114" t="s">
        <v>22</v>
      </c>
      <c r="B52" s="115" t="str">
        <f>VLOOKUP(A52,'Orçamento Sintético'!$A:$H,2,0)</f>
        <v> MPDFT1690 </v>
      </c>
      <c r="C52" s="115" t="str">
        <f>VLOOKUP(A52,'Orçamento Sintético'!$A:$H,3,0)</f>
        <v>Próprio</v>
      </c>
      <c r="D52" s="116" t="str">
        <f>VLOOKUP(A52,'Orçamento Sintético'!$A:$H,4,0)</f>
        <v>Cópia da SBC (121160) - Remoção de painel de alumínio, poliuretano, Alucobond, Reybond em parede</v>
      </c>
      <c r="E52" s="115" t="str">
        <f>VLOOKUP(A52,'Orçamento Sintético'!$A:$H,5,0)</f>
        <v>m²</v>
      </c>
      <c r="F52" s="117"/>
      <c r="G52" s="118"/>
      <c r="H52" s="118">
        <f>SUM(H53:H54)</f>
        <v>33.790000000000006</v>
      </c>
    </row>
    <row r="53" spans="1:8" s="112" customFormat="1" ht="11.25">
      <c r="A53" s="120" t="str">
        <f>VLOOKUP(B53,'Insumos e Serviços'!$A:$F,3,0)</f>
        <v>Composição</v>
      </c>
      <c r="B53" s="121" t="s">
        <v>592</v>
      </c>
      <c r="C53" s="122" t="str">
        <f>VLOOKUP(B53,'Insumos e Serviços'!$A:$F,2,0)</f>
        <v>SINAPI</v>
      </c>
      <c r="D53" s="120" t="str">
        <f>VLOOKUP(B53,'Insumos e Serviços'!$A:$F,4,0)</f>
        <v>MONTADOR (TUBO AÇO/EQUIPAMENTOS) COM ENCARGOS COMPLEMENTARES</v>
      </c>
      <c r="E53" s="122" t="str">
        <f>VLOOKUP(B53,'Insumos e Serviços'!$A:$F,5,0)</f>
        <v>H</v>
      </c>
      <c r="F53" s="123">
        <v>0.822</v>
      </c>
      <c r="G53" s="72">
        <f>VLOOKUP(B53,'Insumos e Serviços'!$A:$F,6,0)</f>
        <v>20.62</v>
      </c>
      <c r="H53" s="72">
        <f>TRUNC(F53*G53,2)</f>
        <v>16.94</v>
      </c>
    </row>
    <row r="54" spans="1:8" s="112" customFormat="1" ht="11.25">
      <c r="A54" s="120" t="str">
        <f>VLOOKUP(B54,'Insumos e Serviços'!$A:$F,3,0)</f>
        <v>Composição</v>
      </c>
      <c r="B54" s="121" t="s">
        <v>593</v>
      </c>
      <c r="C54" s="122" t="str">
        <f>VLOOKUP(B54,'Insumos e Serviços'!$A:$F,2,0)</f>
        <v>SINAPI</v>
      </c>
      <c r="D54" s="120" t="str">
        <f>VLOOKUP(B54,'Insumos e Serviços'!$A:$F,4,0)</f>
        <v>AJUDANTE ESPECIALIZADO COM ENCARGOS COMPLEMENTARES</v>
      </c>
      <c r="E54" s="122" t="str">
        <f>VLOOKUP(B54,'Insumos e Serviços'!$A:$F,5,0)</f>
        <v>H</v>
      </c>
      <c r="F54" s="123">
        <v>0.822</v>
      </c>
      <c r="G54" s="72">
        <f>VLOOKUP(B54,'Insumos e Serviços'!$A:$F,6,0)</f>
        <v>20.5</v>
      </c>
      <c r="H54" s="72">
        <f>TRUNC(F54*G54,2)</f>
        <v>16.85</v>
      </c>
    </row>
    <row r="55" spans="1:8" s="112" customFormat="1" ht="11.25">
      <c r="A55" s="124"/>
      <c r="B55" s="125"/>
      <c r="C55" s="125"/>
      <c r="D55" s="126"/>
      <c r="E55" s="125"/>
      <c r="F55" s="127"/>
      <c r="G55" s="128"/>
      <c r="H55" s="128"/>
    </row>
    <row r="56" spans="1:8" s="112" customFormat="1" ht="11.25">
      <c r="A56" s="114" t="s">
        <v>29</v>
      </c>
      <c r="B56" s="115" t="str">
        <f>VLOOKUP(A56,'Orçamento Sintético'!$A:$H,2,0)</f>
        <v> MPDFT0509 </v>
      </c>
      <c r="C56" s="115" t="str">
        <f>VLOOKUP(A56,'Orçamento Sintético'!$A:$H,3,0)</f>
        <v>Próprio</v>
      </c>
      <c r="D56" s="116" t="str">
        <f>VLOOKUP(A56,'Orçamento Sintético'!$A:$H,4,0)</f>
        <v>Transporte de material – bota-fora, D.M.T = 60,0 km - carga manual</v>
      </c>
      <c r="E56" s="115" t="str">
        <f>VLOOKUP(A56,'Orçamento Sintético'!$A:$H,5,0)</f>
        <v>m³</v>
      </c>
      <c r="F56" s="117"/>
      <c r="G56" s="118"/>
      <c r="H56" s="118">
        <f>SUM(H57:H59)</f>
        <v>141.76</v>
      </c>
    </row>
    <row r="57" spans="1:8" s="112" customFormat="1" ht="22.5">
      <c r="A57" s="120" t="str">
        <f>VLOOKUP(B57,'Insumos e Serviços'!$A:$F,3,0)</f>
        <v>Composição</v>
      </c>
      <c r="B57" s="121" t="s">
        <v>594</v>
      </c>
      <c r="C57" s="122" t="str">
        <f>VLOOKUP(B57,'Insumos e Serviços'!$A:$F,2,0)</f>
        <v>SINAPI</v>
      </c>
      <c r="D57" s="120" t="str">
        <f>VLOOKUP(B57,'Insumos e Serviços'!$A:$F,4,0)</f>
        <v>TRANSPORTE COM CAMINHÃO BASCULANTE DE 6 M³, EM VIA URBANA PAVIMENTADA, ADICIONAL PARA DMT EXCEDENTE A 30 KM (UNIDADE: M3XKM). AF_07/2020</v>
      </c>
      <c r="E57" s="122" t="str">
        <f>VLOOKUP(B57,'Insumos e Serviços'!$A:$F,5,0)</f>
        <v>M3XKM</v>
      </c>
      <c r="F57" s="123">
        <v>30</v>
      </c>
      <c r="G57" s="72">
        <f>VLOOKUP(B57,'Insumos e Serviços'!$A:$F,6,0)</f>
        <v>1.13</v>
      </c>
      <c r="H57" s="72">
        <f>TRUNC(F57*G57,2)</f>
        <v>33.9</v>
      </c>
    </row>
    <row r="58" spans="1:8" s="112" customFormat="1" ht="11.25">
      <c r="A58" s="120" t="str">
        <f>VLOOKUP(B58,'Insumos e Serviços'!$A:$F,3,0)</f>
        <v>Composição</v>
      </c>
      <c r="B58" s="121" t="s">
        <v>581</v>
      </c>
      <c r="C58" s="122" t="str">
        <f>VLOOKUP(B58,'Insumos e Serviços'!$A:$F,2,0)</f>
        <v>SINAPI</v>
      </c>
      <c r="D58" s="120" t="str">
        <f>VLOOKUP(B58,'Insumos e Serviços'!$A:$F,4,0)</f>
        <v>SERVENTE COM ENCARGOS COMPLEMENTARES</v>
      </c>
      <c r="E58" s="122" t="str">
        <f>VLOOKUP(B58,'Insumos e Serviços'!$A:$F,5,0)</f>
        <v>H</v>
      </c>
      <c r="F58" s="123">
        <v>1.2</v>
      </c>
      <c r="G58" s="72">
        <f>VLOOKUP(B58,'Insumos e Serviços'!$A:$F,6,0)</f>
        <v>19.39</v>
      </c>
      <c r="H58" s="72">
        <f>TRUNC(F58*G58,2)</f>
        <v>23.26</v>
      </c>
    </row>
    <row r="59" spans="1:8" s="112" customFormat="1" ht="22.5">
      <c r="A59" s="120" t="str">
        <f>VLOOKUP(B59,'Insumos e Serviços'!$A:$F,3,0)</f>
        <v>Composição</v>
      </c>
      <c r="B59" s="121" t="s">
        <v>595</v>
      </c>
      <c r="C59" s="122" t="str">
        <f>VLOOKUP(B59,'Insumos e Serviços'!$A:$F,2,0)</f>
        <v>SINAPI</v>
      </c>
      <c r="D59" s="120" t="str">
        <f>VLOOKUP(B59,'Insumos e Serviços'!$A:$F,4,0)</f>
        <v>TRANSPORTE COM CAMINHÃO BASCULANTE DE 6 M³, EM VIA URBANA PAVIMENTADA, DMT ATÉ 30 KM (UNIDADE: M3XKM). AF_07/2020</v>
      </c>
      <c r="E59" s="122" t="str">
        <f>VLOOKUP(B59,'Insumos e Serviços'!$A:$F,5,0)</f>
        <v>M3XKM</v>
      </c>
      <c r="F59" s="123">
        <v>30</v>
      </c>
      <c r="G59" s="72">
        <f>VLOOKUP(B59,'Insumos e Serviços'!$A:$F,6,0)</f>
        <v>2.82</v>
      </c>
      <c r="H59" s="72">
        <f>TRUNC(F59*G59,2)</f>
        <v>84.6</v>
      </c>
    </row>
    <row r="60" spans="1:8" s="112" customFormat="1" ht="11.25">
      <c r="A60" s="124"/>
      <c r="B60" s="125"/>
      <c r="C60" s="125"/>
      <c r="D60" s="126"/>
      <c r="E60" s="125"/>
      <c r="F60" s="127"/>
      <c r="G60" s="128"/>
      <c r="H60" s="128"/>
    </row>
    <row r="61" spans="1:8" s="112" customFormat="1" ht="11.25">
      <c r="A61" s="114" t="s">
        <v>32</v>
      </c>
      <c r="B61" s="115" t="str">
        <f>VLOOKUP(A61,'Orçamento Sintético'!$A:$H,2,0)</f>
        <v> MPDFT1708 </v>
      </c>
      <c r="C61" s="115" t="str">
        <f>VLOOKUP(A61,'Orçamento Sintético'!$A:$H,3,0)</f>
        <v>Próprio</v>
      </c>
      <c r="D61" s="116" t="str">
        <f>VLOOKUP(A61,'Orçamento Sintético'!$A:$H,4,0)</f>
        <v>Ensacamento e transporte de entulho em sacos de 50 kg (KGxKM)</v>
      </c>
      <c r="E61" s="115" t="str">
        <f>VLOOKUP(A61,'Orçamento Sintético'!$A:$H,5,0)</f>
        <v>KGXKM</v>
      </c>
      <c r="F61" s="117"/>
      <c r="G61" s="118"/>
      <c r="H61" s="118">
        <f>SUM(H62:H63)</f>
        <v>0.7899999999999999</v>
      </c>
    </row>
    <row r="62" spans="1:8" s="112" customFormat="1" ht="22.5">
      <c r="A62" s="120" t="str">
        <f>VLOOKUP(B62,'Insumos e Serviços'!$A:$F,3,0)</f>
        <v>Composição</v>
      </c>
      <c r="B62" s="121" t="s">
        <v>596</v>
      </c>
      <c r="C62" s="122" t="str">
        <f>VLOOKUP(B62,'Insumos e Serviços'!$A:$F,2,0)</f>
        <v>SINAPI</v>
      </c>
      <c r="D62" s="120" t="str">
        <f>VLOOKUP(B62,'Insumos e Serviços'!$A:$F,4,0)</f>
        <v>TRANSPORTE HORIZONTAL MANUAL, DE SACOS DE 50 KG (UNIDADE: KGXKM). AF_07/2019</v>
      </c>
      <c r="E62" s="122" t="str">
        <f>VLOOKUP(B62,'Insumos e Serviços'!$A:$F,5,0)</f>
        <v>KGXKM</v>
      </c>
      <c r="F62" s="123">
        <v>1</v>
      </c>
      <c r="G62" s="72">
        <f>VLOOKUP(B62,'Insumos e Serviços'!$A:$F,6,0)</f>
        <v>0.71</v>
      </c>
      <c r="H62" s="72">
        <f>TRUNC(F62*G62,2)</f>
        <v>0.71</v>
      </c>
    </row>
    <row r="63" spans="1:8" s="112" customFormat="1" ht="11.25">
      <c r="A63" s="120" t="str">
        <f>VLOOKUP(B63,'Insumos e Serviços'!$A:$F,3,0)</f>
        <v>Insumo</v>
      </c>
      <c r="B63" s="121" t="s">
        <v>597</v>
      </c>
      <c r="C63" s="122" t="str">
        <f>VLOOKUP(B63,'Insumos e Serviços'!$A:$F,2,0)</f>
        <v>SINAPI</v>
      </c>
      <c r="D63" s="120" t="str">
        <f>VLOOKUP(B63,'Insumos e Serviços'!$A:$F,4,0)</f>
        <v>SACO DE RAFIA PARA ENTULHO, NOVO, LISO (SEM CLICHE), *60 x 90* CM</v>
      </c>
      <c r="E63" s="122" t="str">
        <f>VLOOKUP(B63,'Insumos e Serviços'!$A:$F,5,0)</f>
        <v>UN</v>
      </c>
      <c r="F63" s="123">
        <v>0.02</v>
      </c>
      <c r="G63" s="72">
        <f>VLOOKUP(B63,'Insumos e Serviços'!$A:$F,6,0)</f>
        <v>4.44</v>
      </c>
      <c r="H63" s="72">
        <f>TRUNC(F63*G63,2)</f>
        <v>0.08</v>
      </c>
    </row>
    <row r="64" spans="1:8" s="112" customFormat="1" ht="11.25">
      <c r="A64" s="124"/>
      <c r="B64" s="125"/>
      <c r="C64" s="125"/>
      <c r="D64" s="126"/>
      <c r="E64" s="125"/>
      <c r="F64" s="127"/>
      <c r="G64" s="128"/>
      <c r="H64" s="128"/>
    </row>
    <row r="65" spans="1:8" s="112" customFormat="1" ht="22.5">
      <c r="A65" s="114" t="s">
        <v>36</v>
      </c>
      <c r="B65" s="115" t="str">
        <f>VLOOKUP(A65,'Orçamento Sintético'!$A:$H,2,0)</f>
        <v> MPDFT0605 </v>
      </c>
      <c r="C65" s="115" t="str">
        <f>VLOOKUP(A65,'Orçamento Sintético'!$A:$H,3,0)</f>
        <v>Próprio</v>
      </c>
      <c r="D65" s="116" t="str">
        <f>VLOOKUP(A65,'Orçamento Sintético'!$A:$H,4,0)</f>
        <v>Copia da SBC (022087) - RETIRADA E REMOCAO DE EQUIPAMENTOS DE AR CONDICIONADO</v>
      </c>
      <c r="E65" s="115" t="str">
        <f>VLOOKUP(A65,'Orçamento Sintético'!$A:$H,5,0)</f>
        <v>UN</v>
      </c>
      <c r="F65" s="117"/>
      <c r="G65" s="118"/>
      <c r="H65" s="118">
        <f>SUM(H66:H67)</f>
        <v>57.28</v>
      </c>
    </row>
    <row r="66" spans="1:8" s="112" customFormat="1" ht="11.25">
      <c r="A66" s="120" t="str">
        <f>VLOOKUP(B66,'Insumos e Serviços'!$A:$F,3,0)</f>
        <v>Composição</v>
      </c>
      <c r="B66" s="121" t="s">
        <v>598</v>
      </c>
      <c r="C66" s="122" t="str">
        <f>VLOOKUP(B66,'Insumos e Serviços'!$A:$F,2,0)</f>
        <v>SINAPI</v>
      </c>
      <c r="D66" s="120" t="str">
        <f>VLOOKUP(B66,'Insumos e Serviços'!$A:$F,4,0)</f>
        <v>ELETRICISTA COM ENCARGOS COMPLEMENTARES</v>
      </c>
      <c r="E66" s="122" t="str">
        <f>VLOOKUP(B66,'Insumos e Serviços'!$A:$F,5,0)</f>
        <v>H</v>
      </c>
      <c r="F66" s="123">
        <v>1.031</v>
      </c>
      <c r="G66" s="72">
        <f>VLOOKUP(B66,'Insumos e Serviços'!$A:$F,6,0)</f>
        <v>26.47</v>
      </c>
      <c r="H66" s="72">
        <f>TRUNC(F66*G66,2)</f>
        <v>27.29</v>
      </c>
    </row>
    <row r="67" spans="1:8" s="112" customFormat="1" ht="11.25">
      <c r="A67" s="120" t="str">
        <f>VLOOKUP(B67,'Insumos e Serviços'!$A:$F,3,0)</f>
        <v>Composição</v>
      </c>
      <c r="B67" s="121" t="s">
        <v>581</v>
      </c>
      <c r="C67" s="122" t="str">
        <f>VLOOKUP(B67,'Insumos e Serviços'!$A:$F,2,0)</f>
        <v>SINAPI</v>
      </c>
      <c r="D67" s="120" t="str">
        <f>VLOOKUP(B67,'Insumos e Serviços'!$A:$F,4,0)</f>
        <v>SERVENTE COM ENCARGOS COMPLEMENTARES</v>
      </c>
      <c r="E67" s="122" t="str">
        <f>VLOOKUP(B67,'Insumos e Serviços'!$A:$F,5,0)</f>
        <v>H</v>
      </c>
      <c r="F67" s="123">
        <v>1.547</v>
      </c>
      <c r="G67" s="72">
        <f>VLOOKUP(B67,'Insumos e Serviços'!$A:$F,6,0)</f>
        <v>19.39</v>
      </c>
      <c r="H67" s="72">
        <f>TRUNC(F67*G67,2)</f>
        <v>29.99</v>
      </c>
    </row>
    <row r="68" spans="1:8" s="112" customFormat="1" ht="11.25">
      <c r="A68" s="124"/>
      <c r="B68" s="125"/>
      <c r="C68" s="125"/>
      <c r="D68" s="126"/>
      <c r="E68" s="125"/>
      <c r="F68" s="127"/>
      <c r="G68" s="128"/>
      <c r="H68" s="128"/>
    </row>
    <row r="69" spans="1:8" s="112" customFormat="1" ht="22.5">
      <c r="A69" s="114" t="s">
        <v>42</v>
      </c>
      <c r="B69" s="115" t="str">
        <f>VLOOKUP(A69,'Orçamento Sintético'!$A:$H,2,0)</f>
        <v> MPDFT1025 </v>
      </c>
      <c r="C69" s="115" t="str">
        <f>VLOOKUP(A69,'Orçamento Sintético'!$A:$H,3,0)</f>
        <v>Próprio</v>
      </c>
      <c r="D69" s="116" t="str">
        <f>VLOOKUP(A69,'Orçamento Sintético'!$A:$H,4,0)</f>
        <v>Copia da SINAPI (98504) - REMOÇÃO DE GRAMA EM PLACAS COM REAPROVEITAMENTO.</v>
      </c>
      <c r="E69" s="115" t="str">
        <f>VLOOKUP(A69,'Orçamento Sintético'!$A:$H,5,0)</f>
        <v>m²</v>
      </c>
      <c r="F69" s="117"/>
      <c r="G69" s="118"/>
      <c r="H69" s="118">
        <f>SUM(H70:H71)</f>
        <v>3.83</v>
      </c>
    </row>
    <row r="70" spans="1:8" s="112" customFormat="1" ht="11.25">
      <c r="A70" s="120" t="str">
        <f>VLOOKUP(B70,'Insumos e Serviços'!$A:$F,3,0)</f>
        <v>Composição</v>
      </c>
      <c r="B70" s="121" t="s">
        <v>581</v>
      </c>
      <c r="C70" s="122" t="str">
        <f>VLOOKUP(B70,'Insumos e Serviços'!$A:$F,2,0)</f>
        <v>SINAPI</v>
      </c>
      <c r="D70" s="120" t="str">
        <f>VLOOKUP(B70,'Insumos e Serviços'!$A:$F,4,0)</f>
        <v>SERVENTE COM ENCARGOS COMPLEMENTARES</v>
      </c>
      <c r="E70" s="122" t="str">
        <f>VLOOKUP(B70,'Insumos e Serviços'!$A:$F,5,0)</f>
        <v>H</v>
      </c>
      <c r="F70" s="123">
        <v>0.1564</v>
      </c>
      <c r="G70" s="72">
        <f>VLOOKUP(B70,'Insumos e Serviços'!$A:$F,6,0)</f>
        <v>19.39</v>
      </c>
      <c r="H70" s="72">
        <f>TRUNC(F70*G70,2)</f>
        <v>3.03</v>
      </c>
    </row>
    <row r="71" spans="1:8" s="112" customFormat="1" ht="11.25">
      <c r="A71" s="120" t="str">
        <f>VLOOKUP(B71,'Insumos e Serviços'!$A:$F,3,0)</f>
        <v>Composição</v>
      </c>
      <c r="B71" s="121" t="s">
        <v>599</v>
      </c>
      <c r="C71" s="122" t="str">
        <f>VLOOKUP(B71,'Insumos e Serviços'!$A:$F,2,0)</f>
        <v>SINAPI</v>
      </c>
      <c r="D71" s="120" t="str">
        <f>VLOOKUP(B71,'Insumos e Serviços'!$A:$F,4,0)</f>
        <v>JARDINEIRO COM ENCARGOS COMPLEMENTARES</v>
      </c>
      <c r="E71" s="122" t="str">
        <f>VLOOKUP(B71,'Insumos e Serviços'!$A:$F,5,0)</f>
        <v>H</v>
      </c>
      <c r="F71" s="123">
        <v>0.0391</v>
      </c>
      <c r="G71" s="72">
        <f>VLOOKUP(B71,'Insumos e Serviços'!$A:$F,6,0)</f>
        <v>20.55</v>
      </c>
      <c r="H71" s="72">
        <f>TRUNC(F71*G71,2)</f>
        <v>0.8</v>
      </c>
    </row>
    <row r="72" spans="1:8" s="112" customFormat="1" ht="11.25">
      <c r="A72" s="124"/>
      <c r="B72" s="125"/>
      <c r="C72" s="125"/>
      <c r="D72" s="126"/>
      <c r="E72" s="125"/>
      <c r="F72" s="127"/>
      <c r="G72" s="128"/>
      <c r="H72" s="128"/>
    </row>
    <row r="73" spans="1:8" s="112" customFormat="1" ht="11.25">
      <c r="A73" s="114" t="s">
        <v>45</v>
      </c>
      <c r="B73" s="115" t="str">
        <f>VLOOKUP(A73,'Orçamento Sintético'!$A:$H,2,0)</f>
        <v> MPDFT0505 </v>
      </c>
      <c r="C73" s="115" t="str">
        <f>VLOOKUP(A73,'Orçamento Sintético'!$A:$H,3,0)</f>
        <v>Próprio</v>
      </c>
      <c r="D73" s="116" t="str">
        <f>VLOOKUP(A73,'Orçamento Sintético'!$A:$H,4,0)</f>
        <v>Remoção, com reaproveitamento, de escadas metálicas e antena</v>
      </c>
      <c r="E73" s="115" t="str">
        <f>VLOOKUP(A73,'Orçamento Sintético'!$A:$H,5,0)</f>
        <v>sv</v>
      </c>
      <c r="F73" s="117"/>
      <c r="G73" s="118"/>
      <c r="H73" s="118">
        <f>SUM(H74:H75)</f>
        <v>341.88</v>
      </c>
    </row>
    <row r="74" spans="1:8" s="112" customFormat="1" ht="11.25">
      <c r="A74" s="120" t="str">
        <f>VLOOKUP(B74,'Insumos e Serviços'!$A:$F,3,0)</f>
        <v>Composição</v>
      </c>
      <c r="B74" s="121" t="s">
        <v>600</v>
      </c>
      <c r="C74" s="122" t="str">
        <f>VLOOKUP(B74,'Insumos e Serviços'!$A:$F,2,0)</f>
        <v>SINAPI</v>
      </c>
      <c r="D74" s="120" t="str">
        <f>VLOOKUP(B74,'Insumos e Serviços'!$A:$F,4,0)</f>
        <v>SERRALHEIRO COM ENCARGOS COMPLEMENTARES</v>
      </c>
      <c r="E74" s="122" t="str">
        <f>VLOOKUP(B74,'Insumos e Serviços'!$A:$F,5,0)</f>
        <v>H</v>
      </c>
      <c r="F74" s="123">
        <v>6</v>
      </c>
      <c r="G74" s="72">
        <f>VLOOKUP(B74,'Insumos e Serviços'!$A:$F,6,0)</f>
        <v>26.05</v>
      </c>
      <c r="H74" s="72">
        <f>TRUNC(F74*G74,2)</f>
        <v>156.3</v>
      </c>
    </row>
    <row r="75" spans="1:8" s="112" customFormat="1" ht="11.25">
      <c r="A75" s="120" t="str">
        <f>VLOOKUP(B75,'Insumos e Serviços'!$A:$F,3,0)</f>
        <v>Composição</v>
      </c>
      <c r="B75" s="121" t="s">
        <v>601</v>
      </c>
      <c r="C75" s="122" t="str">
        <f>VLOOKUP(B75,'Insumos e Serviços'!$A:$F,2,0)</f>
        <v>SINAPI</v>
      </c>
      <c r="D75" s="120" t="str">
        <f>VLOOKUP(B75,'Insumos e Serviços'!$A:$F,4,0)</f>
        <v>AUXILIAR DE SERRALHEIRO COM ENCARGOS COMPLEMENTARES</v>
      </c>
      <c r="E75" s="122" t="str">
        <f>VLOOKUP(B75,'Insumos e Serviços'!$A:$F,5,0)</f>
        <v>H</v>
      </c>
      <c r="F75" s="123">
        <v>9</v>
      </c>
      <c r="G75" s="72">
        <f>VLOOKUP(B75,'Insumos e Serviços'!$A:$F,6,0)</f>
        <v>20.62</v>
      </c>
      <c r="H75" s="72">
        <f>TRUNC(F75*G75,2)</f>
        <v>185.58</v>
      </c>
    </row>
    <row r="76" spans="1:8" s="112" customFormat="1" ht="11.25">
      <c r="A76" s="124"/>
      <c r="B76" s="125"/>
      <c r="C76" s="125"/>
      <c r="D76" s="126"/>
      <c r="E76" s="125"/>
      <c r="F76" s="127"/>
      <c r="G76" s="128"/>
      <c r="H76" s="128"/>
    </row>
    <row r="77" spans="1:8" s="112" customFormat="1" ht="22.5">
      <c r="A77" s="114" t="s">
        <v>48</v>
      </c>
      <c r="B77" s="115" t="str">
        <f>VLOOKUP(A77,'Orçamento Sintético'!$A:$H,2,0)</f>
        <v> MPDFT0497 </v>
      </c>
      <c r="C77" s="115" t="str">
        <f>VLOOKUP(A77,'Orçamento Sintético'!$A:$H,3,0)</f>
        <v>Próprio</v>
      </c>
      <c r="D77" s="116" t="str">
        <f>VLOOKUP(A77,'Orçamento Sintético'!$A:$H,4,0)</f>
        <v>Remoção, com reaproveitamento, do sistema de proteção contra descargas atmosféricas</v>
      </c>
      <c r="E77" s="115" t="str">
        <f>VLOOKUP(A77,'Orçamento Sintético'!$A:$H,5,0)</f>
        <v>sv</v>
      </c>
      <c r="F77" s="117"/>
      <c r="G77" s="118"/>
      <c r="H77" s="118">
        <f>SUM(H78:H79)</f>
        <v>1817.91</v>
      </c>
    </row>
    <row r="78" spans="1:8" s="112" customFormat="1" ht="11.25">
      <c r="A78" s="120" t="str">
        <f>VLOOKUP(B78,'Insumos e Serviços'!$A:$F,3,0)</f>
        <v>Composição</v>
      </c>
      <c r="B78" s="121" t="s">
        <v>598</v>
      </c>
      <c r="C78" s="122" t="str">
        <f>VLOOKUP(B78,'Insumos e Serviços'!$A:$F,2,0)</f>
        <v>SINAPI</v>
      </c>
      <c r="D78" s="120" t="str">
        <f>VLOOKUP(B78,'Insumos e Serviços'!$A:$F,4,0)</f>
        <v>ELETRICISTA COM ENCARGOS COMPLEMENTARES</v>
      </c>
      <c r="E78" s="122" t="str">
        <f>VLOOKUP(B78,'Insumos e Serviços'!$A:$F,5,0)</f>
        <v>H</v>
      </c>
      <c r="F78" s="123">
        <v>27</v>
      </c>
      <c r="G78" s="72">
        <f>VLOOKUP(B78,'Insumos e Serviços'!$A:$F,6,0)</f>
        <v>26.47</v>
      </c>
      <c r="H78" s="72">
        <f>TRUNC(F78*G78,2)</f>
        <v>714.69</v>
      </c>
    </row>
    <row r="79" spans="1:8" s="112" customFormat="1" ht="11.25">
      <c r="A79" s="120" t="str">
        <f>VLOOKUP(B79,'Insumos e Serviços'!$A:$F,3,0)</f>
        <v>Composição</v>
      </c>
      <c r="B79" s="121" t="s">
        <v>602</v>
      </c>
      <c r="C79" s="122" t="str">
        <f>VLOOKUP(B79,'Insumos e Serviços'!$A:$F,2,0)</f>
        <v>SINAPI</v>
      </c>
      <c r="D79" s="120" t="str">
        <f>VLOOKUP(B79,'Insumos e Serviços'!$A:$F,4,0)</f>
        <v>AUXILIAR DE ELETRICISTA COM ENCARGOS COMPLEMENTARES</v>
      </c>
      <c r="E79" s="122" t="str">
        <f>VLOOKUP(B79,'Insumos e Serviços'!$A:$F,5,0)</f>
        <v>H</v>
      </c>
      <c r="F79" s="123">
        <v>54</v>
      </c>
      <c r="G79" s="72">
        <f>VLOOKUP(B79,'Insumos e Serviços'!$A:$F,6,0)</f>
        <v>20.43</v>
      </c>
      <c r="H79" s="72">
        <f>TRUNC(F79*G79,2)</f>
        <v>1103.22</v>
      </c>
    </row>
    <row r="80" spans="1:8" s="112" customFormat="1" ht="11.25">
      <c r="A80" s="124"/>
      <c r="B80" s="125"/>
      <c r="C80" s="125"/>
      <c r="D80" s="126"/>
      <c r="E80" s="125"/>
      <c r="F80" s="127"/>
      <c r="G80" s="128"/>
      <c r="H80" s="128"/>
    </row>
    <row r="81" spans="1:8" s="112" customFormat="1" ht="22.5">
      <c r="A81" s="114" t="s">
        <v>51</v>
      </c>
      <c r="B81" s="115" t="str">
        <f>VLOOKUP(A81,'Orçamento Sintético'!$A:$H,2,0)</f>
        <v> MPDFT0583 </v>
      </c>
      <c r="C81" s="115" t="str">
        <f>VLOOKUP(A81,'Orçamento Sintético'!$A:$H,3,0)</f>
        <v>Próprio</v>
      </c>
      <c r="D81" s="116" t="str">
        <f>VLOOKUP(A81,'Orçamento Sintético'!$A:$H,4,0)</f>
        <v>Copia da SBC (022412) - Remoção de pintura textura em paredes internas e externas</v>
      </c>
      <c r="E81" s="115" t="str">
        <f>VLOOKUP(A81,'Orçamento Sintético'!$A:$H,5,0)</f>
        <v>m²</v>
      </c>
      <c r="F81" s="117"/>
      <c r="G81" s="118"/>
      <c r="H81" s="119">
        <f>SUM(H82)</f>
        <v>6.2</v>
      </c>
    </row>
    <row r="82" spans="1:8" s="112" customFormat="1" ht="11.25">
      <c r="A82" s="120" t="str">
        <f>VLOOKUP(B82,'Insumos e Serviços'!$A:$F,3,0)</f>
        <v>Composição</v>
      </c>
      <c r="B82" s="121" t="s">
        <v>581</v>
      </c>
      <c r="C82" s="122" t="str">
        <f>VLOOKUP(B82,'Insumos e Serviços'!$A:$F,2,0)</f>
        <v>SINAPI</v>
      </c>
      <c r="D82" s="120" t="str">
        <f>VLOOKUP(B82,'Insumos e Serviços'!$A:$F,4,0)</f>
        <v>SERVENTE COM ENCARGOS COMPLEMENTARES</v>
      </c>
      <c r="E82" s="122" t="str">
        <f>VLOOKUP(B82,'Insumos e Serviços'!$A:$F,5,0)</f>
        <v>H</v>
      </c>
      <c r="F82" s="123">
        <v>0.32</v>
      </c>
      <c r="G82" s="72">
        <f>VLOOKUP(B82,'Insumos e Serviços'!$A:$F,6,0)</f>
        <v>19.39</v>
      </c>
      <c r="H82" s="72">
        <f>TRUNC(F82*G82,2)</f>
        <v>6.2</v>
      </c>
    </row>
    <row r="83" spans="1:8" s="112" customFormat="1" ht="11.25">
      <c r="A83" s="124"/>
      <c r="B83" s="125"/>
      <c r="C83" s="125"/>
      <c r="D83" s="126"/>
      <c r="E83" s="125"/>
      <c r="F83" s="127"/>
      <c r="G83" s="128"/>
      <c r="H83" s="128"/>
    </row>
    <row r="84" spans="1:8" s="112" customFormat="1" ht="33.75">
      <c r="A84" s="114" t="s">
        <v>54</v>
      </c>
      <c r="B84" s="115" t="str">
        <f>VLOOKUP(A84,'Orçamento Sintético'!$A:$H,2,0)</f>
        <v> MPDFT1712 </v>
      </c>
      <c r="C84" s="115" t="str">
        <f>VLOOKUP(A84,'Orçamento Sintético'!$A:$H,3,0)</f>
        <v>Próprio</v>
      </c>
      <c r="D84" s="116" t="str">
        <f>VLOOKUP(A84,'Orçamento Sintético'!$A:$H,4,0)</f>
        <v>Copia da SINAPI (97662) - REMOÇÃO DE TUBULAÇÕES DE REDE FRIGORIGENA (LINHA DE SUCÇÃO, LINHA DE LÍQUIDO E TUBULAÇÃO DE DRENO), DE FORMA MANUAL, SEM REAPROVEITAMENTO.</v>
      </c>
      <c r="E84" s="115" t="str">
        <f>VLOOKUP(A84,'Orçamento Sintético'!$A:$H,5,0)</f>
        <v>M</v>
      </c>
      <c r="F84" s="117"/>
      <c r="G84" s="118"/>
      <c r="H84" s="118">
        <f>SUM(H85:H86)</f>
        <v>0.45</v>
      </c>
    </row>
    <row r="85" spans="1:8" s="112" customFormat="1" ht="11.25">
      <c r="A85" s="120" t="str">
        <f>VLOOKUP(B85,'Insumos e Serviços'!$A:$F,3,0)</f>
        <v>Composição</v>
      </c>
      <c r="B85" s="121" t="s">
        <v>603</v>
      </c>
      <c r="C85" s="122" t="str">
        <f>VLOOKUP(B85,'Insumos e Serviços'!$A:$F,2,0)</f>
        <v>SINAPI</v>
      </c>
      <c r="D85" s="120" t="str">
        <f>VLOOKUP(B85,'Insumos e Serviços'!$A:$F,4,0)</f>
        <v>ENCANADOR OU BOMBEIRO HIDRÁULICO COM ENCARGOS COMPLEMENTARES</v>
      </c>
      <c r="E85" s="122" t="str">
        <f>VLOOKUP(B85,'Insumos e Serviços'!$A:$F,5,0)</f>
        <v>H</v>
      </c>
      <c r="F85" s="123">
        <v>0.0071</v>
      </c>
      <c r="G85" s="72">
        <f>VLOOKUP(B85,'Insumos e Serviços'!$A:$F,6,0)</f>
        <v>25.58</v>
      </c>
      <c r="H85" s="72">
        <f>TRUNC(F85*G85,2)</f>
        <v>0.18</v>
      </c>
    </row>
    <row r="86" spans="1:8" s="112" customFormat="1" ht="11.25">
      <c r="A86" s="120" t="str">
        <f>VLOOKUP(B86,'Insumos e Serviços'!$A:$F,3,0)</f>
        <v>Composição</v>
      </c>
      <c r="B86" s="121" t="s">
        <v>581</v>
      </c>
      <c r="C86" s="122" t="str">
        <f>VLOOKUP(B86,'Insumos e Serviços'!$A:$F,2,0)</f>
        <v>SINAPI</v>
      </c>
      <c r="D86" s="120" t="str">
        <f>VLOOKUP(B86,'Insumos e Serviços'!$A:$F,4,0)</f>
        <v>SERVENTE COM ENCARGOS COMPLEMENTARES</v>
      </c>
      <c r="E86" s="122" t="str">
        <f>VLOOKUP(B86,'Insumos e Serviços'!$A:$F,5,0)</f>
        <v>H</v>
      </c>
      <c r="F86" s="123">
        <v>0.014</v>
      </c>
      <c r="G86" s="72">
        <f>VLOOKUP(B86,'Insumos e Serviços'!$A:$F,6,0)</f>
        <v>19.39</v>
      </c>
      <c r="H86" s="72">
        <f>TRUNC(F86*G86,2)</f>
        <v>0.27</v>
      </c>
    </row>
    <row r="87" spans="1:8" s="112" customFormat="1" ht="11.25">
      <c r="A87" s="124"/>
      <c r="B87" s="125"/>
      <c r="C87" s="125"/>
      <c r="D87" s="126"/>
      <c r="E87" s="125"/>
      <c r="F87" s="127"/>
      <c r="G87" s="128"/>
      <c r="H87" s="128"/>
    </row>
    <row r="88" spans="1:8" s="112" customFormat="1" ht="22.5">
      <c r="A88" s="114" t="s">
        <v>58</v>
      </c>
      <c r="B88" s="115" t="str">
        <f>VLOOKUP(A88,'Orçamento Sintético'!$A:$H,2,0)</f>
        <v> MPDFT1543 </v>
      </c>
      <c r="C88" s="115" t="str">
        <f>VLOOKUP(A88,'Orçamento Sintético'!$A:$H,3,0)</f>
        <v>Próprio</v>
      </c>
      <c r="D88" s="116" t="str">
        <f>VLOOKUP(A88,'Orçamento Sintético'!$A:$H,4,0)</f>
        <v>Copia da SETOP (DEM-MFC-005) - REMOÇÃO DE MEIO-FIO PRÉ-MOLDADO DE CONCRETO INCLUSIVE CARGA</v>
      </c>
      <c r="E88" s="115" t="str">
        <f>VLOOKUP(A88,'Orçamento Sintético'!$A:$H,5,0)</f>
        <v>M</v>
      </c>
      <c r="F88" s="117"/>
      <c r="G88" s="118"/>
      <c r="H88" s="118">
        <f>SUM(H89:H90)</f>
        <v>11</v>
      </c>
    </row>
    <row r="89" spans="1:8" s="112" customFormat="1" ht="11.25">
      <c r="A89" s="120" t="str">
        <f>VLOOKUP(B89,'Insumos e Serviços'!$A:$F,3,0)</f>
        <v>Composição</v>
      </c>
      <c r="B89" s="121" t="s">
        <v>583</v>
      </c>
      <c r="C89" s="122" t="str">
        <f>VLOOKUP(B89,'Insumos e Serviços'!$A:$F,2,0)</f>
        <v>SINAPI</v>
      </c>
      <c r="D89" s="120" t="str">
        <f>VLOOKUP(B89,'Insumos e Serviços'!$A:$F,4,0)</f>
        <v>PEDREIRO COM ENCARGOS COMPLEMENTARES</v>
      </c>
      <c r="E89" s="122" t="str">
        <f>VLOOKUP(B89,'Insumos e Serviços'!$A:$F,5,0)</f>
        <v>H</v>
      </c>
      <c r="F89" s="123">
        <v>0.05</v>
      </c>
      <c r="G89" s="72">
        <f>VLOOKUP(B89,'Insumos e Serviços'!$A:$F,6,0)</f>
        <v>26.2</v>
      </c>
      <c r="H89" s="72">
        <f>TRUNC(F89*G89,2)</f>
        <v>1.31</v>
      </c>
    </row>
    <row r="90" spans="1:8" s="112" customFormat="1" ht="11.25">
      <c r="A90" s="120" t="str">
        <f>VLOOKUP(B90,'Insumos e Serviços'!$A:$F,3,0)</f>
        <v>Composição</v>
      </c>
      <c r="B90" s="121" t="s">
        <v>581</v>
      </c>
      <c r="C90" s="122" t="str">
        <f>VLOOKUP(B90,'Insumos e Serviços'!$A:$F,2,0)</f>
        <v>SINAPI</v>
      </c>
      <c r="D90" s="120" t="str">
        <f>VLOOKUP(B90,'Insumos e Serviços'!$A:$F,4,0)</f>
        <v>SERVENTE COM ENCARGOS COMPLEMENTARES</v>
      </c>
      <c r="E90" s="122" t="str">
        <f>VLOOKUP(B90,'Insumos e Serviços'!$A:$F,5,0)</f>
        <v>H</v>
      </c>
      <c r="F90" s="123">
        <v>0.5</v>
      </c>
      <c r="G90" s="72">
        <f>VLOOKUP(B90,'Insumos e Serviços'!$A:$F,6,0)</f>
        <v>19.39</v>
      </c>
      <c r="H90" s="72">
        <f>TRUNC(F90*G90,2)</f>
        <v>9.69</v>
      </c>
    </row>
    <row r="91" spans="1:8" s="112" customFormat="1" ht="11.25">
      <c r="A91" s="124"/>
      <c r="B91" s="125"/>
      <c r="C91" s="125"/>
      <c r="D91" s="126"/>
      <c r="E91" s="125"/>
      <c r="F91" s="127"/>
      <c r="G91" s="128"/>
      <c r="H91" s="128"/>
    </row>
    <row r="92" spans="1:8" s="112" customFormat="1" ht="11.25">
      <c r="A92" s="107" t="s">
        <v>1272</v>
      </c>
      <c r="B92" s="108"/>
      <c r="C92" s="108"/>
      <c r="D92" s="130" t="s">
        <v>82</v>
      </c>
      <c r="E92" s="108"/>
      <c r="F92" s="131"/>
      <c r="G92" s="110"/>
      <c r="H92" s="111"/>
    </row>
    <row r="93" spans="1:8" s="112" customFormat="1" ht="11.25">
      <c r="A93" s="62" t="s">
        <v>83</v>
      </c>
      <c r="B93" s="63"/>
      <c r="C93" s="63"/>
      <c r="D93" s="62" t="s">
        <v>84</v>
      </c>
      <c r="E93" s="63"/>
      <c r="F93" s="113"/>
      <c r="G93" s="62"/>
      <c r="H93" s="67"/>
    </row>
    <row r="94" spans="1:8" s="112" customFormat="1" ht="11.25">
      <c r="A94" s="74" t="s">
        <v>85</v>
      </c>
      <c r="B94" s="75"/>
      <c r="C94" s="75"/>
      <c r="D94" s="74" t="s">
        <v>86</v>
      </c>
      <c r="E94" s="75"/>
      <c r="F94" s="129"/>
      <c r="G94" s="74"/>
      <c r="H94" s="78"/>
    </row>
    <row r="95" spans="1:8" s="112" customFormat="1" ht="11.25">
      <c r="A95" s="83" t="s">
        <v>604</v>
      </c>
      <c r="B95" s="84"/>
      <c r="C95" s="84"/>
      <c r="D95" s="83" t="s">
        <v>88</v>
      </c>
      <c r="E95" s="84"/>
      <c r="F95" s="132"/>
      <c r="G95" s="83"/>
      <c r="H95" s="87"/>
    </row>
    <row r="96" spans="1:8" s="112" customFormat="1" ht="22.5">
      <c r="A96" s="114" t="s">
        <v>103</v>
      </c>
      <c r="B96" s="115" t="str">
        <f>VLOOKUP(A96,'Orçamento Sintético'!$A:$H,2,0)</f>
        <v> MPDFT1704 </v>
      </c>
      <c r="C96" s="115" t="str">
        <f>VLOOKUP(A96,'Orçamento Sintético'!$A:$H,3,0)</f>
        <v>Próprio</v>
      </c>
      <c r="D96" s="116" t="str">
        <f>VLOOKUP(A96,'Orçamento Sintético'!$A:$H,4,0)</f>
        <v>Copia da CPOS (14.40.080) - Tela galvanizada para fixação de alvenaria com dimensão de 10,5x50cm</v>
      </c>
      <c r="E96" s="115" t="str">
        <f>VLOOKUP(A96,'Orçamento Sintético'!$A:$H,5,0)</f>
        <v>UN</v>
      </c>
      <c r="F96" s="117"/>
      <c r="G96" s="118"/>
      <c r="H96" s="118">
        <f>SUM(H97:H99)</f>
        <v>9.32</v>
      </c>
    </row>
    <row r="97" spans="1:8" s="112" customFormat="1" ht="11.25">
      <c r="A97" s="120" t="str">
        <f>VLOOKUP(B97,'Insumos e Serviços'!$A:$F,3,0)</f>
        <v>Composição</v>
      </c>
      <c r="B97" s="121" t="s">
        <v>583</v>
      </c>
      <c r="C97" s="122" t="str">
        <f>VLOOKUP(B97,'Insumos e Serviços'!$A:$F,2,0)</f>
        <v>SINAPI</v>
      </c>
      <c r="D97" s="120" t="str">
        <f>VLOOKUP(B97,'Insumos e Serviços'!$A:$F,4,0)</f>
        <v>PEDREIRO COM ENCARGOS COMPLEMENTARES</v>
      </c>
      <c r="E97" s="122" t="str">
        <f>VLOOKUP(B97,'Insumos e Serviços'!$A:$F,5,0)</f>
        <v>H</v>
      </c>
      <c r="F97" s="123">
        <v>0.25</v>
      </c>
      <c r="G97" s="72">
        <f>VLOOKUP(B97,'Insumos e Serviços'!$A:$F,6,0)</f>
        <v>26.2</v>
      </c>
      <c r="H97" s="72">
        <f>TRUNC(F97*G97,2)</f>
        <v>6.55</v>
      </c>
    </row>
    <row r="98" spans="1:8" s="112" customFormat="1" ht="22.5">
      <c r="A98" s="120" t="str">
        <f>VLOOKUP(B98,'Insumos e Serviços'!$A:$F,3,0)</f>
        <v>Insumo</v>
      </c>
      <c r="B98" s="121" t="s">
        <v>605</v>
      </c>
      <c r="C98" s="122" t="str">
        <f>VLOOKUP(B98,'Insumos e Serviços'!$A:$F,2,0)</f>
        <v>SINAPI</v>
      </c>
      <c r="D98" s="120" t="str">
        <f>VLOOKUP(B98,'Insumos e Serviços'!$A:$F,4,0)</f>
        <v>TELA DE ACO SOLDADA GALVANIZADA/ZINCADA PARA ALVENARIA, FIO D = *1,20 A 1,70* MM, MALHA 15 X 15 MM, (C X L) *50 X 10,5* CM</v>
      </c>
      <c r="E98" s="122" t="str">
        <f>VLOOKUP(B98,'Insumos e Serviços'!$A:$F,5,0)</f>
        <v>M</v>
      </c>
      <c r="F98" s="123">
        <v>0.5</v>
      </c>
      <c r="G98" s="72">
        <f>VLOOKUP(B98,'Insumos e Serviços'!$A:$F,6,0)</f>
        <v>4.22</v>
      </c>
      <c r="H98" s="72">
        <f>TRUNC(F98*G98,2)</f>
        <v>2.11</v>
      </c>
    </row>
    <row r="99" spans="1:8" s="112" customFormat="1" ht="11.25">
      <c r="A99" s="120" t="str">
        <f>VLOOKUP(B99,'Insumos e Serviços'!$A:$F,3,0)</f>
        <v>Insumo</v>
      </c>
      <c r="B99" s="121" t="s">
        <v>606</v>
      </c>
      <c r="C99" s="122" t="str">
        <f>VLOOKUP(B99,'Insumos e Serviços'!$A:$F,2,0)</f>
        <v>SINAPI</v>
      </c>
      <c r="D99" s="120" t="str">
        <f>VLOOKUP(B99,'Insumos e Serviços'!$A:$F,4,0)</f>
        <v>PINO DE ACO LISO 1/4 ", HASTE = *36,5* MM (ACAO DIRETA)</v>
      </c>
      <c r="E99" s="122" t="str">
        <f>VLOOKUP(B99,'Insumos e Serviços'!$A:$F,5,0)</f>
        <v>CENTO</v>
      </c>
      <c r="F99" s="123">
        <v>0.02</v>
      </c>
      <c r="G99" s="72">
        <f>VLOOKUP(B99,'Insumos e Serviços'!$A:$F,6,0)</f>
        <v>33</v>
      </c>
      <c r="H99" s="72">
        <f>TRUNC(F99*G99,2)</f>
        <v>0.66</v>
      </c>
    </row>
    <row r="100" spans="1:8" s="112" customFormat="1" ht="11.25">
      <c r="A100" s="124"/>
      <c r="B100" s="125"/>
      <c r="C100" s="125"/>
      <c r="D100" s="126"/>
      <c r="E100" s="125"/>
      <c r="F100" s="127"/>
      <c r="G100" s="128"/>
      <c r="H100" s="128"/>
    </row>
    <row r="101" spans="1:8" s="112" customFormat="1" ht="22.5">
      <c r="A101" s="114" t="s">
        <v>106</v>
      </c>
      <c r="B101" s="115" t="str">
        <f>VLOOKUP(A101,'Orçamento Sintético'!$A:$H,2,0)</f>
        <v> MPDFT1703 </v>
      </c>
      <c r="C101" s="115" t="str">
        <f>VLOOKUP(A101,'Orçamento Sintético'!$A:$H,3,0)</f>
        <v>Próprio</v>
      </c>
      <c r="D101" s="116" t="str">
        <f>VLOOKUP(A101,'Orçamento Sintético'!$A:$H,4,0)</f>
        <v>Copia da SINAPI (103669) - CONCRETAGEM DE PILARES, FCK = 30 MPA,  COM USO DE BALDES - LANÇAMENTO, ADENSAMENTO E ACABAMENTO. AF_02/2022</v>
      </c>
      <c r="E101" s="115" t="str">
        <f>VLOOKUP(A101,'Orçamento Sintético'!$A:$H,5,0)</f>
        <v>m³</v>
      </c>
      <c r="F101" s="117"/>
      <c r="G101" s="118"/>
      <c r="H101" s="118">
        <f>SUM(H102:H107)</f>
        <v>903.1500000000001</v>
      </c>
    </row>
    <row r="102" spans="1:8" s="112" customFormat="1" ht="11.25">
      <c r="A102" s="120" t="str">
        <f>VLOOKUP(B102,'Insumos e Serviços'!$A:$F,3,0)</f>
        <v>Composição</v>
      </c>
      <c r="B102" s="121" t="s">
        <v>607</v>
      </c>
      <c r="C102" s="122" t="str">
        <f>VLOOKUP(B102,'Insumos e Serviços'!$A:$F,2,0)</f>
        <v>SINAPI</v>
      </c>
      <c r="D102" s="120" t="str">
        <f>VLOOKUP(B102,'Insumos e Serviços'!$A:$F,4,0)</f>
        <v>CARPINTEIRO DE FORMAS COM ENCARGOS COMPLEMENTARES</v>
      </c>
      <c r="E102" s="122" t="str">
        <f>VLOOKUP(B102,'Insumos e Serviços'!$A:$F,5,0)</f>
        <v>H</v>
      </c>
      <c r="F102" s="123">
        <v>2.459</v>
      </c>
      <c r="G102" s="72">
        <f>VLOOKUP(B102,'Insumos e Serviços'!$A:$F,6,0)</f>
        <v>25.93</v>
      </c>
      <c r="H102" s="72">
        <f aca="true" t="shared" si="0" ref="H102:H107">TRUNC(F102*G102,2)</f>
        <v>63.76</v>
      </c>
    </row>
    <row r="103" spans="1:8" s="112" customFormat="1" ht="11.25">
      <c r="A103" s="120" t="str">
        <f>VLOOKUP(B103,'Insumos e Serviços'!$A:$F,3,0)</f>
        <v>Composição</v>
      </c>
      <c r="B103" s="121" t="s">
        <v>583</v>
      </c>
      <c r="C103" s="122" t="str">
        <f>VLOOKUP(B103,'Insumos e Serviços'!$A:$F,2,0)</f>
        <v>SINAPI</v>
      </c>
      <c r="D103" s="120" t="str">
        <f>VLOOKUP(B103,'Insumos e Serviços'!$A:$F,4,0)</f>
        <v>PEDREIRO COM ENCARGOS COMPLEMENTARES</v>
      </c>
      <c r="E103" s="122" t="str">
        <f>VLOOKUP(B103,'Insumos e Serviços'!$A:$F,5,0)</f>
        <v>H</v>
      </c>
      <c r="F103" s="123">
        <v>2.459</v>
      </c>
      <c r="G103" s="72">
        <f>VLOOKUP(B103,'Insumos e Serviços'!$A:$F,6,0)</f>
        <v>26.2</v>
      </c>
      <c r="H103" s="72">
        <f t="shared" si="0"/>
        <v>64.42</v>
      </c>
    </row>
    <row r="104" spans="1:8" s="112" customFormat="1" ht="11.25">
      <c r="A104" s="120" t="str">
        <f>VLOOKUP(B104,'Insumos e Serviços'!$A:$F,3,0)</f>
        <v>Composição</v>
      </c>
      <c r="B104" s="121" t="s">
        <v>581</v>
      </c>
      <c r="C104" s="122" t="str">
        <f>VLOOKUP(B104,'Insumos e Serviços'!$A:$F,2,0)</f>
        <v>SINAPI</v>
      </c>
      <c r="D104" s="120" t="str">
        <f>VLOOKUP(B104,'Insumos e Serviços'!$A:$F,4,0)</f>
        <v>SERVENTE COM ENCARGOS COMPLEMENTARES</v>
      </c>
      <c r="E104" s="122" t="str">
        <f>VLOOKUP(B104,'Insumos e Serviços'!$A:$F,5,0)</f>
        <v>H</v>
      </c>
      <c r="F104" s="123">
        <v>7.377</v>
      </c>
      <c r="G104" s="72">
        <f>VLOOKUP(B104,'Insumos e Serviços'!$A:$F,6,0)</f>
        <v>19.39</v>
      </c>
      <c r="H104" s="72">
        <f t="shared" si="0"/>
        <v>143.04</v>
      </c>
    </row>
    <row r="105" spans="1:8" s="112" customFormat="1" ht="22.5">
      <c r="A105" s="120" t="str">
        <f>VLOOKUP(B105,'Insumos e Serviços'!$A:$F,3,0)</f>
        <v>Composição</v>
      </c>
      <c r="B105" s="121" t="s">
        <v>608</v>
      </c>
      <c r="C105" s="122" t="str">
        <f>VLOOKUP(B105,'Insumos e Serviços'!$A:$F,2,0)</f>
        <v>SINAPI</v>
      </c>
      <c r="D105" s="120" t="str">
        <f>VLOOKUP(B105,'Insumos e Serviços'!$A:$F,4,0)</f>
        <v>VIBRADOR DE IMERSÃO, DIÂMETRO DE PONTEIRA 45MM, MOTOR ELÉTRICO TRIFÁSICO POTÊNCIA DE 2 CV - CHP DIURNO. AF_06/2015</v>
      </c>
      <c r="E105" s="122" t="str">
        <f>VLOOKUP(B105,'Insumos e Serviços'!$A:$F,5,0)</f>
        <v>CHP</v>
      </c>
      <c r="F105" s="123">
        <v>1.042</v>
      </c>
      <c r="G105" s="72">
        <f>VLOOKUP(B105,'Insumos e Serviços'!$A:$F,6,0)</f>
        <v>1.24</v>
      </c>
      <c r="H105" s="72">
        <f t="shared" si="0"/>
        <v>1.29</v>
      </c>
    </row>
    <row r="106" spans="1:8" s="112" customFormat="1" ht="22.5">
      <c r="A106" s="120" t="str">
        <f>VLOOKUP(B106,'Insumos e Serviços'!$A:$F,3,0)</f>
        <v>Composição</v>
      </c>
      <c r="B106" s="121" t="s">
        <v>609</v>
      </c>
      <c r="C106" s="122" t="str">
        <f>VLOOKUP(B106,'Insumos e Serviços'!$A:$F,2,0)</f>
        <v>SINAPI</v>
      </c>
      <c r="D106" s="120" t="str">
        <f>VLOOKUP(B106,'Insumos e Serviços'!$A:$F,4,0)</f>
        <v>VIBRADOR DE IMERSÃO, DIÂMETRO DE PONTEIRA 45MM, MOTOR ELÉTRICO TRIFÁSICO POTÊNCIA DE 2 CV - CHI DIURNO. AF_06/2015</v>
      </c>
      <c r="E106" s="122" t="str">
        <f>VLOOKUP(B106,'Insumos e Serviços'!$A:$F,5,0)</f>
        <v>CHI</v>
      </c>
      <c r="F106" s="123">
        <v>1.417</v>
      </c>
      <c r="G106" s="72">
        <f>VLOOKUP(B106,'Insumos e Serviços'!$A:$F,6,0)</f>
        <v>0.56</v>
      </c>
      <c r="H106" s="72">
        <f t="shared" si="0"/>
        <v>0.79</v>
      </c>
    </row>
    <row r="107" spans="1:8" s="112" customFormat="1" ht="22.5">
      <c r="A107" s="120" t="str">
        <f>VLOOKUP(B107,'Insumos e Serviços'!$A:$F,3,0)</f>
        <v>Composição</v>
      </c>
      <c r="B107" s="121" t="s">
        <v>610</v>
      </c>
      <c r="C107" s="122" t="str">
        <f>VLOOKUP(B107,'Insumos e Serviços'!$A:$F,2,0)</f>
        <v>SINAPI</v>
      </c>
      <c r="D107" s="120" t="str">
        <f>VLOOKUP(B107,'Insumos e Serviços'!$A:$F,4,0)</f>
        <v>CONCRETO FCK = 30MPA, TRAÇO 1:2,1:2,5 (EM MASSA SECA DE CIMENTO/ AREIA MÉDIA/ BRITA 1) - PREPARO MECÂNICO COM BETONEIRA 400 L. AF_05/2021</v>
      </c>
      <c r="E107" s="122" t="str">
        <f>VLOOKUP(B107,'Insumos e Serviços'!$A:$F,5,0)</f>
        <v>m³</v>
      </c>
      <c r="F107" s="123">
        <v>1.103</v>
      </c>
      <c r="G107" s="72">
        <f>VLOOKUP(B107,'Insumos e Serviços'!$A:$F,6,0)</f>
        <v>571.04</v>
      </c>
      <c r="H107" s="72">
        <f t="shared" si="0"/>
        <v>629.85</v>
      </c>
    </row>
    <row r="108" spans="1:8" s="112" customFormat="1" ht="11.25">
      <c r="A108" s="124"/>
      <c r="B108" s="125"/>
      <c r="C108" s="125"/>
      <c r="D108" s="126"/>
      <c r="E108" s="125"/>
      <c r="F108" s="127"/>
      <c r="G108" s="128"/>
      <c r="H108" s="128"/>
    </row>
    <row r="109" spans="1:8" s="112" customFormat="1" ht="33.75">
      <c r="A109" s="114" t="s">
        <v>109</v>
      </c>
      <c r="B109" s="115" t="str">
        <f>VLOOKUP(A109,'Orçamento Sintético'!$A:$H,2,0)</f>
        <v> MPDFT1705 </v>
      </c>
      <c r="C109" s="115" t="str">
        <f>VLOOKUP(A109,'Orçamento Sintético'!$A:$H,3,0)</f>
        <v>Próprio</v>
      </c>
      <c r="D109" s="116" t="str">
        <f>VLOOKUP(A109,'Orçamento Sintético'!$A:$H,4,0)</f>
        <v>Copia da SINAPI (103682) - CONCRETAGEM DE VIGAS E LAJES, FCK=30 MPA, PARA QUALQUER TIPO DE LAJE COM BALDES EM EDIFICAÇÃO TÉRREA - LANÇAMENTO, ADENSAMENTO E ACABAMENTO. AF_02/2022</v>
      </c>
      <c r="E109" s="115" t="str">
        <f>VLOOKUP(A109,'Orçamento Sintético'!$A:$H,5,0)</f>
        <v>m³</v>
      </c>
      <c r="F109" s="117"/>
      <c r="G109" s="118"/>
      <c r="H109" s="118">
        <f>SUM(H110:H115)</f>
        <v>918.56</v>
      </c>
    </row>
    <row r="110" spans="1:8" s="112" customFormat="1" ht="11.25">
      <c r="A110" s="120" t="str">
        <f>VLOOKUP(B110,'Insumos e Serviços'!$A:$F,3,0)</f>
        <v>Composição</v>
      </c>
      <c r="B110" s="121" t="s">
        <v>607</v>
      </c>
      <c r="C110" s="122" t="str">
        <f>VLOOKUP(B110,'Insumos e Serviços'!$A:$F,2,0)</f>
        <v>SINAPI</v>
      </c>
      <c r="D110" s="120" t="str">
        <f>VLOOKUP(B110,'Insumos e Serviços'!$A:$F,4,0)</f>
        <v>CARPINTEIRO DE FORMAS COM ENCARGOS COMPLEMENTARES</v>
      </c>
      <c r="E110" s="122" t="str">
        <f>VLOOKUP(B110,'Insumos e Serviços'!$A:$F,5,0)</f>
        <v>H</v>
      </c>
      <c r="F110" s="123">
        <v>1.19</v>
      </c>
      <c r="G110" s="72">
        <f>VLOOKUP(B110,'Insumos e Serviços'!$A:$F,6,0)</f>
        <v>25.93</v>
      </c>
      <c r="H110" s="72">
        <f aca="true" t="shared" si="1" ref="H110:H115">TRUNC(F110*G110,2)</f>
        <v>30.85</v>
      </c>
    </row>
    <row r="111" spans="1:8" s="112" customFormat="1" ht="11.25">
      <c r="A111" s="120" t="str">
        <f>VLOOKUP(B111,'Insumos e Serviços'!$A:$F,3,0)</f>
        <v>Composição</v>
      </c>
      <c r="B111" s="121" t="s">
        <v>583</v>
      </c>
      <c r="C111" s="122" t="str">
        <f>VLOOKUP(B111,'Insumos e Serviços'!$A:$F,2,0)</f>
        <v>SINAPI</v>
      </c>
      <c r="D111" s="120" t="str">
        <f>VLOOKUP(B111,'Insumos e Serviços'!$A:$F,4,0)</f>
        <v>PEDREIRO COM ENCARGOS COMPLEMENTARES</v>
      </c>
      <c r="E111" s="122" t="str">
        <f>VLOOKUP(B111,'Insumos e Serviços'!$A:$F,5,0)</f>
        <v>H</v>
      </c>
      <c r="F111" s="123">
        <v>3.571</v>
      </c>
      <c r="G111" s="72">
        <f>VLOOKUP(B111,'Insumos e Serviços'!$A:$F,6,0)</f>
        <v>26.2</v>
      </c>
      <c r="H111" s="72">
        <f t="shared" si="1"/>
        <v>93.56</v>
      </c>
    </row>
    <row r="112" spans="1:8" s="112" customFormat="1" ht="11.25">
      <c r="A112" s="120" t="str">
        <f>VLOOKUP(B112,'Insumos e Serviços'!$A:$F,3,0)</f>
        <v>Composição</v>
      </c>
      <c r="B112" s="121" t="s">
        <v>581</v>
      </c>
      <c r="C112" s="122" t="str">
        <f>VLOOKUP(B112,'Insumos e Serviços'!$A:$F,2,0)</f>
        <v>SINAPI</v>
      </c>
      <c r="D112" s="120" t="str">
        <f>VLOOKUP(B112,'Insumos e Serviços'!$A:$F,4,0)</f>
        <v>SERVENTE COM ENCARGOS COMPLEMENTARES</v>
      </c>
      <c r="E112" s="122" t="str">
        <f>VLOOKUP(B112,'Insumos e Serviços'!$A:$F,5,0)</f>
        <v>H</v>
      </c>
      <c r="F112" s="123">
        <v>8.407</v>
      </c>
      <c r="G112" s="72">
        <f>VLOOKUP(B112,'Insumos e Serviços'!$A:$F,6,0)</f>
        <v>19.39</v>
      </c>
      <c r="H112" s="72">
        <f t="shared" si="1"/>
        <v>163.01</v>
      </c>
    </row>
    <row r="113" spans="1:8" s="112" customFormat="1" ht="22.5">
      <c r="A113" s="120" t="str">
        <f>VLOOKUP(B113,'Insumos e Serviços'!$A:$F,3,0)</f>
        <v>Composição</v>
      </c>
      <c r="B113" s="121" t="s">
        <v>608</v>
      </c>
      <c r="C113" s="122" t="str">
        <f>VLOOKUP(B113,'Insumos e Serviços'!$A:$F,2,0)</f>
        <v>SINAPI</v>
      </c>
      <c r="D113" s="120" t="str">
        <f>VLOOKUP(B113,'Insumos e Serviços'!$A:$F,4,0)</f>
        <v>VIBRADOR DE IMERSÃO, DIÂMETRO DE PONTEIRA 45MM, MOTOR ELÉTRICO TRIFÁSICO POTÊNCIA DE 2 CV - CHP DIURNO. AF_06/2015</v>
      </c>
      <c r="E113" s="122" t="str">
        <f>VLOOKUP(B113,'Insumos e Serviços'!$A:$F,5,0)</f>
        <v>CHP</v>
      </c>
      <c r="F113" s="123">
        <v>0.942</v>
      </c>
      <c r="G113" s="72">
        <f>VLOOKUP(B113,'Insumos e Serviços'!$A:$F,6,0)</f>
        <v>1.24</v>
      </c>
      <c r="H113" s="72">
        <f t="shared" si="1"/>
        <v>1.16</v>
      </c>
    </row>
    <row r="114" spans="1:8" s="112" customFormat="1" ht="22.5">
      <c r="A114" s="120" t="str">
        <f>VLOOKUP(B114,'Insumos e Serviços'!$A:$F,3,0)</f>
        <v>Composição</v>
      </c>
      <c r="B114" s="121" t="s">
        <v>609</v>
      </c>
      <c r="C114" s="122" t="str">
        <f>VLOOKUP(B114,'Insumos e Serviços'!$A:$F,2,0)</f>
        <v>SINAPI</v>
      </c>
      <c r="D114" s="120" t="str">
        <f>VLOOKUP(B114,'Insumos e Serviços'!$A:$F,4,0)</f>
        <v>VIBRADOR DE IMERSÃO, DIÂMETRO DE PONTEIRA 45MM, MOTOR ELÉTRICO TRIFÁSICO POTÊNCIA DE 2 CV - CHI DIURNO. AF_06/2015</v>
      </c>
      <c r="E114" s="122" t="str">
        <f>VLOOKUP(B114,'Insumos e Serviços'!$A:$F,5,0)</f>
        <v>CHI</v>
      </c>
      <c r="F114" s="123">
        <v>0.249</v>
      </c>
      <c r="G114" s="72">
        <f>VLOOKUP(B114,'Insumos e Serviços'!$A:$F,6,0)</f>
        <v>0.56</v>
      </c>
      <c r="H114" s="72">
        <f t="shared" si="1"/>
        <v>0.13</v>
      </c>
    </row>
    <row r="115" spans="1:8" s="112" customFormat="1" ht="22.5">
      <c r="A115" s="120" t="str">
        <f>VLOOKUP(B115,'Insumos e Serviços'!$A:$F,3,0)</f>
        <v>Composição</v>
      </c>
      <c r="B115" s="121" t="s">
        <v>610</v>
      </c>
      <c r="C115" s="122" t="str">
        <f>VLOOKUP(B115,'Insumos e Serviços'!$A:$F,2,0)</f>
        <v>SINAPI</v>
      </c>
      <c r="D115" s="120" t="str">
        <f>VLOOKUP(B115,'Insumos e Serviços'!$A:$F,4,0)</f>
        <v>CONCRETO FCK = 30MPA, TRAÇO 1:2,1:2,5 (EM MASSA SECA DE CIMENTO/ AREIA MÉDIA/ BRITA 1) - PREPARO MECÂNICO COM BETONEIRA 400 L. AF_05/2021</v>
      </c>
      <c r="E115" s="122" t="str">
        <f>VLOOKUP(B115,'Insumos e Serviços'!$A:$F,5,0)</f>
        <v>m³</v>
      </c>
      <c r="F115" s="123">
        <v>1.103</v>
      </c>
      <c r="G115" s="72">
        <f>VLOOKUP(B115,'Insumos e Serviços'!$A:$F,6,0)</f>
        <v>571.04</v>
      </c>
      <c r="H115" s="72">
        <f t="shared" si="1"/>
        <v>629.85</v>
      </c>
    </row>
    <row r="116" spans="1:8" s="112" customFormat="1" ht="11.25">
      <c r="A116" s="124"/>
      <c r="B116" s="125"/>
      <c r="C116" s="125"/>
      <c r="D116" s="126"/>
      <c r="E116" s="125"/>
      <c r="F116" s="127"/>
      <c r="G116" s="128"/>
      <c r="H116" s="128"/>
    </row>
    <row r="117" spans="1:8" s="112" customFormat="1" ht="11.25">
      <c r="A117" s="74" t="s">
        <v>122</v>
      </c>
      <c r="B117" s="75"/>
      <c r="C117" s="75"/>
      <c r="D117" s="74" t="s">
        <v>123</v>
      </c>
      <c r="E117" s="75"/>
      <c r="F117" s="129"/>
      <c r="G117" s="74"/>
      <c r="H117" s="78"/>
    </row>
    <row r="118" spans="1:8" s="112" customFormat="1" ht="11.25">
      <c r="A118" s="83" t="s">
        <v>124</v>
      </c>
      <c r="B118" s="84"/>
      <c r="C118" s="84"/>
      <c r="D118" s="83" t="s">
        <v>125</v>
      </c>
      <c r="E118" s="84"/>
      <c r="F118" s="132"/>
      <c r="G118" s="83"/>
      <c r="H118" s="87"/>
    </row>
    <row r="119" spans="1:8" s="112" customFormat="1" ht="33.75">
      <c r="A119" s="114" t="s">
        <v>126</v>
      </c>
      <c r="B119" s="115" t="str">
        <f>VLOOKUP(A119,'Orçamento Sintético'!$A:$H,2,0)</f>
        <v> MPDFT0643 </v>
      </c>
      <c r="C119" s="115" t="str">
        <f>VLOOKUP(A119,'Orçamento Sintético'!$A:$H,3,0)</f>
        <v>Próprio</v>
      </c>
      <c r="D119" s="116" t="str">
        <f>VLOOKUP(A119,'Orçamento Sintético'!$A:$H,4,0)</f>
        <v>Copia da SINAPI (96359) - Parede com placas de gesso acartonado (drywall) resistente a umidade (RU), para uso interno, com duas faces simples e estrutura metálica com guias simples, com vãos</v>
      </c>
      <c r="E119" s="115" t="str">
        <f>VLOOKUP(A119,'Orçamento Sintético'!$A:$H,5,0)</f>
        <v>m²</v>
      </c>
      <c r="F119" s="117"/>
      <c r="G119" s="118"/>
      <c r="H119" s="118">
        <f>SUM(H120:H130)</f>
        <v>110.12</v>
      </c>
    </row>
    <row r="120" spans="1:8" s="112" customFormat="1" ht="11.25">
      <c r="A120" s="120" t="str">
        <f>VLOOKUP(B120,'Insumos e Serviços'!$A:$F,3,0)</f>
        <v>Composição</v>
      </c>
      <c r="B120" s="121" t="s">
        <v>611</v>
      </c>
      <c r="C120" s="122" t="str">
        <f>VLOOKUP(B120,'Insumos e Serviços'!$A:$F,2,0)</f>
        <v>SINAPI</v>
      </c>
      <c r="D120" s="120" t="str">
        <f>VLOOKUP(B120,'Insumos e Serviços'!$A:$F,4,0)</f>
        <v>MONTADOR DE ESTRUTURA METÁLICA COM ENCARGOS COMPLEMENTARES</v>
      </c>
      <c r="E120" s="122" t="str">
        <f>VLOOKUP(B120,'Insumos e Serviços'!$A:$F,5,0)</f>
        <v>H</v>
      </c>
      <c r="F120" s="123">
        <v>0.628</v>
      </c>
      <c r="G120" s="72">
        <f>VLOOKUP(B120,'Insumos e Serviços'!$A:$F,6,0)</f>
        <v>19.93</v>
      </c>
      <c r="H120" s="72">
        <f aca="true" t="shared" si="2" ref="H120:H130">TRUNC(F120*G120,2)</f>
        <v>12.51</v>
      </c>
    </row>
    <row r="121" spans="1:8" s="112" customFormat="1" ht="11.25">
      <c r="A121" s="120" t="str">
        <f>VLOOKUP(B121,'Insumos e Serviços'!$A:$F,3,0)</f>
        <v>Composição</v>
      </c>
      <c r="B121" s="121" t="s">
        <v>581</v>
      </c>
      <c r="C121" s="122" t="str">
        <f>VLOOKUP(B121,'Insumos e Serviços'!$A:$F,2,0)</f>
        <v>SINAPI</v>
      </c>
      <c r="D121" s="120" t="str">
        <f>VLOOKUP(B121,'Insumos e Serviços'!$A:$F,4,0)</f>
        <v>SERVENTE COM ENCARGOS COMPLEMENTARES</v>
      </c>
      <c r="E121" s="122" t="str">
        <f>VLOOKUP(B121,'Insumos e Serviços'!$A:$F,5,0)</f>
        <v>H</v>
      </c>
      <c r="F121" s="123">
        <v>0.157</v>
      </c>
      <c r="G121" s="72">
        <f>VLOOKUP(B121,'Insumos e Serviços'!$A:$F,6,0)</f>
        <v>19.39</v>
      </c>
      <c r="H121" s="72">
        <f t="shared" si="2"/>
        <v>3.04</v>
      </c>
    </row>
    <row r="122" spans="1:8" s="112" customFormat="1" ht="22.5">
      <c r="A122" s="120" t="str">
        <f>VLOOKUP(B122,'Insumos e Serviços'!$A:$F,3,0)</f>
        <v>Insumo</v>
      </c>
      <c r="B122" s="121" t="s">
        <v>612</v>
      </c>
      <c r="C122" s="122" t="str">
        <f>VLOOKUP(B122,'Insumos e Serviços'!$A:$F,2,0)</f>
        <v>SINAPI</v>
      </c>
      <c r="D122" s="120" t="str">
        <f>VLOOKUP(B122,'Insumos e Serviços'!$A:$F,4,0)</f>
        <v>PINO DE ACO COM ARRUELA CONICA, DIAMETRO ARRUELA = *23* MM E COMP HASTE = *27* MM (ACAO INDIRETA)</v>
      </c>
      <c r="E122" s="122" t="str">
        <f>VLOOKUP(B122,'Insumos e Serviços'!$A:$F,5,0)</f>
        <v>CENTO</v>
      </c>
      <c r="F122" s="123">
        <v>0.029</v>
      </c>
      <c r="G122" s="72">
        <f>VLOOKUP(B122,'Insumos e Serviços'!$A:$F,6,0)</f>
        <v>46.91</v>
      </c>
      <c r="H122" s="72">
        <f t="shared" si="2"/>
        <v>1.36</v>
      </c>
    </row>
    <row r="123" spans="1:8" s="112" customFormat="1" ht="22.5">
      <c r="A123" s="120" t="str">
        <f>VLOOKUP(B123,'Insumos e Serviços'!$A:$F,3,0)</f>
        <v>Insumo</v>
      </c>
      <c r="B123" s="121" t="s">
        <v>613</v>
      </c>
      <c r="C123" s="122" t="str">
        <f>VLOOKUP(B123,'Insumos e Serviços'!$A:$F,2,0)</f>
        <v>SINAPI</v>
      </c>
      <c r="D123" s="120" t="str">
        <f>VLOOKUP(B123,'Insumos e Serviços'!$A:$F,4,0)</f>
        <v>PERFIL GUIA, FORMATO U, EM ACO ZINCADO, PARA ESTRUTURA PAREDE DRYWALL, E = 0,5 MM, 70 X 3000 MM (L X C)</v>
      </c>
      <c r="E123" s="122" t="str">
        <f>VLOOKUP(B123,'Insumos e Serviços'!$A:$F,5,0)</f>
        <v>M</v>
      </c>
      <c r="F123" s="123">
        <v>0.9093</v>
      </c>
      <c r="G123" s="72">
        <f>VLOOKUP(B123,'Insumos e Serviços'!$A:$F,6,0)</f>
        <v>8.21</v>
      </c>
      <c r="H123" s="72">
        <f t="shared" si="2"/>
        <v>7.46</v>
      </c>
    </row>
    <row r="124" spans="1:8" s="112" customFormat="1" ht="22.5">
      <c r="A124" s="120" t="str">
        <f>VLOOKUP(B124,'Insumos e Serviços'!$A:$F,3,0)</f>
        <v>Insumo</v>
      </c>
      <c r="B124" s="121" t="s">
        <v>614</v>
      </c>
      <c r="C124" s="122" t="str">
        <f>VLOOKUP(B124,'Insumos e Serviços'!$A:$F,2,0)</f>
        <v>SINAPI</v>
      </c>
      <c r="D124" s="120" t="str">
        <f>VLOOKUP(B124,'Insumos e Serviços'!$A:$F,4,0)</f>
        <v>PERFIL MONTANTE, FORMATO C, EM ACO ZINCADO, PARA ESTRUTURA PAREDE DRYWALL, E = 0,5 MM, 70 X 3000 MM (L X C)</v>
      </c>
      <c r="E124" s="122" t="str">
        <f>VLOOKUP(B124,'Insumos e Serviços'!$A:$F,5,0)</f>
        <v>M</v>
      </c>
      <c r="F124" s="123">
        <v>2.8999</v>
      </c>
      <c r="G124" s="72">
        <f>VLOOKUP(B124,'Insumos e Serviços'!$A:$F,6,0)</f>
        <v>9.32</v>
      </c>
      <c r="H124" s="72">
        <f t="shared" si="2"/>
        <v>27.02</v>
      </c>
    </row>
    <row r="125" spans="1:8" s="112" customFormat="1" ht="22.5">
      <c r="A125" s="120" t="str">
        <f>VLOOKUP(B125,'Insumos e Serviços'!$A:$F,3,0)</f>
        <v>Insumo</v>
      </c>
      <c r="B125" s="121" t="s">
        <v>615</v>
      </c>
      <c r="C125" s="122" t="str">
        <f>VLOOKUP(B125,'Insumos e Serviços'!$A:$F,2,0)</f>
        <v>SINAPI</v>
      </c>
      <c r="D125" s="120" t="str">
        <f>VLOOKUP(B125,'Insumos e Serviços'!$A:$F,4,0)</f>
        <v>FITA DE PAPEL MICROPERFURADO, 50 X 150 MM, PARA TRATAMENTO DE JUNTAS DE CHAPA DE GESSO PARA DRYWALL</v>
      </c>
      <c r="E125" s="122" t="str">
        <f>VLOOKUP(B125,'Insumos e Serviços'!$A:$F,5,0)</f>
        <v>M</v>
      </c>
      <c r="F125" s="123">
        <v>2.5027</v>
      </c>
      <c r="G125" s="72">
        <f>VLOOKUP(B125,'Insumos e Serviços'!$A:$F,6,0)</f>
        <v>0.28</v>
      </c>
      <c r="H125" s="72">
        <f t="shared" si="2"/>
        <v>0.7</v>
      </c>
    </row>
    <row r="126" spans="1:8" s="112" customFormat="1" ht="22.5">
      <c r="A126" s="120" t="str">
        <f>VLOOKUP(B126,'Insumos e Serviços'!$A:$F,3,0)</f>
        <v>Insumo</v>
      </c>
      <c r="B126" s="121" t="s">
        <v>616</v>
      </c>
      <c r="C126" s="122" t="str">
        <f>VLOOKUP(B126,'Insumos e Serviços'!$A:$F,2,0)</f>
        <v>SINAPI</v>
      </c>
      <c r="D126" s="120" t="str">
        <f>VLOOKUP(B126,'Insumos e Serviços'!$A:$F,4,0)</f>
        <v>FITA DE PAPEL REFORCADA COM LAMINA DE METAL PARA REFORCO DE CANTOS DE CHAPA DE GESSO PARA DRYWALL</v>
      </c>
      <c r="E126" s="122" t="str">
        <f>VLOOKUP(B126,'Insumos e Serviços'!$A:$F,5,0)</f>
        <v>M</v>
      </c>
      <c r="F126" s="123">
        <v>0.7925</v>
      </c>
      <c r="G126" s="72">
        <f>VLOOKUP(B126,'Insumos e Serviços'!$A:$F,6,0)</f>
        <v>2.53</v>
      </c>
      <c r="H126" s="72">
        <f t="shared" si="2"/>
        <v>2</v>
      </c>
    </row>
    <row r="127" spans="1:8" s="112" customFormat="1" ht="22.5">
      <c r="A127" s="120" t="str">
        <f>VLOOKUP(B127,'Insumos e Serviços'!$A:$F,3,0)</f>
        <v>Insumo</v>
      </c>
      <c r="B127" s="121" t="s">
        <v>617</v>
      </c>
      <c r="C127" s="122" t="str">
        <f>VLOOKUP(B127,'Insumos e Serviços'!$A:$F,2,0)</f>
        <v>SINAPI</v>
      </c>
      <c r="D127" s="120" t="str">
        <f>VLOOKUP(B127,'Insumos e Serviços'!$A:$F,4,0)</f>
        <v>MASSA DE REJUNTE EM PO PARA DRYWALL, A BASE DE GESSO, SECAGEM RAPIDA, PARA TRATAMENTO DE JUNTAS DE CHAPA DE GESSO (NECESSITA ADICAO DE AGUA)</v>
      </c>
      <c r="E127" s="122" t="str">
        <f>VLOOKUP(B127,'Insumos e Serviços'!$A:$F,5,0)</f>
        <v>KG</v>
      </c>
      <c r="F127" s="123">
        <v>1.0327</v>
      </c>
      <c r="G127" s="72">
        <f>VLOOKUP(B127,'Insumos e Serviços'!$A:$F,6,0)</f>
        <v>3.16</v>
      </c>
      <c r="H127" s="72">
        <f t="shared" si="2"/>
        <v>3.26</v>
      </c>
    </row>
    <row r="128" spans="1:8" s="112" customFormat="1" ht="22.5">
      <c r="A128" s="120" t="str">
        <f>VLOOKUP(B128,'Insumos e Serviços'!$A:$F,3,0)</f>
        <v>Insumo</v>
      </c>
      <c r="B128" s="121" t="s">
        <v>618</v>
      </c>
      <c r="C128" s="122" t="str">
        <f>VLOOKUP(B128,'Insumos e Serviços'!$A:$F,2,0)</f>
        <v>SINAPI</v>
      </c>
      <c r="D128" s="120" t="str">
        <f>VLOOKUP(B128,'Insumos e Serviços'!$A:$F,4,0)</f>
        <v>PARAFUSO DRY WALL, EM ACO FOSFATIZADO, CABECA TROMBETA E PONTA AGULHA (TA), COMPRIMENTO 25 MM</v>
      </c>
      <c r="E128" s="122" t="str">
        <f>VLOOKUP(B128,'Insumos e Serviços'!$A:$F,5,0)</f>
        <v>UN</v>
      </c>
      <c r="F128" s="123">
        <v>20.0077</v>
      </c>
      <c r="G128" s="72">
        <f>VLOOKUP(B128,'Insumos e Serviços'!$A:$F,6,0)</f>
        <v>0.09</v>
      </c>
      <c r="H128" s="72">
        <f t="shared" si="2"/>
        <v>1.8</v>
      </c>
    </row>
    <row r="129" spans="1:8" s="112" customFormat="1" ht="22.5">
      <c r="A129" s="120" t="str">
        <f>VLOOKUP(B129,'Insumos e Serviços'!$A:$F,3,0)</f>
        <v>Insumo</v>
      </c>
      <c r="B129" s="121" t="s">
        <v>619</v>
      </c>
      <c r="C129" s="122" t="str">
        <f>VLOOKUP(B129,'Insumos e Serviços'!$A:$F,2,0)</f>
        <v>SINAPI</v>
      </c>
      <c r="D129" s="120" t="str">
        <f>VLOOKUP(B129,'Insumos e Serviços'!$A:$F,4,0)</f>
        <v>PARAFUSO DRY WALL, EM ACO ZINCADO, CABECA LENTILHA E PONTA BROCA (LB), LARGURA 4,2 MM, COMPRIMENTO 13 MM</v>
      </c>
      <c r="E129" s="122" t="str">
        <f>VLOOKUP(B129,'Insumos e Serviços'!$A:$F,5,0)</f>
        <v>UN</v>
      </c>
      <c r="F129" s="123">
        <v>0.9149</v>
      </c>
      <c r="G129" s="72">
        <f>VLOOKUP(B129,'Insumos e Serviços'!$A:$F,6,0)</f>
        <v>0.22</v>
      </c>
      <c r="H129" s="72">
        <f t="shared" si="2"/>
        <v>0.2</v>
      </c>
    </row>
    <row r="130" spans="1:8" s="112" customFormat="1" ht="22.5">
      <c r="A130" s="120" t="str">
        <f>VLOOKUP(B130,'Insumos e Serviços'!$A:$F,3,0)</f>
        <v>Insumo</v>
      </c>
      <c r="B130" s="121" t="s">
        <v>620</v>
      </c>
      <c r="C130" s="122" t="str">
        <f>VLOOKUP(B130,'Insumos e Serviços'!$A:$F,2,0)</f>
        <v>SINAPI</v>
      </c>
      <c r="D130" s="120" t="str">
        <f>VLOOKUP(B130,'Insumos e Serviços'!$A:$F,4,0)</f>
        <v>PLACA / CHAPA DE GESSO ACARTONADO, RESISTENTE A UMIDADE (RU), COR VERDE, E = 12,5 MM, 1200 X 2400 MM (L X C)</v>
      </c>
      <c r="E130" s="122" t="str">
        <f>VLOOKUP(B130,'Insumos e Serviços'!$A:$F,5,0)</f>
        <v>m²</v>
      </c>
      <c r="F130" s="123">
        <v>2.106</v>
      </c>
      <c r="G130" s="72">
        <f>VLOOKUP(B130,'Insumos e Serviços'!$A:$F,6,0)</f>
        <v>24.11</v>
      </c>
      <c r="H130" s="72">
        <f t="shared" si="2"/>
        <v>50.77</v>
      </c>
    </row>
    <row r="131" spans="1:8" s="112" customFormat="1" ht="11.25">
      <c r="A131" s="124"/>
      <c r="B131" s="125"/>
      <c r="C131" s="125"/>
      <c r="D131" s="126"/>
      <c r="E131" s="125"/>
      <c r="F131" s="127"/>
      <c r="G131" s="128"/>
      <c r="H131" s="128"/>
    </row>
    <row r="132" spans="1:8" s="112" customFormat="1" ht="33.75">
      <c r="A132" s="114" t="s">
        <v>129</v>
      </c>
      <c r="B132" s="115" t="str">
        <f>VLOOKUP(A132,'Orçamento Sintético'!$A:$H,2,0)</f>
        <v> MPDFT1716 </v>
      </c>
      <c r="C132" s="115" t="str">
        <f>VLOOKUP(A132,'Orçamento Sintético'!$A:$H,3,0)</f>
        <v>Próprio</v>
      </c>
      <c r="D132" s="116" t="str">
        <f>VLOOKUP(A132,'Orçamento Sintético'!$A:$H,4,0)</f>
        <v>Copia da SINAPI (96369) - Parede com placas de gesso acartonado (drywall) resistente a umidade (RU), para uso interno, com duas faces duplas e estrutura metálica com guias duplas, com vãos</v>
      </c>
      <c r="E132" s="115" t="str">
        <f>VLOOKUP(A132,'Orçamento Sintético'!$A:$H,5,0)</f>
        <v>m²</v>
      </c>
      <c r="F132" s="117"/>
      <c r="G132" s="118"/>
      <c r="H132" s="118">
        <f>SUM(H133:H144)</f>
        <v>213.55</v>
      </c>
    </row>
    <row r="133" spans="1:8" s="112" customFormat="1" ht="11.25">
      <c r="A133" s="120" t="str">
        <f>VLOOKUP(B133,'Insumos e Serviços'!$A:$F,3,0)</f>
        <v>Composição</v>
      </c>
      <c r="B133" s="121" t="s">
        <v>611</v>
      </c>
      <c r="C133" s="122" t="str">
        <f>VLOOKUP(B133,'Insumos e Serviços'!$A:$F,2,0)</f>
        <v>SINAPI</v>
      </c>
      <c r="D133" s="120" t="str">
        <f>VLOOKUP(B133,'Insumos e Serviços'!$A:$F,4,0)</f>
        <v>MONTADOR DE ESTRUTURA METÁLICA COM ENCARGOS COMPLEMENTARES</v>
      </c>
      <c r="E133" s="122" t="str">
        <f>VLOOKUP(B133,'Insumos e Serviços'!$A:$F,5,0)</f>
        <v>H</v>
      </c>
      <c r="F133" s="123">
        <v>1.0549</v>
      </c>
      <c r="G133" s="72">
        <f>VLOOKUP(B133,'Insumos e Serviços'!$A:$F,6,0)</f>
        <v>19.93</v>
      </c>
      <c r="H133" s="72">
        <f aca="true" t="shared" si="3" ref="H133:H144">TRUNC(F133*G133,2)</f>
        <v>21.02</v>
      </c>
    </row>
    <row r="134" spans="1:8" s="112" customFormat="1" ht="11.25">
      <c r="A134" s="120" t="str">
        <f>VLOOKUP(B134,'Insumos e Serviços'!$A:$F,3,0)</f>
        <v>Composição</v>
      </c>
      <c r="B134" s="121" t="s">
        <v>581</v>
      </c>
      <c r="C134" s="122" t="str">
        <f>VLOOKUP(B134,'Insumos e Serviços'!$A:$F,2,0)</f>
        <v>SINAPI</v>
      </c>
      <c r="D134" s="120" t="str">
        <f>VLOOKUP(B134,'Insumos e Serviços'!$A:$F,4,0)</f>
        <v>SERVENTE COM ENCARGOS COMPLEMENTARES</v>
      </c>
      <c r="E134" s="122" t="str">
        <f>VLOOKUP(B134,'Insumos e Serviços'!$A:$F,5,0)</f>
        <v>H</v>
      </c>
      <c r="F134" s="123">
        <v>0.2637</v>
      </c>
      <c r="G134" s="72">
        <f>VLOOKUP(B134,'Insumos e Serviços'!$A:$F,6,0)</f>
        <v>19.39</v>
      </c>
      <c r="H134" s="72">
        <f t="shared" si="3"/>
        <v>5.11</v>
      </c>
    </row>
    <row r="135" spans="1:8" s="112" customFormat="1" ht="22.5">
      <c r="A135" s="120" t="str">
        <f>VLOOKUP(B135,'Insumos e Serviços'!$A:$F,3,0)</f>
        <v>Insumo</v>
      </c>
      <c r="B135" s="121" t="s">
        <v>612</v>
      </c>
      <c r="C135" s="122" t="str">
        <f>VLOOKUP(B135,'Insumos e Serviços'!$A:$F,2,0)</f>
        <v>SINAPI</v>
      </c>
      <c r="D135" s="120" t="str">
        <f>VLOOKUP(B135,'Insumos e Serviços'!$A:$F,4,0)</f>
        <v>PINO DE ACO COM ARRUELA CONICA, DIAMETRO ARRUELA = *23* MM E COMP HASTE = *27* MM (ACAO INDIRETA)</v>
      </c>
      <c r="E135" s="122" t="str">
        <f>VLOOKUP(B135,'Insumos e Serviços'!$A:$F,5,0)</f>
        <v>CENTO</v>
      </c>
      <c r="F135" s="123">
        <v>0.0581</v>
      </c>
      <c r="G135" s="72">
        <f>VLOOKUP(B135,'Insumos e Serviços'!$A:$F,6,0)</f>
        <v>46.91</v>
      </c>
      <c r="H135" s="72">
        <f t="shared" si="3"/>
        <v>2.72</v>
      </c>
    </row>
    <row r="136" spans="1:8" s="112" customFormat="1" ht="22.5">
      <c r="A136" s="120" t="str">
        <f>VLOOKUP(B136,'Insumos e Serviços'!$A:$F,3,0)</f>
        <v>Insumo</v>
      </c>
      <c r="B136" s="121" t="s">
        <v>613</v>
      </c>
      <c r="C136" s="122" t="str">
        <f>VLOOKUP(B136,'Insumos e Serviços'!$A:$F,2,0)</f>
        <v>SINAPI</v>
      </c>
      <c r="D136" s="120" t="str">
        <f>VLOOKUP(B136,'Insumos e Serviços'!$A:$F,4,0)</f>
        <v>PERFIL GUIA, FORMATO U, EM ACO ZINCADO, PARA ESTRUTURA PAREDE DRYWALL, E = 0,5 MM, 70 X 3000 MM (L X C)</v>
      </c>
      <c r="E136" s="122" t="str">
        <f>VLOOKUP(B136,'Insumos e Serviços'!$A:$F,5,0)</f>
        <v>M</v>
      </c>
      <c r="F136" s="123">
        <v>1.8187</v>
      </c>
      <c r="G136" s="72">
        <f>VLOOKUP(B136,'Insumos e Serviços'!$A:$F,6,0)</f>
        <v>8.21</v>
      </c>
      <c r="H136" s="72">
        <f t="shared" si="3"/>
        <v>14.93</v>
      </c>
    </row>
    <row r="137" spans="1:8" s="112" customFormat="1" ht="22.5">
      <c r="A137" s="120" t="str">
        <f>VLOOKUP(B137,'Insumos e Serviços'!$A:$F,3,0)</f>
        <v>Insumo</v>
      </c>
      <c r="B137" s="121" t="s">
        <v>614</v>
      </c>
      <c r="C137" s="122" t="str">
        <f>VLOOKUP(B137,'Insumos e Serviços'!$A:$F,2,0)</f>
        <v>SINAPI</v>
      </c>
      <c r="D137" s="120" t="str">
        <f>VLOOKUP(B137,'Insumos e Serviços'!$A:$F,4,0)</f>
        <v>PERFIL MONTANTE, FORMATO C, EM ACO ZINCADO, PARA ESTRUTURA PAREDE DRYWALL, E = 0,5 MM, 70 X 3000 MM (L X C)</v>
      </c>
      <c r="E137" s="122" t="str">
        <f>VLOOKUP(B137,'Insumos e Serviços'!$A:$F,5,0)</f>
        <v>M</v>
      </c>
      <c r="F137" s="123">
        <v>5.7999</v>
      </c>
      <c r="G137" s="72">
        <f>VLOOKUP(B137,'Insumos e Serviços'!$A:$F,6,0)</f>
        <v>9.32</v>
      </c>
      <c r="H137" s="72">
        <f t="shared" si="3"/>
        <v>54.05</v>
      </c>
    </row>
    <row r="138" spans="1:8" s="112" customFormat="1" ht="22.5">
      <c r="A138" s="120" t="str">
        <f>VLOOKUP(B138,'Insumos e Serviços'!$A:$F,3,0)</f>
        <v>Insumo</v>
      </c>
      <c r="B138" s="121" t="s">
        <v>615</v>
      </c>
      <c r="C138" s="122" t="str">
        <f>VLOOKUP(B138,'Insumos e Serviços'!$A:$F,2,0)</f>
        <v>SINAPI</v>
      </c>
      <c r="D138" s="120" t="str">
        <f>VLOOKUP(B138,'Insumos e Serviços'!$A:$F,4,0)</f>
        <v>FITA DE PAPEL MICROPERFURADO, 50 X 150 MM, PARA TRATAMENTO DE JUNTAS DE CHAPA DE GESSO PARA DRYWALL</v>
      </c>
      <c r="E138" s="122" t="str">
        <f>VLOOKUP(B138,'Insumos e Serviços'!$A:$F,5,0)</f>
        <v>M</v>
      </c>
      <c r="F138" s="123">
        <v>2.5027</v>
      </c>
      <c r="G138" s="72">
        <f>VLOOKUP(B138,'Insumos e Serviços'!$A:$F,6,0)</f>
        <v>0.28</v>
      </c>
      <c r="H138" s="72">
        <f t="shared" si="3"/>
        <v>0.7</v>
      </c>
    </row>
    <row r="139" spans="1:8" s="112" customFormat="1" ht="22.5">
      <c r="A139" s="120" t="str">
        <f>VLOOKUP(B139,'Insumos e Serviços'!$A:$F,3,0)</f>
        <v>Insumo</v>
      </c>
      <c r="B139" s="121" t="s">
        <v>616</v>
      </c>
      <c r="C139" s="122" t="str">
        <f>VLOOKUP(B139,'Insumos e Serviços'!$A:$F,2,0)</f>
        <v>SINAPI</v>
      </c>
      <c r="D139" s="120" t="str">
        <f>VLOOKUP(B139,'Insumos e Serviços'!$A:$F,4,0)</f>
        <v>FITA DE PAPEL REFORCADA COM LAMINA DE METAL PARA REFORCO DE CANTOS DE CHAPA DE GESSO PARA DRYWALL</v>
      </c>
      <c r="E139" s="122" t="str">
        <f>VLOOKUP(B139,'Insumos e Serviços'!$A:$F,5,0)</f>
        <v>M</v>
      </c>
      <c r="F139" s="123">
        <v>1.5851</v>
      </c>
      <c r="G139" s="72">
        <f>VLOOKUP(B139,'Insumos e Serviços'!$A:$F,6,0)</f>
        <v>2.53</v>
      </c>
      <c r="H139" s="72">
        <f t="shared" si="3"/>
        <v>4.01</v>
      </c>
    </row>
    <row r="140" spans="1:8" s="112" customFormat="1" ht="22.5">
      <c r="A140" s="120" t="str">
        <f>VLOOKUP(B140,'Insumos e Serviços'!$A:$F,3,0)</f>
        <v>Insumo</v>
      </c>
      <c r="B140" s="121" t="s">
        <v>617</v>
      </c>
      <c r="C140" s="122" t="str">
        <f>VLOOKUP(B140,'Insumos e Serviços'!$A:$F,2,0)</f>
        <v>SINAPI</v>
      </c>
      <c r="D140" s="120" t="str">
        <f>VLOOKUP(B140,'Insumos e Serviços'!$A:$F,4,0)</f>
        <v>MASSA DE REJUNTE EM PO PARA DRYWALL, A BASE DE GESSO, SECAGEM RAPIDA, PARA TRATAMENTO DE JUNTAS DE CHAPA DE GESSO (NECESSITA ADICAO DE AGUA)</v>
      </c>
      <c r="E140" s="122" t="str">
        <f>VLOOKUP(B140,'Insumos e Serviços'!$A:$F,5,0)</f>
        <v>KG</v>
      </c>
      <c r="F140" s="123">
        <v>1.0327</v>
      </c>
      <c r="G140" s="72">
        <f>VLOOKUP(B140,'Insumos e Serviços'!$A:$F,6,0)</f>
        <v>3.16</v>
      </c>
      <c r="H140" s="72">
        <f t="shared" si="3"/>
        <v>3.26</v>
      </c>
    </row>
    <row r="141" spans="1:8" s="112" customFormat="1" ht="22.5">
      <c r="A141" s="120" t="str">
        <f>VLOOKUP(B141,'Insumos e Serviços'!$A:$F,3,0)</f>
        <v>Insumo</v>
      </c>
      <c r="B141" s="121" t="s">
        <v>618</v>
      </c>
      <c r="C141" s="122" t="str">
        <f>VLOOKUP(B141,'Insumos e Serviços'!$A:$F,2,0)</f>
        <v>SINAPI</v>
      </c>
      <c r="D141" s="120" t="str">
        <f>VLOOKUP(B141,'Insumos e Serviços'!$A:$F,4,0)</f>
        <v>PARAFUSO DRY WALL, EM ACO FOSFATIZADO, CABECA TROMBETA E PONTA AGULHA (TA), COMPRIMENTO 25 MM</v>
      </c>
      <c r="E141" s="122" t="str">
        <f>VLOOKUP(B141,'Insumos e Serviços'!$A:$F,5,0)</f>
        <v>UN</v>
      </c>
      <c r="F141" s="123">
        <v>20.0077</v>
      </c>
      <c r="G141" s="72">
        <f>VLOOKUP(B141,'Insumos e Serviços'!$A:$F,6,0)</f>
        <v>0.09</v>
      </c>
      <c r="H141" s="72">
        <f t="shared" si="3"/>
        <v>1.8</v>
      </c>
    </row>
    <row r="142" spans="1:8" s="112" customFormat="1" ht="22.5">
      <c r="A142" s="120" t="str">
        <f>VLOOKUP(B142,'Insumos e Serviços'!$A:$F,3,0)</f>
        <v>Insumo</v>
      </c>
      <c r="B142" s="121" t="s">
        <v>619</v>
      </c>
      <c r="C142" s="122" t="str">
        <f>VLOOKUP(B142,'Insumos e Serviços'!$A:$F,2,0)</f>
        <v>SINAPI</v>
      </c>
      <c r="D142" s="120" t="str">
        <f>VLOOKUP(B142,'Insumos e Serviços'!$A:$F,4,0)</f>
        <v>PARAFUSO DRY WALL, EM ACO ZINCADO, CABECA LENTILHA E PONTA BROCA (LB), LARGURA 4,2 MM, COMPRIMENTO 13 MM</v>
      </c>
      <c r="E142" s="122" t="str">
        <f>VLOOKUP(B142,'Insumos e Serviços'!$A:$F,5,0)</f>
        <v>UN</v>
      </c>
      <c r="F142" s="123">
        <v>0.9149</v>
      </c>
      <c r="G142" s="72">
        <f>VLOOKUP(B142,'Insumos e Serviços'!$A:$F,6,0)</f>
        <v>0.22</v>
      </c>
      <c r="H142" s="72">
        <f t="shared" si="3"/>
        <v>0.2</v>
      </c>
    </row>
    <row r="143" spans="1:8" s="112" customFormat="1" ht="22.5">
      <c r="A143" s="120" t="str">
        <f>VLOOKUP(B143,'Insumos e Serviços'!$A:$F,3,0)</f>
        <v>Insumo</v>
      </c>
      <c r="B143" s="121" t="s">
        <v>620</v>
      </c>
      <c r="C143" s="122" t="str">
        <f>VLOOKUP(B143,'Insumos e Serviços'!$A:$F,2,0)</f>
        <v>SINAPI</v>
      </c>
      <c r="D143" s="120" t="str">
        <f>VLOOKUP(B143,'Insumos e Serviços'!$A:$F,4,0)</f>
        <v>PLACA / CHAPA DE GESSO ACARTONADO, RESISTENTE A UMIDADE (RU), COR VERDE, E = 12,5 MM, 1200 X 2400 MM (L X C)</v>
      </c>
      <c r="E143" s="122" t="str">
        <f>VLOOKUP(B143,'Insumos e Serviços'!$A:$F,5,0)</f>
        <v>m²</v>
      </c>
      <c r="F143" s="123">
        <v>4.212</v>
      </c>
      <c r="G143" s="72">
        <f>VLOOKUP(B143,'Insumos e Serviços'!$A:$F,6,0)</f>
        <v>24.11</v>
      </c>
      <c r="H143" s="72">
        <f t="shared" si="3"/>
        <v>101.55</v>
      </c>
    </row>
    <row r="144" spans="1:8" s="112" customFormat="1" ht="22.5">
      <c r="A144" s="120" t="str">
        <f>VLOOKUP(B144,'Insumos e Serviços'!$A:$F,3,0)</f>
        <v>Insumo</v>
      </c>
      <c r="B144" s="121" t="s">
        <v>621</v>
      </c>
      <c r="C144" s="122" t="str">
        <f>VLOOKUP(B144,'Insumos e Serviços'!$A:$F,2,0)</f>
        <v>SINAPI</v>
      </c>
      <c r="D144" s="120" t="str">
        <f>VLOOKUP(B144,'Insumos e Serviços'!$A:$F,4,0)</f>
        <v>PARAFUSO DRY WALL, EM ACO FOSFATIZADO, CABECA TROMBETA E PONTA AGULHA (TA), COMPRIMENTO 45 MM</v>
      </c>
      <c r="E144" s="122" t="str">
        <f>VLOOKUP(B144,'Insumos e Serviços'!$A:$F,5,0)</f>
        <v>UN</v>
      </c>
      <c r="F144" s="123">
        <v>20.0077</v>
      </c>
      <c r="G144" s="72">
        <f>VLOOKUP(B144,'Insumos e Serviços'!$A:$F,6,0)</f>
        <v>0.21</v>
      </c>
      <c r="H144" s="72">
        <f t="shared" si="3"/>
        <v>4.2</v>
      </c>
    </row>
    <row r="145" spans="1:8" s="112" customFormat="1" ht="11.25">
      <c r="A145" s="124"/>
      <c r="B145" s="125"/>
      <c r="C145" s="125"/>
      <c r="D145" s="126"/>
      <c r="E145" s="125"/>
      <c r="F145" s="127"/>
      <c r="G145" s="128"/>
      <c r="H145" s="128"/>
    </row>
    <row r="146" spans="1:8" s="112" customFormat="1" ht="11.25">
      <c r="A146" s="62" t="s">
        <v>136</v>
      </c>
      <c r="B146" s="63"/>
      <c r="C146" s="63"/>
      <c r="D146" s="62" t="s">
        <v>137</v>
      </c>
      <c r="E146" s="63"/>
      <c r="F146" s="113"/>
      <c r="G146" s="62"/>
      <c r="H146" s="67"/>
    </row>
    <row r="147" spans="1:8" s="112" customFormat="1" ht="11.25">
      <c r="A147" s="74" t="s">
        <v>138</v>
      </c>
      <c r="B147" s="75"/>
      <c r="C147" s="75"/>
      <c r="D147" s="74" t="s">
        <v>139</v>
      </c>
      <c r="E147" s="75"/>
      <c r="F147" s="129"/>
      <c r="G147" s="74"/>
      <c r="H147" s="78"/>
    </row>
    <row r="148" spans="1:8" s="112" customFormat="1" ht="11.25">
      <c r="A148" s="83" t="s">
        <v>140</v>
      </c>
      <c r="B148" s="84"/>
      <c r="C148" s="84"/>
      <c r="D148" s="83" t="s">
        <v>141</v>
      </c>
      <c r="E148" s="84"/>
      <c r="F148" s="132"/>
      <c r="G148" s="83"/>
      <c r="H148" s="87"/>
    </row>
    <row r="149" spans="1:8" s="112" customFormat="1" ht="33.75">
      <c r="A149" s="114" t="s">
        <v>142</v>
      </c>
      <c r="B149" s="115" t="str">
        <f>VLOOKUP(A149,'Orçamento Sintético'!$A:$H,2,0)</f>
        <v> MPDFT0649 </v>
      </c>
      <c r="C149" s="115" t="str">
        <f>VLOOKUP(A149,'Orçamento Sintético'!$A:$H,3,0)</f>
        <v>Próprio</v>
      </c>
      <c r="D149" s="116" t="str">
        <f>VLOOKUP(A149,'Orçamento Sintético'!$A:$H,4,0)</f>
        <v>Baseado na SINAPI (99861) - Gradil metálico composto por perfil tipo cantoneira, perfil U enrijecido e tela metálica 5x5, em módulo, incluso porta articulada e pintura esmalte</v>
      </c>
      <c r="E149" s="115" t="str">
        <f>VLOOKUP(A149,'Orçamento Sintético'!$A:$H,5,0)</f>
        <v>m²</v>
      </c>
      <c r="F149" s="117"/>
      <c r="G149" s="118"/>
      <c r="H149" s="118">
        <f>SUM(H150:H158)</f>
        <v>493.92999999999995</v>
      </c>
    </row>
    <row r="150" spans="1:8" s="112" customFormat="1" ht="11.25">
      <c r="A150" s="120" t="str">
        <f>VLOOKUP(B150,'Insumos e Serviços'!$A:$F,3,0)</f>
        <v>Composição</v>
      </c>
      <c r="B150" s="121" t="s">
        <v>601</v>
      </c>
      <c r="C150" s="122" t="str">
        <f>VLOOKUP(B150,'Insumos e Serviços'!$A:$F,2,0)</f>
        <v>SINAPI</v>
      </c>
      <c r="D150" s="120" t="str">
        <f>VLOOKUP(B150,'Insumos e Serviços'!$A:$F,4,0)</f>
        <v>AUXILIAR DE SERRALHEIRO COM ENCARGOS COMPLEMENTARES</v>
      </c>
      <c r="E150" s="122" t="str">
        <f>VLOOKUP(B150,'Insumos e Serviços'!$A:$F,5,0)</f>
        <v>H</v>
      </c>
      <c r="F150" s="123">
        <v>3.483</v>
      </c>
      <c r="G150" s="72">
        <f>VLOOKUP(B150,'Insumos e Serviços'!$A:$F,6,0)</f>
        <v>20.62</v>
      </c>
      <c r="H150" s="72">
        <f aca="true" t="shared" si="4" ref="H150:H158">TRUNC(F150*G150,2)</f>
        <v>71.81</v>
      </c>
    </row>
    <row r="151" spans="1:8" s="112" customFormat="1" ht="11.25">
      <c r="A151" s="120" t="str">
        <f>VLOOKUP(B151,'Insumos e Serviços'!$A:$F,3,0)</f>
        <v>Composição</v>
      </c>
      <c r="B151" s="121" t="s">
        <v>600</v>
      </c>
      <c r="C151" s="122" t="str">
        <f>VLOOKUP(B151,'Insumos e Serviços'!$A:$F,2,0)</f>
        <v>SINAPI</v>
      </c>
      <c r="D151" s="120" t="str">
        <f>VLOOKUP(B151,'Insumos e Serviços'!$A:$F,4,0)</f>
        <v>SERRALHEIRO COM ENCARGOS COMPLEMENTARES</v>
      </c>
      <c r="E151" s="122" t="str">
        <f>VLOOKUP(B151,'Insumos e Serviços'!$A:$F,5,0)</f>
        <v>H</v>
      </c>
      <c r="F151" s="123">
        <v>4.24</v>
      </c>
      <c r="G151" s="72">
        <f>VLOOKUP(B151,'Insumos e Serviços'!$A:$F,6,0)</f>
        <v>26.05</v>
      </c>
      <c r="H151" s="72">
        <f t="shared" si="4"/>
        <v>110.45</v>
      </c>
    </row>
    <row r="152" spans="1:8" s="112" customFormat="1" ht="22.5">
      <c r="A152" s="120" t="str">
        <f>VLOOKUP(B152,'Insumos e Serviços'!$A:$F,3,0)</f>
        <v>Composição</v>
      </c>
      <c r="B152" s="121" t="s">
        <v>622</v>
      </c>
      <c r="C152" s="122" t="str">
        <f>VLOOKUP(B152,'Insumos e Serviços'!$A:$F,2,0)</f>
        <v>SINAPI</v>
      </c>
      <c r="D152" s="120" t="str">
        <f>VLOOKUP(B152,'Insumos e Serviços'!$A:$F,4,0)</f>
        <v>ARGAMASSA TRAÇO 1:3 (EM VOLUME DE CIMENTO E AREIA MÉDIA ÚMIDA), PREPARO MANUAL. AF_08/2019</v>
      </c>
      <c r="E152" s="122" t="str">
        <f>VLOOKUP(B152,'Insumos e Serviços'!$A:$F,5,0)</f>
        <v>m³</v>
      </c>
      <c r="F152" s="123">
        <v>0.008</v>
      </c>
      <c r="G152" s="72">
        <f>VLOOKUP(B152,'Insumos e Serviços'!$A:$F,6,0)</f>
        <v>704.25</v>
      </c>
      <c r="H152" s="72">
        <f t="shared" si="4"/>
        <v>5.63</v>
      </c>
    </row>
    <row r="153" spans="1:8" s="112" customFormat="1" ht="33.75">
      <c r="A153" s="120" t="str">
        <f>VLOOKUP(B153,'Insumos e Serviços'!$A:$F,3,0)</f>
        <v>Composição</v>
      </c>
      <c r="B153" s="121" t="s">
        <v>623</v>
      </c>
      <c r="C153" s="122" t="str">
        <f>VLOOKUP(B153,'Insumos e Serviços'!$A:$F,2,0)</f>
        <v>SINAPI</v>
      </c>
      <c r="D153" s="120" t="str">
        <f>VLOOKUP(B153,'Insumos e Serviços'!$A:$F,4,0)</f>
        <v>PINTURA COM TINTA ALQUÍDICA DE ACABAMENTO (ESMALTE SINTÉTICO FOSCO) APLICADA A ROLO OU PINCEL SOBRE SUPERFÍCIES METÁLICAS (EXCETO PERFIL) EXECUTADO EM OBRA (POR DEMÃO). AF_01/2020</v>
      </c>
      <c r="E153" s="122" t="str">
        <f>VLOOKUP(B153,'Insumos e Serviços'!$A:$F,5,0)</f>
        <v>m²</v>
      </c>
      <c r="F153" s="123">
        <v>1</v>
      </c>
      <c r="G153" s="72">
        <f>VLOOKUP(B153,'Insumos e Serviços'!$A:$F,6,0)</f>
        <v>23.85</v>
      </c>
      <c r="H153" s="72">
        <f t="shared" si="4"/>
        <v>23.85</v>
      </c>
    </row>
    <row r="154" spans="1:8" s="112" customFormat="1" ht="33.75">
      <c r="A154" s="120" t="str">
        <f>VLOOKUP(B154,'Insumos e Serviços'!$A:$F,3,0)</f>
        <v>Composição</v>
      </c>
      <c r="B154" s="121" t="s">
        <v>624</v>
      </c>
      <c r="C154" s="122" t="str">
        <f>VLOOKUP(B154,'Insumos e Serviços'!$A:$F,2,0)</f>
        <v>SINAPI</v>
      </c>
      <c r="D154" s="120" t="str">
        <f>VLOOKUP(B154,'Insumos e Serviços'!$A:$F,4,0)</f>
        <v>PINTURA COM TINTA ALQUÍDICA DE ACABAMENTO (ESMALTE SINTÉTICO ACETINADO) APLICADA A ROLO OU PINCEL SOBRE PERFIL METÁLICO EXECUTADO EM FÁBRICA (POR DEMÃO). AF_01/2020</v>
      </c>
      <c r="E154" s="122" t="str">
        <f>VLOOKUP(B154,'Insumos e Serviços'!$A:$F,5,0)</f>
        <v>m²</v>
      </c>
      <c r="F154" s="123">
        <v>0.73</v>
      </c>
      <c r="G154" s="72">
        <f>VLOOKUP(B154,'Insumos e Serviços'!$A:$F,6,0)</f>
        <v>11.2</v>
      </c>
      <c r="H154" s="72">
        <f t="shared" si="4"/>
        <v>8.17</v>
      </c>
    </row>
    <row r="155" spans="1:8" s="112" customFormat="1" ht="11.25">
      <c r="A155" s="120" t="str">
        <f>VLOOKUP(B155,'Insumos e Serviços'!$A:$F,3,0)</f>
        <v>Insumo</v>
      </c>
      <c r="B155" s="121" t="s">
        <v>625</v>
      </c>
      <c r="C155" s="122" t="str">
        <f>VLOOKUP(B155,'Insumos e Serviços'!$A:$F,2,0)</f>
        <v>SINAPI</v>
      </c>
      <c r="D155" s="120" t="str">
        <f>VLOOKUP(B155,'Insumos e Serviços'!$A:$F,4,0)</f>
        <v>ELETRODO REVESTIDO AWS - E6013, DIAMETRO IGUAL A 2,50 MM</v>
      </c>
      <c r="E155" s="122" t="str">
        <f>VLOOKUP(B155,'Insumos e Serviços'!$A:$F,5,0)</f>
        <v>KG</v>
      </c>
      <c r="F155" s="123">
        <v>0.115</v>
      </c>
      <c r="G155" s="72">
        <f>VLOOKUP(B155,'Insumos e Serviços'!$A:$F,6,0)</f>
        <v>34.47</v>
      </c>
      <c r="H155" s="72">
        <f t="shared" si="4"/>
        <v>3.96</v>
      </c>
    </row>
    <row r="156" spans="1:8" s="112" customFormat="1" ht="22.5">
      <c r="A156" s="120" t="str">
        <f>VLOOKUP(B156,'Insumos e Serviços'!$A:$F,3,0)</f>
        <v>Insumo</v>
      </c>
      <c r="B156" s="121" t="s">
        <v>626</v>
      </c>
      <c r="C156" s="122" t="str">
        <f>VLOOKUP(B156,'Insumos e Serviços'!$A:$F,2,0)</f>
        <v>SINAPI</v>
      </c>
      <c r="D156" s="120" t="str">
        <f>VLOOKUP(B156,'Insumos e Serviços'!$A:$F,4,0)</f>
        <v>PERFIL "U" ENRIJECIDO DE ACO GALVANIZADO, DOBRADO, 150 X 60 X 20 MM, E = 3,00 MM OU 200 X 75 X 25 MM, E = 3,75 MM</v>
      </c>
      <c r="E156" s="122" t="str">
        <f>VLOOKUP(B156,'Insumos e Serviços'!$A:$F,5,0)</f>
        <v>KG</v>
      </c>
      <c r="F156" s="123">
        <v>6.25</v>
      </c>
      <c r="G156" s="72">
        <f>VLOOKUP(B156,'Insumos e Serviços'!$A:$F,6,0)</f>
        <v>15.16</v>
      </c>
      <c r="H156" s="72">
        <f t="shared" si="4"/>
        <v>94.75</v>
      </c>
    </row>
    <row r="157" spans="1:8" s="112" customFormat="1" ht="11.25">
      <c r="A157" s="120" t="str">
        <f>VLOOKUP(B157,'Insumos e Serviços'!$A:$F,3,0)</f>
        <v>Insumo</v>
      </c>
      <c r="B157" s="121" t="s">
        <v>627</v>
      </c>
      <c r="C157" s="122" t="str">
        <f>VLOOKUP(B157,'Insumos e Serviços'!$A:$F,2,0)</f>
        <v>SINAPI</v>
      </c>
      <c r="D157" s="120" t="str">
        <f>VLOOKUP(B157,'Insumos e Serviços'!$A:$F,4,0)</f>
        <v>CANTONEIRA ACO ABAS IGUAIS (QUALQUER BITOLA), ESPESSURA ENTRE 1/8" E 1/4"</v>
      </c>
      <c r="E157" s="122" t="str">
        <f>VLOOKUP(B157,'Insumos e Serviços'!$A:$F,5,0)</f>
        <v>KG</v>
      </c>
      <c r="F157" s="123">
        <v>10.25</v>
      </c>
      <c r="G157" s="72">
        <f>VLOOKUP(B157,'Insumos e Serviços'!$A:$F,6,0)</f>
        <v>14.04</v>
      </c>
      <c r="H157" s="72">
        <f t="shared" si="4"/>
        <v>143.91</v>
      </c>
    </row>
    <row r="158" spans="1:8" s="112" customFormat="1" ht="22.5">
      <c r="A158" s="120" t="str">
        <f>VLOOKUP(B158,'Insumos e Serviços'!$A:$F,3,0)</f>
        <v>Insumo</v>
      </c>
      <c r="B158" s="121" t="s">
        <v>628</v>
      </c>
      <c r="C158" s="122" t="str">
        <f>VLOOKUP(B158,'Insumos e Serviços'!$A:$F,2,0)</f>
        <v>SINAPI</v>
      </c>
      <c r="D158" s="120" t="str">
        <f>VLOOKUP(B158,'Insumos e Serviços'!$A:$F,4,0)</f>
        <v>TELA DE ARAME GALVANIZADA QUADRANGULAR / LOSANGULAR, FIO 2,11 MM (14 BWG), MALHA 5 X 5 CM, H = 2 M</v>
      </c>
      <c r="E158" s="122" t="str">
        <f>VLOOKUP(B158,'Insumos e Serviços'!$A:$F,5,0)</f>
        <v>m²</v>
      </c>
      <c r="F158" s="123">
        <v>1.1</v>
      </c>
      <c r="G158" s="72">
        <f>VLOOKUP(B158,'Insumos e Serviços'!$A:$F,6,0)</f>
        <v>28.55</v>
      </c>
      <c r="H158" s="72">
        <f t="shared" si="4"/>
        <v>31.4</v>
      </c>
    </row>
    <row r="159" spans="1:8" s="112" customFormat="1" ht="11.25">
      <c r="A159" s="124"/>
      <c r="B159" s="125"/>
      <c r="C159" s="125"/>
      <c r="D159" s="126"/>
      <c r="E159" s="125"/>
      <c r="F159" s="127"/>
      <c r="G159" s="128"/>
      <c r="H159" s="128"/>
    </row>
    <row r="160" spans="1:8" s="112" customFormat="1" ht="11.25">
      <c r="A160" s="83" t="s">
        <v>145</v>
      </c>
      <c r="B160" s="84"/>
      <c r="C160" s="84"/>
      <c r="D160" s="83" t="s">
        <v>146</v>
      </c>
      <c r="E160" s="84"/>
      <c r="F160" s="132"/>
      <c r="G160" s="83"/>
      <c r="H160" s="87"/>
    </row>
    <row r="161" spans="1:8" s="112" customFormat="1" ht="22.5">
      <c r="A161" s="114" t="s">
        <v>147</v>
      </c>
      <c r="B161" s="115" t="str">
        <f>VLOOKUP(A161,'Orçamento Sintético'!$A:$H,2,0)</f>
        <v> MPDFT1717 </v>
      </c>
      <c r="C161" s="115" t="str">
        <f>VLOOKUP(A161,'Orçamento Sintético'!$A:$H,3,0)</f>
        <v>Próprio</v>
      </c>
      <c r="D161" s="116" t="str">
        <f>VLOOKUP(A161,'Orçamento Sintético'!$A:$H,4,0)</f>
        <v>Copia da SINAPI (94570) - JANELA DE CORRER EM ALUMÍNIO ANODIZADO PRETO, COM VIDROS DE 6MM - FORNECIMENTO E INSTALAÇÃO.</v>
      </c>
      <c r="E161" s="115" t="str">
        <f>VLOOKUP(A161,'Orçamento Sintético'!$A:$H,5,0)</f>
        <v>m²</v>
      </c>
      <c r="F161" s="117">
        <v>1</v>
      </c>
      <c r="G161" s="118">
        <v>432.66</v>
      </c>
      <c r="H161" s="118">
        <f>SUM(H162:H167)</f>
        <v>432.65999999999997</v>
      </c>
    </row>
    <row r="162" spans="1:8" s="112" customFormat="1" ht="11.25">
      <c r="A162" s="120" t="str">
        <f>VLOOKUP(B162,'Insumos e Serviços'!$A:$F,3,0)</f>
        <v>Composição</v>
      </c>
      <c r="B162" s="121" t="s">
        <v>583</v>
      </c>
      <c r="C162" s="122" t="str">
        <f>VLOOKUP(B162,'Insumos e Serviços'!$A:$F,2,0)</f>
        <v>SINAPI</v>
      </c>
      <c r="D162" s="120" t="str">
        <f>VLOOKUP(B162,'Insumos e Serviços'!$A:$F,4,0)</f>
        <v>PEDREIRO COM ENCARGOS COMPLEMENTARES</v>
      </c>
      <c r="E162" s="122" t="str">
        <f>VLOOKUP(B162,'Insumos e Serviços'!$A:$F,5,0)</f>
        <v>H</v>
      </c>
      <c r="F162" s="123">
        <v>0.519</v>
      </c>
      <c r="G162" s="72">
        <f>VLOOKUP(B162,'Insumos e Serviços'!$A:$F,6,0)</f>
        <v>26.2</v>
      </c>
      <c r="H162" s="72">
        <f aca="true" t="shared" si="5" ref="H162:H167">TRUNC(F162*G162,2)</f>
        <v>13.59</v>
      </c>
    </row>
    <row r="163" spans="1:8" s="112" customFormat="1" ht="11.25">
      <c r="A163" s="120" t="str">
        <f>VLOOKUP(B163,'Insumos e Serviços'!$A:$F,3,0)</f>
        <v>Composição</v>
      </c>
      <c r="B163" s="121" t="s">
        <v>581</v>
      </c>
      <c r="C163" s="122" t="str">
        <f>VLOOKUP(B163,'Insumos e Serviços'!$A:$F,2,0)</f>
        <v>SINAPI</v>
      </c>
      <c r="D163" s="120" t="str">
        <f>VLOOKUP(B163,'Insumos e Serviços'!$A:$F,4,0)</f>
        <v>SERVENTE COM ENCARGOS COMPLEMENTARES</v>
      </c>
      <c r="E163" s="122" t="str">
        <f>VLOOKUP(B163,'Insumos e Serviços'!$A:$F,5,0)</f>
        <v>H</v>
      </c>
      <c r="F163" s="123">
        <v>0.259</v>
      </c>
      <c r="G163" s="72">
        <f>VLOOKUP(B163,'Insumos e Serviços'!$A:$F,6,0)</f>
        <v>19.39</v>
      </c>
      <c r="H163" s="72">
        <f t="shared" si="5"/>
        <v>5.02</v>
      </c>
    </row>
    <row r="164" spans="1:8" s="112" customFormat="1" ht="22.5">
      <c r="A164" s="120" t="str">
        <f>VLOOKUP(B164,'Insumos e Serviços'!$A:$F,3,0)</f>
        <v>Insumo</v>
      </c>
      <c r="B164" s="121" t="s">
        <v>629</v>
      </c>
      <c r="C164" s="122" t="str">
        <f>VLOOKUP(B164,'Insumos e Serviços'!$A:$F,2,0)</f>
        <v>SINAPI</v>
      </c>
      <c r="D164" s="120" t="str">
        <f>VLOOKUP(B164,'Insumos e Serviços'!$A:$F,4,0)</f>
        <v>PARAFUSO DE ACO ZINCADO COM ROSCA SOBERBA, CABECA CHATA E FENDA SIMPLES, DIAMETRO 4,2 MM, COMPRIMENTO * 32 * MM</v>
      </c>
      <c r="E164" s="122" t="str">
        <f>VLOOKUP(B164,'Insumos e Serviços'!$A:$F,5,0)</f>
        <v>UN</v>
      </c>
      <c r="F164" s="123">
        <v>9.2</v>
      </c>
      <c r="G164" s="72">
        <f>VLOOKUP(B164,'Insumos e Serviços'!$A:$F,6,0)</f>
        <v>0.17</v>
      </c>
      <c r="H164" s="72">
        <f t="shared" si="5"/>
        <v>1.56</v>
      </c>
    </row>
    <row r="165" spans="1:8" s="112" customFormat="1" ht="11.25">
      <c r="A165" s="120" t="str">
        <f>VLOOKUP(B165,'Insumos e Serviços'!$A:$F,3,0)</f>
        <v>Insumo</v>
      </c>
      <c r="B165" s="121" t="s">
        <v>630</v>
      </c>
      <c r="C165" s="122" t="str">
        <f>VLOOKUP(B165,'Insumos e Serviços'!$A:$F,2,0)</f>
        <v>SINAPI</v>
      </c>
      <c r="D165" s="120" t="str">
        <f>VLOOKUP(B165,'Insumos e Serviços'!$A:$F,4,0)</f>
        <v> SILICONE ACETICO USO GERAL INCOLOR 280 G</v>
      </c>
      <c r="E165" s="122" t="str">
        <f>VLOOKUP(B165,'Insumos e Serviços'!$A:$F,5,0)</f>
        <v>UN</v>
      </c>
      <c r="F165" s="123">
        <v>0.6233</v>
      </c>
      <c r="G165" s="72">
        <f>VLOOKUP(B165,'Insumos e Serviços'!$A:$F,6,0)</f>
        <v>24.65</v>
      </c>
      <c r="H165" s="72">
        <f t="shared" si="5"/>
        <v>15.36</v>
      </c>
    </row>
    <row r="166" spans="1:8" s="112" customFormat="1" ht="11.25">
      <c r="A166" s="120" t="str">
        <f>VLOOKUP(B166,'Insumos e Serviços'!$A:$F,3,0)</f>
        <v>Insumo</v>
      </c>
      <c r="B166" s="121" t="s">
        <v>631</v>
      </c>
      <c r="C166" s="122" t="str">
        <f>VLOOKUP(B166,'Insumos e Serviços'!$A:$F,2,0)</f>
        <v>SINAPI</v>
      </c>
      <c r="D166" s="120" t="str">
        <f>VLOOKUP(B166,'Insumos e Serviços'!$A:$F,4,0)</f>
        <v>VIDRO LISO INCOLOR 6 MM - SEM COLOCACAO</v>
      </c>
      <c r="E166" s="122" t="str">
        <f>VLOOKUP(B166,'Insumos e Serviços'!$A:$F,5,0)</f>
        <v>m²</v>
      </c>
      <c r="F166" s="123">
        <v>1</v>
      </c>
      <c r="G166" s="72">
        <f>VLOOKUP(B166,'Insumos e Serviços'!$A:$F,6,0)</f>
        <v>126.93</v>
      </c>
      <c r="H166" s="72">
        <f t="shared" si="5"/>
        <v>126.93</v>
      </c>
    </row>
    <row r="167" spans="1:8" s="112" customFormat="1" ht="11.25">
      <c r="A167" s="120" t="str">
        <f>VLOOKUP(B167,'Insumos e Serviços'!$A:$F,3,0)</f>
        <v>Insumo</v>
      </c>
      <c r="B167" s="121" t="s">
        <v>632</v>
      </c>
      <c r="C167" s="122" t="str">
        <f>VLOOKUP(B167,'Insumos e Serviços'!$A:$F,2,0)</f>
        <v>Próprio</v>
      </c>
      <c r="D167" s="120" t="str">
        <f>VLOOKUP(B167,'Insumos e Serviços'!$A:$F,4,0)</f>
        <v>JANELA DE CORRER EM ALUMÍNIO ANODIZADO PRETO, SEM VIDRO</v>
      </c>
      <c r="E167" s="122" t="str">
        <f>VLOOKUP(B167,'Insumos e Serviços'!$A:$F,5,0)</f>
        <v>M²</v>
      </c>
      <c r="F167" s="123">
        <v>1</v>
      </c>
      <c r="G167" s="72">
        <f>VLOOKUP(B167,'Insumos e Serviços'!$A:$F,6,0)</f>
        <v>270.2</v>
      </c>
      <c r="H167" s="72">
        <f t="shared" si="5"/>
        <v>270.2</v>
      </c>
    </row>
    <row r="168" spans="1:8" s="112" customFormat="1" ht="11.25">
      <c r="A168" s="124"/>
      <c r="B168" s="125"/>
      <c r="C168" s="125"/>
      <c r="D168" s="126"/>
      <c r="E168" s="125"/>
      <c r="F168" s="127"/>
      <c r="G168" s="128"/>
      <c r="H168" s="128"/>
    </row>
    <row r="169" spans="1:8" s="112" customFormat="1" ht="11.25">
      <c r="A169" s="74" t="s">
        <v>150</v>
      </c>
      <c r="B169" s="75"/>
      <c r="C169" s="75"/>
      <c r="D169" s="74" t="s">
        <v>151</v>
      </c>
      <c r="E169" s="75"/>
      <c r="F169" s="129"/>
      <c r="G169" s="74"/>
      <c r="H169" s="78"/>
    </row>
    <row r="170" spans="1:8" s="112" customFormat="1" ht="11.25">
      <c r="A170" s="83" t="s">
        <v>156</v>
      </c>
      <c r="B170" s="84"/>
      <c r="C170" s="84"/>
      <c r="D170" s="83" t="s">
        <v>157</v>
      </c>
      <c r="E170" s="84"/>
      <c r="F170" s="132"/>
      <c r="G170" s="83"/>
      <c r="H170" s="87"/>
    </row>
    <row r="171" spans="1:8" s="112" customFormat="1" ht="22.5">
      <c r="A171" s="114" t="s">
        <v>158</v>
      </c>
      <c r="B171" s="115" t="str">
        <f>VLOOKUP(A171,'Orçamento Sintético'!$A:$H,2,0)</f>
        <v> MPDFT1672 </v>
      </c>
      <c r="C171" s="115" t="str">
        <f>VLOOKUP(A171,'Orçamento Sintético'!$A:$H,3,0)</f>
        <v>Próprio</v>
      </c>
      <c r="D171" s="116" t="str">
        <f>VLOOKUP(A171,'Orçamento Sintético'!$A:$H,4,0)</f>
        <v>Porta de madeira (PM), DM 0,80 x 2,10 m, acabamento em laminado melamínico texturizado, inclusive dobradiça, fechadura</v>
      </c>
      <c r="E171" s="115" t="str">
        <f>VLOOKUP(A171,'Orçamento Sintético'!$A:$H,5,0)</f>
        <v>un</v>
      </c>
      <c r="F171" s="117"/>
      <c r="G171" s="118"/>
      <c r="H171" s="118">
        <f>SUM(H172:H178)</f>
        <v>1629.3799999999999</v>
      </c>
    </row>
    <row r="172" spans="1:8" s="112" customFormat="1" ht="11.25">
      <c r="A172" s="120" t="str">
        <f>VLOOKUP(B172,'Insumos e Serviços'!$A:$F,3,0)</f>
        <v>Composição</v>
      </c>
      <c r="B172" s="121" t="s">
        <v>581</v>
      </c>
      <c r="C172" s="122" t="str">
        <f>VLOOKUP(B172,'Insumos e Serviços'!$A:$F,2,0)</f>
        <v>SINAPI</v>
      </c>
      <c r="D172" s="120" t="str">
        <f>VLOOKUP(B172,'Insumos e Serviços'!$A:$F,4,0)</f>
        <v>SERVENTE COM ENCARGOS COMPLEMENTARES</v>
      </c>
      <c r="E172" s="122" t="str">
        <f>VLOOKUP(B172,'Insumos e Serviços'!$A:$F,5,0)</f>
        <v>H</v>
      </c>
      <c r="F172" s="123">
        <v>0.501</v>
      </c>
      <c r="G172" s="72">
        <f>VLOOKUP(B172,'Insumos e Serviços'!$A:$F,6,0)</f>
        <v>19.39</v>
      </c>
      <c r="H172" s="72">
        <f aca="true" t="shared" si="6" ref="H172:H178">TRUNC(F172*G172,2)</f>
        <v>9.71</v>
      </c>
    </row>
    <row r="173" spans="1:8" s="112" customFormat="1" ht="11.25">
      <c r="A173" s="120" t="str">
        <f>VLOOKUP(B173,'Insumos e Serviços'!$A:$F,3,0)</f>
        <v>Composição</v>
      </c>
      <c r="B173" s="121" t="s">
        <v>633</v>
      </c>
      <c r="C173" s="122" t="str">
        <f>VLOOKUP(B173,'Insumos e Serviços'!$A:$F,2,0)</f>
        <v>SINAPI</v>
      </c>
      <c r="D173" s="120" t="str">
        <f>VLOOKUP(B173,'Insumos e Serviços'!$A:$F,4,0)</f>
        <v>CARPINTEIRO DE ESQUADRIA COM ENCARGOS COMPLEMENTARES</v>
      </c>
      <c r="E173" s="122" t="str">
        <f>VLOOKUP(B173,'Insumos e Serviços'!$A:$F,5,0)</f>
        <v>H</v>
      </c>
      <c r="F173" s="123">
        <v>2.601</v>
      </c>
      <c r="G173" s="72">
        <f>VLOOKUP(B173,'Insumos e Serviços'!$A:$F,6,0)</f>
        <v>24.86</v>
      </c>
      <c r="H173" s="72">
        <f t="shared" si="6"/>
        <v>64.66</v>
      </c>
    </row>
    <row r="174" spans="1:8" s="112" customFormat="1" ht="33.75">
      <c r="A174" s="120" t="str">
        <f>VLOOKUP(B174,'Insumos e Serviços'!$A:$F,3,0)</f>
        <v>Composição</v>
      </c>
      <c r="B174" s="121" t="s">
        <v>634</v>
      </c>
      <c r="C174" s="122" t="str">
        <f>VLOOKUP(B174,'Insumos e Serviços'!$A:$F,2,0)</f>
        <v>SINAPI</v>
      </c>
      <c r="D174" s="120" t="str">
        <f>VLOOKUP(B174,'Insumos e Serviços'!$A:$F,4,0)</f>
        <v>PORTA DE MADEIRA PARA VERNIZ, SEMI-OCA (LEVE OU MÉDIA), 80X210CM, ESPESSURA DE 3,5CM, INCLUSO DOBRADIÇAS - FORNECIMENTO E INSTALAÇÃO. AF_12/2019</v>
      </c>
      <c r="E174" s="122" t="str">
        <f>VLOOKUP(B174,'Insumos e Serviços'!$A:$F,5,0)</f>
        <v>UN</v>
      </c>
      <c r="F174" s="123">
        <v>1</v>
      </c>
      <c r="G174" s="72">
        <f>VLOOKUP(B174,'Insumos e Serviços'!$A:$F,6,0)</f>
        <v>410.19</v>
      </c>
      <c r="H174" s="72">
        <f t="shared" si="6"/>
        <v>410.19</v>
      </c>
    </row>
    <row r="175" spans="1:8" s="112" customFormat="1" ht="11.25">
      <c r="A175" s="120" t="str">
        <f>VLOOKUP(B175,'Insumos e Serviços'!$A:$F,3,0)</f>
        <v>Composição</v>
      </c>
      <c r="B175" s="121" t="s">
        <v>635</v>
      </c>
      <c r="C175" s="122" t="str">
        <f>VLOOKUP(B175,'Insumos e Serviços'!$A:$F,2,0)</f>
        <v>SINAPI</v>
      </c>
      <c r="D175" s="120" t="str">
        <f>VLOOKUP(B175,'Insumos e Serviços'!$A:$F,4,0)</f>
        <v>MARCENEIRO COM ENCARGOS COMPLEMENTARES</v>
      </c>
      <c r="E175" s="122" t="str">
        <f>VLOOKUP(B175,'Insumos e Serviços'!$A:$F,5,0)</f>
        <v>H</v>
      </c>
      <c r="F175" s="123">
        <v>1.5</v>
      </c>
      <c r="G175" s="72">
        <f>VLOOKUP(B175,'Insumos e Serviços'!$A:$F,6,0)</f>
        <v>24.56</v>
      </c>
      <c r="H175" s="72">
        <f t="shared" si="6"/>
        <v>36.84</v>
      </c>
    </row>
    <row r="176" spans="1:8" s="112" customFormat="1" ht="33.75">
      <c r="A176" s="120" t="str">
        <f>VLOOKUP(B176,'Insumos e Serviços'!$A:$F,3,0)</f>
        <v>Insumo</v>
      </c>
      <c r="B176" s="121" t="s">
        <v>636</v>
      </c>
      <c r="C176" s="122" t="str">
        <f>VLOOKUP(B176,'Insumos e Serviços'!$A:$F,2,0)</f>
        <v>SINAPI</v>
      </c>
      <c r="D176" s="120" t="str">
        <f>VLOOKUP(B176,'Insumos e Serviços'!$A:$F,4,0)</f>
        <v>FECHADURA ROSETA REDONDA PARA PORTA EXTERNA, EM ACO INOX (MAQUINA, TESTA E CONTRA-TESTA) E EM ZAMAC (MACANETA, LINGUETA E TRINCOS) COM ACABAMENTO CROMADO, MAQUINA DE 55 MM, INCLUINDO CHAVE TIPO CILINDRO</v>
      </c>
      <c r="E176" s="122" t="str">
        <f>VLOOKUP(B176,'Insumos e Serviços'!$A:$F,5,0)</f>
        <v>CJ</v>
      </c>
      <c r="F176" s="123">
        <v>1.5</v>
      </c>
      <c r="G176" s="72">
        <f>VLOOKUP(B176,'Insumos e Serviços'!$A:$F,6,0)</f>
        <v>130.01</v>
      </c>
      <c r="H176" s="72">
        <f t="shared" si="6"/>
        <v>195.01</v>
      </c>
    </row>
    <row r="177" spans="1:8" s="112" customFormat="1" ht="22.5">
      <c r="A177" s="120" t="str">
        <f>VLOOKUP(B177,'Insumos e Serviços'!$A:$F,3,0)</f>
        <v>Insumo</v>
      </c>
      <c r="B177" s="121" t="s">
        <v>637</v>
      </c>
      <c r="C177" s="122" t="str">
        <f>VLOOKUP(B177,'Insumos e Serviços'!$A:$F,2,0)</f>
        <v>Próprio</v>
      </c>
      <c r="D177" s="120" t="str">
        <f>VLOOKUP(B177,'Insumos e Serviços'!$A:$F,4,0)</f>
        <v>Laminado melamínico, acabamento texturizado, cor branca, espessura 1,3mm, referência L190, fab. Fórmica</v>
      </c>
      <c r="E177" s="122" t="str">
        <f>VLOOKUP(B177,'Insumos e Serviços'!$A:$F,5,0)</f>
        <v>m²</v>
      </c>
      <c r="F177" s="123">
        <v>6.275</v>
      </c>
      <c r="G177" s="72">
        <f>VLOOKUP(B177,'Insumos e Serviços'!$A:$F,6,0)</f>
        <v>117.76</v>
      </c>
      <c r="H177" s="72">
        <f t="shared" si="6"/>
        <v>738.94</v>
      </c>
    </row>
    <row r="178" spans="1:8" s="112" customFormat="1" ht="11.25">
      <c r="A178" s="120" t="str">
        <f>VLOOKUP(B178,'Insumos e Serviços'!$A:$F,3,0)</f>
        <v>Insumo</v>
      </c>
      <c r="B178" s="121" t="s">
        <v>638</v>
      </c>
      <c r="C178" s="122" t="str">
        <f>VLOOKUP(B178,'Insumos e Serviços'!$A:$F,2,0)</f>
        <v>SINAPI</v>
      </c>
      <c r="D178" s="120" t="str">
        <f>VLOOKUP(B178,'Insumos e Serviços'!$A:$F,4,0)</f>
        <v>COLA A BASE DE RESINA SINTETICA PARA CHAPA DE LAMINADO MELAMINICO</v>
      </c>
      <c r="E178" s="122" t="str">
        <f>VLOOKUP(B178,'Insumos e Serviços'!$A:$F,5,0)</f>
        <v>KG</v>
      </c>
      <c r="F178" s="123">
        <v>3.024</v>
      </c>
      <c r="G178" s="72">
        <f>VLOOKUP(B178,'Insumos e Serviços'!$A:$F,6,0)</f>
        <v>57.55</v>
      </c>
      <c r="H178" s="72">
        <f t="shared" si="6"/>
        <v>174.03</v>
      </c>
    </row>
    <row r="179" spans="1:8" s="112" customFormat="1" ht="11.25">
      <c r="A179" s="124"/>
      <c r="B179" s="125"/>
      <c r="C179" s="125"/>
      <c r="D179" s="126"/>
      <c r="E179" s="125"/>
      <c r="F179" s="127"/>
      <c r="G179" s="128"/>
      <c r="H179" s="128"/>
    </row>
    <row r="180" spans="1:8" s="112" customFormat="1" ht="22.5">
      <c r="A180" s="114" t="s">
        <v>161</v>
      </c>
      <c r="B180" s="115" t="str">
        <f>VLOOKUP(A180,'Orçamento Sintético'!$A:$H,2,0)</f>
        <v> MPDFT1692 </v>
      </c>
      <c r="C180" s="115" t="str">
        <f>VLOOKUP(A180,'Orçamento Sintético'!$A:$H,3,0)</f>
        <v>Próprio</v>
      </c>
      <c r="D180" s="116" t="str">
        <f>VLOOKUP(A180,'Orçamento Sintético'!$A:$H,4,0)</f>
        <v>Porta de madeira (PM), DM 0,90 x 2,10 m, acabamento em laminado melamínico texturizado, inclusive dobradiça, fechadura.</v>
      </c>
      <c r="E180" s="115" t="str">
        <f>VLOOKUP(A180,'Orçamento Sintético'!$A:$H,5,0)</f>
        <v>un</v>
      </c>
      <c r="F180" s="117"/>
      <c r="G180" s="118"/>
      <c r="H180" s="118">
        <f>SUM(H181:H186)</f>
        <v>1614.16</v>
      </c>
    </row>
    <row r="181" spans="1:8" s="112" customFormat="1" ht="11.25">
      <c r="A181" s="120" t="str">
        <f>VLOOKUP(B181,'Insumos e Serviços'!$A:$F,3,0)</f>
        <v>Composição</v>
      </c>
      <c r="B181" s="121" t="s">
        <v>581</v>
      </c>
      <c r="C181" s="122" t="str">
        <f>VLOOKUP(B181,'Insumos e Serviços'!$A:$F,2,0)</f>
        <v>SINAPI</v>
      </c>
      <c r="D181" s="120" t="str">
        <f>VLOOKUP(B181,'Insumos e Serviços'!$A:$F,4,0)</f>
        <v>SERVENTE COM ENCARGOS COMPLEMENTARES</v>
      </c>
      <c r="E181" s="122" t="str">
        <f>VLOOKUP(B181,'Insumos e Serviços'!$A:$F,5,0)</f>
        <v>H</v>
      </c>
      <c r="F181" s="123">
        <v>1.194</v>
      </c>
      <c r="G181" s="72">
        <f>VLOOKUP(B181,'Insumos e Serviços'!$A:$F,6,0)</f>
        <v>19.39</v>
      </c>
      <c r="H181" s="72">
        <f aca="true" t="shared" si="7" ref="H181:H186">TRUNC(F181*G181,2)</f>
        <v>23.15</v>
      </c>
    </row>
    <row r="182" spans="1:8" s="112" customFormat="1" ht="11.25">
      <c r="A182" s="120" t="str">
        <f>VLOOKUP(B182,'Insumos e Serviços'!$A:$F,3,0)</f>
        <v>Composição</v>
      </c>
      <c r="B182" s="121" t="s">
        <v>633</v>
      </c>
      <c r="C182" s="122" t="str">
        <f>VLOOKUP(B182,'Insumos e Serviços'!$A:$F,2,0)</f>
        <v>SINAPI</v>
      </c>
      <c r="D182" s="120" t="str">
        <f>VLOOKUP(B182,'Insumos e Serviços'!$A:$F,4,0)</f>
        <v>CARPINTEIRO DE ESQUADRIA COM ENCARGOS COMPLEMENTARES</v>
      </c>
      <c r="E182" s="122" t="str">
        <f>VLOOKUP(B182,'Insumos e Serviços'!$A:$F,5,0)</f>
        <v>H</v>
      </c>
      <c r="F182" s="123">
        <v>1.002</v>
      </c>
      <c r="G182" s="72">
        <f>VLOOKUP(B182,'Insumos e Serviços'!$A:$F,6,0)</f>
        <v>24.86</v>
      </c>
      <c r="H182" s="72">
        <f t="shared" si="7"/>
        <v>24.9</v>
      </c>
    </row>
    <row r="183" spans="1:8" s="112" customFormat="1" ht="33.75">
      <c r="A183" s="120" t="str">
        <f>VLOOKUP(B183,'Insumos e Serviços'!$A:$F,3,0)</f>
        <v>Composição</v>
      </c>
      <c r="B183" s="121" t="s">
        <v>639</v>
      </c>
      <c r="C183" s="122" t="str">
        <f>VLOOKUP(B183,'Insumos e Serviços'!$A:$F,2,0)</f>
        <v>SINAPI</v>
      </c>
      <c r="D183" s="120" t="str">
        <f>VLOOKUP(B183,'Insumos e Serviços'!$A:$F,4,0)</f>
        <v>PORTA DE MADEIRA PARA VERNIZ, SEMI-OCA (LEVE OU MÉDIA), 90X210CM, ESPESSURA DE 3,5CM, INCLUSO DOBRADIÇAS - FORNECIMENTO E INSTALAÇÃO. AF_12/2019</v>
      </c>
      <c r="E183" s="122" t="str">
        <f>VLOOKUP(B183,'Insumos e Serviços'!$A:$F,5,0)</f>
        <v>UN</v>
      </c>
      <c r="F183" s="123">
        <v>1</v>
      </c>
      <c r="G183" s="72">
        <f>VLOOKUP(B183,'Insumos e Serviços'!$A:$F,6,0)</f>
        <v>458.13</v>
      </c>
      <c r="H183" s="72">
        <f t="shared" si="7"/>
        <v>458.13</v>
      </c>
    </row>
    <row r="184" spans="1:8" s="112" customFormat="1" ht="33.75">
      <c r="A184" s="120" t="str">
        <f>VLOOKUP(B184,'Insumos e Serviços'!$A:$F,3,0)</f>
        <v>Insumo</v>
      </c>
      <c r="B184" s="121" t="s">
        <v>636</v>
      </c>
      <c r="C184" s="122" t="str">
        <f>VLOOKUP(B184,'Insumos e Serviços'!$A:$F,2,0)</f>
        <v>SINAPI</v>
      </c>
      <c r="D184" s="120" t="str">
        <f>VLOOKUP(B184,'Insumos e Serviços'!$A:$F,4,0)</f>
        <v>FECHADURA ROSETA REDONDA PARA PORTA EXTERNA, EM ACO INOX (MAQUINA, TESTA E CONTRA-TESTA) E EM ZAMAC (MACANETA, LINGUETA E TRINCOS) COM ACABAMENTO CROMADO, MAQUINA DE 55 MM, INCLUINDO CHAVE TIPO CILINDRO</v>
      </c>
      <c r="E184" s="122" t="str">
        <f>VLOOKUP(B184,'Insumos e Serviços'!$A:$F,5,0)</f>
        <v>CJ</v>
      </c>
      <c r="F184" s="123">
        <v>1.5</v>
      </c>
      <c r="G184" s="72">
        <f>VLOOKUP(B184,'Insumos e Serviços'!$A:$F,6,0)</f>
        <v>130.01</v>
      </c>
      <c r="H184" s="72">
        <f t="shared" si="7"/>
        <v>195.01</v>
      </c>
    </row>
    <row r="185" spans="1:8" s="112" customFormat="1" ht="22.5">
      <c r="A185" s="120" t="str">
        <f>VLOOKUP(B185,'Insumos e Serviços'!$A:$F,3,0)</f>
        <v>Insumo</v>
      </c>
      <c r="B185" s="121" t="s">
        <v>637</v>
      </c>
      <c r="C185" s="122" t="str">
        <f>VLOOKUP(B185,'Insumos e Serviços'!$A:$F,2,0)</f>
        <v>Próprio</v>
      </c>
      <c r="D185" s="120" t="str">
        <f>VLOOKUP(B185,'Insumos e Serviços'!$A:$F,4,0)</f>
        <v>Laminado melamínico, acabamento texturizado, cor branca, espessura 1,3mm, referência L190, fab. Fórmica</v>
      </c>
      <c r="E185" s="122" t="str">
        <f>VLOOKUP(B185,'Insumos e Serviços'!$A:$F,5,0)</f>
        <v>m²</v>
      </c>
      <c r="F185" s="123">
        <v>6.275</v>
      </c>
      <c r="G185" s="72">
        <f>VLOOKUP(B185,'Insumos e Serviços'!$A:$F,6,0)</f>
        <v>117.76</v>
      </c>
      <c r="H185" s="72">
        <f t="shared" si="7"/>
        <v>738.94</v>
      </c>
    </row>
    <row r="186" spans="1:8" s="112" customFormat="1" ht="11.25">
      <c r="A186" s="120" t="str">
        <f>VLOOKUP(B186,'Insumos e Serviços'!$A:$F,3,0)</f>
        <v>Insumo</v>
      </c>
      <c r="B186" s="121" t="s">
        <v>638</v>
      </c>
      <c r="C186" s="122" t="str">
        <f>VLOOKUP(B186,'Insumos e Serviços'!$A:$F,2,0)</f>
        <v>SINAPI</v>
      </c>
      <c r="D186" s="120" t="str">
        <f>VLOOKUP(B186,'Insumos e Serviços'!$A:$F,4,0)</f>
        <v>COLA A BASE DE RESINA SINTETICA PARA CHAPA DE LAMINADO MELAMINICO</v>
      </c>
      <c r="E186" s="122" t="str">
        <f>VLOOKUP(B186,'Insumos e Serviços'!$A:$F,5,0)</f>
        <v>KG</v>
      </c>
      <c r="F186" s="123">
        <v>3.024</v>
      </c>
      <c r="G186" s="72">
        <f>VLOOKUP(B186,'Insumos e Serviços'!$A:$F,6,0)</f>
        <v>57.55</v>
      </c>
      <c r="H186" s="72">
        <f t="shared" si="7"/>
        <v>174.03</v>
      </c>
    </row>
    <row r="187" spans="1:8" s="112" customFormat="1" ht="11.25">
      <c r="A187" s="124"/>
      <c r="B187" s="125"/>
      <c r="C187" s="125"/>
      <c r="D187" s="126"/>
      <c r="E187" s="125"/>
      <c r="F187" s="127"/>
      <c r="G187" s="128"/>
      <c r="H187" s="128"/>
    </row>
    <row r="188" spans="1:8" s="112" customFormat="1" ht="22.5">
      <c r="A188" s="114" t="s">
        <v>164</v>
      </c>
      <c r="B188" s="115" t="str">
        <f>VLOOKUP(A188,'Orçamento Sintético'!$A:$H,2,0)</f>
        <v> MPDFT1695 </v>
      </c>
      <c r="C188" s="115" t="str">
        <f>VLOOKUP(A188,'Orçamento Sintético'!$A:$H,3,0)</f>
        <v>Próprio</v>
      </c>
      <c r="D188" s="116" t="str">
        <f>VLOOKUP(A188,'Orçamento Sintético'!$A:$H,4,0)</f>
        <v>Porta de madeira (PM1A), DM 0,80 x 2,10 m, acabamento em laminado melamínico texturizado, inclusive dobradiça, fechadura, grelha e mola aérea</v>
      </c>
      <c r="E188" s="115" t="str">
        <f>VLOOKUP(A188,'Orçamento Sintético'!$A:$H,5,0)</f>
        <v>un</v>
      </c>
      <c r="F188" s="117"/>
      <c r="G188" s="118"/>
      <c r="H188" s="118">
        <f>SUM(H189:H197)</f>
        <v>2218.33</v>
      </c>
    </row>
    <row r="189" spans="1:8" s="112" customFormat="1" ht="11.25">
      <c r="A189" s="120" t="str">
        <f>VLOOKUP(B189,'Insumos e Serviços'!$A:$F,3,0)</f>
        <v>Composição</v>
      </c>
      <c r="B189" s="121" t="s">
        <v>581</v>
      </c>
      <c r="C189" s="122" t="str">
        <f>VLOOKUP(B189,'Insumos e Serviços'!$A:$F,2,0)</f>
        <v>SINAPI</v>
      </c>
      <c r="D189" s="120" t="str">
        <f>VLOOKUP(B189,'Insumos e Serviços'!$A:$F,4,0)</f>
        <v>SERVENTE COM ENCARGOS COMPLEMENTARES</v>
      </c>
      <c r="E189" s="122" t="str">
        <f>VLOOKUP(B189,'Insumos e Serviços'!$A:$F,5,0)</f>
        <v>H</v>
      </c>
      <c r="F189" s="123">
        <v>2.268</v>
      </c>
      <c r="G189" s="72">
        <f>VLOOKUP(B189,'Insumos e Serviços'!$A:$F,6,0)</f>
        <v>19.39</v>
      </c>
      <c r="H189" s="72">
        <f aca="true" t="shared" si="8" ref="H189:H197">TRUNC(F189*G189,2)</f>
        <v>43.97</v>
      </c>
    </row>
    <row r="190" spans="1:8" s="112" customFormat="1" ht="11.25">
      <c r="A190" s="120" t="str">
        <f>VLOOKUP(B190,'Insumos e Serviços'!$A:$F,3,0)</f>
        <v>Composição</v>
      </c>
      <c r="B190" s="121" t="s">
        <v>633</v>
      </c>
      <c r="C190" s="122" t="str">
        <f>VLOOKUP(B190,'Insumos e Serviços'!$A:$F,2,0)</f>
        <v>SINAPI</v>
      </c>
      <c r="D190" s="120" t="str">
        <f>VLOOKUP(B190,'Insumos e Serviços'!$A:$F,4,0)</f>
        <v>CARPINTEIRO DE ESQUADRIA COM ENCARGOS COMPLEMENTARES</v>
      </c>
      <c r="E190" s="122" t="str">
        <f>VLOOKUP(B190,'Insumos e Serviços'!$A:$F,5,0)</f>
        <v>H</v>
      </c>
      <c r="F190" s="123">
        <v>2.601</v>
      </c>
      <c r="G190" s="72">
        <f>VLOOKUP(B190,'Insumos e Serviços'!$A:$F,6,0)</f>
        <v>24.86</v>
      </c>
      <c r="H190" s="72">
        <f t="shared" si="8"/>
        <v>64.66</v>
      </c>
    </row>
    <row r="191" spans="1:8" s="112" customFormat="1" ht="33.75">
      <c r="A191" s="120" t="str">
        <f>VLOOKUP(B191,'Insumos e Serviços'!$A:$F,3,0)</f>
        <v>Composição</v>
      </c>
      <c r="B191" s="121" t="s">
        <v>634</v>
      </c>
      <c r="C191" s="122" t="str">
        <f>VLOOKUP(B191,'Insumos e Serviços'!$A:$F,2,0)</f>
        <v>SINAPI</v>
      </c>
      <c r="D191" s="120" t="str">
        <f>VLOOKUP(B191,'Insumos e Serviços'!$A:$F,4,0)</f>
        <v>PORTA DE MADEIRA PARA VERNIZ, SEMI-OCA (LEVE OU MÉDIA), 80X210CM, ESPESSURA DE 3,5CM, INCLUSO DOBRADIÇAS - FORNECIMENTO E INSTALAÇÃO. AF_12/2019</v>
      </c>
      <c r="E191" s="122" t="str">
        <f>VLOOKUP(B191,'Insumos e Serviços'!$A:$F,5,0)</f>
        <v>UN</v>
      </c>
      <c r="F191" s="123">
        <v>1</v>
      </c>
      <c r="G191" s="72">
        <f>VLOOKUP(B191,'Insumos e Serviços'!$A:$F,6,0)</f>
        <v>410.19</v>
      </c>
      <c r="H191" s="72">
        <f t="shared" si="8"/>
        <v>410.19</v>
      </c>
    </row>
    <row r="192" spans="1:8" s="112" customFormat="1" ht="11.25">
      <c r="A192" s="120" t="str">
        <f>VLOOKUP(B192,'Insumos e Serviços'!$A:$F,3,0)</f>
        <v>Composição</v>
      </c>
      <c r="B192" s="121" t="s">
        <v>635</v>
      </c>
      <c r="C192" s="122" t="str">
        <f>VLOOKUP(B192,'Insumos e Serviços'!$A:$F,2,0)</f>
        <v>SINAPI</v>
      </c>
      <c r="D192" s="120" t="str">
        <f>VLOOKUP(B192,'Insumos e Serviços'!$A:$F,4,0)</f>
        <v>MARCENEIRO COM ENCARGOS COMPLEMENTARES</v>
      </c>
      <c r="E192" s="122" t="str">
        <f>VLOOKUP(B192,'Insumos e Serviços'!$A:$F,5,0)</f>
        <v>H</v>
      </c>
      <c r="F192" s="123">
        <v>4.6654</v>
      </c>
      <c r="G192" s="72">
        <f>VLOOKUP(B192,'Insumos e Serviços'!$A:$F,6,0)</f>
        <v>24.56</v>
      </c>
      <c r="H192" s="72">
        <f t="shared" si="8"/>
        <v>114.58</v>
      </c>
    </row>
    <row r="193" spans="1:8" s="112" customFormat="1" ht="33.75">
      <c r="A193" s="120" t="str">
        <f>VLOOKUP(B193,'Insumos e Serviços'!$A:$F,3,0)</f>
        <v>Insumo</v>
      </c>
      <c r="B193" s="121" t="s">
        <v>636</v>
      </c>
      <c r="C193" s="122" t="str">
        <f>VLOOKUP(B193,'Insumos e Serviços'!$A:$F,2,0)</f>
        <v>SINAPI</v>
      </c>
      <c r="D193" s="120" t="str">
        <f>VLOOKUP(B193,'Insumos e Serviços'!$A:$F,4,0)</f>
        <v>FECHADURA ROSETA REDONDA PARA PORTA EXTERNA, EM ACO INOX (MAQUINA, TESTA E CONTRA-TESTA) E EM ZAMAC (MACANETA, LINGUETA E TRINCOS) COM ACABAMENTO CROMADO, MAQUINA DE 55 MM, INCLUINDO CHAVE TIPO CILINDRO</v>
      </c>
      <c r="E193" s="122" t="str">
        <f>VLOOKUP(B193,'Insumos e Serviços'!$A:$F,5,0)</f>
        <v>CJ</v>
      </c>
      <c r="F193" s="123">
        <v>1.5</v>
      </c>
      <c r="G193" s="72">
        <f>VLOOKUP(B193,'Insumos e Serviços'!$A:$F,6,0)</f>
        <v>130.01</v>
      </c>
      <c r="H193" s="72">
        <f t="shared" si="8"/>
        <v>195.01</v>
      </c>
    </row>
    <row r="194" spans="1:8" s="112" customFormat="1" ht="22.5">
      <c r="A194" s="120" t="str">
        <f>VLOOKUP(B194,'Insumos e Serviços'!$A:$F,3,0)</f>
        <v>Insumo</v>
      </c>
      <c r="B194" s="121" t="s">
        <v>637</v>
      </c>
      <c r="C194" s="122" t="str">
        <f>VLOOKUP(B194,'Insumos e Serviços'!$A:$F,2,0)</f>
        <v>Próprio</v>
      </c>
      <c r="D194" s="120" t="str">
        <f>VLOOKUP(B194,'Insumos e Serviços'!$A:$F,4,0)</f>
        <v>Laminado melamínico, acabamento texturizado, cor branca, espessura 1,3mm, referência L190, fab. Fórmica</v>
      </c>
      <c r="E194" s="122" t="str">
        <f>VLOOKUP(B194,'Insumos e Serviços'!$A:$F,5,0)</f>
        <v>m²</v>
      </c>
      <c r="F194" s="123">
        <v>6.275</v>
      </c>
      <c r="G194" s="72">
        <f>VLOOKUP(B194,'Insumos e Serviços'!$A:$F,6,0)</f>
        <v>117.76</v>
      </c>
      <c r="H194" s="72">
        <f t="shared" si="8"/>
        <v>738.94</v>
      </c>
    </row>
    <row r="195" spans="1:8" s="112" customFormat="1" ht="11.25">
      <c r="A195" s="120" t="str">
        <f>VLOOKUP(B195,'Insumos e Serviços'!$A:$F,3,0)</f>
        <v>Insumo</v>
      </c>
      <c r="B195" s="121" t="s">
        <v>638</v>
      </c>
      <c r="C195" s="122" t="str">
        <f>VLOOKUP(B195,'Insumos e Serviços'!$A:$F,2,0)</f>
        <v>SINAPI</v>
      </c>
      <c r="D195" s="120" t="str">
        <f>VLOOKUP(B195,'Insumos e Serviços'!$A:$F,4,0)</f>
        <v>COLA A BASE DE RESINA SINTETICA PARA CHAPA DE LAMINADO MELAMINICO</v>
      </c>
      <c r="E195" s="122" t="str">
        <f>VLOOKUP(B195,'Insumos e Serviços'!$A:$F,5,0)</f>
        <v>KG</v>
      </c>
      <c r="F195" s="123">
        <v>3.024</v>
      </c>
      <c r="G195" s="72">
        <f>VLOOKUP(B195,'Insumos e Serviços'!$A:$F,6,0)</f>
        <v>57.55</v>
      </c>
      <c r="H195" s="72">
        <f t="shared" si="8"/>
        <v>174.03</v>
      </c>
    </row>
    <row r="196" spans="1:8" s="112" customFormat="1" ht="22.5">
      <c r="A196" s="120" t="str">
        <f>VLOOKUP(B196,'Insumos e Serviços'!$A:$F,3,0)</f>
        <v>Insumo</v>
      </c>
      <c r="B196" s="121" t="s">
        <v>640</v>
      </c>
      <c r="C196" s="122" t="str">
        <f>VLOOKUP(B196,'Insumos e Serviços'!$A:$F,2,0)</f>
        <v>SINAPI</v>
      </c>
      <c r="D196" s="120" t="str">
        <f>VLOOKUP(B196,'Insumos e Serviços'!$A:$F,4,0)</f>
        <v>MOLA HIDRAULICA AEREA, PARA PORTAS DE ATE 950 MM E PESO DE ATE 65 KG, COM CORPO EM ALUMINIO E BRACO EM ACO, SEM BRACO DE PARADA</v>
      </c>
      <c r="E196" s="122" t="str">
        <f>VLOOKUP(B196,'Insumos e Serviços'!$A:$F,5,0)</f>
        <v>UN</v>
      </c>
      <c r="F196" s="123">
        <v>1</v>
      </c>
      <c r="G196" s="72">
        <f>VLOOKUP(B196,'Insumos e Serviços'!$A:$F,6,0)</f>
        <v>168.92</v>
      </c>
      <c r="H196" s="72">
        <f t="shared" si="8"/>
        <v>168.92</v>
      </c>
    </row>
    <row r="197" spans="1:8" s="112" customFormat="1" ht="22.5">
      <c r="A197" s="120" t="str">
        <f>VLOOKUP(B197,'Insumos e Serviços'!$A:$F,3,0)</f>
        <v>Insumo</v>
      </c>
      <c r="B197" s="121" t="s">
        <v>641</v>
      </c>
      <c r="C197" s="122" t="str">
        <f>VLOOKUP(B197,'Insumos e Serviços'!$A:$F,2,0)</f>
        <v>Próprio</v>
      </c>
      <c r="D197" s="120" t="str">
        <f>VLOOKUP(B197,'Insumos e Serviços'!$A:$F,4,0)</f>
        <v>Grelha em alumínio, dimensões de 425 x 325mm, acabamento natural, ref. AGS-T com contra moldura, fab. Trox Brasil</v>
      </c>
      <c r="E197" s="122" t="str">
        <f>VLOOKUP(B197,'Insumos e Serviços'!$A:$F,5,0)</f>
        <v>un</v>
      </c>
      <c r="F197" s="123">
        <v>1</v>
      </c>
      <c r="G197" s="72">
        <f>VLOOKUP(B197,'Insumos e Serviços'!$A:$F,6,0)</f>
        <v>308.03</v>
      </c>
      <c r="H197" s="72">
        <f t="shared" si="8"/>
        <v>308.03</v>
      </c>
    </row>
    <row r="198" spans="1:8" s="112" customFormat="1" ht="11.25">
      <c r="A198" s="124"/>
      <c r="B198" s="125"/>
      <c r="C198" s="125"/>
      <c r="D198" s="126"/>
      <c r="E198" s="125"/>
      <c r="F198" s="127"/>
      <c r="G198" s="128"/>
      <c r="H198" s="128"/>
    </row>
    <row r="199" spans="1:8" s="112" customFormat="1" ht="22.5">
      <c r="A199" s="114" t="s">
        <v>167</v>
      </c>
      <c r="B199" s="115" t="str">
        <f>VLOOKUP(A199,'Orçamento Sintético'!$A:$H,2,0)</f>
        <v> MPDFT0048 </v>
      </c>
      <c r="C199" s="115" t="str">
        <f>VLOOKUP(A199,'Orçamento Sintético'!$A:$H,3,0)</f>
        <v>Próprio</v>
      </c>
      <c r="D199" s="116" t="str">
        <f>VLOOKUP(A199,'Orçamento Sintético'!$A:$H,4,0)</f>
        <v>Porta de madeira (PM1), DM 1,60 x 2,10 m, acabamento em laminado melamínico texturizado, inclusive dobradiça e fechadura</v>
      </c>
      <c r="E199" s="115" t="str">
        <f>VLOOKUP(A199,'Orçamento Sintético'!$A:$H,5,0)</f>
        <v>un</v>
      </c>
      <c r="F199" s="117"/>
      <c r="G199" s="118"/>
      <c r="H199" s="118">
        <f>SUM(H200:H206)</f>
        <v>3017.14</v>
      </c>
    </row>
    <row r="200" spans="1:8" s="112" customFormat="1" ht="11.25">
      <c r="A200" s="120" t="str">
        <f>VLOOKUP(B200,'Insumos e Serviços'!$A:$F,3,0)</f>
        <v>Composição</v>
      </c>
      <c r="B200" s="121" t="s">
        <v>581</v>
      </c>
      <c r="C200" s="122" t="str">
        <f>VLOOKUP(B200,'Insumos e Serviços'!$A:$F,2,0)</f>
        <v>SINAPI</v>
      </c>
      <c r="D200" s="120" t="str">
        <f>VLOOKUP(B200,'Insumos e Serviços'!$A:$F,4,0)</f>
        <v>SERVENTE COM ENCARGOS COMPLEMENTARES</v>
      </c>
      <c r="E200" s="122" t="str">
        <f>VLOOKUP(B200,'Insumos e Serviços'!$A:$F,5,0)</f>
        <v>H</v>
      </c>
      <c r="F200" s="123">
        <v>0.501</v>
      </c>
      <c r="G200" s="72">
        <f>VLOOKUP(B200,'Insumos e Serviços'!$A:$F,6,0)</f>
        <v>19.39</v>
      </c>
      <c r="H200" s="72">
        <f aca="true" t="shared" si="9" ref="H200:H206">TRUNC(F200*G200,2)</f>
        <v>9.71</v>
      </c>
    </row>
    <row r="201" spans="1:8" s="112" customFormat="1" ht="11.25">
      <c r="A201" s="120" t="str">
        <f>VLOOKUP(B201,'Insumos e Serviços'!$A:$F,3,0)</f>
        <v>Composição</v>
      </c>
      <c r="B201" s="121" t="s">
        <v>633</v>
      </c>
      <c r="C201" s="122" t="str">
        <f>VLOOKUP(B201,'Insumos e Serviços'!$A:$F,2,0)</f>
        <v>SINAPI</v>
      </c>
      <c r="D201" s="120" t="str">
        <f>VLOOKUP(B201,'Insumos e Serviços'!$A:$F,4,0)</f>
        <v>CARPINTEIRO DE ESQUADRIA COM ENCARGOS COMPLEMENTARES</v>
      </c>
      <c r="E201" s="122" t="str">
        <f>VLOOKUP(B201,'Insumos e Serviços'!$A:$F,5,0)</f>
        <v>H</v>
      </c>
      <c r="F201" s="123">
        <v>1.002</v>
      </c>
      <c r="G201" s="72">
        <f>VLOOKUP(B201,'Insumos e Serviços'!$A:$F,6,0)</f>
        <v>24.86</v>
      </c>
      <c r="H201" s="72">
        <f t="shared" si="9"/>
        <v>24.9</v>
      </c>
    </row>
    <row r="202" spans="1:8" s="112" customFormat="1" ht="33.75">
      <c r="A202" s="120" t="str">
        <f>VLOOKUP(B202,'Insumos e Serviços'!$A:$F,3,0)</f>
        <v>Composição</v>
      </c>
      <c r="B202" s="121" t="s">
        <v>634</v>
      </c>
      <c r="C202" s="122" t="str">
        <f>VLOOKUP(B202,'Insumos e Serviços'!$A:$F,2,0)</f>
        <v>SINAPI</v>
      </c>
      <c r="D202" s="120" t="str">
        <f>VLOOKUP(B202,'Insumos e Serviços'!$A:$F,4,0)</f>
        <v>PORTA DE MADEIRA PARA VERNIZ, SEMI-OCA (LEVE OU MÉDIA), 80X210CM, ESPESSURA DE 3,5CM, INCLUSO DOBRADIÇAS - FORNECIMENTO E INSTALAÇÃO. AF_12/2019</v>
      </c>
      <c r="E202" s="122" t="str">
        <f>VLOOKUP(B202,'Insumos e Serviços'!$A:$F,5,0)</f>
        <v>UN</v>
      </c>
      <c r="F202" s="123">
        <v>2</v>
      </c>
      <c r="G202" s="72">
        <f>VLOOKUP(B202,'Insumos e Serviços'!$A:$F,6,0)</f>
        <v>410.19</v>
      </c>
      <c r="H202" s="72">
        <f t="shared" si="9"/>
        <v>820.38</v>
      </c>
    </row>
    <row r="203" spans="1:8" s="112" customFormat="1" ht="11.25">
      <c r="A203" s="120" t="str">
        <f>VLOOKUP(B203,'Insumos e Serviços'!$A:$F,3,0)</f>
        <v>Composição</v>
      </c>
      <c r="B203" s="121" t="s">
        <v>635</v>
      </c>
      <c r="C203" s="122" t="str">
        <f>VLOOKUP(B203,'Insumos e Serviços'!$A:$F,2,0)</f>
        <v>SINAPI</v>
      </c>
      <c r="D203" s="120" t="str">
        <f>VLOOKUP(B203,'Insumos e Serviços'!$A:$F,4,0)</f>
        <v>MARCENEIRO COM ENCARGOS COMPLEMENTARES</v>
      </c>
      <c r="E203" s="122" t="str">
        <f>VLOOKUP(B203,'Insumos e Serviços'!$A:$F,5,0)</f>
        <v>H</v>
      </c>
      <c r="F203" s="123">
        <v>5.7494</v>
      </c>
      <c r="G203" s="72">
        <f>VLOOKUP(B203,'Insumos e Serviços'!$A:$F,6,0)</f>
        <v>24.56</v>
      </c>
      <c r="H203" s="72">
        <f t="shared" si="9"/>
        <v>141.2</v>
      </c>
    </row>
    <row r="204" spans="1:8" s="112" customFormat="1" ht="33.75">
      <c r="A204" s="120" t="str">
        <f>VLOOKUP(B204,'Insumos e Serviços'!$A:$F,3,0)</f>
        <v>Insumo</v>
      </c>
      <c r="B204" s="121" t="s">
        <v>636</v>
      </c>
      <c r="C204" s="122" t="str">
        <f>VLOOKUP(B204,'Insumos e Serviços'!$A:$F,2,0)</f>
        <v>SINAPI</v>
      </c>
      <c r="D204" s="120" t="str">
        <f>VLOOKUP(B204,'Insumos e Serviços'!$A:$F,4,0)</f>
        <v>FECHADURA ROSETA REDONDA PARA PORTA EXTERNA, EM ACO INOX (MAQUINA, TESTA E CONTRA-TESTA) E EM ZAMAC (MACANETA, LINGUETA E TRINCOS) COM ACABAMENTO CROMADO, MAQUINA DE 55 MM, INCLUINDO CHAVE TIPO CILINDRO</v>
      </c>
      <c r="E204" s="122" t="str">
        <f>VLOOKUP(B204,'Insumos e Serviços'!$A:$F,5,0)</f>
        <v>CJ</v>
      </c>
      <c r="F204" s="123">
        <v>1.5</v>
      </c>
      <c r="G204" s="72">
        <f>VLOOKUP(B204,'Insumos e Serviços'!$A:$F,6,0)</f>
        <v>130.01</v>
      </c>
      <c r="H204" s="72">
        <f t="shared" si="9"/>
        <v>195.01</v>
      </c>
    </row>
    <row r="205" spans="1:8" s="112" customFormat="1" ht="22.5">
      <c r="A205" s="120" t="str">
        <f>VLOOKUP(B205,'Insumos e Serviços'!$A:$F,3,0)</f>
        <v>Insumo</v>
      </c>
      <c r="B205" s="121" t="s">
        <v>637</v>
      </c>
      <c r="C205" s="122" t="str">
        <f>VLOOKUP(B205,'Insumos e Serviços'!$A:$F,2,0)</f>
        <v>Próprio</v>
      </c>
      <c r="D205" s="120" t="str">
        <f>VLOOKUP(B205,'Insumos e Serviços'!$A:$F,4,0)</f>
        <v>Laminado melamínico, acabamento texturizado, cor branca, espessura 1,3mm, referência L190, fab. Fórmica</v>
      </c>
      <c r="E205" s="122" t="str">
        <f>VLOOKUP(B205,'Insumos e Serviços'!$A:$F,5,0)</f>
        <v>m²</v>
      </c>
      <c r="F205" s="123">
        <v>12.55</v>
      </c>
      <c r="G205" s="72">
        <f>VLOOKUP(B205,'Insumos e Serviços'!$A:$F,6,0)</f>
        <v>117.76</v>
      </c>
      <c r="H205" s="72">
        <f t="shared" si="9"/>
        <v>1477.88</v>
      </c>
    </row>
    <row r="206" spans="1:8" s="112" customFormat="1" ht="11.25">
      <c r="A206" s="120" t="str">
        <f>VLOOKUP(B206,'Insumos e Serviços'!$A:$F,3,0)</f>
        <v>Insumo</v>
      </c>
      <c r="B206" s="121" t="s">
        <v>638</v>
      </c>
      <c r="C206" s="122" t="str">
        <f>VLOOKUP(B206,'Insumos e Serviços'!$A:$F,2,0)</f>
        <v>SINAPI</v>
      </c>
      <c r="D206" s="120" t="str">
        <f>VLOOKUP(B206,'Insumos e Serviços'!$A:$F,4,0)</f>
        <v>COLA A BASE DE RESINA SINTETICA PARA CHAPA DE LAMINADO MELAMINICO</v>
      </c>
      <c r="E206" s="122" t="str">
        <f>VLOOKUP(B206,'Insumos e Serviços'!$A:$F,5,0)</f>
        <v>KG</v>
      </c>
      <c r="F206" s="123">
        <v>6.048</v>
      </c>
      <c r="G206" s="72">
        <f>VLOOKUP(B206,'Insumos e Serviços'!$A:$F,6,0)</f>
        <v>57.55</v>
      </c>
      <c r="H206" s="72">
        <f t="shared" si="9"/>
        <v>348.06</v>
      </c>
    </row>
    <row r="207" spans="1:8" s="112" customFormat="1" ht="11.25">
      <c r="A207" s="124"/>
      <c r="B207" s="125"/>
      <c r="C207" s="125"/>
      <c r="D207" s="126"/>
      <c r="E207" s="125"/>
      <c r="F207" s="127"/>
      <c r="G207" s="128"/>
      <c r="H207" s="128"/>
    </row>
    <row r="208" spans="1:8" s="112" customFormat="1" ht="11.25">
      <c r="A208" s="74" t="s">
        <v>170</v>
      </c>
      <c r="B208" s="75"/>
      <c r="C208" s="75"/>
      <c r="D208" s="74" t="s">
        <v>171</v>
      </c>
      <c r="E208" s="75"/>
      <c r="F208" s="129"/>
      <c r="G208" s="74"/>
      <c r="H208" s="78"/>
    </row>
    <row r="209" spans="1:8" s="112" customFormat="1" ht="11.25">
      <c r="A209" s="83" t="s">
        <v>172</v>
      </c>
      <c r="B209" s="84"/>
      <c r="C209" s="84"/>
      <c r="D209" s="83" t="s">
        <v>173</v>
      </c>
      <c r="E209" s="84"/>
      <c r="F209" s="132"/>
      <c r="G209" s="83"/>
      <c r="H209" s="87"/>
    </row>
    <row r="210" spans="1:8" s="112" customFormat="1" ht="33.75">
      <c r="A210" s="114" t="s">
        <v>174</v>
      </c>
      <c r="B210" s="115" t="str">
        <f>VLOOKUP(A210,'Orçamento Sintético'!$A:$H,2,0)</f>
        <v> MPDFT1678 </v>
      </c>
      <c r="C210" s="115" t="str">
        <f>VLOOKUP(A210,'Orçamento Sintético'!$A:$H,3,0)</f>
        <v>Próprio</v>
      </c>
      <c r="D210" s="116" t="str">
        <f>VLOOKUP(A210,'Orçamento Sintético'!$A:$H,4,0)</f>
        <v>Portal / batente em chapa de aço carbono, l=9cm, desenvolvimento =26cm, SAE 1006/1010, nº 16, dobrada, para parede de gesso acartonado,conforme projeto, incluso tratamento com anticorrosivo e  pintura esmalte, Largura até 90cm</v>
      </c>
      <c r="E210" s="115" t="str">
        <f>VLOOKUP(A210,'Orçamento Sintético'!$A:$H,5,0)</f>
        <v>un</v>
      </c>
      <c r="F210" s="117"/>
      <c r="G210" s="118"/>
      <c r="H210" s="118">
        <f>SUM(H211:H218)</f>
        <v>323.73</v>
      </c>
    </row>
    <row r="211" spans="1:8" s="112" customFormat="1" ht="33.75">
      <c r="A211" s="120" t="str">
        <f>VLOOKUP(B211,'Insumos e Serviços'!$A:$F,3,0)</f>
        <v>Composição</v>
      </c>
      <c r="B211" s="121" t="s">
        <v>642</v>
      </c>
      <c r="C211" s="122" t="str">
        <f>VLOOKUP(B211,'Insumos e Serviços'!$A:$F,2,0)</f>
        <v>SINAPI</v>
      </c>
      <c r="D211" s="120" t="str">
        <f>VLOOKUP(B211,'Insumos e Serviços'!$A:$F,4,0)</f>
        <v>PINTURA COM TINTA ALQUÍDICA DE ACABAMENTO (ESMALTE SINTÉTICO ACETINADO) PULVERIZADA SOBRE SUPERFÍCIES METÁLICAS (EXCETO PERFIL) EXECUTADO EM OBRA (02 DEMÃOS). AF_01/2020_P</v>
      </c>
      <c r="E211" s="122" t="str">
        <f>VLOOKUP(B211,'Insumos e Serviços'!$A:$F,5,0)</f>
        <v>m²</v>
      </c>
      <c r="F211" s="123">
        <v>1.326</v>
      </c>
      <c r="G211" s="72">
        <f>VLOOKUP(B211,'Insumos e Serviços'!$A:$F,6,0)</f>
        <v>48</v>
      </c>
      <c r="H211" s="72">
        <f aca="true" t="shared" si="10" ref="H211:H218">TRUNC(F211*G211,2)</f>
        <v>63.64</v>
      </c>
    </row>
    <row r="212" spans="1:8" s="112" customFormat="1" ht="33.75">
      <c r="A212" s="120" t="str">
        <f>VLOOKUP(B212,'Insumos e Serviços'!$A:$F,3,0)</f>
        <v>Composição</v>
      </c>
      <c r="B212" s="121" t="s">
        <v>643</v>
      </c>
      <c r="C212" s="122" t="str">
        <f>VLOOKUP(B212,'Insumos e Serviços'!$A:$F,2,0)</f>
        <v>SINAPI</v>
      </c>
      <c r="D212" s="120" t="str">
        <f>VLOOKUP(B212,'Insumos e Serviços'!$A:$F,4,0)</f>
        <v>PINTURA COM TINTA ALQUÍDICA DE FUNDO (TIPO ZARCÃO) PULVERIZADA SOBRE SUPERFÍCIES METÁLICAS (EXCETO PERFIL) EXECUTADO EM OBRA (POR DEMÃO). AF_01/2020_P</v>
      </c>
      <c r="E212" s="122" t="str">
        <f>VLOOKUP(B212,'Insumos e Serviços'!$A:$F,5,0)</f>
        <v>m²</v>
      </c>
      <c r="F212" s="123">
        <v>1.326</v>
      </c>
      <c r="G212" s="72">
        <f>VLOOKUP(B212,'Insumos e Serviços'!$A:$F,6,0)</f>
        <v>24.38</v>
      </c>
      <c r="H212" s="72">
        <f t="shared" si="10"/>
        <v>32.32</v>
      </c>
    </row>
    <row r="213" spans="1:8" s="112" customFormat="1" ht="11.25">
      <c r="A213" s="120" t="str">
        <f>VLOOKUP(B213,'Insumos e Serviços'!$A:$F,3,0)</f>
        <v>Composição</v>
      </c>
      <c r="B213" s="121" t="s">
        <v>633</v>
      </c>
      <c r="C213" s="122" t="str">
        <f>VLOOKUP(B213,'Insumos e Serviços'!$A:$F,2,0)</f>
        <v>SINAPI</v>
      </c>
      <c r="D213" s="120" t="str">
        <f>VLOOKUP(B213,'Insumos e Serviços'!$A:$F,4,0)</f>
        <v>CARPINTEIRO DE ESQUADRIA COM ENCARGOS COMPLEMENTARES</v>
      </c>
      <c r="E213" s="122" t="str">
        <f>VLOOKUP(B213,'Insumos e Serviços'!$A:$F,5,0)</f>
        <v>H</v>
      </c>
      <c r="F213" s="123">
        <v>0.552</v>
      </c>
      <c r="G213" s="72">
        <f>VLOOKUP(B213,'Insumos e Serviços'!$A:$F,6,0)</f>
        <v>24.86</v>
      </c>
      <c r="H213" s="72">
        <f t="shared" si="10"/>
        <v>13.72</v>
      </c>
    </row>
    <row r="214" spans="1:8" s="112" customFormat="1" ht="11.25">
      <c r="A214" s="120" t="str">
        <f>VLOOKUP(B214,'Insumos e Serviços'!$A:$F,3,0)</f>
        <v>Composição</v>
      </c>
      <c r="B214" s="121" t="s">
        <v>581</v>
      </c>
      <c r="C214" s="122" t="str">
        <f>VLOOKUP(B214,'Insumos e Serviços'!$A:$F,2,0)</f>
        <v>SINAPI</v>
      </c>
      <c r="D214" s="120" t="str">
        <f>VLOOKUP(B214,'Insumos e Serviços'!$A:$F,4,0)</f>
        <v>SERVENTE COM ENCARGOS COMPLEMENTARES</v>
      </c>
      <c r="E214" s="122" t="str">
        <f>VLOOKUP(B214,'Insumos e Serviços'!$A:$F,5,0)</f>
        <v>H</v>
      </c>
      <c r="F214" s="123">
        <v>0.957</v>
      </c>
      <c r="G214" s="72">
        <f>VLOOKUP(B214,'Insumos e Serviços'!$A:$F,6,0)</f>
        <v>19.39</v>
      </c>
      <c r="H214" s="72">
        <f t="shared" si="10"/>
        <v>18.55</v>
      </c>
    </row>
    <row r="215" spans="1:8" s="112" customFormat="1" ht="11.25">
      <c r="A215" s="120" t="str">
        <f>VLOOKUP(B215,'Insumos e Serviços'!$A:$F,3,0)</f>
        <v>Composição</v>
      </c>
      <c r="B215" s="121" t="s">
        <v>601</v>
      </c>
      <c r="C215" s="122" t="str">
        <f>VLOOKUP(B215,'Insumos e Serviços'!$A:$F,2,0)</f>
        <v>SINAPI</v>
      </c>
      <c r="D215" s="120" t="str">
        <f>VLOOKUP(B215,'Insumos e Serviços'!$A:$F,4,0)</f>
        <v>AUXILIAR DE SERRALHEIRO COM ENCARGOS COMPLEMENTARES</v>
      </c>
      <c r="E215" s="122" t="str">
        <f>VLOOKUP(B215,'Insumos e Serviços'!$A:$F,5,0)</f>
        <v>H</v>
      </c>
      <c r="F215" s="123">
        <v>1.32</v>
      </c>
      <c r="G215" s="72">
        <f>VLOOKUP(B215,'Insumos e Serviços'!$A:$F,6,0)</f>
        <v>20.62</v>
      </c>
      <c r="H215" s="72">
        <f t="shared" si="10"/>
        <v>27.21</v>
      </c>
    </row>
    <row r="216" spans="1:8" s="112" customFormat="1" ht="11.25">
      <c r="A216" s="120" t="str">
        <f>VLOOKUP(B216,'Insumos e Serviços'!$A:$F,3,0)</f>
        <v>Composição</v>
      </c>
      <c r="B216" s="121" t="s">
        <v>583</v>
      </c>
      <c r="C216" s="122" t="str">
        <f>VLOOKUP(B216,'Insumos e Serviços'!$A:$F,2,0)</f>
        <v>SINAPI</v>
      </c>
      <c r="D216" s="120" t="str">
        <f>VLOOKUP(B216,'Insumos e Serviços'!$A:$F,4,0)</f>
        <v>PEDREIRO COM ENCARGOS COMPLEMENTARES</v>
      </c>
      <c r="E216" s="122" t="str">
        <f>VLOOKUP(B216,'Insumos e Serviços'!$A:$F,5,0)</f>
        <v>H</v>
      </c>
      <c r="F216" s="123">
        <v>1.362</v>
      </c>
      <c r="G216" s="72">
        <f>VLOOKUP(B216,'Insumos e Serviços'!$A:$F,6,0)</f>
        <v>26.2</v>
      </c>
      <c r="H216" s="72">
        <f t="shared" si="10"/>
        <v>35.68</v>
      </c>
    </row>
    <row r="217" spans="1:8" s="112" customFormat="1" ht="11.25">
      <c r="A217" s="120" t="str">
        <f>VLOOKUP(B217,'Insumos e Serviços'!$A:$F,3,0)</f>
        <v>Insumo</v>
      </c>
      <c r="B217" s="121" t="s">
        <v>644</v>
      </c>
      <c r="C217" s="122" t="str">
        <f>VLOOKUP(B217,'Insumos e Serviços'!$A:$F,2,0)</f>
        <v>SINAPI</v>
      </c>
      <c r="D217" s="120" t="str">
        <f>VLOOKUP(B217,'Insumos e Serviços'!$A:$F,4,0)</f>
        <v>CHAPA DE ACO FINA A QUENTE BITOLA MSG 16, E = 1,50 MM (12,00 KG/M2)</v>
      </c>
      <c r="E217" s="122" t="str">
        <f>VLOOKUP(B217,'Insumos e Serviços'!$A:$F,5,0)</f>
        <v>KG</v>
      </c>
      <c r="F217" s="123">
        <v>4.79</v>
      </c>
      <c r="G217" s="72">
        <f>VLOOKUP(B217,'Insumos e Serviços'!$A:$F,6,0)</f>
        <v>12.37</v>
      </c>
      <c r="H217" s="72">
        <f t="shared" si="10"/>
        <v>59.25</v>
      </c>
    </row>
    <row r="218" spans="1:8" s="112" customFormat="1" ht="11.25">
      <c r="A218" s="120" t="str">
        <f>VLOOKUP(B218,'Insumos e Serviços'!$A:$F,3,0)</f>
        <v>Insumo</v>
      </c>
      <c r="B218" s="121" t="s">
        <v>645</v>
      </c>
      <c r="C218" s="122" t="str">
        <f>VLOOKUP(B218,'Insumos e Serviços'!$A:$F,2,0)</f>
        <v>SINAPI</v>
      </c>
      <c r="D218" s="120" t="str">
        <f>VLOOKUP(B218,'Insumos e Serviços'!$A:$F,4,0)</f>
        <v>ESPUMA EXPANSIVA DE POLIURETANO, APLICACAO MANUAL - 500 ML</v>
      </c>
      <c r="E218" s="122" t="str">
        <f>VLOOKUP(B218,'Insumos e Serviços'!$A:$F,5,0)</f>
        <v>UN</v>
      </c>
      <c r="F218" s="123">
        <v>2.23</v>
      </c>
      <c r="G218" s="72">
        <f>VLOOKUP(B218,'Insumos e Serviços'!$A:$F,6,0)</f>
        <v>32.9</v>
      </c>
      <c r="H218" s="72">
        <f t="shared" si="10"/>
        <v>73.36</v>
      </c>
    </row>
    <row r="219" spans="1:8" s="112" customFormat="1" ht="11.25">
      <c r="A219" s="124"/>
      <c r="B219" s="125"/>
      <c r="C219" s="125"/>
      <c r="D219" s="126"/>
      <c r="E219" s="125"/>
      <c r="F219" s="127"/>
      <c r="G219" s="128"/>
      <c r="H219" s="128"/>
    </row>
    <row r="220" spans="1:8" s="112" customFormat="1" ht="33.75">
      <c r="A220" s="114" t="s">
        <v>177</v>
      </c>
      <c r="B220" s="115" t="str">
        <f>VLOOKUP(A220,'Orçamento Sintético'!$A:$H,2,0)</f>
        <v> MPDFT1598 </v>
      </c>
      <c r="C220" s="115" t="str">
        <f>VLOOKUP(A220,'Orçamento Sintético'!$A:$H,3,0)</f>
        <v>Próprio</v>
      </c>
      <c r="D220" s="116" t="str">
        <f>VLOOKUP(A220,'Orçamento Sintético'!$A:$H,4,0)</f>
        <v>Portal / batente em chapa de aço carbono SAE 1006/1010, nº 16, dobrada conforme projeto, incluso tratamento com anticorrosivo e  pintura esmalte, Largura até 90cm</v>
      </c>
      <c r="E220" s="115" t="str">
        <f>VLOOKUP(A220,'Orçamento Sintético'!$A:$H,5,0)</f>
        <v>un</v>
      </c>
      <c r="F220" s="117"/>
      <c r="G220" s="118"/>
      <c r="H220" s="118">
        <f>SUM(H221:H228)</f>
        <v>372.88</v>
      </c>
    </row>
    <row r="221" spans="1:8" s="112" customFormat="1" ht="33.75">
      <c r="A221" s="120" t="str">
        <f>VLOOKUP(B221,'Insumos e Serviços'!$A:$F,3,0)</f>
        <v>Composição</v>
      </c>
      <c r="B221" s="121" t="s">
        <v>642</v>
      </c>
      <c r="C221" s="122" t="str">
        <f>VLOOKUP(B221,'Insumos e Serviços'!$A:$F,2,0)</f>
        <v>SINAPI</v>
      </c>
      <c r="D221" s="120" t="str">
        <f>VLOOKUP(B221,'Insumos e Serviços'!$A:$F,4,0)</f>
        <v>PINTURA COM TINTA ALQUÍDICA DE ACABAMENTO (ESMALTE SINTÉTICO ACETINADO) PULVERIZADA SOBRE SUPERFÍCIES METÁLICAS (EXCETO PERFIL) EXECUTADO EM OBRA (02 DEMÃOS). AF_01/2020_P</v>
      </c>
      <c r="E221" s="122" t="str">
        <f>VLOOKUP(B221,'Insumos e Serviços'!$A:$F,5,0)</f>
        <v>m²</v>
      </c>
      <c r="F221" s="123">
        <v>1.581</v>
      </c>
      <c r="G221" s="72">
        <f>VLOOKUP(B221,'Insumos e Serviços'!$A:$F,6,0)</f>
        <v>48</v>
      </c>
      <c r="H221" s="72">
        <f aca="true" t="shared" si="11" ref="H221:H228">TRUNC(F221*G221,2)</f>
        <v>75.88</v>
      </c>
    </row>
    <row r="222" spans="1:8" s="112" customFormat="1" ht="33.75">
      <c r="A222" s="120" t="str">
        <f>VLOOKUP(B222,'Insumos e Serviços'!$A:$F,3,0)</f>
        <v>Composição</v>
      </c>
      <c r="B222" s="121" t="s">
        <v>643</v>
      </c>
      <c r="C222" s="122" t="str">
        <f>VLOOKUP(B222,'Insumos e Serviços'!$A:$F,2,0)</f>
        <v>SINAPI</v>
      </c>
      <c r="D222" s="120" t="str">
        <f>VLOOKUP(B222,'Insumos e Serviços'!$A:$F,4,0)</f>
        <v>PINTURA COM TINTA ALQUÍDICA DE FUNDO (TIPO ZARCÃO) PULVERIZADA SOBRE SUPERFÍCIES METÁLICAS (EXCETO PERFIL) EXECUTADO EM OBRA (POR DEMÃO). AF_01/2020_P</v>
      </c>
      <c r="E222" s="122" t="str">
        <f>VLOOKUP(B222,'Insumos e Serviços'!$A:$F,5,0)</f>
        <v>m²</v>
      </c>
      <c r="F222" s="123">
        <v>1.581</v>
      </c>
      <c r="G222" s="72">
        <f>VLOOKUP(B222,'Insumos e Serviços'!$A:$F,6,0)</f>
        <v>24.38</v>
      </c>
      <c r="H222" s="72">
        <f t="shared" si="11"/>
        <v>38.54</v>
      </c>
    </row>
    <row r="223" spans="1:8" s="112" customFormat="1" ht="11.25">
      <c r="A223" s="120" t="str">
        <f>VLOOKUP(B223,'Insumos e Serviços'!$A:$F,3,0)</f>
        <v>Composição</v>
      </c>
      <c r="B223" s="121" t="s">
        <v>633</v>
      </c>
      <c r="C223" s="122" t="str">
        <f>VLOOKUP(B223,'Insumos e Serviços'!$A:$F,2,0)</f>
        <v>SINAPI</v>
      </c>
      <c r="D223" s="120" t="str">
        <f>VLOOKUP(B223,'Insumos e Serviços'!$A:$F,4,0)</f>
        <v>CARPINTEIRO DE ESQUADRIA COM ENCARGOS COMPLEMENTARES</v>
      </c>
      <c r="E223" s="122" t="str">
        <f>VLOOKUP(B223,'Insumos e Serviços'!$A:$F,5,0)</f>
        <v>H</v>
      </c>
      <c r="F223" s="123">
        <v>0.552</v>
      </c>
      <c r="G223" s="72">
        <f>VLOOKUP(B223,'Insumos e Serviços'!$A:$F,6,0)</f>
        <v>24.86</v>
      </c>
      <c r="H223" s="72">
        <f t="shared" si="11"/>
        <v>13.72</v>
      </c>
    </row>
    <row r="224" spans="1:8" s="112" customFormat="1" ht="11.25">
      <c r="A224" s="120" t="str">
        <f>VLOOKUP(B224,'Insumos e Serviços'!$A:$F,3,0)</f>
        <v>Composição</v>
      </c>
      <c r="B224" s="121" t="s">
        <v>581</v>
      </c>
      <c r="C224" s="122" t="str">
        <f>VLOOKUP(B224,'Insumos e Serviços'!$A:$F,2,0)</f>
        <v>SINAPI</v>
      </c>
      <c r="D224" s="120" t="str">
        <f>VLOOKUP(B224,'Insumos e Serviços'!$A:$F,4,0)</f>
        <v>SERVENTE COM ENCARGOS COMPLEMENTARES</v>
      </c>
      <c r="E224" s="122" t="str">
        <f>VLOOKUP(B224,'Insumos e Serviços'!$A:$F,5,0)</f>
        <v>H</v>
      </c>
      <c r="F224" s="123">
        <v>0.957</v>
      </c>
      <c r="G224" s="72">
        <f>VLOOKUP(B224,'Insumos e Serviços'!$A:$F,6,0)</f>
        <v>19.39</v>
      </c>
      <c r="H224" s="72">
        <f t="shared" si="11"/>
        <v>18.55</v>
      </c>
    </row>
    <row r="225" spans="1:8" s="112" customFormat="1" ht="11.25">
      <c r="A225" s="120" t="str">
        <f>VLOOKUP(B225,'Insumos e Serviços'!$A:$F,3,0)</f>
        <v>Composição</v>
      </c>
      <c r="B225" s="121" t="s">
        <v>601</v>
      </c>
      <c r="C225" s="122" t="str">
        <f>VLOOKUP(B225,'Insumos e Serviços'!$A:$F,2,0)</f>
        <v>SINAPI</v>
      </c>
      <c r="D225" s="120" t="str">
        <f>VLOOKUP(B225,'Insumos e Serviços'!$A:$F,4,0)</f>
        <v>AUXILIAR DE SERRALHEIRO COM ENCARGOS COMPLEMENTARES</v>
      </c>
      <c r="E225" s="122" t="str">
        <f>VLOOKUP(B225,'Insumos e Serviços'!$A:$F,5,0)</f>
        <v>H</v>
      </c>
      <c r="F225" s="123">
        <v>1.57</v>
      </c>
      <c r="G225" s="72">
        <f>VLOOKUP(B225,'Insumos e Serviços'!$A:$F,6,0)</f>
        <v>20.62</v>
      </c>
      <c r="H225" s="72">
        <f t="shared" si="11"/>
        <v>32.37</v>
      </c>
    </row>
    <row r="226" spans="1:8" s="112" customFormat="1" ht="11.25">
      <c r="A226" s="120" t="str">
        <f>VLOOKUP(B226,'Insumos e Serviços'!$A:$F,3,0)</f>
        <v>Composição</v>
      </c>
      <c r="B226" s="121" t="s">
        <v>583</v>
      </c>
      <c r="C226" s="122" t="str">
        <f>VLOOKUP(B226,'Insumos e Serviços'!$A:$F,2,0)</f>
        <v>SINAPI</v>
      </c>
      <c r="D226" s="120" t="str">
        <f>VLOOKUP(B226,'Insumos e Serviços'!$A:$F,4,0)</f>
        <v>PEDREIRO COM ENCARGOS COMPLEMENTARES</v>
      </c>
      <c r="E226" s="122" t="str">
        <f>VLOOKUP(B226,'Insumos e Serviços'!$A:$F,5,0)</f>
        <v>H</v>
      </c>
      <c r="F226" s="123">
        <v>1.362</v>
      </c>
      <c r="G226" s="72">
        <f>VLOOKUP(B226,'Insumos e Serviços'!$A:$F,6,0)</f>
        <v>26.2</v>
      </c>
      <c r="H226" s="72">
        <f t="shared" si="11"/>
        <v>35.68</v>
      </c>
    </row>
    <row r="227" spans="1:8" s="112" customFormat="1" ht="11.25">
      <c r="A227" s="120" t="str">
        <f>VLOOKUP(B227,'Insumos e Serviços'!$A:$F,3,0)</f>
        <v>Insumo</v>
      </c>
      <c r="B227" s="121" t="s">
        <v>644</v>
      </c>
      <c r="C227" s="122" t="str">
        <f>VLOOKUP(B227,'Insumos e Serviços'!$A:$F,2,0)</f>
        <v>SINAPI</v>
      </c>
      <c r="D227" s="120" t="str">
        <f>VLOOKUP(B227,'Insumos e Serviços'!$A:$F,4,0)</f>
        <v>CHAPA DE ACO FINA A QUENTE BITOLA MSG 16, E = 1,50 MM (12,00 KG/M2)</v>
      </c>
      <c r="E227" s="122" t="str">
        <f>VLOOKUP(B227,'Insumos e Serviços'!$A:$F,5,0)</f>
        <v>KG</v>
      </c>
      <c r="F227" s="123">
        <v>5.71</v>
      </c>
      <c r="G227" s="72">
        <f>VLOOKUP(B227,'Insumos e Serviços'!$A:$F,6,0)</f>
        <v>12.37</v>
      </c>
      <c r="H227" s="72">
        <f t="shared" si="11"/>
        <v>70.63</v>
      </c>
    </row>
    <row r="228" spans="1:8" s="112" customFormat="1" ht="11.25">
      <c r="A228" s="120" t="str">
        <f>VLOOKUP(B228,'Insumos e Serviços'!$A:$F,3,0)</f>
        <v>Insumo</v>
      </c>
      <c r="B228" s="121" t="s">
        <v>645</v>
      </c>
      <c r="C228" s="122" t="str">
        <f>VLOOKUP(B228,'Insumos e Serviços'!$A:$F,2,0)</f>
        <v>SINAPI</v>
      </c>
      <c r="D228" s="120" t="str">
        <f>VLOOKUP(B228,'Insumos e Serviços'!$A:$F,4,0)</f>
        <v>ESPUMA EXPANSIVA DE POLIURETANO, APLICACAO MANUAL - 500 ML</v>
      </c>
      <c r="E228" s="122" t="str">
        <f>VLOOKUP(B228,'Insumos e Serviços'!$A:$F,5,0)</f>
        <v>UN</v>
      </c>
      <c r="F228" s="123">
        <v>2.66</v>
      </c>
      <c r="G228" s="72">
        <f>VLOOKUP(B228,'Insumos e Serviços'!$A:$F,6,0)</f>
        <v>32.9</v>
      </c>
      <c r="H228" s="72">
        <f t="shared" si="11"/>
        <v>87.51</v>
      </c>
    </row>
    <row r="229" spans="1:8" s="112" customFormat="1" ht="11.25">
      <c r="A229" s="124"/>
      <c r="B229" s="125"/>
      <c r="C229" s="125"/>
      <c r="D229" s="126"/>
      <c r="E229" s="125"/>
      <c r="F229" s="127"/>
      <c r="G229" s="128"/>
      <c r="H229" s="128"/>
    </row>
    <row r="230" spans="1:8" s="112" customFormat="1" ht="33.75">
      <c r="A230" s="114" t="s">
        <v>180</v>
      </c>
      <c r="B230" s="115" t="str">
        <f>VLOOKUP(A230,'Orçamento Sintético'!$A:$H,2,0)</f>
        <v> MPDFT1718 </v>
      </c>
      <c r="C230" s="115" t="str">
        <f>VLOOKUP(A230,'Orçamento Sintético'!$A:$H,3,0)</f>
        <v>Próprio</v>
      </c>
      <c r="D230" s="116" t="str">
        <f>VLOOKUP(A230,'Orçamento Sintético'!$A:$H,4,0)</f>
        <v>Portal / batente em chapa de aço carbono, l=9cm, desenvolvimento =26cm, SAE 1006/1010, nº 16, dobrada, para parede de gesso acartonado,conforme projeto, incluso tratamento com anticorrosivo e  pintura esmalte, Largura 160cm</v>
      </c>
      <c r="E230" s="115" t="str">
        <f>VLOOKUP(A230,'Orçamento Sintético'!$A:$H,5,0)</f>
        <v>un</v>
      </c>
      <c r="F230" s="117"/>
      <c r="G230" s="118"/>
      <c r="H230" s="118">
        <f>SUM(H231:H238)</f>
        <v>388.27</v>
      </c>
    </row>
    <row r="231" spans="1:8" s="112" customFormat="1" ht="33.75">
      <c r="A231" s="120" t="str">
        <f>VLOOKUP(B231,'Insumos e Serviços'!$A:$F,3,0)</f>
        <v>Composição</v>
      </c>
      <c r="B231" s="121" t="s">
        <v>642</v>
      </c>
      <c r="C231" s="122" t="str">
        <f>VLOOKUP(B231,'Insumos e Serviços'!$A:$F,2,0)</f>
        <v>SINAPI</v>
      </c>
      <c r="D231" s="120" t="str">
        <f>VLOOKUP(B231,'Insumos e Serviços'!$A:$F,4,0)</f>
        <v>PINTURA COM TINTA ALQUÍDICA DE ACABAMENTO (ESMALTE SINTÉTICO ACETINADO) PULVERIZADA SOBRE SUPERFÍCIES METÁLICAS (EXCETO PERFIL) EXECUTADO EM OBRA (02 DEMÃOS). AF_01/2020_P</v>
      </c>
      <c r="E231" s="122" t="str">
        <f>VLOOKUP(B231,'Insumos e Serviços'!$A:$F,5,0)</f>
        <v>m²</v>
      </c>
      <c r="F231" s="123">
        <v>1.534</v>
      </c>
      <c r="G231" s="72">
        <f>VLOOKUP(B231,'Insumos e Serviços'!$A:$F,6,0)</f>
        <v>48</v>
      </c>
      <c r="H231" s="72">
        <f aca="true" t="shared" si="12" ref="H231:H238">TRUNC(F231*G231,2)</f>
        <v>73.63</v>
      </c>
    </row>
    <row r="232" spans="1:8" s="112" customFormat="1" ht="33.75">
      <c r="A232" s="120" t="str">
        <f>VLOOKUP(B232,'Insumos e Serviços'!$A:$F,3,0)</f>
        <v>Composição</v>
      </c>
      <c r="B232" s="121" t="s">
        <v>643</v>
      </c>
      <c r="C232" s="122" t="str">
        <f>VLOOKUP(B232,'Insumos e Serviços'!$A:$F,2,0)</f>
        <v>SINAPI</v>
      </c>
      <c r="D232" s="120" t="str">
        <f>VLOOKUP(B232,'Insumos e Serviços'!$A:$F,4,0)</f>
        <v>PINTURA COM TINTA ALQUÍDICA DE FUNDO (TIPO ZARCÃO) PULVERIZADA SOBRE SUPERFÍCIES METÁLICAS (EXCETO PERFIL) EXECUTADO EM OBRA (POR DEMÃO). AF_01/2020_P</v>
      </c>
      <c r="E232" s="122" t="str">
        <f>VLOOKUP(B232,'Insumos e Serviços'!$A:$F,5,0)</f>
        <v>m²</v>
      </c>
      <c r="F232" s="123">
        <v>1.534</v>
      </c>
      <c r="G232" s="72">
        <f>VLOOKUP(B232,'Insumos e Serviços'!$A:$F,6,0)</f>
        <v>24.38</v>
      </c>
      <c r="H232" s="72">
        <f t="shared" si="12"/>
        <v>37.39</v>
      </c>
    </row>
    <row r="233" spans="1:8" s="112" customFormat="1" ht="11.25">
      <c r="A233" s="120" t="str">
        <f>VLOOKUP(B233,'Insumos e Serviços'!$A:$F,3,0)</f>
        <v>Composição</v>
      </c>
      <c r="B233" s="121" t="s">
        <v>633</v>
      </c>
      <c r="C233" s="122" t="str">
        <f>VLOOKUP(B233,'Insumos e Serviços'!$A:$F,2,0)</f>
        <v>SINAPI</v>
      </c>
      <c r="D233" s="120" t="str">
        <f>VLOOKUP(B233,'Insumos e Serviços'!$A:$F,4,0)</f>
        <v>CARPINTEIRO DE ESQUADRIA COM ENCARGOS COMPLEMENTARES</v>
      </c>
      <c r="E233" s="122" t="str">
        <f>VLOOKUP(B233,'Insumos e Serviços'!$A:$F,5,0)</f>
        <v>H</v>
      </c>
      <c r="F233" s="123">
        <v>0.552</v>
      </c>
      <c r="G233" s="72">
        <f>VLOOKUP(B233,'Insumos e Serviços'!$A:$F,6,0)</f>
        <v>24.86</v>
      </c>
      <c r="H233" s="72">
        <f t="shared" si="12"/>
        <v>13.72</v>
      </c>
    </row>
    <row r="234" spans="1:8" s="112" customFormat="1" ht="11.25">
      <c r="A234" s="120" t="str">
        <f>VLOOKUP(B234,'Insumos e Serviços'!$A:$F,3,0)</f>
        <v>Composição</v>
      </c>
      <c r="B234" s="121" t="s">
        <v>581</v>
      </c>
      <c r="C234" s="122" t="str">
        <f>VLOOKUP(B234,'Insumos e Serviços'!$A:$F,2,0)</f>
        <v>SINAPI</v>
      </c>
      <c r="D234" s="120" t="str">
        <f>VLOOKUP(B234,'Insumos e Serviços'!$A:$F,4,0)</f>
        <v>SERVENTE COM ENCARGOS COMPLEMENTARES</v>
      </c>
      <c r="E234" s="122" t="str">
        <f>VLOOKUP(B234,'Insumos e Serviços'!$A:$F,5,0)</f>
        <v>H</v>
      </c>
      <c r="F234" s="123">
        <v>0.957</v>
      </c>
      <c r="G234" s="72">
        <f>VLOOKUP(B234,'Insumos e Serviços'!$A:$F,6,0)</f>
        <v>19.39</v>
      </c>
      <c r="H234" s="72">
        <f t="shared" si="12"/>
        <v>18.55</v>
      </c>
    </row>
    <row r="235" spans="1:8" s="112" customFormat="1" ht="11.25">
      <c r="A235" s="120" t="str">
        <f>VLOOKUP(B235,'Insumos e Serviços'!$A:$F,3,0)</f>
        <v>Composição</v>
      </c>
      <c r="B235" s="121" t="s">
        <v>601</v>
      </c>
      <c r="C235" s="122" t="str">
        <f>VLOOKUP(B235,'Insumos e Serviços'!$A:$F,2,0)</f>
        <v>SINAPI</v>
      </c>
      <c r="D235" s="120" t="str">
        <f>VLOOKUP(B235,'Insumos e Serviços'!$A:$F,4,0)</f>
        <v>AUXILIAR DE SERRALHEIRO COM ENCARGOS COMPLEMENTARES</v>
      </c>
      <c r="E235" s="122" t="str">
        <f>VLOOKUP(B235,'Insumos e Serviços'!$A:$F,5,0)</f>
        <v>H</v>
      </c>
      <c r="F235" s="123">
        <v>2.6904</v>
      </c>
      <c r="G235" s="72">
        <f>VLOOKUP(B235,'Insumos e Serviços'!$A:$F,6,0)</f>
        <v>20.62</v>
      </c>
      <c r="H235" s="72">
        <f t="shared" si="12"/>
        <v>55.47</v>
      </c>
    </row>
    <row r="236" spans="1:8" s="112" customFormat="1" ht="11.25">
      <c r="A236" s="120" t="str">
        <f>VLOOKUP(B236,'Insumos e Serviços'!$A:$F,3,0)</f>
        <v>Composição</v>
      </c>
      <c r="B236" s="121" t="s">
        <v>583</v>
      </c>
      <c r="C236" s="122" t="str">
        <f>VLOOKUP(B236,'Insumos e Serviços'!$A:$F,2,0)</f>
        <v>SINAPI</v>
      </c>
      <c r="D236" s="120" t="str">
        <f>VLOOKUP(B236,'Insumos e Serviços'!$A:$F,4,0)</f>
        <v>PEDREIRO COM ENCARGOS COMPLEMENTARES</v>
      </c>
      <c r="E236" s="122" t="str">
        <f>VLOOKUP(B236,'Insumos e Serviços'!$A:$F,5,0)</f>
        <v>H</v>
      </c>
      <c r="F236" s="123">
        <v>1.362</v>
      </c>
      <c r="G236" s="72">
        <f>VLOOKUP(B236,'Insumos e Serviços'!$A:$F,6,0)</f>
        <v>26.2</v>
      </c>
      <c r="H236" s="72">
        <f t="shared" si="12"/>
        <v>35.68</v>
      </c>
    </row>
    <row r="237" spans="1:8" s="112" customFormat="1" ht="11.25">
      <c r="A237" s="120" t="str">
        <f>VLOOKUP(B237,'Insumos e Serviços'!$A:$F,3,0)</f>
        <v>Insumo</v>
      </c>
      <c r="B237" s="121" t="s">
        <v>644</v>
      </c>
      <c r="C237" s="122" t="str">
        <f>VLOOKUP(B237,'Insumos e Serviços'!$A:$F,2,0)</f>
        <v>SINAPI</v>
      </c>
      <c r="D237" s="120" t="str">
        <f>VLOOKUP(B237,'Insumos e Serviços'!$A:$F,4,0)</f>
        <v>CHAPA DE ACO FINA A QUENTE BITOLA MSG 16, E = 1,50 MM (12,00 KG/M2)</v>
      </c>
      <c r="E237" s="122" t="str">
        <f>VLOOKUP(B237,'Insumos e Serviços'!$A:$F,5,0)</f>
        <v>KG</v>
      </c>
      <c r="F237" s="123">
        <v>5.5564</v>
      </c>
      <c r="G237" s="72">
        <f>VLOOKUP(B237,'Insumos e Serviços'!$A:$F,6,0)</f>
        <v>12.37</v>
      </c>
      <c r="H237" s="72">
        <f t="shared" si="12"/>
        <v>68.73</v>
      </c>
    </row>
    <row r="238" spans="1:8" s="112" customFormat="1" ht="11.25">
      <c r="A238" s="120" t="str">
        <f>VLOOKUP(B238,'Insumos e Serviços'!$A:$F,3,0)</f>
        <v>Insumo</v>
      </c>
      <c r="B238" s="121" t="s">
        <v>645</v>
      </c>
      <c r="C238" s="122" t="str">
        <f>VLOOKUP(B238,'Insumos e Serviços'!$A:$F,2,0)</f>
        <v>SINAPI</v>
      </c>
      <c r="D238" s="120" t="str">
        <f>VLOOKUP(B238,'Insumos e Serviços'!$A:$F,4,0)</f>
        <v>ESPUMA EXPANSIVA DE POLIURETANO, APLICACAO MANUAL - 500 ML</v>
      </c>
      <c r="E238" s="122" t="str">
        <f>VLOOKUP(B238,'Insumos e Serviços'!$A:$F,5,0)</f>
        <v>UN</v>
      </c>
      <c r="F238" s="123">
        <v>2.5868</v>
      </c>
      <c r="G238" s="72">
        <f>VLOOKUP(B238,'Insumos e Serviços'!$A:$F,6,0)</f>
        <v>32.9</v>
      </c>
      <c r="H238" s="72">
        <f t="shared" si="12"/>
        <v>85.1</v>
      </c>
    </row>
    <row r="239" spans="1:8" s="112" customFormat="1" ht="11.25">
      <c r="A239" s="124"/>
      <c r="B239" s="125"/>
      <c r="C239" s="125"/>
      <c r="D239" s="126"/>
      <c r="E239" s="125"/>
      <c r="F239" s="127"/>
      <c r="G239" s="128"/>
      <c r="H239" s="128"/>
    </row>
    <row r="240" spans="1:8" s="112" customFormat="1" ht="11.25">
      <c r="A240" s="62" t="s">
        <v>183</v>
      </c>
      <c r="B240" s="63"/>
      <c r="C240" s="63"/>
      <c r="D240" s="62" t="s">
        <v>184</v>
      </c>
      <c r="E240" s="63"/>
      <c r="F240" s="113"/>
      <c r="G240" s="62"/>
      <c r="H240" s="67"/>
    </row>
    <row r="241" spans="1:8" s="112" customFormat="1" ht="11.25">
      <c r="A241" s="74" t="s">
        <v>185</v>
      </c>
      <c r="B241" s="75"/>
      <c r="C241" s="75"/>
      <c r="D241" s="74" t="s">
        <v>186</v>
      </c>
      <c r="E241" s="75"/>
      <c r="F241" s="129"/>
      <c r="G241" s="74"/>
      <c r="H241" s="78"/>
    </row>
    <row r="242" spans="1:8" s="112" customFormat="1" ht="22.5">
      <c r="A242" s="114" t="s">
        <v>189</v>
      </c>
      <c r="B242" s="115" t="str">
        <f>VLOOKUP(A242,'Orçamento Sintético'!$A:$H,2,0)</f>
        <v> MPDFT0124 </v>
      </c>
      <c r="C242" s="115" t="str">
        <f>VLOOKUP(A242,'Orçamento Sintético'!$A:$H,3,0)</f>
        <v>Próprio</v>
      </c>
      <c r="D242" s="116" t="str">
        <f>VLOOKUP(A242,'Orçamento Sintético'!$A:$H,4,0)</f>
        <v>Baseado em CPOS (11.20.050) - Junta de dilatação / corte em concreto para pisos com discos diamantados, utilizando cortadora manual</v>
      </c>
      <c r="E242" s="115" t="str">
        <f>VLOOKUP(A242,'Orçamento Sintético'!$A:$H,5,0)</f>
        <v>m</v>
      </c>
      <c r="F242" s="117"/>
      <c r="G242" s="118"/>
      <c r="H242" s="118">
        <f>SUM(H243:H244)</f>
        <v>9.54</v>
      </c>
    </row>
    <row r="243" spans="1:8" s="112" customFormat="1" ht="11.25">
      <c r="A243" s="120" t="str">
        <f>VLOOKUP(B243,'Insumos e Serviços'!$A:$F,3,0)</f>
        <v>Composição</v>
      </c>
      <c r="B243" s="121" t="s">
        <v>583</v>
      </c>
      <c r="C243" s="122" t="str">
        <f>VLOOKUP(B243,'Insumos e Serviços'!$A:$F,2,0)</f>
        <v>SINAPI</v>
      </c>
      <c r="D243" s="120" t="str">
        <f>VLOOKUP(B243,'Insumos e Serviços'!$A:$F,4,0)</f>
        <v>PEDREIRO COM ENCARGOS COMPLEMENTARES</v>
      </c>
      <c r="E243" s="122" t="str">
        <f>VLOOKUP(B243,'Insumos e Serviços'!$A:$F,5,0)</f>
        <v>H</v>
      </c>
      <c r="F243" s="123">
        <v>0.2</v>
      </c>
      <c r="G243" s="72">
        <f>VLOOKUP(B243,'Insumos e Serviços'!$A:$F,6,0)</f>
        <v>26.2</v>
      </c>
      <c r="H243" s="72">
        <f>TRUNC(F243*G243,2)</f>
        <v>5.24</v>
      </c>
    </row>
    <row r="244" spans="1:8" s="112" customFormat="1" ht="22.5">
      <c r="A244" s="120" t="str">
        <f>VLOOKUP(B244,'Insumos e Serviços'!$A:$F,3,0)</f>
        <v>Insumo</v>
      </c>
      <c r="B244" s="121" t="s">
        <v>646</v>
      </c>
      <c r="C244" s="122" t="str">
        <f>VLOOKUP(B244,'Insumos e Serviços'!$A:$F,2,0)</f>
        <v>SINAPI</v>
      </c>
      <c r="D244" s="120" t="str">
        <f>VLOOKUP(B244,'Insumos e Serviços'!$A:$F,4,0)</f>
        <v>DISCO DE CORTE DIAMANTADO SEGMENTADO PARA CONCRETO, DIAMETRO DE 110 MM, FURO DE 20 MM</v>
      </c>
      <c r="E244" s="122" t="str">
        <f>VLOOKUP(B244,'Insumos e Serviços'!$A:$F,5,0)</f>
        <v>UN</v>
      </c>
      <c r="F244" s="123">
        <v>0.2</v>
      </c>
      <c r="G244" s="72">
        <f>VLOOKUP(B244,'Insumos e Serviços'!$A:$F,6,0)</f>
        <v>21.5</v>
      </c>
      <c r="H244" s="72">
        <f>TRUNC(F244*G244,2)</f>
        <v>4.3</v>
      </c>
    </row>
    <row r="245" spans="1:8" s="112" customFormat="1" ht="11.25">
      <c r="A245" s="124"/>
      <c r="B245" s="125"/>
      <c r="C245" s="125"/>
      <c r="D245" s="126"/>
      <c r="E245" s="125"/>
      <c r="F245" s="127"/>
      <c r="G245" s="128"/>
      <c r="H245" s="128"/>
    </row>
    <row r="246" spans="1:8" s="112" customFormat="1" ht="11.25">
      <c r="A246" s="62" t="s">
        <v>204</v>
      </c>
      <c r="B246" s="63"/>
      <c r="C246" s="63"/>
      <c r="D246" s="62" t="s">
        <v>193</v>
      </c>
      <c r="E246" s="63"/>
      <c r="F246" s="113"/>
      <c r="G246" s="62"/>
      <c r="H246" s="67"/>
    </row>
    <row r="247" spans="1:8" s="112" customFormat="1" ht="11.25">
      <c r="A247" s="74" t="s">
        <v>231</v>
      </c>
      <c r="B247" s="75"/>
      <c r="C247" s="75"/>
      <c r="D247" s="74" t="s">
        <v>232</v>
      </c>
      <c r="E247" s="75"/>
      <c r="F247" s="129"/>
      <c r="G247" s="74"/>
      <c r="H247" s="78"/>
    </row>
    <row r="248" spans="1:8" s="112" customFormat="1" ht="11.25">
      <c r="A248" s="83" t="s">
        <v>233</v>
      </c>
      <c r="B248" s="84"/>
      <c r="C248" s="84"/>
      <c r="D248" s="83" t="s">
        <v>234</v>
      </c>
      <c r="E248" s="84"/>
      <c r="F248" s="132"/>
      <c r="G248" s="83"/>
      <c r="H248" s="87"/>
    </row>
    <row r="249" spans="1:8" s="112" customFormat="1" ht="11.25">
      <c r="A249" s="114" t="s">
        <v>237</v>
      </c>
      <c r="B249" s="115" t="str">
        <f>VLOOKUP(A249,'Orçamento Sintético'!$A:$H,2,0)</f>
        <v> MPDFT1052 </v>
      </c>
      <c r="C249" s="115" t="str">
        <f>VLOOKUP(A249,'Orçamento Sintético'!$A:$H,3,0)</f>
        <v>Próprio</v>
      </c>
      <c r="D249" s="116" t="str">
        <f>VLOOKUP(A249,'Orçamento Sintético'!$A:$H,4,0)</f>
        <v>Tabica metálica pré pintada, para forro em gesso acartonado</v>
      </c>
      <c r="E249" s="115" t="str">
        <f>VLOOKUP(A249,'Orçamento Sintético'!$A:$H,5,0)</f>
        <v>m</v>
      </c>
      <c r="F249" s="117"/>
      <c r="G249" s="118"/>
      <c r="H249" s="118">
        <f>SUM(H250)</f>
        <v>18.69</v>
      </c>
    </row>
    <row r="250" spans="1:8" s="112" customFormat="1" ht="11.25">
      <c r="A250" s="120" t="str">
        <f>VLOOKUP(B250,'Insumos e Serviços'!$A:$F,3,0)</f>
        <v>Insumo</v>
      </c>
      <c r="B250" s="121" t="s">
        <v>647</v>
      </c>
      <c r="C250" s="122" t="str">
        <f>VLOOKUP(B250,'Insumos e Serviços'!$A:$F,2,0)</f>
        <v>Próprio</v>
      </c>
      <c r="D250" s="120" t="str">
        <f>VLOOKUP(B250,'Insumos e Serviços'!$A:$F,4,0)</f>
        <v>Fornecimento e instalação de tabica metálica pré pintada, para forro em gesso acartonado</v>
      </c>
      <c r="E250" s="122" t="str">
        <f>VLOOKUP(B250,'Insumos e Serviços'!$A:$F,5,0)</f>
        <v>m</v>
      </c>
      <c r="F250" s="123">
        <v>1</v>
      </c>
      <c r="G250" s="72">
        <f>VLOOKUP(B250,'Insumos e Serviços'!$A:$F,6,0)</f>
        <v>18.69</v>
      </c>
      <c r="H250" s="72">
        <f>TRUNC(F250*G250,2)</f>
        <v>18.69</v>
      </c>
    </row>
    <row r="251" spans="1:8" s="112" customFormat="1" ht="11.25">
      <c r="A251" s="124"/>
      <c r="B251" s="125"/>
      <c r="C251" s="125"/>
      <c r="D251" s="126"/>
      <c r="E251" s="125"/>
      <c r="F251" s="127"/>
      <c r="G251" s="128"/>
      <c r="H251" s="128"/>
    </row>
    <row r="252" spans="1:8" s="112" customFormat="1" ht="22.5">
      <c r="A252" s="114" t="s">
        <v>240</v>
      </c>
      <c r="B252" s="115" t="str">
        <f>VLOOKUP(A252,'Orçamento Sintético'!$A:$H,2,0)</f>
        <v> MPDFT1051 </v>
      </c>
      <c r="C252" s="115" t="str">
        <f>VLOOKUP(A252,'Orçamento Sintético'!$A:$H,3,0)</f>
        <v>Próprio</v>
      </c>
      <c r="D252" s="116" t="str">
        <f>VLOOKUP(A252,'Orçamento Sintético'!$A:$H,4,0)</f>
        <v>Copia da SBC (023361) - Execução de visita em forro de gesso, DM 60 x 60cm, inclusive acabamento em perfis de alumínio na cor branca</v>
      </c>
      <c r="E252" s="115" t="str">
        <f>VLOOKUP(A252,'Orçamento Sintético'!$A:$H,5,0)</f>
        <v>un</v>
      </c>
      <c r="F252" s="117"/>
      <c r="G252" s="118"/>
      <c r="H252" s="118">
        <f>SUM(H253:H256)</f>
        <v>152.68</v>
      </c>
    </row>
    <row r="253" spans="1:8" s="112" customFormat="1" ht="11.25">
      <c r="A253" s="120" t="str">
        <f>VLOOKUP(B253,'Insumos e Serviços'!$A:$F,3,0)</f>
        <v>Composição</v>
      </c>
      <c r="B253" s="121" t="s">
        <v>648</v>
      </c>
      <c r="C253" s="122" t="str">
        <f>VLOOKUP(B253,'Insumos e Serviços'!$A:$F,2,0)</f>
        <v>SINAPI</v>
      </c>
      <c r="D253" s="120" t="str">
        <f>VLOOKUP(B253,'Insumos e Serviços'!$A:$F,4,0)</f>
        <v>GESSEIRO COM ENCARGOS COMPLEMENTARES</v>
      </c>
      <c r="E253" s="122" t="str">
        <f>VLOOKUP(B253,'Insumos e Serviços'!$A:$F,5,0)</f>
        <v>H</v>
      </c>
      <c r="F253" s="123">
        <v>0.6795</v>
      </c>
      <c r="G253" s="72">
        <f>VLOOKUP(B253,'Insumos e Serviços'!$A:$F,6,0)</f>
        <v>26.05</v>
      </c>
      <c r="H253" s="72">
        <f>TRUNC(F253*G253,2)</f>
        <v>17.7</v>
      </c>
    </row>
    <row r="254" spans="1:8" s="112" customFormat="1" ht="11.25">
      <c r="A254" s="120" t="str">
        <f>VLOOKUP(B254,'Insumos e Serviços'!$A:$F,3,0)</f>
        <v>Composição</v>
      </c>
      <c r="B254" s="121" t="s">
        <v>593</v>
      </c>
      <c r="C254" s="122" t="str">
        <f>VLOOKUP(B254,'Insumos e Serviços'!$A:$F,2,0)</f>
        <v>SINAPI</v>
      </c>
      <c r="D254" s="120" t="str">
        <f>VLOOKUP(B254,'Insumos e Serviços'!$A:$F,4,0)</f>
        <v>AJUDANTE ESPECIALIZADO COM ENCARGOS COMPLEMENTARES</v>
      </c>
      <c r="E254" s="122" t="str">
        <f>VLOOKUP(B254,'Insumos e Serviços'!$A:$F,5,0)</f>
        <v>H</v>
      </c>
      <c r="F254" s="123">
        <v>0.6795</v>
      </c>
      <c r="G254" s="72">
        <f>VLOOKUP(B254,'Insumos e Serviços'!$A:$F,6,0)</f>
        <v>20.5</v>
      </c>
      <c r="H254" s="72">
        <f>TRUNC(F254*G254,2)</f>
        <v>13.92</v>
      </c>
    </row>
    <row r="255" spans="1:8" s="112" customFormat="1" ht="11.25">
      <c r="A255" s="120" t="str">
        <f>VLOOKUP(B255,'Insumos e Serviços'!$A:$F,3,0)</f>
        <v>Insumo</v>
      </c>
      <c r="B255" s="121" t="s">
        <v>649</v>
      </c>
      <c r="C255" s="122" t="str">
        <f>VLOOKUP(B255,'Insumos e Serviços'!$A:$F,2,0)</f>
        <v>SINAPI</v>
      </c>
      <c r="D255" s="120" t="str">
        <f>VLOOKUP(B255,'Insumos e Serviços'!$A:$F,4,0)</f>
        <v>CANTONEIRA ALUMINIO ABAS IGUAIS 1 ", E = 3 /16 "</v>
      </c>
      <c r="E255" s="122" t="str">
        <f>VLOOKUP(B255,'Insumos e Serviços'!$A:$F,5,0)</f>
        <v>M</v>
      </c>
      <c r="F255" s="123">
        <v>5.52</v>
      </c>
      <c r="G255" s="72">
        <f>VLOOKUP(B255,'Insumos e Serviços'!$A:$F,6,0)</f>
        <v>20.72</v>
      </c>
      <c r="H255" s="72">
        <f>TRUNC(F255*G255,2)</f>
        <v>114.37</v>
      </c>
    </row>
    <row r="256" spans="1:8" s="112" customFormat="1" ht="22.5">
      <c r="A256" s="120" t="str">
        <f>VLOOKUP(B256,'Insumos e Serviços'!$A:$F,3,0)</f>
        <v>Insumo</v>
      </c>
      <c r="B256" s="121" t="s">
        <v>650</v>
      </c>
      <c r="C256" s="122" t="str">
        <f>VLOOKUP(B256,'Insumos e Serviços'!$A:$F,2,0)</f>
        <v>SINAPI</v>
      </c>
      <c r="D256" s="120" t="str">
        <f>VLOOKUP(B256,'Insumos e Serviços'!$A:$F,4,0)</f>
        <v>PLACA / CHAPA DE GESSO ACARTONADO, STANDARD (ST), COR BRANCA, E = 12,5 MM, 1200 X 1800 MM (L X C)</v>
      </c>
      <c r="E256" s="122" t="str">
        <f>VLOOKUP(B256,'Insumos e Serviços'!$A:$F,5,0)</f>
        <v>m²</v>
      </c>
      <c r="F256" s="123">
        <v>0.396</v>
      </c>
      <c r="G256" s="72">
        <f>VLOOKUP(B256,'Insumos e Serviços'!$A:$F,6,0)</f>
        <v>16.9</v>
      </c>
      <c r="H256" s="72">
        <f>TRUNC(F256*G256,2)</f>
        <v>6.69</v>
      </c>
    </row>
    <row r="257" spans="1:8" s="112" customFormat="1" ht="11.25">
      <c r="A257" s="124"/>
      <c r="B257" s="125"/>
      <c r="C257" s="125"/>
      <c r="D257" s="126"/>
      <c r="E257" s="125"/>
      <c r="F257" s="127"/>
      <c r="G257" s="128"/>
      <c r="H257" s="128"/>
    </row>
    <row r="258" spans="1:8" s="112" customFormat="1" ht="11.25">
      <c r="A258" s="74" t="s">
        <v>243</v>
      </c>
      <c r="B258" s="75"/>
      <c r="C258" s="75"/>
      <c r="D258" s="74" t="s">
        <v>244</v>
      </c>
      <c r="E258" s="75"/>
      <c r="F258" s="129"/>
      <c r="G258" s="74"/>
      <c r="H258" s="78"/>
    </row>
    <row r="259" spans="1:8" s="112" customFormat="1" ht="11.25">
      <c r="A259" s="83" t="s">
        <v>257</v>
      </c>
      <c r="B259" s="84"/>
      <c r="C259" s="84"/>
      <c r="D259" s="83" t="s">
        <v>651</v>
      </c>
      <c r="E259" s="84"/>
      <c r="F259" s="132"/>
      <c r="G259" s="83"/>
      <c r="H259" s="87"/>
    </row>
    <row r="260" spans="1:8" s="112" customFormat="1" ht="33.75">
      <c r="A260" s="114" t="s">
        <v>261</v>
      </c>
      <c r="B260" s="115" t="str">
        <f>VLOOKUP(A260,'Orçamento Sintético'!$A:$H,2,0)</f>
        <v> MPDFT1458 </v>
      </c>
      <c r="C260" s="115" t="str">
        <f>VLOOKUP(A260,'Orçamento Sintético'!$A:$H,3,0)</f>
        <v>Próprio</v>
      </c>
      <c r="D260" s="116" t="str">
        <f>VLOOKUP(A260,'Orçamento Sintético'!$A:$H,4,0)</f>
        <v>Copia da SINAPI (100722) - PINTURA COM FUNDO PREPARADOR SUPER GALVITE, APLICADA A ROLO OU PINCEL SOBRE SUPERFÍCIES METÁLICAS, EXECUTADO EM OBRA (POR DEMÃO)</v>
      </c>
      <c r="E260" s="115" t="str">
        <f>VLOOKUP(A260,'Orçamento Sintético'!$A:$H,5,0)</f>
        <v>m²</v>
      </c>
      <c r="F260" s="117"/>
      <c r="G260" s="118"/>
      <c r="H260" s="118">
        <f>SUM(H261:H263)</f>
        <v>21.240000000000002</v>
      </c>
    </row>
    <row r="261" spans="1:8" s="112" customFormat="1" ht="11.25">
      <c r="A261" s="120" t="str">
        <f>VLOOKUP(B261,'Insumos e Serviços'!$A:$F,3,0)</f>
        <v>Composição</v>
      </c>
      <c r="B261" s="121" t="s">
        <v>652</v>
      </c>
      <c r="C261" s="122" t="str">
        <f>VLOOKUP(B261,'Insumos e Serviços'!$A:$F,2,0)</f>
        <v>SINAPI</v>
      </c>
      <c r="D261" s="120" t="str">
        <f>VLOOKUP(B261,'Insumos e Serviços'!$A:$F,4,0)</f>
        <v>PINTOR COM ENCARGOS COMPLEMENTARES</v>
      </c>
      <c r="E261" s="122" t="str">
        <f>VLOOKUP(B261,'Insumos e Serviços'!$A:$F,5,0)</f>
        <v>H</v>
      </c>
      <c r="F261" s="123">
        <v>0.6779</v>
      </c>
      <c r="G261" s="72">
        <f>VLOOKUP(B261,'Insumos e Serviços'!$A:$F,6,0)</f>
        <v>27.25</v>
      </c>
      <c r="H261" s="72">
        <f>TRUNC(F261*G261,2)</f>
        <v>18.47</v>
      </c>
    </row>
    <row r="262" spans="1:8" s="112" customFormat="1" ht="11.25">
      <c r="A262" s="120" t="str">
        <f>VLOOKUP(B262,'Insumos e Serviços'!$A:$F,3,0)</f>
        <v>Insumo</v>
      </c>
      <c r="B262" s="121" t="s">
        <v>653</v>
      </c>
      <c r="C262" s="122" t="str">
        <f>VLOOKUP(B262,'Insumos e Serviços'!$A:$F,2,0)</f>
        <v>SINAPI</v>
      </c>
      <c r="D262" s="120" t="str">
        <f>VLOOKUP(B262,'Insumos e Serviços'!$A:$F,4,0)</f>
        <v>DILUENTE AGUARRAS</v>
      </c>
      <c r="E262" s="122" t="str">
        <f>VLOOKUP(B262,'Insumos e Serviços'!$A:$F,5,0)</f>
        <v>L</v>
      </c>
      <c r="F262" s="123">
        <v>0.011</v>
      </c>
      <c r="G262" s="72">
        <f>VLOOKUP(B262,'Insumos e Serviços'!$A:$F,6,0)</f>
        <v>18</v>
      </c>
      <c r="H262" s="72">
        <f>TRUNC(F262*G262,2)</f>
        <v>0.19</v>
      </c>
    </row>
    <row r="263" spans="1:8" s="112" customFormat="1" ht="11.25">
      <c r="A263" s="120" t="str">
        <f>VLOOKUP(B263,'Insumos e Serviços'!$A:$F,3,0)</f>
        <v>Insumo</v>
      </c>
      <c r="B263" s="121" t="s">
        <v>654</v>
      </c>
      <c r="C263" s="122" t="str">
        <f>VLOOKUP(B263,'Insumos e Serviços'!$A:$F,2,0)</f>
        <v>Próprio</v>
      </c>
      <c r="D263" s="120" t="str">
        <f>VLOOKUP(B263,'Insumos e Serviços'!$A:$F,4,0)</f>
        <v>Fundo preparador para metais, ref. Super Galvite, fab. Sherwin Williams</v>
      </c>
      <c r="E263" s="122" t="str">
        <f>VLOOKUP(B263,'Insumos e Serviços'!$A:$F,5,0)</f>
        <v>l</v>
      </c>
      <c r="F263" s="123">
        <v>0.1098</v>
      </c>
      <c r="G263" s="72">
        <f>VLOOKUP(B263,'Insumos e Serviços'!$A:$F,6,0)</f>
        <v>23.52</v>
      </c>
      <c r="H263" s="72">
        <f>TRUNC(F263*G263,2)</f>
        <v>2.58</v>
      </c>
    </row>
    <row r="264" spans="1:8" s="112" customFormat="1" ht="11.25">
      <c r="A264" s="124"/>
      <c r="B264" s="125"/>
      <c r="C264" s="125"/>
      <c r="D264" s="126"/>
      <c r="E264" s="125"/>
      <c r="F264" s="127"/>
      <c r="G264" s="128"/>
      <c r="H264" s="128"/>
    </row>
    <row r="265" spans="1:8" s="112" customFormat="1" ht="11.25">
      <c r="A265" s="62" t="s">
        <v>267</v>
      </c>
      <c r="B265" s="63"/>
      <c r="C265" s="63"/>
      <c r="D265" s="62" t="s">
        <v>268</v>
      </c>
      <c r="E265" s="63"/>
      <c r="F265" s="113"/>
      <c r="G265" s="62"/>
      <c r="H265" s="67"/>
    </row>
    <row r="266" spans="1:8" s="112" customFormat="1" ht="11.25">
      <c r="A266" s="74" t="s">
        <v>269</v>
      </c>
      <c r="B266" s="75"/>
      <c r="C266" s="75"/>
      <c r="D266" s="74" t="s">
        <v>270</v>
      </c>
      <c r="E266" s="75"/>
      <c r="F266" s="129"/>
      <c r="G266" s="74"/>
      <c r="H266" s="78"/>
    </row>
    <row r="267" spans="1:8" s="112" customFormat="1" ht="33.75">
      <c r="A267" s="114" t="s">
        <v>271</v>
      </c>
      <c r="B267" s="115" t="str">
        <f>VLOOKUP(A267,'Orçamento Sintético'!$A:$H,2,0)</f>
        <v> MPDFT0480 </v>
      </c>
      <c r="C267" s="115" t="str">
        <f>VLOOKUP(A267,'Orçamento Sintético'!$A:$H,3,0)</f>
        <v>Próprio</v>
      </c>
      <c r="D267" s="116" t="str">
        <f>VLOOKUP(A267,'Orçamento Sintético'!$A:$H,4,0)</f>
        <v>Copia da SINAPI (98546) - Impermeabilização de superfície com manta asfáltica (com polímeros elastoméricos), e=4mm, ref. Torodin Extra, colada com asfalto derretido</v>
      </c>
      <c r="E267" s="115" t="str">
        <f>VLOOKUP(A267,'Orçamento Sintético'!$A:$H,5,0)</f>
        <v>m²</v>
      </c>
      <c r="F267" s="117"/>
      <c r="G267" s="118"/>
      <c r="H267" s="118">
        <f>SUM(H268:H273)</f>
        <v>123.86999999999999</v>
      </c>
    </row>
    <row r="268" spans="1:8" s="112" customFormat="1" ht="11.25">
      <c r="A268" s="120" t="str">
        <f>VLOOKUP(B268,'Insumos e Serviços'!$A:$F,3,0)</f>
        <v>Composição</v>
      </c>
      <c r="B268" s="121" t="s">
        <v>593</v>
      </c>
      <c r="C268" s="122" t="str">
        <f>VLOOKUP(B268,'Insumos e Serviços'!$A:$F,2,0)</f>
        <v>SINAPI</v>
      </c>
      <c r="D268" s="120" t="str">
        <f>VLOOKUP(B268,'Insumos e Serviços'!$A:$F,4,0)</f>
        <v>AJUDANTE ESPECIALIZADO COM ENCARGOS COMPLEMENTARES</v>
      </c>
      <c r="E268" s="122" t="str">
        <f>VLOOKUP(B268,'Insumos e Serviços'!$A:$F,5,0)</f>
        <v>H</v>
      </c>
      <c r="F268" s="123">
        <v>0.024</v>
      </c>
      <c r="G268" s="72">
        <f>VLOOKUP(B268,'Insumos e Serviços'!$A:$F,6,0)</f>
        <v>20.5</v>
      </c>
      <c r="H268" s="72">
        <f aca="true" t="shared" si="13" ref="H268:H273">TRUNC(F268*G268,2)</f>
        <v>0.49</v>
      </c>
    </row>
    <row r="269" spans="1:8" s="112" customFormat="1" ht="11.25">
      <c r="A269" s="120" t="str">
        <f>VLOOKUP(B269,'Insumos e Serviços'!$A:$F,3,0)</f>
        <v>Composição</v>
      </c>
      <c r="B269" s="121" t="s">
        <v>655</v>
      </c>
      <c r="C269" s="122" t="str">
        <f>VLOOKUP(B269,'Insumos e Serviços'!$A:$F,2,0)</f>
        <v>SINAPI</v>
      </c>
      <c r="D269" s="120" t="str">
        <f>VLOOKUP(B269,'Insumos e Serviços'!$A:$F,4,0)</f>
        <v>IMPERMEABILIZADOR COM ENCARGOS COMPLEMENTARES</v>
      </c>
      <c r="E269" s="122" t="str">
        <f>VLOOKUP(B269,'Insumos e Serviços'!$A:$F,5,0)</f>
        <v>H</v>
      </c>
      <c r="F269" s="123">
        <v>0.118</v>
      </c>
      <c r="G269" s="72">
        <f>VLOOKUP(B269,'Insumos e Serviços'!$A:$F,6,0)</f>
        <v>26.2</v>
      </c>
      <c r="H269" s="72">
        <f t="shared" si="13"/>
        <v>3.09</v>
      </c>
    </row>
    <row r="270" spans="1:8" s="112" customFormat="1" ht="22.5">
      <c r="A270" s="120" t="str">
        <f>VLOOKUP(B270,'Insumos e Serviços'!$A:$F,3,0)</f>
        <v>Insumo</v>
      </c>
      <c r="B270" s="121" t="s">
        <v>656</v>
      </c>
      <c r="C270" s="122" t="str">
        <f>VLOOKUP(B270,'Insumos e Serviços'!$A:$F,2,0)</f>
        <v>SINAPI</v>
      </c>
      <c r="D270" s="120" t="str">
        <f>VLOOKUP(B270,'Insumos e Serviços'!$A:$F,4,0)</f>
        <v>MANTA ASFALTICA ELASTOMERICA EM POLIESTER 4 MM, TIPO III, CLASSE B, ACABAMENTO PP (NBR 9952)</v>
      </c>
      <c r="E270" s="122" t="str">
        <f>VLOOKUP(B270,'Insumos e Serviços'!$A:$F,5,0)</f>
        <v>m²</v>
      </c>
      <c r="F270" s="123">
        <v>1.125</v>
      </c>
      <c r="G270" s="72">
        <f>VLOOKUP(B270,'Insumos e Serviços'!$A:$F,6,0)</f>
        <v>61.59</v>
      </c>
      <c r="H270" s="72">
        <f t="shared" si="13"/>
        <v>69.28</v>
      </c>
    </row>
    <row r="271" spans="1:8" s="112" customFormat="1" ht="11.25">
      <c r="A271" s="120" t="str">
        <f>VLOOKUP(B271,'Insumos e Serviços'!$A:$F,3,0)</f>
        <v>Insumo</v>
      </c>
      <c r="B271" s="121" t="s">
        <v>657</v>
      </c>
      <c r="C271" s="122" t="str">
        <f>VLOOKUP(B271,'Insumos e Serviços'!$A:$F,2,0)</f>
        <v>SINAPI</v>
      </c>
      <c r="D271" s="120" t="str">
        <f>VLOOKUP(B271,'Insumos e Serviços'!$A:$F,4,0)</f>
        <v>GAS DE COZINHA - GLP</v>
      </c>
      <c r="E271" s="122" t="str">
        <f>VLOOKUP(B271,'Insumos e Serviços'!$A:$F,5,0)</f>
        <v>KG</v>
      </c>
      <c r="F271" s="123">
        <v>0.101</v>
      </c>
      <c r="G271" s="72">
        <f>VLOOKUP(B271,'Insumos e Serviços'!$A:$F,6,0)</f>
        <v>8.16</v>
      </c>
      <c r="H271" s="72">
        <f t="shared" si="13"/>
        <v>0.82</v>
      </c>
    </row>
    <row r="272" spans="1:8" s="112" customFormat="1" ht="22.5">
      <c r="A272" s="120" t="str">
        <f>VLOOKUP(B272,'Insumos e Serviços'!$A:$F,3,0)</f>
        <v>Insumo</v>
      </c>
      <c r="B272" s="121" t="s">
        <v>658</v>
      </c>
      <c r="C272" s="122" t="str">
        <f>VLOOKUP(B272,'Insumos e Serviços'!$A:$F,2,0)</f>
        <v>SINAPI</v>
      </c>
      <c r="D272" s="120" t="str">
        <f>VLOOKUP(B272,'Insumos e Serviços'!$A:$F,4,0)</f>
        <v>PRIMER PARA MANTA ASFALTICA A BASE DE ASFALTO MODIFICADO DILUIDO EM SOLVENTE, APLICACAO A FRIO</v>
      </c>
      <c r="E272" s="122" t="str">
        <f>VLOOKUP(B272,'Insumos e Serviços'!$A:$F,5,0)</f>
        <v>L</v>
      </c>
      <c r="F272" s="123">
        <v>0.615</v>
      </c>
      <c r="G272" s="72">
        <f>VLOOKUP(B272,'Insumos e Serviços'!$A:$F,6,0)</f>
        <v>16.5</v>
      </c>
      <c r="H272" s="72">
        <f t="shared" si="13"/>
        <v>10.14</v>
      </c>
    </row>
    <row r="273" spans="1:8" s="112" customFormat="1" ht="22.5">
      <c r="A273" s="120" t="str">
        <f>VLOOKUP(B273,'Insumos e Serviços'!$A:$F,3,0)</f>
        <v>Insumo</v>
      </c>
      <c r="B273" s="121" t="s">
        <v>659</v>
      </c>
      <c r="C273" s="122" t="str">
        <f>VLOOKUP(B273,'Insumos e Serviços'!$A:$F,2,0)</f>
        <v>SINAPI</v>
      </c>
      <c r="D273" s="120" t="str">
        <f>VLOOKUP(B273,'Insumos e Serviços'!$A:$F,4,0)</f>
        <v>ASFALTO MODIFICADO TIPO II - NBR 9910 (ASFALTO OXIDADO PARA IMPERMEABILIZACAO, COEFICIENTE DE PENETRACAO 20-35)</v>
      </c>
      <c r="E273" s="122" t="str">
        <f>VLOOKUP(B273,'Insumos e Serviços'!$A:$F,5,0)</f>
        <v>KG</v>
      </c>
      <c r="F273" s="123">
        <v>3</v>
      </c>
      <c r="G273" s="72">
        <f>VLOOKUP(B273,'Insumos e Serviços'!$A:$F,6,0)</f>
        <v>13.35</v>
      </c>
      <c r="H273" s="72">
        <f t="shared" si="13"/>
        <v>40.05</v>
      </c>
    </row>
    <row r="274" spans="1:8" s="112" customFormat="1" ht="11.25">
      <c r="A274" s="124"/>
      <c r="B274" s="125"/>
      <c r="C274" s="125"/>
      <c r="D274" s="126"/>
      <c r="E274" s="125"/>
      <c r="F274" s="127"/>
      <c r="G274" s="128"/>
      <c r="H274" s="128"/>
    </row>
    <row r="275" spans="1:8" s="112" customFormat="1" ht="33.75">
      <c r="A275" s="114" t="s">
        <v>274</v>
      </c>
      <c r="B275" s="115" t="str">
        <f>VLOOKUP(A275,'Orçamento Sintético'!$A:$H,2,0)</f>
        <v> MPDFT1706 </v>
      </c>
      <c r="C275" s="115" t="str">
        <f>VLOOKUP(A275,'Orçamento Sintético'!$A:$H,3,0)</f>
        <v>Próprio</v>
      </c>
      <c r="D275" s="116" t="str">
        <f>VLOOKUP(A275,'Orçamento Sintético'!$A:$H,4,0)</f>
        <v>Cópia da Orse (10029) - Impermeabilização c/ manta asfáltica aluminizada 3mm, estruturada com não-tecido de poliéster, inclusive aplicação de 1 demão de primer</v>
      </c>
      <c r="E275" s="115" t="str">
        <f>VLOOKUP(A275,'Orçamento Sintético'!$A:$H,5,0)</f>
        <v>m²</v>
      </c>
      <c r="F275" s="117"/>
      <c r="G275" s="118"/>
      <c r="H275" s="118">
        <f>SUM(H276:H279)</f>
        <v>107.94</v>
      </c>
    </row>
    <row r="276" spans="1:8" s="112" customFormat="1" ht="11.25">
      <c r="A276" s="120" t="str">
        <f>VLOOKUP(B276,'Insumos e Serviços'!$A:$F,3,0)</f>
        <v>Composição</v>
      </c>
      <c r="B276" s="121" t="s">
        <v>581</v>
      </c>
      <c r="C276" s="122" t="str">
        <f>VLOOKUP(B276,'Insumos e Serviços'!$A:$F,2,0)</f>
        <v>SINAPI</v>
      </c>
      <c r="D276" s="120" t="str">
        <f>VLOOKUP(B276,'Insumos e Serviços'!$A:$F,4,0)</f>
        <v>SERVENTE COM ENCARGOS COMPLEMENTARES</v>
      </c>
      <c r="E276" s="122" t="str">
        <f>VLOOKUP(B276,'Insumos e Serviços'!$A:$F,5,0)</f>
        <v>H</v>
      </c>
      <c r="F276" s="123">
        <v>1</v>
      </c>
      <c r="G276" s="72">
        <f>VLOOKUP(B276,'Insumos e Serviços'!$A:$F,6,0)</f>
        <v>19.39</v>
      </c>
      <c r="H276" s="72">
        <f>TRUNC(F276*G276,2)</f>
        <v>19.39</v>
      </c>
    </row>
    <row r="277" spans="1:8" s="112" customFormat="1" ht="11.25">
      <c r="A277" s="120" t="str">
        <f>VLOOKUP(B277,'Insumos e Serviços'!$A:$F,3,0)</f>
        <v>Composição</v>
      </c>
      <c r="B277" s="121" t="s">
        <v>655</v>
      </c>
      <c r="C277" s="122" t="str">
        <f>VLOOKUP(B277,'Insumos e Serviços'!$A:$F,2,0)</f>
        <v>SINAPI</v>
      </c>
      <c r="D277" s="120" t="str">
        <f>VLOOKUP(B277,'Insumos e Serviços'!$A:$F,4,0)</f>
        <v>IMPERMEABILIZADOR COM ENCARGOS COMPLEMENTARES</v>
      </c>
      <c r="E277" s="122" t="str">
        <f>VLOOKUP(B277,'Insumos e Serviços'!$A:$F,5,0)</f>
        <v>H</v>
      </c>
      <c r="F277" s="123">
        <v>1</v>
      </c>
      <c r="G277" s="72">
        <f>VLOOKUP(B277,'Insumos e Serviços'!$A:$F,6,0)</f>
        <v>26.2</v>
      </c>
      <c r="H277" s="72">
        <f>TRUNC(F277*G277,2)</f>
        <v>26.2</v>
      </c>
    </row>
    <row r="278" spans="1:8" s="112" customFormat="1" ht="22.5">
      <c r="A278" s="120" t="str">
        <f>VLOOKUP(B278,'Insumos e Serviços'!$A:$F,3,0)</f>
        <v>Insumo</v>
      </c>
      <c r="B278" s="121" t="s">
        <v>658</v>
      </c>
      <c r="C278" s="122" t="str">
        <f>VLOOKUP(B278,'Insumos e Serviços'!$A:$F,2,0)</f>
        <v>SINAPI</v>
      </c>
      <c r="D278" s="120" t="str">
        <f>VLOOKUP(B278,'Insumos e Serviços'!$A:$F,4,0)</f>
        <v>PRIMER PARA MANTA ASFALTICA A BASE DE ASFALTO MODIFICADO DILUIDO EM SOLVENTE, APLICACAO A FRIO</v>
      </c>
      <c r="E278" s="122" t="str">
        <f>VLOOKUP(B278,'Insumos e Serviços'!$A:$F,5,0)</f>
        <v>L</v>
      </c>
      <c r="F278" s="123">
        <v>0.4</v>
      </c>
      <c r="G278" s="72">
        <f>VLOOKUP(B278,'Insumos e Serviços'!$A:$F,6,0)</f>
        <v>16.5</v>
      </c>
      <c r="H278" s="72">
        <f>TRUNC(F278*G278,2)</f>
        <v>6.6</v>
      </c>
    </row>
    <row r="279" spans="1:8" s="112" customFormat="1" ht="22.5">
      <c r="A279" s="120" t="str">
        <f>VLOOKUP(B279,'Insumos e Serviços'!$A:$F,3,0)</f>
        <v>Insumo</v>
      </c>
      <c r="B279" s="121" t="s">
        <v>660</v>
      </c>
      <c r="C279" s="122" t="str">
        <f>VLOOKUP(B279,'Insumos e Serviços'!$A:$F,2,0)</f>
        <v>SINAPI</v>
      </c>
      <c r="D279" s="120" t="str">
        <f>VLOOKUP(B279,'Insumos e Serviços'!$A:$F,4,0)</f>
        <v>MANTA ASFALTICA ELASTOMERICA EM POLIESTER ALUMINIZADA 3 MM, TIPO III, CLASSE B (NBR 9952)</v>
      </c>
      <c r="E279" s="122" t="str">
        <f>VLOOKUP(B279,'Insumos e Serviços'!$A:$F,5,0)</f>
        <v>m²</v>
      </c>
      <c r="F279" s="123">
        <v>1.15</v>
      </c>
      <c r="G279" s="72">
        <f>VLOOKUP(B279,'Insumos e Serviços'!$A:$F,6,0)</f>
        <v>48.48</v>
      </c>
      <c r="H279" s="72">
        <f>TRUNC(F279*G279,2)</f>
        <v>55.75</v>
      </c>
    </row>
    <row r="280" spans="1:8" s="112" customFormat="1" ht="11.25">
      <c r="A280" s="124"/>
      <c r="B280" s="125"/>
      <c r="C280" s="125"/>
      <c r="D280" s="126"/>
      <c r="E280" s="125"/>
      <c r="F280" s="127"/>
      <c r="G280" s="128"/>
      <c r="H280" s="128"/>
    </row>
    <row r="281" spans="1:8" s="112" customFormat="1" ht="33.75">
      <c r="A281" s="114" t="s">
        <v>277</v>
      </c>
      <c r="B281" s="115" t="str">
        <f>VLOOKUP(A281,'Orçamento Sintético'!$A:$H,2,0)</f>
        <v> MPDFT1714 </v>
      </c>
      <c r="C281" s="115" t="str">
        <f>VLOOKUP(A281,'Orçamento Sintético'!$A:$H,3,0)</f>
        <v>Próprio</v>
      </c>
      <c r="D281" s="116" t="str">
        <f>VLOOKUP(A281,'Orçamento Sintético'!$A:$H,4,0)</f>
        <v>Copia da SINAPI (98547) - Impermeabilização de superfície com manta asfáltica, três camadas no sistema sanfona, inclusive aplicação de primer asfáltico, e=4mm</v>
      </c>
      <c r="E281" s="115" t="str">
        <f>VLOOKUP(A281,'Orçamento Sintético'!$A:$H,5,0)</f>
        <v>m²</v>
      </c>
      <c r="F281" s="117"/>
      <c r="G281" s="118"/>
      <c r="H281" s="118">
        <f>SUM(H282:H286)</f>
        <v>321.78000000000003</v>
      </c>
    </row>
    <row r="282" spans="1:8" s="112" customFormat="1" ht="11.25">
      <c r="A282" s="120" t="str">
        <f>VLOOKUP(B282,'Insumos e Serviços'!$A:$F,3,0)</f>
        <v>Composição</v>
      </c>
      <c r="B282" s="121" t="s">
        <v>593</v>
      </c>
      <c r="C282" s="122" t="str">
        <f>VLOOKUP(B282,'Insumos e Serviços'!$A:$F,2,0)</f>
        <v>SINAPI</v>
      </c>
      <c r="D282" s="120" t="str">
        <f>VLOOKUP(B282,'Insumos e Serviços'!$A:$F,4,0)</f>
        <v>AJUDANTE ESPECIALIZADO COM ENCARGOS COMPLEMENTARES</v>
      </c>
      <c r="E282" s="122" t="str">
        <f>VLOOKUP(B282,'Insumos e Serviços'!$A:$F,5,0)</f>
        <v>H</v>
      </c>
      <c r="F282" s="123">
        <v>1.845</v>
      </c>
      <c r="G282" s="72">
        <f>VLOOKUP(B282,'Insumos e Serviços'!$A:$F,6,0)</f>
        <v>20.5</v>
      </c>
      <c r="H282" s="72">
        <f>TRUNC(F282*G282,2)</f>
        <v>37.82</v>
      </c>
    </row>
    <row r="283" spans="1:8" s="112" customFormat="1" ht="11.25">
      <c r="A283" s="120" t="str">
        <f>VLOOKUP(B283,'Insumos e Serviços'!$A:$F,3,0)</f>
        <v>Composição</v>
      </c>
      <c r="B283" s="121" t="s">
        <v>655</v>
      </c>
      <c r="C283" s="122" t="str">
        <f>VLOOKUP(B283,'Insumos e Serviços'!$A:$F,2,0)</f>
        <v>SINAPI</v>
      </c>
      <c r="D283" s="120" t="str">
        <f>VLOOKUP(B283,'Insumos e Serviços'!$A:$F,4,0)</f>
        <v>IMPERMEABILIZADOR COM ENCARGOS COMPLEMENTARES</v>
      </c>
      <c r="E283" s="122" t="str">
        <f>VLOOKUP(B283,'Insumos e Serviços'!$A:$F,5,0)</f>
        <v>H</v>
      </c>
      <c r="F283" s="123">
        <v>2.844</v>
      </c>
      <c r="G283" s="72">
        <f>VLOOKUP(B283,'Insumos e Serviços'!$A:$F,6,0)</f>
        <v>26.2</v>
      </c>
      <c r="H283" s="72">
        <f>TRUNC(F283*G283,2)</f>
        <v>74.51</v>
      </c>
    </row>
    <row r="284" spans="1:8" s="112" customFormat="1" ht="22.5">
      <c r="A284" s="120" t="str">
        <f>VLOOKUP(B284,'Insumos e Serviços'!$A:$F,3,0)</f>
        <v>Insumo</v>
      </c>
      <c r="B284" s="121" t="s">
        <v>658</v>
      </c>
      <c r="C284" s="122" t="str">
        <f>VLOOKUP(B284,'Insumos e Serviços'!$A:$F,2,0)</f>
        <v>SINAPI</v>
      </c>
      <c r="D284" s="120" t="str">
        <f>VLOOKUP(B284,'Insumos e Serviços'!$A:$F,4,0)</f>
        <v>PRIMER PARA MANTA ASFALTICA A BASE DE ASFALTO MODIFICADO DILUIDO EM SOLVENTE, APLICACAO A FRIO</v>
      </c>
      <c r="E284" s="122" t="str">
        <f>VLOOKUP(B284,'Insumos e Serviços'!$A:$F,5,0)</f>
        <v>L</v>
      </c>
      <c r="F284" s="123">
        <v>1.845</v>
      </c>
      <c r="G284" s="72">
        <f>VLOOKUP(B284,'Insumos e Serviços'!$A:$F,6,0)</f>
        <v>16.5</v>
      </c>
      <c r="H284" s="72">
        <f>TRUNC(F284*G284,2)</f>
        <v>30.44</v>
      </c>
    </row>
    <row r="285" spans="1:8" s="112" customFormat="1" ht="22.5">
      <c r="A285" s="120" t="str">
        <f>VLOOKUP(B285,'Insumos e Serviços'!$A:$F,3,0)</f>
        <v>Insumo</v>
      </c>
      <c r="B285" s="121" t="s">
        <v>656</v>
      </c>
      <c r="C285" s="122" t="str">
        <f>VLOOKUP(B285,'Insumos e Serviços'!$A:$F,2,0)</f>
        <v>SINAPI</v>
      </c>
      <c r="D285" s="120" t="str">
        <f>VLOOKUP(B285,'Insumos e Serviços'!$A:$F,4,0)</f>
        <v>MANTA ASFALTICA ELASTOMERICA EM POLIESTER 4 MM, TIPO III, CLASSE B, ACABAMENTO PP (NBR 9952)</v>
      </c>
      <c r="E285" s="122" t="str">
        <f>VLOOKUP(B285,'Insumos e Serviços'!$A:$F,5,0)</f>
        <v>m²</v>
      </c>
      <c r="F285" s="123">
        <v>2.7</v>
      </c>
      <c r="G285" s="72">
        <f>VLOOKUP(B285,'Insumos e Serviços'!$A:$F,6,0)</f>
        <v>61.59</v>
      </c>
      <c r="H285" s="72">
        <f>TRUNC(F285*G285,2)</f>
        <v>166.29</v>
      </c>
    </row>
    <row r="286" spans="1:8" s="112" customFormat="1" ht="11.25">
      <c r="A286" s="120" t="s">
        <v>661</v>
      </c>
      <c r="B286" s="121" t="s">
        <v>657</v>
      </c>
      <c r="C286" s="122" t="str">
        <f>VLOOKUP(B286,'Insumos e Serviços'!$A:$F,2,0)</f>
        <v>SINAPI</v>
      </c>
      <c r="D286" s="120" t="str">
        <f>VLOOKUP(B286,'Insumos e Serviços'!$A:$F,4,0)</f>
        <v>GAS DE COZINHA - GLP</v>
      </c>
      <c r="E286" s="122" t="str">
        <f>VLOOKUP(B286,'Insumos e Serviços'!$A:$F,5,0)</f>
        <v>KG</v>
      </c>
      <c r="F286" s="123">
        <v>1.56</v>
      </c>
      <c r="G286" s="72">
        <f>VLOOKUP(B286,'Insumos e Serviços'!$A:$F,6,0)</f>
        <v>8.16</v>
      </c>
      <c r="H286" s="72">
        <f>TRUNC(F286*G286,2)</f>
        <v>12.72</v>
      </c>
    </row>
    <row r="287" spans="1:8" s="112" customFormat="1" ht="11.25">
      <c r="A287" s="124"/>
      <c r="B287" s="125"/>
      <c r="C287" s="125"/>
      <c r="D287" s="126"/>
      <c r="E287" s="125"/>
      <c r="F287" s="127"/>
      <c r="G287" s="128"/>
      <c r="H287" s="128"/>
    </row>
    <row r="288" spans="1:8" s="112" customFormat="1" ht="11.25">
      <c r="A288" s="74" t="s">
        <v>282</v>
      </c>
      <c r="B288" s="75"/>
      <c r="C288" s="75"/>
      <c r="D288" s="74" t="s">
        <v>283</v>
      </c>
      <c r="E288" s="75"/>
      <c r="F288" s="129"/>
      <c r="G288" s="74"/>
      <c r="H288" s="78"/>
    </row>
    <row r="289" spans="1:8" s="112" customFormat="1" ht="33.75">
      <c r="A289" s="114" t="s">
        <v>284</v>
      </c>
      <c r="B289" s="115" t="str">
        <f>VLOOKUP(A289,'Orçamento Sintético'!$A:$H,2,0)</f>
        <v> MPDFT1061 </v>
      </c>
      <c r="C289" s="115" t="str">
        <f>VLOOKUP(A289,'Orçamento Sintético'!$A:$H,3,0)</f>
        <v>Próprio</v>
      </c>
      <c r="D289" s="116" t="str">
        <f>VLOOKUP(A289,'Orçamento Sintético'!$A:$H,4,0)</f>
        <v>Copia da SINAPI (98565) - Proteção mecânica horizontal com argamassa traço 1:4 (cimento e areia), preparo mecânico, espessura 3cm, incluso camada separadora geotextil e junta de dilatação com asfalto modificado</v>
      </c>
      <c r="E289" s="115" t="str">
        <f>VLOOKUP(A289,'Orçamento Sintético'!$A:$H,5,0)</f>
        <v>m²</v>
      </c>
      <c r="F289" s="117"/>
      <c r="G289" s="118"/>
      <c r="H289" s="118">
        <f>SUM(H290:H294)</f>
        <v>76.11</v>
      </c>
    </row>
    <row r="290" spans="1:8" s="112" customFormat="1" ht="11.25">
      <c r="A290" s="120" t="str">
        <f>VLOOKUP(B290,'Insumos e Serviços'!$A:$F,3,0)</f>
        <v>Composição</v>
      </c>
      <c r="B290" s="121" t="s">
        <v>583</v>
      </c>
      <c r="C290" s="122" t="str">
        <f>VLOOKUP(B290,'Insumos e Serviços'!$A:$F,2,0)</f>
        <v>SINAPI</v>
      </c>
      <c r="D290" s="120" t="str">
        <f>VLOOKUP(B290,'Insumos e Serviços'!$A:$F,4,0)</f>
        <v>PEDREIRO COM ENCARGOS COMPLEMENTARES</v>
      </c>
      <c r="E290" s="122" t="str">
        <f>VLOOKUP(B290,'Insumos e Serviços'!$A:$F,5,0)</f>
        <v>H</v>
      </c>
      <c r="F290" s="123">
        <v>0.913</v>
      </c>
      <c r="G290" s="72">
        <f>VLOOKUP(B290,'Insumos e Serviços'!$A:$F,6,0)</f>
        <v>26.2</v>
      </c>
      <c r="H290" s="72">
        <f>TRUNC(F290*G290,2)</f>
        <v>23.92</v>
      </c>
    </row>
    <row r="291" spans="1:8" s="112" customFormat="1" ht="11.25">
      <c r="A291" s="120" t="str">
        <f>VLOOKUP(B291,'Insumos e Serviços'!$A:$F,3,0)</f>
        <v>Composição</v>
      </c>
      <c r="B291" s="121" t="s">
        <v>581</v>
      </c>
      <c r="C291" s="122" t="str">
        <f>VLOOKUP(B291,'Insumos e Serviços'!$A:$F,2,0)</f>
        <v>SINAPI</v>
      </c>
      <c r="D291" s="120" t="str">
        <f>VLOOKUP(B291,'Insumos e Serviços'!$A:$F,4,0)</f>
        <v>SERVENTE COM ENCARGOS COMPLEMENTARES</v>
      </c>
      <c r="E291" s="122" t="str">
        <f>VLOOKUP(B291,'Insumos e Serviços'!$A:$F,5,0)</f>
        <v>H</v>
      </c>
      <c r="F291" s="123">
        <v>0.4303</v>
      </c>
      <c r="G291" s="72">
        <f>VLOOKUP(B291,'Insumos e Serviços'!$A:$F,6,0)</f>
        <v>19.39</v>
      </c>
      <c r="H291" s="72">
        <f>TRUNC(F291*G291,2)</f>
        <v>8.34</v>
      </c>
    </row>
    <row r="292" spans="1:8" s="112" customFormat="1" ht="22.5">
      <c r="A292" s="120" t="str">
        <f>VLOOKUP(B292,'Insumos e Serviços'!$A:$F,3,0)</f>
        <v>Composição</v>
      </c>
      <c r="B292" s="121" t="s">
        <v>662</v>
      </c>
      <c r="C292" s="122" t="str">
        <f>VLOOKUP(B292,'Insumos e Serviços'!$A:$F,2,0)</f>
        <v>SINAPI</v>
      </c>
      <c r="D292" s="120" t="str">
        <f>VLOOKUP(B292,'Insumos e Serviços'!$A:$F,4,0)</f>
        <v>ARGAMASSA TRAÇO 1:4 (EM VOLUME DE CIMENTO E AREIA MÉDIA ÚMIDA) PARA CONTRAPISO, PREPARO MECÂNICO COM BETONEIRA 400 L. AF_08/2019</v>
      </c>
      <c r="E292" s="122" t="str">
        <f>VLOOKUP(B292,'Insumos e Serviços'!$A:$F,5,0)</f>
        <v>m³</v>
      </c>
      <c r="F292" s="123">
        <v>0.035</v>
      </c>
      <c r="G292" s="72">
        <f>VLOOKUP(B292,'Insumos e Serviços'!$A:$F,6,0)</f>
        <v>676.92</v>
      </c>
      <c r="H292" s="72">
        <f>TRUNC(F292*G292,2)</f>
        <v>23.69</v>
      </c>
    </row>
    <row r="293" spans="1:8" s="112" customFormat="1" ht="22.5">
      <c r="A293" s="120" t="str">
        <f>VLOOKUP(B293,'Insumos e Serviços'!$A:$F,3,0)</f>
        <v>Insumo</v>
      </c>
      <c r="B293" s="121" t="s">
        <v>663</v>
      </c>
      <c r="C293" s="122" t="str">
        <f>VLOOKUP(B293,'Insumos e Serviços'!$A:$F,2,0)</f>
        <v>SINAPI</v>
      </c>
      <c r="D293" s="120" t="str">
        <f>VLOOKUP(B293,'Insumos e Serviços'!$A:$F,4,0)</f>
        <v>GEOTEXTIL NAO TECIDO AGULHADO DE FILAMENTOS CONTINUOS 100% POLIESTER, RESITENCIA A TRACAO = 14 KN/M</v>
      </c>
      <c r="E293" s="122" t="str">
        <f>VLOOKUP(B293,'Insumos e Serviços'!$A:$F,5,0)</f>
        <v>m²</v>
      </c>
      <c r="F293" s="123">
        <v>1.04</v>
      </c>
      <c r="G293" s="72">
        <f>VLOOKUP(B293,'Insumos e Serviços'!$A:$F,6,0)</f>
        <v>8.83</v>
      </c>
      <c r="H293" s="72">
        <f>TRUNC(F293*G293,2)</f>
        <v>9.18</v>
      </c>
    </row>
    <row r="294" spans="1:8" s="112" customFormat="1" ht="22.5">
      <c r="A294" s="120" t="str">
        <f>VLOOKUP(B294,'Insumos e Serviços'!$A:$F,3,0)</f>
        <v>Insumo</v>
      </c>
      <c r="B294" s="121" t="s">
        <v>664</v>
      </c>
      <c r="C294" s="122" t="str">
        <f>VLOOKUP(B294,'Insumos e Serviços'!$A:$F,2,0)</f>
        <v>SINAPI</v>
      </c>
      <c r="D294" s="120" t="str">
        <f>VLOOKUP(B294,'Insumos e Serviços'!$A:$F,4,0)</f>
        <v>ASFALTO MODIFICADO TIPO III - NBR 9910 (ASFALTO OXIDADO PARA IMPERMEABILIZACAO, COEFICIENTE DE PENETRACAO 15-25)</v>
      </c>
      <c r="E294" s="122" t="str">
        <f>VLOOKUP(B294,'Insumos e Serviços'!$A:$F,5,0)</f>
        <v>KG</v>
      </c>
      <c r="F294" s="123">
        <v>0.7333</v>
      </c>
      <c r="G294" s="72">
        <f>VLOOKUP(B294,'Insumos e Serviços'!$A:$F,6,0)</f>
        <v>14.98</v>
      </c>
      <c r="H294" s="72">
        <f>TRUNC(F294*G294,2)</f>
        <v>10.98</v>
      </c>
    </row>
    <row r="295" spans="1:8" s="112" customFormat="1" ht="11.25">
      <c r="A295" s="124"/>
      <c r="B295" s="125"/>
      <c r="C295" s="125"/>
      <c r="D295" s="126"/>
      <c r="E295" s="125"/>
      <c r="F295" s="127"/>
      <c r="G295" s="128"/>
      <c r="H295" s="128"/>
    </row>
    <row r="296" spans="1:8" s="112" customFormat="1" ht="33.75">
      <c r="A296" s="114" t="s">
        <v>287</v>
      </c>
      <c r="B296" s="115" t="str">
        <f>VLOOKUP(A296,'Orçamento Sintético'!$A:$H,2,0)</f>
        <v> MPDFT0550 </v>
      </c>
      <c r="C296" s="115" t="str">
        <f>VLOOKUP(A296,'Orçamento Sintético'!$A:$H,3,0)</f>
        <v>Próprio</v>
      </c>
      <c r="D296" s="116" t="str">
        <f>VLOOKUP(A296,'Orçamento Sintético'!$A:$H,4,0)</f>
        <v>Copia da SINAPI (98565) - Proteção mecânica vertical , preparo mecânico, espessura 3cm, incluso camada separadora geotextil e junta de dilatação com asfalto modificado - MPDFT0029</v>
      </c>
      <c r="E296" s="115" t="str">
        <f>VLOOKUP(A296,'Orçamento Sintético'!$A:$H,5,0)</f>
        <v>m²</v>
      </c>
      <c r="F296" s="117"/>
      <c r="G296" s="118"/>
      <c r="H296" s="118">
        <f>SUM(H297:H302)</f>
        <v>107.66000000000001</v>
      </c>
    </row>
    <row r="297" spans="1:8" s="112" customFormat="1" ht="11.25">
      <c r="A297" s="120" t="str">
        <f>VLOOKUP(B297,'Insumos e Serviços'!$A:$F,3,0)</f>
        <v>Composição</v>
      </c>
      <c r="B297" s="121" t="s">
        <v>583</v>
      </c>
      <c r="C297" s="122" t="str">
        <f>VLOOKUP(B297,'Insumos e Serviços'!$A:$F,2,0)</f>
        <v>SINAPI</v>
      </c>
      <c r="D297" s="120" t="str">
        <f>VLOOKUP(B297,'Insumos e Serviços'!$A:$F,4,0)</f>
        <v>PEDREIRO COM ENCARGOS COMPLEMENTARES</v>
      </c>
      <c r="E297" s="122" t="str">
        <f>VLOOKUP(B297,'Insumos e Serviços'!$A:$F,5,0)</f>
        <v>H</v>
      </c>
      <c r="F297" s="123">
        <v>0.913</v>
      </c>
      <c r="G297" s="72">
        <f>VLOOKUP(B297,'Insumos e Serviços'!$A:$F,6,0)</f>
        <v>26.2</v>
      </c>
      <c r="H297" s="72">
        <f aca="true" t="shared" si="14" ref="H297:H302">TRUNC(F297*G297,2)</f>
        <v>23.92</v>
      </c>
    </row>
    <row r="298" spans="1:8" s="112" customFormat="1" ht="11.25">
      <c r="A298" s="120" t="str">
        <f>VLOOKUP(B298,'Insumos e Serviços'!$A:$F,3,0)</f>
        <v>Composição</v>
      </c>
      <c r="B298" s="121" t="s">
        <v>581</v>
      </c>
      <c r="C298" s="122" t="str">
        <f>VLOOKUP(B298,'Insumos e Serviços'!$A:$F,2,0)</f>
        <v>SINAPI</v>
      </c>
      <c r="D298" s="120" t="str">
        <f>VLOOKUP(B298,'Insumos e Serviços'!$A:$F,4,0)</f>
        <v>SERVENTE COM ENCARGOS COMPLEMENTARES</v>
      </c>
      <c r="E298" s="122" t="str">
        <f>VLOOKUP(B298,'Insumos e Serviços'!$A:$F,5,0)</f>
        <v>H</v>
      </c>
      <c r="F298" s="123">
        <v>0.4303</v>
      </c>
      <c r="G298" s="72">
        <f>VLOOKUP(B298,'Insumos e Serviços'!$A:$F,6,0)</f>
        <v>19.39</v>
      </c>
      <c r="H298" s="72">
        <f t="shared" si="14"/>
        <v>8.34</v>
      </c>
    </row>
    <row r="299" spans="1:8" s="112" customFormat="1" ht="33.75">
      <c r="A299" s="120" t="str">
        <f>VLOOKUP(B299,'Insumos e Serviços'!$A:$F,3,0)</f>
        <v>Composição</v>
      </c>
      <c r="B299" s="121" t="s">
        <v>665</v>
      </c>
      <c r="C299" s="122" t="str">
        <f>VLOOKUP(B299,'Insumos e Serviços'!$A:$F,2,0)</f>
        <v>SINAPI</v>
      </c>
      <c r="D299" s="120" t="str">
        <f>VLOOKUP(B299,'Insumos e Serviços'!$A:$F,4,0)</f>
        <v>EMBOÇO OU MASSA ÚNICA EM ARGAMASSA TRAÇO 1:2:8, PREPARO MECÂNICO COM BETONEIRA 400 L, APLICADA MANUALMENTE EM PANOS CEGOS DE FACHADA (SEM PRESENÇA DE VÃOS), ESPESSURA DE 35 MM. AF_06/2014</v>
      </c>
      <c r="E299" s="122" t="str">
        <f>VLOOKUP(B299,'Insumos e Serviços'!$A:$F,5,0)</f>
        <v>m²</v>
      </c>
      <c r="F299" s="123">
        <v>1</v>
      </c>
      <c r="G299" s="72">
        <f>VLOOKUP(B299,'Insumos e Serviços'!$A:$F,6,0)</f>
        <v>50.91</v>
      </c>
      <c r="H299" s="72">
        <f t="shared" si="14"/>
        <v>50.91</v>
      </c>
    </row>
    <row r="300" spans="1:8" s="112" customFormat="1" ht="33.75">
      <c r="A300" s="120" t="str">
        <f>VLOOKUP(B300,'Insumos e Serviços'!$A:$F,3,0)</f>
        <v>Composição</v>
      </c>
      <c r="B300" s="121" t="s">
        <v>214</v>
      </c>
      <c r="C300" s="122" t="str">
        <f>VLOOKUP(B300,'Insumos e Serviços'!$A:$F,2,0)</f>
        <v>SINAPI</v>
      </c>
      <c r="D300" s="120" t="str">
        <f>VLOOKUP(B300,'Insumos e Serviços'!$A:$F,4,0)</f>
        <v>CHAPISCO APLICADO EM ALVENARIAS E ESTRUTURAS DE CONCRETO INTERNAS, COM COLHER DE PEDREIRO.  ARGAMASSA TRAÇO 1:3 COM PREPARO EM BETONEIRA 400L. AF_06/2014</v>
      </c>
      <c r="E300" s="122" t="str">
        <f>VLOOKUP(B300,'Insumos e Serviços'!$A:$F,5,0)</f>
        <v>m²</v>
      </c>
      <c r="F300" s="123">
        <v>1</v>
      </c>
      <c r="G300" s="72">
        <f>VLOOKUP(B300,'Insumos e Serviços'!$A:$F,6,0)</f>
        <v>4.33</v>
      </c>
      <c r="H300" s="72">
        <f t="shared" si="14"/>
        <v>4.33</v>
      </c>
    </row>
    <row r="301" spans="1:8" s="112" customFormat="1" ht="22.5">
      <c r="A301" s="120" t="str">
        <f>VLOOKUP(B301,'Insumos e Serviços'!$A:$F,3,0)</f>
        <v>Insumo</v>
      </c>
      <c r="B301" s="121" t="s">
        <v>663</v>
      </c>
      <c r="C301" s="122" t="str">
        <f>VLOOKUP(B301,'Insumos e Serviços'!$A:$F,2,0)</f>
        <v>SINAPI</v>
      </c>
      <c r="D301" s="120" t="str">
        <f>VLOOKUP(B301,'Insumos e Serviços'!$A:$F,4,0)</f>
        <v>GEOTEXTIL NAO TECIDO AGULHADO DE FILAMENTOS CONTINUOS 100% POLIESTER, RESITENCIA A TRACAO = 14 KN/M</v>
      </c>
      <c r="E301" s="122" t="str">
        <f>VLOOKUP(B301,'Insumos e Serviços'!$A:$F,5,0)</f>
        <v>m²</v>
      </c>
      <c r="F301" s="123">
        <v>1.04</v>
      </c>
      <c r="G301" s="72">
        <f>VLOOKUP(B301,'Insumos e Serviços'!$A:$F,6,0)</f>
        <v>8.83</v>
      </c>
      <c r="H301" s="72">
        <f t="shared" si="14"/>
        <v>9.18</v>
      </c>
    </row>
    <row r="302" spans="1:8" s="112" customFormat="1" ht="22.5">
      <c r="A302" s="120" t="str">
        <f>VLOOKUP(B302,'Insumos e Serviços'!$A:$F,3,0)</f>
        <v>Insumo</v>
      </c>
      <c r="B302" s="121" t="s">
        <v>664</v>
      </c>
      <c r="C302" s="122" t="str">
        <f>VLOOKUP(B302,'Insumos e Serviços'!$A:$F,2,0)</f>
        <v>SINAPI</v>
      </c>
      <c r="D302" s="120" t="str">
        <f>VLOOKUP(B302,'Insumos e Serviços'!$A:$F,4,0)</f>
        <v>ASFALTO MODIFICADO TIPO III - NBR 9910 (ASFALTO OXIDADO PARA IMPERMEABILIZACAO, COEFICIENTE DE PENETRACAO 15-25)</v>
      </c>
      <c r="E302" s="122" t="str">
        <f>VLOOKUP(B302,'Insumos e Serviços'!$A:$F,5,0)</f>
        <v>KG</v>
      </c>
      <c r="F302" s="123">
        <v>0.7333</v>
      </c>
      <c r="G302" s="72">
        <f>VLOOKUP(B302,'Insumos e Serviços'!$A:$F,6,0)</f>
        <v>14.98</v>
      </c>
      <c r="H302" s="72">
        <f t="shared" si="14"/>
        <v>10.98</v>
      </c>
    </row>
    <row r="303" spans="1:8" s="112" customFormat="1" ht="11.25">
      <c r="A303" s="124"/>
      <c r="B303" s="125"/>
      <c r="C303" s="125"/>
      <c r="D303" s="126"/>
      <c r="E303" s="125"/>
      <c r="F303" s="127"/>
      <c r="G303" s="128"/>
      <c r="H303" s="128"/>
    </row>
    <row r="304" spans="1:8" s="112" customFormat="1" ht="33.75">
      <c r="A304" s="114" t="s">
        <v>290</v>
      </c>
      <c r="B304" s="115" t="str">
        <f>VLOOKUP(A304,'Orçamento Sintético'!$A:$H,2,0)</f>
        <v> MPDFT1058 </v>
      </c>
      <c r="C304" s="115" t="str">
        <f>VLOOKUP(A304,'Orçamento Sintético'!$A:$H,3,0)</f>
        <v>Próprio</v>
      </c>
      <c r="D304" s="116" t="str">
        <f>VLOOKUP(A304,'Orçamento Sintético'!$A:$H,4,0)</f>
        <v>Cópia da Sinapi (87747) - Regularização / preparação de superfície com argamassa, e = 3cm, traço 1:3 (cimento e areia), com adição de de emulsão adesiva a base de resinas especiais de alto desempenho</v>
      </c>
      <c r="E304" s="115" t="str">
        <f>VLOOKUP(A304,'Orçamento Sintético'!$A:$H,5,0)</f>
        <v>m²</v>
      </c>
      <c r="F304" s="117"/>
      <c r="G304" s="118"/>
      <c r="H304" s="118">
        <f>SUM(H305:H308)</f>
        <v>61.32</v>
      </c>
    </row>
    <row r="305" spans="1:8" s="112" customFormat="1" ht="11.25">
      <c r="A305" s="120" t="str">
        <f>VLOOKUP(B305,'Insumos e Serviços'!$A:$F,3,0)</f>
        <v>Composição</v>
      </c>
      <c r="B305" s="121" t="s">
        <v>583</v>
      </c>
      <c r="C305" s="122" t="str">
        <f>VLOOKUP(B305,'Insumos e Serviços'!$A:$F,2,0)</f>
        <v>SINAPI</v>
      </c>
      <c r="D305" s="120" t="str">
        <f>VLOOKUP(B305,'Insumos e Serviços'!$A:$F,4,0)</f>
        <v>PEDREIRO COM ENCARGOS COMPLEMENTARES</v>
      </c>
      <c r="E305" s="122" t="str">
        <f>VLOOKUP(B305,'Insumos e Serviços'!$A:$F,5,0)</f>
        <v>H</v>
      </c>
      <c r="F305" s="123">
        <v>0.63</v>
      </c>
      <c r="G305" s="72">
        <f>VLOOKUP(B305,'Insumos e Serviços'!$A:$F,6,0)</f>
        <v>26.2</v>
      </c>
      <c r="H305" s="72">
        <f>TRUNC(F305*G305,2)</f>
        <v>16.5</v>
      </c>
    </row>
    <row r="306" spans="1:8" s="112" customFormat="1" ht="11.25">
      <c r="A306" s="120" t="str">
        <f>VLOOKUP(B306,'Insumos e Serviços'!$A:$F,3,0)</f>
        <v>Composição</v>
      </c>
      <c r="B306" s="121" t="s">
        <v>581</v>
      </c>
      <c r="C306" s="122" t="str">
        <f>VLOOKUP(B306,'Insumos e Serviços'!$A:$F,2,0)</f>
        <v>SINAPI</v>
      </c>
      <c r="D306" s="120" t="str">
        <f>VLOOKUP(B306,'Insumos e Serviços'!$A:$F,4,0)</f>
        <v>SERVENTE COM ENCARGOS COMPLEMENTARES</v>
      </c>
      <c r="E306" s="122" t="str">
        <f>VLOOKUP(B306,'Insumos e Serviços'!$A:$F,5,0)</f>
        <v>H</v>
      </c>
      <c r="F306" s="123">
        <v>0.315</v>
      </c>
      <c r="G306" s="72">
        <f>VLOOKUP(B306,'Insumos e Serviços'!$A:$F,6,0)</f>
        <v>19.39</v>
      </c>
      <c r="H306" s="72">
        <f>TRUNC(F306*G306,2)</f>
        <v>6.1</v>
      </c>
    </row>
    <row r="307" spans="1:8" s="112" customFormat="1" ht="22.5">
      <c r="A307" s="120" t="str">
        <f>VLOOKUP(B307,'Insumos e Serviços'!$A:$F,3,0)</f>
        <v>Composição</v>
      </c>
      <c r="B307" s="121" t="s">
        <v>666</v>
      </c>
      <c r="C307" s="122" t="str">
        <f>VLOOKUP(B307,'Insumos e Serviços'!$A:$F,2,0)</f>
        <v>SINAPI</v>
      </c>
      <c r="D307" s="120" t="str">
        <f>VLOOKUP(B307,'Insumos e Serviços'!$A:$F,4,0)</f>
        <v>ARGAMASSA TRAÇO 1:3 (EM VOLUME DE CIMENTO E AREIA MÉDIA ÚMIDA) PARA CONTRAPISO, PREPARO MECÂNICO COM BETONEIRA 400 L. AF_08/2019</v>
      </c>
      <c r="E307" s="122" t="str">
        <f>VLOOKUP(B307,'Insumos e Serviços'!$A:$F,5,0)</f>
        <v>m³</v>
      </c>
      <c r="F307" s="123">
        <v>0.0431</v>
      </c>
      <c r="G307" s="72">
        <f>VLOOKUP(B307,'Insumos e Serviços'!$A:$F,6,0)</f>
        <v>727.97</v>
      </c>
      <c r="H307" s="72">
        <f>TRUNC(F307*G307,2)</f>
        <v>31.37</v>
      </c>
    </row>
    <row r="308" spans="1:8" s="112" customFormat="1" ht="11.25">
      <c r="A308" s="120" t="str">
        <f>VLOOKUP(B308,'Insumos e Serviços'!$A:$F,3,0)</f>
        <v>Insumo</v>
      </c>
      <c r="B308" s="121" t="s">
        <v>667</v>
      </c>
      <c r="C308" s="122" t="str">
        <f>VLOOKUP(B308,'Insumos e Serviços'!$A:$F,2,0)</f>
        <v>SINAPI</v>
      </c>
      <c r="D308" s="120" t="str">
        <f>VLOOKUP(B308,'Insumos e Serviços'!$A:$F,4,0)</f>
        <v>ADITIVO ADESIVO LIQUIDO PARA ARGAMASSAS DE REVESTIMENTOS CIMENTICIOS</v>
      </c>
      <c r="E308" s="122" t="str">
        <f>VLOOKUP(B308,'Insumos e Serviços'!$A:$F,5,0)</f>
        <v>L</v>
      </c>
      <c r="F308" s="123">
        <v>0.435</v>
      </c>
      <c r="G308" s="72">
        <f>VLOOKUP(B308,'Insumos e Serviços'!$A:$F,6,0)</f>
        <v>16.91</v>
      </c>
      <c r="H308" s="72">
        <f>TRUNC(F308*G308,2)</f>
        <v>7.35</v>
      </c>
    </row>
    <row r="309" spans="1:8" s="112" customFormat="1" ht="11.25">
      <c r="A309" s="124"/>
      <c r="B309" s="125"/>
      <c r="C309" s="125"/>
      <c r="D309" s="126"/>
      <c r="E309" s="125"/>
      <c r="F309" s="127"/>
      <c r="G309" s="128"/>
      <c r="H309" s="128"/>
    </row>
    <row r="310" spans="1:8" s="112" customFormat="1" ht="33.75">
      <c r="A310" s="114" t="s">
        <v>293</v>
      </c>
      <c r="B310" s="115" t="str">
        <f>VLOOKUP(A310,'Orçamento Sintético'!$A:$H,2,0)</f>
        <v> MPDFT0706 </v>
      </c>
      <c r="C310" s="115" t="str">
        <f>VLOOKUP(A310,'Orçamento Sintético'!$A:$H,3,0)</f>
        <v>Próprio</v>
      </c>
      <c r="D310" s="116" t="str">
        <f>VLOOKUP(A310,'Orçamento Sintético'!$A:$H,4,0)</f>
        <v>Cópia da Sinapi (87747+87779) - Regularização / preparação de superfície vertical com argamassa, e = 3cm, traço 1:4 (cimento e areia), com adição de de emulsão adesiva a base de resinas especiais de alto desempenho</v>
      </c>
      <c r="E310" s="115" t="str">
        <f>VLOOKUP(A310,'Orçamento Sintético'!$A:$H,5,0)</f>
        <v>m²</v>
      </c>
      <c r="F310" s="117"/>
      <c r="G310" s="118"/>
      <c r="H310" s="118">
        <f>SUM(H311:H314)</f>
        <v>69.71</v>
      </c>
    </row>
    <row r="311" spans="1:8" s="112" customFormat="1" ht="22.5">
      <c r="A311" s="120" t="str">
        <f>VLOOKUP(B311,'Insumos e Serviços'!$A:$F,3,0)</f>
        <v>Composição</v>
      </c>
      <c r="B311" s="121" t="s">
        <v>668</v>
      </c>
      <c r="C311" s="122" t="str">
        <f>VLOOKUP(B311,'Insumos e Serviços'!$A:$F,2,0)</f>
        <v>SINAPI</v>
      </c>
      <c r="D311" s="120" t="str">
        <f>VLOOKUP(B311,'Insumos e Serviços'!$A:$F,4,0)</f>
        <v>ARGAMASSA TRAÇO 1:4 (CIMENTO E AREIA MÉDIA), PREPARO MECÂNICO COM BETONEIRA 400 L. AF_08/2014</v>
      </c>
      <c r="E311" s="122" t="str">
        <f>VLOOKUP(B311,'Insumos e Serviços'!$A:$F,5,0)</f>
        <v>m³</v>
      </c>
      <c r="F311" s="123">
        <v>0.0421</v>
      </c>
      <c r="G311" s="72">
        <f>VLOOKUP(B311,'Insumos e Serviços'!$A:$F,6,0)</f>
        <v>550.14</v>
      </c>
      <c r="H311" s="72">
        <f>TRUNC(F311*G311,2)</f>
        <v>23.16</v>
      </c>
    </row>
    <row r="312" spans="1:8" s="112" customFormat="1" ht="11.25">
      <c r="A312" s="120" t="str">
        <f>VLOOKUP(B312,'Insumos e Serviços'!$A:$F,3,0)</f>
        <v>Composição</v>
      </c>
      <c r="B312" s="121" t="s">
        <v>583</v>
      </c>
      <c r="C312" s="122" t="str">
        <f>VLOOKUP(B312,'Insumos e Serviços'!$A:$F,2,0)</f>
        <v>SINAPI</v>
      </c>
      <c r="D312" s="120" t="str">
        <f>VLOOKUP(B312,'Insumos e Serviços'!$A:$F,4,0)</f>
        <v>PEDREIRO COM ENCARGOS COMPLEMENTARES</v>
      </c>
      <c r="E312" s="122" t="str">
        <f>VLOOKUP(B312,'Insumos e Serviços'!$A:$F,5,0)</f>
        <v>H</v>
      </c>
      <c r="F312" s="123">
        <v>0.86</v>
      </c>
      <c r="G312" s="72">
        <f>VLOOKUP(B312,'Insumos e Serviços'!$A:$F,6,0)</f>
        <v>26.2</v>
      </c>
      <c r="H312" s="72">
        <f>TRUNC(F312*G312,2)</f>
        <v>22.53</v>
      </c>
    </row>
    <row r="313" spans="1:8" s="112" customFormat="1" ht="11.25">
      <c r="A313" s="120" t="str">
        <f>VLOOKUP(B313,'Insumos e Serviços'!$A:$F,3,0)</f>
        <v>Composição</v>
      </c>
      <c r="B313" s="121" t="s">
        <v>581</v>
      </c>
      <c r="C313" s="122" t="str">
        <f>VLOOKUP(B313,'Insumos e Serviços'!$A:$F,2,0)</f>
        <v>SINAPI</v>
      </c>
      <c r="D313" s="120" t="str">
        <f>VLOOKUP(B313,'Insumos e Serviços'!$A:$F,4,0)</f>
        <v>SERVENTE COM ENCARGOS COMPLEMENTARES</v>
      </c>
      <c r="E313" s="122" t="str">
        <f>VLOOKUP(B313,'Insumos e Serviços'!$A:$F,5,0)</f>
        <v>H</v>
      </c>
      <c r="F313" s="123">
        <v>0.86</v>
      </c>
      <c r="G313" s="72">
        <f>VLOOKUP(B313,'Insumos e Serviços'!$A:$F,6,0)</f>
        <v>19.39</v>
      </c>
      <c r="H313" s="72">
        <f>TRUNC(F313*G313,2)</f>
        <v>16.67</v>
      </c>
    </row>
    <row r="314" spans="1:8" s="112" customFormat="1" ht="11.25">
      <c r="A314" s="120" t="str">
        <f>VLOOKUP(B314,'Insumos e Serviços'!$A:$F,3,0)</f>
        <v>Insumo</v>
      </c>
      <c r="B314" s="121" t="s">
        <v>667</v>
      </c>
      <c r="C314" s="122" t="str">
        <f>VLOOKUP(B314,'Insumos e Serviços'!$A:$F,2,0)</f>
        <v>SINAPI</v>
      </c>
      <c r="D314" s="120" t="str">
        <f>VLOOKUP(B314,'Insumos e Serviços'!$A:$F,4,0)</f>
        <v>ADITIVO ADESIVO LIQUIDO PARA ARGAMASSAS DE REVESTIMENTOS CIMENTICIOS</v>
      </c>
      <c r="E314" s="122" t="str">
        <f>VLOOKUP(B314,'Insumos e Serviços'!$A:$F,5,0)</f>
        <v>L</v>
      </c>
      <c r="F314" s="123">
        <v>0.435</v>
      </c>
      <c r="G314" s="72">
        <f>VLOOKUP(B314,'Insumos e Serviços'!$A:$F,6,0)</f>
        <v>16.91</v>
      </c>
      <c r="H314" s="72">
        <f>TRUNC(F314*G314,2)</f>
        <v>7.35</v>
      </c>
    </row>
    <row r="315" spans="1:8" s="112" customFormat="1" ht="11.25">
      <c r="A315" s="124"/>
      <c r="B315" s="125"/>
      <c r="C315" s="125"/>
      <c r="D315" s="126"/>
      <c r="E315" s="125"/>
      <c r="F315" s="127"/>
      <c r="G315" s="128"/>
      <c r="H315" s="128"/>
    </row>
    <row r="316" spans="1:8" s="112" customFormat="1" ht="33.75">
      <c r="A316" s="114" t="s">
        <v>296</v>
      </c>
      <c r="B316" s="115" t="str">
        <f>VLOOKUP(A316,'Orçamento Sintético'!$A:$H,2,0)</f>
        <v> MPDFT0547 </v>
      </c>
      <c r="C316" s="115" t="str">
        <f>VLOOKUP(A316,'Orçamento Sintético'!$A:$H,3,0)</f>
        <v>Próprio</v>
      </c>
      <c r="D316" s="116" t="str">
        <f>VLOOKUP(A316,'Orçamento Sintético'!$A:$H,4,0)</f>
        <v>Copia da SINAPI (98546) - Impermeabilização de ralos ou ponto emergente com manta asfáltica (com polímeros elastoméricos), e=4mm, ref. Torodin Extra, colada com asfalto derretido</v>
      </c>
      <c r="E316" s="115" t="str">
        <f>VLOOKUP(A316,'Orçamento Sintético'!$A:$H,5,0)</f>
        <v>un</v>
      </c>
      <c r="F316" s="117"/>
      <c r="G316" s="118"/>
      <c r="H316" s="118">
        <f>SUM(H317:H321)</f>
        <v>41.9</v>
      </c>
    </row>
    <row r="317" spans="1:8" s="112" customFormat="1" ht="11.25">
      <c r="A317" s="120" t="str">
        <f>VLOOKUP(B317,'Insumos e Serviços'!$A:$F,3,0)</f>
        <v>Composição</v>
      </c>
      <c r="B317" s="121" t="s">
        <v>593</v>
      </c>
      <c r="C317" s="122" t="str">
        <f>VLOOKUP(B317,'Insumos e Serviços'!$A:$F,2,0)</f>
        <v>SINAPI</v>
      </c>
      <c r="D317" s="120" t="str">
        <f>VLOOKUP(B317,'Insumos e Serviços'!$A:$F,4,0)</f>
        <v>AJUDANTE ESPECIALIZADO COM ENCARGOS COMPLEMENTARES</v>
      </c>
      <c r="E317" s="122" t="str">
        <f>VLOOKUP(B317,'Insumos e Serviços'!$A:$F,5,0)</f>
        <v>H</v>
      </c>
      <c r="F317" s="123">
        <v>0.085</v>
      </c>
      <c r="G317" s="72">
        <f>VLOOKUP(B317,'Insumos e Serviços'!$A:$F,6,0)</f>
        <v>20.5</v>
      </c>
      <c r="H317" s="72">
        <f>TRUNC(F317*G317,2)</f>
        <v>1.74</v>
      </c>
    </row>
    <row r="318" spans="1:8" s="112" customFormat="1" ht="11.25">
      <c r="A318" s="120" t="str">
        <f>VLOOKUP(B318,'Insumos e Serviços'!$A:$F,3,0)</f>
        <v>Composição</v>
      </c>
      <c r="B318" s="121" t="s">
        <v>655</v>
      </c>
      <c r="C318" s="122" t="str">
        <f>VLOOKUP(B318,'Insumos e Serviços'!$A:$F,2,0)</f>
        <v>SINAPI</v>
      </c>
      <c r="D318" s="120" t="str">
        <f>VLOOKUP(B318,'Insumos e Serviços'!$A:$F,4,0)</f>
        <v>IMPERMEABILIZADOR COM ENCARGOS COMPLEMENTARES</v>
      </c>
      <c r="E318" s="122" t="str">
        <f>VLOOKUP(B318,'Insumos e Serviços'!$A:$F,5,0)</f>
        <v>H</v>
      </c>
      <c r="F318" s="123">
        <v>0.418</v>
      </c>
      <c r="G318" s="72">
        <f>VLOOKUP(B318,'Insumos e Serviços'!$A:$F,6,0)</f>
        <v>26.2</v>
      </c>
      <c r="H318" s="72">
        <f>TRUNC(F318*G318,2)</f>
        <v>10.95</v>
      </c>
    </row>
    <row r="319" spans="1:8" s="112" customFormat="1" ht="22.5">
      <c r="A319" s="120" t="str">
        <f>VLOOKUP(B319,'Insumos e Serviços'!$A:$F,3,0)</f>
        <v>Insumo</v>
      </c>
      <c r="B319" s="121" t="s">
        <v>656</v>
      </c>
      <c r="C319" s="122" t="str">
        <f>VLOOKUP(B319,'Insumos e Serviços'!$A:$F,2,0)</f>
        <v>SINAPI</v>
      </c>
      <c r="D319" s="120" t="str">
        <f>VLOOKUP(B319,'Insumos e Serviços'!$A:$F,4,0)</f>
        <v>MANTA ASFALTICA ELASTOMERICA EM POLIESTER 4 MM, TIPO III, CLASSE B, ACABAMENTO PP (NBR 9952)</v>
      </c>
      <c r="E319" s="122" t="str">
        <f>VLOOKUP(B319,'Insumos e Serviços'!$A:$F,5,0)</f>
        <v>m²</v>
      </c>
      <c r="F319" s="123">
        <v>0.297</v>
      </c>
      <c r="G319" s="72">
        <f>VLOOKUP(B319,'Insumos e Serviços'!$A:$F,6,0)</f>
        <v>61.59</v>
      </c>
      <c r="H319" s="72">
        <f>TRUNC(F319*G319,2)</f>
        <v>18.29</v>
      </c>
    </row>
    <row r="320" spans="1:8" s="112" customFormat="1" ht="11.25">
      <c r="A320" s="120" t="str">
        <f>VLOOKUP(B320,'Insumos e Serviços'!$A:$F,3,0)</f>
        <v>Insumo</v>
      </c>
      <c r="B320" s="121" t="s">
        <v>657</v>
      </c>
      <c r="C320" s="122" t="str">
        <f>VLOOKUP(B320,'Insumos e Serviços'!$A:$F,2,0)</f>
        <v>SINAPI</v>
      </c>
      <c r="D320" s="120" t="str">
        <f>VLOOKUP(B320,'Insumos e Serviços'!$A:$F,4,0)</f>
        <v>GAS DE COZINHA - GLP</v>
      </c>
      <c r="E320" s="122" t="str">
        <f>VLOOKUP(B320,'Insumos e Serviços'!$A:$F,5,0)</f>
        <v>KG</v>
      </c>
      <c r="F320" s="123">
        <v>0.555</v>
      </c>
      <c r="G320" s="72">
        <f>VLOOKUP(B320,'Insumos e Serviços'!$A:$F,6,0)</f>
        <v>8.16</v>
      </c>
      <c r="H320" s="72">
        <f>TRUNC(F320*G320,2)</f>
        <v>4.52</v>
      </c>
    </row>
    <row r="321" spans="1:8" s="112" customFormat="1" ht="22.5">
      <c r="A321" s="120" t="str">
        <f>VLOOKUP(B321,'Insumos e Serviços'!$A:$F,3,0)</f>
        <v>Insumo</v>
      </c>
      <c r="B321" s="121" t="s">
        <v>659</v>
      </c>
      <c r="C321" s="122" t="str">
        <f>VLOOKUP(B321,'Insumos e Serviços'!$A:$F,2,0)</f>
        <v>SINAPI</v>
      </c>
      <c r="D321" s="120" t="str">
        <f>VLOOKUP(B321,'Insumos e Serviços'!$A:$F,4,0)</f>
        <v>ASFALTO MODIFICADO TIPO II - NBR 9910 (ASFALTO OXIDADO PARA IMPERMEABILIZACAO, COEFICIENTE DE PENETRACAO 20-35)</v>
      </c>
      <c r="E321" s="122" t="str">
        <f>VLOOKUP(B321,'Insumos e Serviços'!$A:$F,5,0)</f>
        <v>KG</v>
      </c>
      <c r="F321" s="123">
        <v>0.48</v>
      </c>
      <c r="G321" s="72">
        <f>VLOOKUP(B321,'Insumos e Serviços'!$A:$F,6,0)</f>
        <v>13.35</v>
      </c>
      <c r="H321" s="72">
        <f>TRUNC(F321*G321,2)</f>
        <v>6.4</v>
      </c>
    </row>
    <row r="322" spans="1:8" s="112" customFormat="1" ht="11.25">
      <c r="A322" s="124"/>
      <c r="B322" s="125"/>
      <c r="C322" s="125"/>
      <c r="D322" s="126"/>
      <c r="E322" s="125"/>
      <c r="F322" s="127"/>
      <c r="G322" s="128"/>
      <c r="H322" s="128"/>
    </row>
    <row r="323" spans="1:8" s="112" customFormat="1" ht="11.25">
      <c r="A323" s="74" t="s">
        <v>299</v>
      </c>
      <c r="B323" s="75"/>
      <c r="C323" s="75"/>
      <c r="D323" s="74" t="s">
        <v>300</v>
      </c>
      <c r="E323" s="75"/>
      <c r="F323" s="129"/>
      <c r="G323" s="74"/>
      <c r="H323" s="78"/>
    </row>
    <row r="324" spans="1:8" s="112" customFormat="1" ht="33.75">
      <c r="A324" s="114" t="s">
        <v>301</v>
      </c>
      <c r="B324" s="115" t="str">
        <f>VLOOKUP(A324,'Orçamento Sintético'!$A:$H,2,0)</f>
        <v> MPDFT0005 </v>
      </c>
      <c r="C324" s="115" t="str">
        <f>VLOOKUP(A324,'Orçamento Sintético'!$A:$H,3,0)</f>
        <v>Próprio</v>
      </c>
      <c r="D324" s="116" t="str">
        <f>VLOOKUP(A324,'Orçamento Sintético'!$A:$H,4,0)</f>
        <v>Copia da SINAPI (98556) - Impermeabilização de superfície com argamassa polimérica bicomponete, composta por 2 demaõs semi-flexível e 4 demãos flexivel, reforçado com véu de poliéster</v>
      </c>
      <c r="E324" s="115" t="str">
        <f>VLOOKUP(A324,'Orçamento Sintético'!$A:$H,5,0)</f>
        <v>m²</v>
      </c>
      <c r="F324" s="117"/>
      <c r="G324" s="118"/>
      <c r="H324" s="118">
        <f>SUM(H325:H329)</f>
        <v>117.67</v>
      </c>
    </row>
    <row r="325" spans="1:8" s="112" customFormat="1" ht="11.25">
      <c r="A325" s="120" t="str">
        <f>VLOOKUP(B325,'Insumos e Serviços'!$A:$F,3,0)</f>
        <v>Composição</v>
      </c>
      <c r="B325" s="121" t="s">
        <v>593</v>
      </c>
      <c r="C325" s="122" t="str">
        <f>VLOOKUP(B325,'Insumos e Serviços'!$A:$F,2,0)</f>
        <v>SINAPI</v>
      </c>
      <c r="D325" s="120" t="str">
        <f>VLOOKUP(B325,'Insumos e Serviços'!$A:$F,4,0)</f>
        <v>AJUDANTE ESPECIALIZADO COM ENCARGOS COMPLEMENTARES</v>
      </c>
      <c r="E325" s="122" t="str">
        <f>VLOOKUP(B325,'Insumos e Serviços'!$A:$F,5,0)</f>
        <v>H</v>
      </c>
      <c r="F325" s="123">
        <v>0.267</v>
      </c>
      <c r="G325" s="72">
        <f>VLOOKUP(B325,'Insumos e Serviços'!$A:$F,6,0)</f>
        <v>20.5</v>
      </c>
      <c r="H325" s="72">
        <f>TRUNC(F325*G325,2)</f>
        <v>5.47</v>
      </c>
    </row>
    <row r="326" spans="1:8" s="112" customFormat="1" ht="11.25">
      <c r="A326" s="120" t="str">
        <f>VLOOKUP(B326,'Insumos e Serviços'!$A:$F,3,0)</f>
        <v>Composição</v>
      </c>
      <c r="B326" s="121" t="s">
        <v>655</v>
      </c>
      <c r="C326" s="122" t="str">
        <f>VLOOKUP(B326,'Insumos e Serviços'!$A:$F,2,0)</f>
        <v>SINAPI</v>
      </c>
      <c r="D326" s="120" t="str">
        <f>VLOOKUP(B326,'Insumos e Serviços'!$A:$F,4,0)</f>
        <v>IMPERMEABILIZADOR COM ENCARGOS COMPLEMENTARES</v>
      </c>
      <c r="E326" s="122" t="str">
        <f>VLOOKUP(B326,'Insumos e Serviços'!$A:$F,5,0)</f>
        <v>H</v>
      </c>
      <c r="F326" s="123">
        <v>1.3215</v>
      </c>
      <c r="G326" s="72">
        <f>VLOOKUP(B326,'Insumos e Serviços'!$A:$F,6,0)</f>
        <v>26.2</v>
      </c>
      <c r="H326" s="72">
        <f>TRUNC(F326*G326,2)</f>
        <v>34.62</v>
      </c>
    </row>
    <row r="327" spans="1:8" s="112" customFormat="1" ht="22.5">
      <c r="A327" s="120" t="str">
        <f>VLOOKUP(B327,'Insumos e Serviços'!$A:$F,3,0)</f>
        <v>Insumo</v>
      </c>
      <c r="B327" s="121" t="s">
        <v>669</v>
      </c>
      <c r="C327" s="122" t="str">
        <f>VLOOKUP(B327,'Insumos e Serviços'!$A:$F,2,0)</f>
        <v>Próprio</v>
      </c>
      <c r="D327" s="120" t="str">
        <f>VLOOKUP(B327,'Insumos e Serviços'!$A:$F,4,0)</f>
        <v>Revestimento impermeabilizante flexível, bicomponente, à base de resinas termoplásticas e cimentos com aditivos e incorporação de fibras sintéticas, Viaplus 7000</v>
      </c>
      <c r="E327" s="122" t="str">
        <f>VLOOKUP(B327,'Insumos e Serviços'!$A:$F,5,0)</f>
        <v>kg</v>
      </c>
      <c r="F327" s="123">
        <v>4.5</v>
      </c>
      <c r="G327" s="72">
        <f>VLOOKUP(B327,'Insumos e Serviços'!$A:$F,6,0)</f>
        <v>13.67</v>
      </c>
      <c r="H327" s="72">
        <f>TRUNC(F327*G327,2)</f>
        <v>61.51</v>
      </c>
    </row>
    <row r="328" spans="1:8" s="112" customFormat="1" ht="22.5">
      <c r="A328" s="120" t="str">
        <f>VLOOKUP(B328,'Insumos e Serviços'!$A:$F,3,0)</f>
        <v>Insumo</v>
      </c>
      <c r="B328" s="121" t="s">
        <v>670</v>
      </c>
      <c r="C328" s="122" t="str">
        <f>VLOOKUP(B328,'Insumos e Serviços'!$A:$F,2,0)</f>
        <v>Próprio</v>
      </c>
      <c r="D328" s="120" t="str">
        <f>VLOOKUP(B328,'Insumos e Serviços'!$A:$F,4,0)</f>
        <v>Revestimento impermeabilizante semi-flexível, bicomponente - à base de cimentos especiais, adtivos minerais e polímeros, Viaplus 1000</v>
      </c>
      <c r="E328" s="122" t="str">
        <f>VLOOKUP(B328,'Insumos e Serviços'!$A:$F,5,0)</f>
        <v>kg</v>
      </c>
      <c r="F328" s="123">
        <v>2.25</v>
      </c>
      <c r="G328" s="72">
        <f>VLOOKUP(B328,'Insumos e Serviços'!$A:$F,6,0)</f>
        <v>3.2</v>
      </c>
      <c r="H328" s="72">
        <f>TRUNC(F328*G328,2)</f>
        <v>7.2</v>
      </c>
    </row>
    <row r="329" spans="1:8" s="112" customFormat="1" ht="11.25">
      <c r="A329" s="120" t="str">
        <f>VLOOKUP(B329,'Insumos e Serviços'!$A:$F,3,0)</f>
        <v>Insumo</v>
      </c>
      <c r="B329" s="121" t="s">
        <v>671</v>
      </c>
      <c r="C329" s="122" t="str">
        <f>VLOOKUP(B329,'Insumos e Serviços'!$A:$F,2,0)</f>
        <v>SINAPI</v>
      </c>
      <c r="D329" s="120" t="str">
        <f>VLOOKUP(B329,'Insumos e Serviços'!$A:$F,4,0)</f>
        <v>VEU POLIESTER</v>
      </c>
      <c r="E329" s="122" t="str">
        <f>VLOOKUP(B329,'Insumos e Serviços'!$A:$F,5,0)</f>
        <v>m²</v>
      </c>
      <c r="F329" s="123">
        <v>1.351</v>
      </c>
      <c r="G329" s="72">
        <f>VLOOKUP(B329,'Insumos e Serviços'!$A:$F,6,0)</f>
        <v>6.57</v>
      </c>
      <c r="H329" s="72">
        <f>TRUNC(F329*G329,2)</f>
        <v>8.87</v>
      </c>
    </row>
    <row r="330" spans="1:8" s="112" customFormat="1" ht="11.25">
      <c r="A330" s="124"/>
      <c r="B330" s="125"/>
      <c r="C330" s="125"/>
      <c r="D330" s="126"/>
      <c r="E330" s="125"/>
      <c r="F330" s="127"/>
      <c r="G330" s="128"/>
      <c r="H330" s="128"/>
    </row>
    <row r="331" spans="1:8" s="112" customFormat="1" ht="22.5">
      <c r="A331" s="114" t="s">
        <v>304</v>
      </c>
      <c r="B331" s="115" t="str">
        <f>VLOOKUP(A331,'Orçamento Sintético'!$A:$H,2,0)</f>
        <v> MPDFT0411 </v>
      </c>
      <c r="C331" s="115" t="str">
        <f>VLOOKUP(A331,'Orçamento Sintético'!$A:$H,3,0)</f>
        <v>Próprio</v>
      </c>
      <c r="D331" s="116" t="str">
        <f>VLOOKUP(A331,'Orçamento Sintético'!$A:$H,4,0)</f>
        <v>Baseado na Sinapi (98556) - Impermeabilização de superfície com impermeabilizante semi-flexível, 1 demão</v>
      </c>
      <c r="E331" s="115" t="str">
        <f>VLOOKUP(A331,'Orçamento Sintético'!$A:$H,5,0)</f>
        <v>m²</v>
      </c>
      <c r="F331" s="117"/>
      <c r="G331" s="118"/>
      <c r="H331" s="118">
        <f>SUM(H332:H334)</f>
        <v>10.96</v>
      </c>
    </row>
    <row r="332" spans="1:8" s="112" customFormat="1" ht="11.25">
      <c r="A332" s="120" t="str">
        <f>VLOOKUP(B332,'Insumos e Serviços'!$A:$F,3,0)</f>
        <v>Composição</v>
      </c>
      <c r="B332" s="121" t="s">
        <v>593</v>
      </c>
      <c r="C332" s="122" t="str">
        <f>VLOOKUP(B332,'Insumos e Serviços'!$A:$F,2,0)</f>
        <v>SINAPI</v>
      </c>
      <c r="D332" s="120" t="str">
        <f>VLOOKUP(B332,'Insumos e Serviços'!$A:$F,4,0)</f>
        <v>AJUDANTE ESPECIALIZADO COM ENCARGOS COMPLEMENTARES</v>
      </c>
      <c r="E332" s="122" t="str">
        <f>VLOOKUP(B332,'Insumos e Serviços'!$A:$F,5,0)</f>
        <v>H</v>
      </c>
      <c r="F332" s="123">
        <v>0.0445</v>
      </c>
      <c r="G332" s="72">
        <f>VLOOKUP(B332,'Insumos e Serviços'!$A:$F,6,0)</f>
        <v>20.5</v>
      </c>
      <c r="H332" s="72">
        <f>TRUNC(F332*G332,2)</f>
        <v>0.91</v>
      </c>
    </row>
    <row r="333" spans="1:8" s="112" customFormat="1" ht="11.25">
      <c r="A333" s="120" t="str">
        <f>VLOOKUP(B333,'Insumos e Serviços'!$A:$F,3,0)</f>
        <v>Composição</v>
      </c>
      <c r="B333" s="121" t="s">
        <v>655</v>
      </c>
      <c r="C333" s="122" t="str">
        <f>VLOOKUP(B333,'Insumos e Serviços'!$A:$F,2,0)</f>
        <v>SINAPI</v>
      </c>
      <c r="D333" s="120" t="str">
        <f>VLOOKUP(B333,'Insumos e Serviços'!$A:$F,4,0)</f>
        <v>IMPERMEABILIZADOR COM ENCARGOS COMPLEMENTARES</v>
      </c>
      <c r="E333" s="122" t="str">
        <f>VLOOKUP(B333,'Insumos e Serviços'!$A:$F,5,0)</f>
        <v>H</v>
      </c>
      <c r="F333" s="123">
        <v>0.2203</v>
      </c>
      <c r="G333" s="72">
        <f>VLOOKUP(B333,'Insumos e Serviços'!$A:$F,6,0)</f>
        <v>26.2</v>
      </c>
      <c r="H333" s="72">
        <f>TRUNC(F333*G333,2)</f>
        <v>5.77</v>
      </c>
    </row>
    <row r="334" spans="1:8" s="112" customFormat="1" ht="22.5">
      <c r="A334" s="120" t="str">
        <f>VLOOKUP(B334,'Insumos e Serviços'!$A:$F,3,0)</f>
        <v>Insumo</v>
      </c>
      <c r="B334" s="121" t="s">
        <v>672</v>
      </c>
      <c r="C334" s="122" t="str">
        <f>VLOOKUP(B334,'Insumos e Serviços'!$A:$F,2,0)</f>
        <v>SINAPI</v>
      </c>
      <c r="D334" s="120" t="str">
        <f>VLOOKUP(B334,'Insumos e Serviços'!$A:$F,4,0)</f>
        <v>ARGAMASSA POLIMERICA IMPERMEABILIZANTE SEMIFLEXIVEL, BICOMPONENTE (MEMBRANA IMPERMEABILIZANTE ACRILICA)</v>
      </c>
      <c r="E334" s="122" t="str">
        <f>VLOOKUP(B334,'Insumos e Serviços'!$A:$F,5,0)</f>
        <v>KG</v>
      </c>
      <c r="F334" s="123">
        <v>1.2</v>
      </c>
      <c r="G334" s="72">
        <f>VLOOKUP(B334,'Insumos e Serviços'!$A:$F,6,0)</f>
        <v>3.57</v>
      </c>
      <c r="H334" s="72">
        <f>TRUNC(F334*G334,2)</f>
        <v>4.28</v>
      </c>
    </row>
    <row r="335" spans="1:8" s="112" customFormat="1" ht="11.25">
      <c r="A335" s="124"/>
      <c r="B335" s="125"/>
      <c r="C335" s="125"/>
      <c r="D335" s="126"/>
      <c r="E335" s="125"/>
      <c r="F335" s="127"/>
      <c r="G335" s="128"/>
      <c r="H335" s="128"/>
    </row>
    <row r="336" spans="1:8" s="112" customFormat="1" ht="22.5">
      <c r="A336" s="114" t="s">
        <v>307</v>
      </c>
      <c r="B336" s="115" t="str">
        <f>VLOOKUP(A336,'Orçamento Sintético'!$A:$H,2,0)</f>
        <v> MPDFT1059 </v>
      </c>
      <c r="C336" s="115" t="str">
        <f>VLOOKUP(A336,'Orçamento Sintético'!$A:$H,3,0)</f>
        <v>Próprio</v>
      </c>
      <c r="D336" s="116" t="str">
        <f>VLOOKUP(A336,'Orçamento Sintético'!$A:$H,4,0)</f>
        <v>Cópia SINAPI (98556) - Impermeabilização com revestimento impermeabilizante semi-flexível e tela de poliéster com malha 2x2mm, ref. Viaplus 1000 (2 demãos)</v>
      </c>
      <c r="E336" s="115" t="str">
        <f>VLOOKUP(A336,'Orçamento Sintético'!$A:$H,5,0)</f>
        <v>m²</v>
      </c>
      <c r="F336" s="117"/>
      <c r="G336" s="118"/>
      <c r="H336" s="118">
        <f>SUM(H337:H340)</f>
        <v>29.72</v>
      </c>
    </row>
    <row r="337" spans="1:8" s="112" customFormat="1" ht="11.25">
      <c r="A337" s="120" t="str">
        <f>VLOOKUP(B337,'Insumos e Serviços'!$A:$F,3,0)</f>
        <v>Composição</v>
      </c>
      <c r="B337" s="121" t="s">
        <v>593</v>
      </c>
      <c r="C337" s="122" t="str">
        <f>VLOOKUP(B337,'Insumos e Serviços'!$A:$F,2,0)</f>
        <v>SINAPI</v>
      </c>
      <c r="D337" s="120" t="str">
        <f>VLOOKUP(B337,'Insumos e Serviços'!$A:$F,4,0)</f>
        <v>AJUDANTE ESPECIALIZADO COM ENCARGOS COMPLEMENTARES</v>
      </c>
      <c r="E337" s="122" t="str">
        <f>VLOOKUP(B337,'Insumos e Serviços'!$A:$F,5,0)</f>
        <v>H</v>
      </c>
      <c r="F337" s="123">
        <v>0.09</v>
      </c>
      <c r="G337" s="72">
        <f>VLOOKUP(B337,'Insumos e Serviços'!$A:$F,6,0)</f>
        <v>20.5</v>
      </c>
      <c r="H337" s="72">
        <f>TRUNC(F337*G337,2)</f>
        <v>1.84</v>
      </c>
    </row>
    <row r="338" spans="1:8" s="112" customFormat="1" ht="11.25">
      <c r="A338" s="120" t="str">
        <f>VLOOKUP(B338,'Insumos e Serviços'!$A:$F,3,0)</f>
        <v>Composição</v>
      </c>
      <c r="B338" s="121" t="s">
        <v>655</v>
      </c>
      <c r="C338" s="122" t="str">
        <f>VLOOKUP(B338,'Insumos e Serviços'!$A:$F,2,0)</f>
        <v>SINAPI</v>
      </c>
      <c r="D338" s="120" t="str">
        <f>VLOOKUP(B338,'Insumos e Serviços'!$A:$F,4,0)</f>
        <v>IMPERMEABILIZADOR COM ENCARGOS COMPLEMENTARES</v>
      </c>
      <c r="E338" s="122" t="str">
        <f>VLOOKUP(B338,'Insumos e Serviços'!$A:$F,5,0)</f>
        <v>H</v>
      </c>
      <c r="F338" s="123">
        <v>0.44</v>
      </c>
      <c r="G338" s="72">
        <f>VLOOKUP(B338,'Insumos e Serviços'!$A:$F,6,0)</f>
        <v>26.2</v>
      </c>
      <c r="H338" s="72">
        <f>TRUNC(F338*G338,2)</f>
        <v>11.52</v>
      </c>
    </row>
    <row r="339" spans="1:8" s="112" customFormat="1" ht="11.25">
      <c r="A339" s="120" t="str">
        <f>VLOOKUP(B339,'Insumos e Serviços'!$A:$F,3,0)</f>
        <v>Insumo</v>
      </c>
      <c r="B339" s="121" t="s">
        <v>671</v>
      </c>
      <c r="C339" s="122" t="str">
        <f>VLOOKUP(B339,'Insumos e Serviços'!$A:$F,2,0)</f>
        <v>SINAPI</v>
      </c>
      <c r="D339" s="120" t="str">
        <f>VLOOKUP(B339,'Insumos e Serviços'!$A:$F,4,0)</f>
        <v>VEU POLIESTER</v>
      </c>
      <c r="E339" s="122" t="str">
        <f>VLOOKUP(B339,'Insumos e Serviços'!$A:$F,5,0)</f>
        <v>m²</v>
      </c>
      <c r="F339" s="123">
        <v>1.351</v>
      </c>
      <c r="G339" s="72">
        <f>VLOOKUP(B339,'Insumos e Serviços'!$A:$F,6,0)</f>
        <v>6.57</v>
      </c>
      <c r="H339" s="72">
        <f>TRUNC(F339*G339,2)</f>
        <v>8.87</v>
      </c>
    </row>
    <row r="340" spans="1:8" s="112" customFormat="1" ht="22.5">
      <c r="A340" s="120" t="str">
        <f>VLOOKUP(B340,'Insumos e Serviços'!$A:$F,3,0)</f>
        <v>Insumo</v>
      </c>
      <c r="B340" s="121" t="s">
        <v>672</v>
      </c>
      <c r="C340" s="122" t="str">
        <f>VLOOKUP(B340,'Insumos e Serviços'!$A:$F,2,0)</f>
        <v>SINAPI</v>
      </c>
      <c r="D340" s="120" t="str">
        <f>VLOOKUP(B340,'Insumos e Serviços'!$A:$F,4,0)</f>
        <v>ARGAMASSA POLIMERICA IMPERMEABILIZANTE SEMIFLEXIVEL, BICOMPONENTE (MEMBRANA IMPERMEABILIZANTE ACRILICA)</v>
      </c>
      <c r="E340" s="122" t="str">
        <f>VLOOKUP(B340,'Insumos e Serviços'!$A:$F,5,0)</f>
        <v>KG</v>
      </c>
      <c r="F340" s="123">
        <v>2.1</v>
      </c>
      <c r="G340" s="72">
        <f>VLOOKUP(B340,'Insumos e Serviços'!$A:$F,6,0)</f>
        <v>3.57</v>
      </c>
      <c r="H340" s="72">
        <f>TRUNC(F340*G340,2)</f>
        <v>7.49</v>
      </c>
    </row>
    <row r="341" spans="1:8" s="112" customFormat="1" ht="11.25">
      <c r="A341" s="124"/>
      <c r="B341" s="125"/>
      <c r="C341" s="125"/>
      <c r="D341" s="126"/>
      <c r="E341" s="125"/>
      <c r="F341" s="127"/>
      <c r="G341" s="128"/>
      <c r="H341" s="128"/>
    </row>
    <row r="342" spans="1:8" s="112" customFormat="1" ht="22.5">
      <c r="A342" s="114" t="s">
        <v>310</v>
      </c>
      <c r="B342" s="115" t="s">
        <v>311</v>
      </c>
      <c r="C342" s="115" t="s">
        <v>1305</v>
      </c>
      <c r="D342" s="116" t="s">
        <v>312</v>
      </c>
      <c r="E342" s="115" t="s">
        <v>1316</v>
      </c>
      <c r="F342" s="117"/>
      <c r="G342" s="118"/>
      <c r="H342" s="118">
        <f>SUM(H343:H347)</f>
        <v>118.7</v>
      </c>
    </row>
    <row r="343" spans="1:8" s="112" customFormat="1" ht="11.25">
      <c r="A343" s="120" t="str">
        <f>VLOOKUP(B343,'Insumos e Serviços'!$A:$F,3,0)</f>
        <v>Composição</v>
      </c>
      <c r="B343" s="121" t="s">
        <v>581</v>
      </c>
      <c r="C343" s="122" t="str">
        <f>VLOOKUP(B343,'Insumos e Serviços'!$A:$F,2,0)</f>
        <v>SINAPI</v>
      </c>
      <c r="D343" s="120" t="str">
        <f>VLOOKUP(B343,'Insumos e Serviços'!$A:$F,4,0)</f>
        <v>SERVENTE COM ENCARGOS COMPLEMENTARES</v>
      </c>
      <c r="E343" s="122" t="str">
        <f>VLOOKUP(B343,'Insumos e Serviços'!$A:$F,5,0)</f>
        <v>H</v>
      </c>
      <c r="F343" s="123">
        <v>1</v>
      </c>
      <c r="G343" s="72">
        <f>VLOOKUP(B343,'Insumos e Serviços'!$A:$F,6,0)</f>
        <v>19.39</v>
      </c>
      <c r="H343" s="72">
        <f>TRUNC(F343*G343,2)</f>
        <v>19.39</v>
      </c>
    </row>
    <row r="344" spans="1:8" s="112" customFormat="1" ht="11.25">
      <c r="A344" s="120" t="str">
        <f>VLOOKUP(B344,'Insumos e Serviços'!$A:$F,3,0)</f>
        <v>Composição</v>
      </c>
      <c r="B344" s="121" t="s">
        <v>655</v>
      </c>
      <c r="C344" s="122" t="str">
        <f>VLOOKUP(B344,'Insumos e Serviços'!$A:$F,2,0)</f>
        <v>SINAPI</v>
      </c>
      <c r="D344" s="120" t="str">
        <f>VLOOKUP(B344,'Insumos e Serviços'!$A:$F,4,0)</f>
        <v>IMPERMEABILIZADOR COM ENCARGOS COMPLEMENTARES</v>
      </c>
      <c r="E344" s="122" t="str">
        <f>VLOOKUP(B344,'Insumos e Serviços'!$A:$F,5,0)</f>
        <v>H</v>
      </c>
      <c r="F344" s="123">
        <v>0.5</v>
      </c>
      <c r="G344" s="72">
        <f>VLOOKUP(B344,'Insumos e Serviços'!$A:$F,6,0)</f>
        <v>26.2</v>
      </c>
      <c r="H344" s="72">
        <f>TRUNC(F344*G344,2)</f>
        <v>13.1</v>
      </c>
    </row>
    <row r="345" spans="1:8" s="112" customFormat="1" ht="11.25">
      <c r="A345" s="120" t="str">
        <f>VLOOKUP(B345,'Insumos e Serviços'!$A:$F,3,0)</f>
        <v>Insumo</v>
      </c>
      <c r="B345" s="121" t="s">
        <v>671</v>
      </c>
      <c r="C345" s="122" t="str">
        <f>VLOOKUP(B345,'Insumos e Serviços'!$A:$F,2,0)</f>
        <v>SINAPI</v>
      </c>
      <c r="D345" s="120" t="str">
        <f>VLOOKUP(B345,'Insumos e Serviços'!$A:$F,4,0)</f>
        <v>VEU POLIESTER</v>
      </c>
      <c r="E345" s="122" t="str">
        <f>VLOOKUP(B345,'Insumos e Serviços'!$A:$F,5,0)</f>
        <v>m²</v>
      </c>
      <c r="F345" s="123">
        <v>1.1</v>
      </c>
      <c r="G345" s="72">
        <f>VLOOKUP(B345,'Insumos e Serviços'!$A:$F,6,0)</f>
        <v>6.57</v>
      </c>
      <c r="H345" s="72">
        <f>TRUNC(F345*G345,2)</f>
        <v>7.22</v>
      </c>
    </row>
    <row r="346" spans="1:8" s="112" customFormat="1" ht="11.25">
      <c r="A346" s="120" t="str">
        <f>VLOOKUP(B346,'Insumos e Serviços'!$A:$F,3,0)</f>
        <v>Insumo</v>
      </c>
      <c r="B346" s="121" t="s">
        <v>673</v>
      </c>
      <c r="C346" s="122" t="str">
        <f>VLOOKUP(B346,'Insumos e Serviços'!$A:$F,2,0)</f>
        <v>SINAPI</v>
      </c>
      <c r="D346" s="120" t="str">
        <f>VLOOKUP(B346,'Insumos e Serviços'!$A:$F,4,0)</f>
        <v>SOLUCAO ASFALTICA ELASTOMERICA PARA IMPRIMACAO, APLICACAO A FRIO</v>
      </c>
      <c r="E346" s="122" t="str">
        <f>VLOOKUP(B346,'Insumos e Serviços'!$A:$F,5,0)</f>
        <v>L</v>
      </c>
      <c r="F346" s="123">
        <v>0.45</v>
      </c>
      <c r="G346" s="72">
        <f>VLOOKUP(B346,'Insumos e Serviços'!$A:$F,6,0)</f>
        <v>13.14</v>
      </c>
      <c r="H346" s="72">
        <f>TRUNC(F346*G346,2)</f>
        <v>5.91</v>
      </c>
    </row>
    <row r="347" spans="1:8" s="112" customFormat="1" ht="33.75">
      <c r="A347" s="120" t="str">
        <f>VLOOKUP(B347,'Insumos e Serviços'!$A:$F,3,0)</f>
        <v>Insumo</v>
      </c>
      <c r="B347" s="121" t="s">
        <v>674</v>
      </c>
      <c r="C347" s="122" t="str">
        <f>VLOOKUP(B347,'Insumos e Serviços'!$A:$F,2,0)</f>
        <v>SINAPI</v>
      </c>
      <c r="D347" s="120" t="str">
        <f>VLOOKUP(B347,'Insumos e Serviços'!$A:$F,4,0)</f>
        <v>MANTA LIQUIDA DE BASE ASFALTICA MODIFICADA COM A ADICAO DE ELASTOMEROS DILUIDOS EM SOLVENTE ORGANICO, APLICACAO A FRIO (MEMBRANA IMPERMEABILIZANTE ASFASTICA)</v>
      </c>
      <c r="E347" s="122" t="str">
        <f>VLOOKUP(B347,'Insumos e Serviços'!$A:$F,5,0)</f>
        <v>KG</v>
      </c>
      <c r="F347" s="123">
        <v>3.5</v>
      </c>
      <c r="G347" s="72">
        <f>VLOOKUP(B347,'Insumos e Serviços'!$A:$F,6,0)</f>
        <v>20.88</v>
      </c>
      <c r="H347" s="72">
        <f>TRUNC(F347*G347,2)</f>
        <v>73.08</v>
      </c>
    </row>
    <row r="348" spans="1:8" s="112" customFormat="1" ht="11.25">
      <c r="A348" s="124"/>
      <c r="B348" s="125"/>
      <c r="C348" s="125"/>
      <c r="D348" s="126"/>
      <c r="E348" s="125"/>
      <c r="F348" s="127"/>
      <c r="G348" s="128"/>
      <c r="H348" s="128"/>
    </row>
    <row r="349" spans="1:8" s="112" customFormat="1" ht="11.25">
      <c r="A349" s="74" t="s">
        <v>315</v>
      </c>
      <c r="B349" s="75"/>
      <c r="C349" s="75"/>
      <c r="D349" s="74" t="s">
        <v>316</v>
      </c>
      <c r="E349" s="75"/>
      <c r="F349" s="129"/>
      <c r="G349" s="74"/>
      <c r="H349" s="78"/>
    </row>
    <row r="350" spans="1:8" s="112" customFormat="1" ht="22.5">
      <c r="A350" s="114" t="s">
        <v>317</v>
      </c>
      <c r="B350" s="115" t="str">
        <f>VLOOKUP(A350,'Orçamento Sintético'!$A:$H,2,0)</f>
        <v> MPDFT1710 </v>
      </c>
      <c r="C350" s="115" t="str">
        <f>VLOOKUP(A350,'Orçamento Sintético'!$A:$H,3,0)</f>
        <v>Próprio</v>
      </c>
      <c r="D350" s="116" t="str">
        <f>VLOOKUP(A350,'Orçamento Sintético'!$A:$H,4,0)</f>
        <v>Cópia da Seinfra (C4571) - Preenchimento de junta de dilatação ou trica com resina de vedação temporária Sika Injection-150 VEDA</v>
      </c>
      <c r="E350" s="115" t="str">
        <f>VLOOKUP(A350,'Orçamento Sintético'!$A:$H,5,0)</f>
        <v>m</v>
      </c>
      <c r="F350" s="117"/>
      <c r="G350" s="118"/>
      <c r="H350" s="118">
        <f>SUM(H351:H353)</f>
        <v>59.92</v>
      </c>
    </row>
    <row r="351" spans="1:8" s="112" customFormat="1" ht="11.25">
      <c r="A351" s="120" t="str">
        <f>VLOOKUP(B351,'Insumos e Serviços'!$A:$F,3,0)</f>
        <v>Composição</v>
      </c>
      <c r="B351" s="121" t="s">
        <v>655</v>
      </c>
      <c r="C351" s="122" t="str">
        <f>VLOOKUP(B351,'Insumos e Serviços'!$A:$F,2,0)</f>
        <v>SINAPI</v>
      </c>
      <c r="D351" s="120" t="str">
        <f>VLOOKUP(B351,'Insumos e Serviços'!$A:$F,4,0)</f>
        <v>IMPERMEABILIZADOR COM ENCARGOS COMPLEMENTARES</v>
      </c>
      <c r="E351" s="122" t="str">
        <f>VLOOKUP(B351,'Insumos e Serviços'!$A:$F,5,0)</f>
        <v>H</v>
      </c>
      <c r="F351" s="123">
        <v>0.6</v>
      </c>
      <c r="G351" s="72">
        <f>VLOOKUP(B351,'Insumos e Serviços'!$A:$F,6,0)</f>
        <v>26.2</v>
      </c>
      <c r="H351" s="72">
        <f>TRUNC(F351*G351,2)</f>
        <v>15.72</v>
      </c>
    </row>
    <row r="352" spans="1:8" s="112" customFormat="1" ht="11.25">
      <c r="A352" s="120" t="str">
        <f>VLOOKUP(B352,'Insumos e Serviços'!$A:$F,3,0)</f>
        <v>Composição</v>
      </c>
      <c r="B352" s="121" t="s">
        <v>581</v>
      </c>
      <c r="C352" s="122" t="str">
        <f>VLOOKUP(B352,'Insumos e Serviços'!$A:$F,2,0)</f>
        <v>SINAPI</v>
      </c>
      <c r="D352" s="120" t="str">
        <f>VLOOKUP(B352,'Insumos e Serviços'!$A:$F,4,0)</f>
        <v>SERVENTE COM ENCARGOS COMPLEMENTARES</v>
      </c>
      <c r="E352" s="122" t="str">
        <f>VLOOKUP(B352,'Insumos e Serviços'!$A:$F,5,0)</f>
        <v>H</v>
      </c>
      <c r="F352" s="123">
        <v>0.3</v>
      </c>
      <c r="G352" s="72">
        <f>VLOOKUP(B352,'Insumos e Serviços'!$A:$F,6,0)</f>
        <v>19.39</v>
      </c>
      <c r="H352" s="72">
        <f>TRUNC(F352*G352,2)</f>
        <v>5.81</v>
      </c>
    </row>
    <row r="353" spans="1:8" s="112" customFormat="1" ht="11.25">
      <c r="A353" s="120" t="str">
        <f>VLOOKUP(B353,'Insumos e Serviços'!$A:$F,3,0)</f>
        <v>Insumo</v>
      </c>
      <c r="B353" s="121" t="s">
        <v>675</v>
      </c>
      <c r="C353" s="122" t="str">
        <f>VLOOKUP(B353,'Insumos e Serviços'!$A:$F,2,0)</f>
        <v>Próprio</v>
      </c>
      <c r="D353" s="120" t="str">
        <f>VLOOKUP(B353,'Insumos e Serviços'!$A:$F,4,0)</f>
        <v>Resina de vedação temporária Sika® Injection-150 VEDA</v>
      </c>
      <c r="E353" s="122" t="str">
        <f>VLOOKUP(B353,'Insumos e Serviços'!$A:$F,5,0)</f>
        <v>L</v>
      </c>
      <c r="F353" s="123">
        <v>0.3</v>
      </c>
      <c r="G353" s="72">
        <f>VLOOKUP(B353,'Insumos e Serviços'!$A:$F,6,0)</f>
        <v>127.97</v>
      </c>
      <c r="H353" s="72">
        <f>TRUNC(F353*G353,2)</f>
        <v>38.39</v>
      </c>
    </row>
    <row r="354" spans="1:8" s="112" customFormat="1" ht="11.25">
      <c r="A354" s="124"/>
      <c r="B354" s="125"/>
      <c r="C354" s="125"/>
      <c r="D354" s="126"/>
      <c r="E354" s="125"/>
      <c r="F354" s="127"/>
      <c r="G354" s="128"/>
      <c r="H354" s="128"/>
    </row>
    <row r="355" spans="1:8" s="112" customFormat="1" ht="22.5">
      <c r="A355" s="114" t="s">
        <v>320</v>
      </c>
      <c r="B355" s="115" t="str">
        <f>VLOOKUP(A355,'Orçamento Sintético'!$A:$H,2,0)</f>
        <v> MPDFT1711 </v>
      </c>
      <c r="C355" s="115" t="str">
        <f>VLOOKUP(A355,'Orçamento Sintético'!$A:$H,3,0)</f>
        <v>Próprio</v>
      </c>
      <c r="D355" s="116" t="str">
        <f>VLOOKUP(A355,'Orçamento Sintético'!$A:$H,4,0)</f>
        <v>Cópia da Seinfra (C4571)  - Preenchimento de junta de dilatação ou trica com resina de vedação permanente Sika Injection-250 VEDA</v>
      </c>
      <c r="E355" s="115" t="str">
        <f>VLOOKUP(A355,'Orçamento Sintético'!$A:$H,5,0)</f>
        <v>m</v>
      </c>
      <c r="F355" s="117"/>
      <c r="G355" s="118"/>
      <c r="H355" s="118">
        <f>SUM(H356:H358)</f>
        <v>73.22</v>
      </c>
    </row>
    <row r="356" spans="1:8" s="112" customFormat="1" ht="11.25">
      <c r="A356" s="120" t="str">
        <f>VLOOKUP(B356,'Insumos e Serviços'!$A:$F,3,0)</f>
        <v>Composição</v>
      </c>
      <c r="B356" s="121" t="s">
        <v>655</v>
      </c>
      <c r="C356" s="122" t="str">
        <f>VLOOKUP(B356,'Insumos e Serviços'!$A:$F,2,0)</f>
        <v>SINAPI</v>
      </c>
      <c r="D356" s="120" t="str">
        <f>VLOOKUP(B356,'Insumos e Serviços'!$A:$F,4,0)</f>
        <v>IMPERMEABILIZADOR COM ENCARGOS COMPLEMENTARES</v>
      </c>
      <c r="E356" s="122" t="str">
        <f>VLOOKUP(B356,'Insumos e Serviços'!$A:$F,5,0)</f>
        <v>H</v>
      </c>
      <c r="F356" s="123">
        <v>0.6</v>
      </c>
      <c r="G356" s="72">
        <f>VLOOKUP(B356,'Insumos e Serviços'!$A:$F,6,0)</f>
        <v>26.2</v>
      </c>
      <c r="H356" s="72">
        <f>TRUNC(F356*G356,2)</f>
        <v>15.72</v>
      </c>
    </row>
    <row r="357" spans="1:8" s="112" customFormat="1" ht="11.25">
      <c r="A357" s="120" t="str">
        <f>VLOOKUP(B357,'Insumos e Serviços'!$A:$F,3,0)</f>
        <v>Composição</v>
      </c>
      <c r="B357" s="121" t="s">
        <v>581</v>
      </c>
      <c r="C357" s="122" t="str">
        <f>VLOOKUP(B357,'Insumos e Serviços'!$A:$F,2,0)</f>
        <v>SINAPI</v>
      </c>
      <c r="D357" s="120" t="str">
        <f>VLOOKUP(B357,'Insumos e Serviços'!$A:$F,4,0)</f>
        <v>SERVENTE COM ENCARGOS COMPLEMENTARES</v>
      </c>
      <c r="E357" s="122" t="str">
        <f>VLOOKUP(B357,'Insumos e Serviços'!$A:$F,5,0)</f>
        <v>H</v>
      </c>
      <c r="F357" s="123">
        <v>0.4</v>
      </c>
      <c r="G357" s="72">
        <f>VLOOKUP(B357,'Insumos e Serviços'!$A:$F,6,0)</f>
        <v>19.39</v>
      </c>
      <c r="H357" s="72">
        <f>TRUNC(F357*G357,2)</f>
        <v>7.75</v>
      </c>
    </row>
    <row r="358" spans="1:8" s="112" customFormat="1" ht="11.25">
      <c r="A358" s="120" t="str">
        <f>VLOOKUP(B358,'Insumos e Serviços'!$A:$F,3,0)</f>
        <v>Insumo</v>
      </c>
      <c r="B358" s="121" t="s">
        <v>676</v>
      </c>
      <c r="C358" s="122" t="str">
        <f>VLOOKUP(B358,'Insumos e Serviços'!$A:$F,2,0)</f>
        <v>Próprio</v>
      </c>
      <c r="D358" s="120" t="str">
        <f>VLOOKUP(B358,'Insumos e Serviços'!$A:$F,4,0)</f>
        <v>Resina de vedação permanente Sika Injection-250 VEDA</v>
      </c>
      <c r="E358" s="122" t="str">
        <f>VLOOKUP(B358,'Insumos e Serviços'!$A:$F,5,0)</f>
        <v>L</v>
      </c>
      <c r="F358" s="123">
        <v>0.3</v>
      </c>
      <c r="G358" s="72">
        <f>VLOOKUP(B358,'Insumos e Serviços'!$A:$F,6,0)</f>
        <v>165.85</v>
      </c>
      <c r="H358" s="72">
        <f>TRUNC(F358*G358,2)</f>
        <v>49.75</v>
      </c>
    </row>
    <row r="359" spans="1:8" s="112" customFormat="1" ht="11.25">
      <c r="A359" s="124"/>
      <c r="B359" s="125"/>
      <c r="C359" s="125"/>
      <c r="D359" s="126"/>
      <c r="E359" s="125"/>
      <c r="F359" s="127"/>
      <c r="G359" s="128"/>
      <c r="H359" s="128"/>
    </row>
    <row r="360" spans="1:8" s="112" customFormat="1" ht="11.25">
      <c r="A360" s="114" t="s">
        <v>323</v>
      </c>
      <c r="B360" s="115" t="str">
        <f>VLOOKUP(A360,'Orçamento Sintético'!$A:$H,2,0)</f>
        <v> MPDFT1719 </v>
      </c>
      <c r="C360" s="115" t="str">
        <f>VLOOKUP(A360,'Orçamento Sintético'!$A:$H,3,0)</f>
        <v>Próprio</v>
      </c>
      <c r="D360" s="116" t="str">
        <f>VLOOKUP(A360,'Orçamento Sintético'!$A:$H,4,0)</f>
        <v>Tratamento de junta com espuma de poliuretano expansiva</v>
      </c>
      <c r="E360" s="115" t="str">
        <f>VLOOKUP(A360,'Orçamento Sintético'!$A:$H,5,0)</f>
        <v>m</v>
      </c>
      <c r="F360" s="117"/>
      <c r="G360" s="118"/>
      <c r="H360" s="118">
        <f>SUM(H361)</f>
        <v>15.85</v>
      </c>
    </row>
    <row r="361" spans="1:8" s="112" customFormat="1" ht="22.5">
      <c r="A361" s="120" t="str">
        <f>VLOOKUP(B361,'Insumos e Serviços'!$A:$F,3,0)</f>
        <v>Composição</v>
      </c>
      <c r="B361" s="121" t="s">
        <v>94</v>
      </c>
      <c r="C361" s="122" t="str">
        <f>VLOOKUP(B361,'Insumos e Serviços'!$A:$F,2,0)</f>
        <v>SINAPI</v>
      </c>
      <c r="D361" s="120" t="str">
        <f>VLOOKUP(B361,'Insumos e Serviços'!$A:$F,4,0)</f>
        <v>FIXAÇÃO (ENCUNHAMENTO) DE ALVENARIA DE VEDAÇÃO COM ESPUMA DE POLIURETANO EXPANSIVA. AF_03/2016</v>
      </c>
      <c r="E361" s="122" t="str">
        <f>VLOOKUP(B361,'Insumos e Serviços'!$A:$F,5,0)</f>
        <v>M</v>
      </c>
      <c r="F361" s="123">
        <v>1</v>
      </c>
      <c r="G361" s="72">
        <f>VLOOKUP(B361,'Insumos e Serviços'!$A:$F,6,0)</f>
        <v>15.85</v>
      </c>
      <c r="H361" s="72">
        <f>TRUNC(F361*G361,2)</f>
        <v>15.85</v>
      </c>
    </row>
    <row r="362" spans="1:8" s="112" customFormat="1" ht="11.25">
      <c r="A362" s="124"/>
      <c r="B362" s="125"/>
      <c r="C362" s="125"/>
      <c r="D362" s="126"/>
      <c r="E362" s="125"/>
      <c r="F362" s="127"/>
      <c r="G362" s="128"/>
      <c r="H362" s="128"/>
    </row>
    <row r="363" spans="1:8" s="112" customFormat="1" ht="11.25">
      <c r="A363" s="62" t="s">
        <v>326</v>
      </c>
      <c r="B363" s="63"/>
      <c r="C363" s="63"/>
      <c r="D363" s="62" t="s">
        <v>327</v>
      </c>
      <c r="E363" s="63"/>
      <c r="F363" s="113"/>
      <c r="G363" s="62"/>
      <c r="H363" s="67"/>
    </row>
    <row r="364" spans="1:8" s="112" customFormat="1" ht="11.25">
      <c r="A364" s="74" t="s">
        <v>328</v>
      </c>
      <c r="B364" s="75"/>
      <c r="C364" s="75"/>
      <c r="D364" s="74" t="s">
        <v>329</v>
      </c>
      <c r="E364" s="75"/>
      <c r="F364" s="129"/>
      <c r="G364" s="74"/>
      <c r="H364" s="78"/>
    </row>
    <row r="365" spans="1:8" s="112" customFormat="1" ht="22.5">
      <c r="A365" s="114" t="s">
        <v>330</v>
      </c>
      <c r="B365" s="115" t="str">
        <f>VLOOKUP(A365,'Orçamento Sintético'!$A:$H,2,0)</f>
        <v> MPDFT0169 </v>
      </c>
      <c r="C365" s="115" t="str">
        <f>VLOOKUP(A365,'Orçamento Sintético'!$A:$H,3,0)</f>
        <v>Próprio</v>
      </c>
      <c r="D365" s="116" t="str">
        <f>VLOOKUP(A365,'Orçamento Sintético'!$A:$H,4,0)</f>
        <v>Cópia SINAPI (94231) - Rufo metálico em chapa de aço galvanizado # 24 desenvolvimento 50cm</v>
      </c>
      <c r="E365" s="115" t="str">
        <f>VLOOKUP(A365,'Orçamento Sintético'!$A:$H,5,0)</f>
        <v>m</v>
      </c>
      <c r="F365" s="117"/>
      <c r="G365" s="118"/>
      <c r="H365" s="118">
        <f>SUM(H366:H367)</f>
        <v>117.91000000000001</v>
      </c>
    </row>
    <row r="366" spans="1:8" s="112" customFormat="1" ht="22.5">
      <c r="A366" s="120" t="str">
        <f>VLOOKUP(B366,'Insumos e Serviços'!$A:$F,3,0)</f>
        <v>Composição</v>
      </c>
      <c r="B366" s="121" t="s">
        <v>677</v>
      </c>
      <c r="C366" s="122" t="str">
        <f>VLOOKUP(B366,'Insumos e Serviços'!$A:$F,2,0)</f>
        <v>SINAPI</v>
      </c>
      <c r="D366" s="120" t="str">
        <f>VLOOKUP(B366,'Insumos e Serviços'!$A:$F,4,0)</f>
        <v>RUFO EM CHAPA DE AÇO GALVANIZADO NÚMERO 24, CORTE DE 25 CM, INCLUSO TRANSPORTE VERTICAL. AF_07/2019</v>
      </c>
      <c r="E366" s="122" t="str">
        <f>VLOOKUP(B366,'Insumos e Serviços'!$A:$F,5,0)</f>
        <v>M</v>
      </c>
      <c r="F366" s="123">
        <v>2</v>
      </c>
      <c r="G366" s="72">
        <f>VLOOKUP(B366,'Insumos e Serviços'!$A:$F,6,0)</f>
        <v>57.09</v>
      </c>
      <c r="H366" s="72">
        <f>TRUNC(F366*G366,2)</f>
        <v>114.18</v>
      </c>
    </row>
    <row r="367" spans="1:8" s="112" customFormat="1" ht="22.5">
      <c r="A367" s="120" t="str">
        <f>VLOOKUP(B367,'Insumos e Serviços'!$A:$F,3,0)</f>
        <v>Insumo</v>
      </c>
      <c r="B367" s="121" t="s">
        <v>678</v>
      </c>
      <c r="C367" s="122" t="str">
        <f>VLOOKUP(B367,'Insumos e Serviços'!$A:$F,2,0)</f>
        <v>SINAPI</v>
      </c>
      <c r="D367" s="120" t="str">
        <f>VLOOKUP(B367,'Insumos e Serviços'!$A:$F,4,0)</f>
        <v>SELANTE ELASTICO MONOCOMPONENTE A BASE DE POLIURETANO (PU) PARA JUNTAS DIVERSAS</v>
      </c>
      <c r="E367" s="122" t="str">
        <f>VLOOKUP(B367,'Insumos e Serviços'!$A:$F,5,0)</f>
        <v>310ML</v>
      </c>
      <c r="F367" s="123">
        <v>0.1</v>
      </c>
      <c r="G367" s="72">
        <f>VLOOKUP(B367,'Insumos e Serviços'!$A:$F,6,0)</f>
        <v>37.31</v>
      </c>
      <c r="H367" s="72">
        <f>TRUNC(F367*G367,2)</f>
        <v>3.73</v>
      </c>
    </row>
    <row r="368" spans="1:8" s="112" customFormat="1" ht="11.25">
      <c r="A368" s="124"/>
      <c r="B368" s="125"/>
      <c r="C368" s="125"/>
      <c r="D368" s="126"/>
      <c r="E368" s="125"/>
      <c r="F368" s="127"/>
      <c r="G368" s="128"/>
      <c r="H368" s="128"/>
    </row>
    <row r="369" spans="1:8" s="112" customFormat="1" ht="11.25">
      <c r="A369" s="74" t="s">
        <v>333</v>
      </c>
      <c r="B369" s="75"/>
      <c r="C369" s="75"/>
      <c r="D369" s="74" t="s">
        <v>334</v>
      </c>
      <c r="E369" s="75"/>
      <c r="F369" s="129"/>
      <c r="G369" s="74"/>
      <c r="H369" s="78"/>
    </row>
    <row r="370" spans="1:8" s="112" customFormat="1" ht="11.25">
      <c r="A370" s="114" t="s">
        <v>335</v>
      </c>
      <c r="B370" s="115" t="str">
        <f>VLOOKUP(A370,'Orçamento Sintético'!$A:$H,2,0)</f>
        <v> MPDFT1713 </v>
      </c>
      <c r="C370" s="115" t="str">
        <f>VLOOKUP(A370,'Orçamento Sintético'!$A:$H,3,0)</f>
        <v>Próprio</v>
      </c>
      <c r="D370" s="116" t="str">
        <f>VLOOKUP(A370,'Orçamento Sintético'!$A:$H,4,0)</f>
        <v>Calha formato em “U” de concreto armado, moldada in-loco</v>
      </c>
      <c r="E370" s="115" t="str">
        <f>VLOOKUP(A370,'Orçamento Sintético'!$A:$H,5,0)</f>
        <v>sv</v>
      </c>
      <c r="F370" s="117"/>
      <c r="G370" s="118"/>
      <c r="H370" s="118">
        <f>SUM(H371:H380)</f>
        <v>14635.189999999999</v>
      </c>
    </row>
    <row r="371" spans="1:8" s="112" customFormat="1" ht="22.5">
      <c r="A371" s="120" t="str">
        <f>VLOOKUP(B371,'Insumos e Serviços'!$A:$F,3,0)</f>
        <v>Composição</v>
      </c>
      <c r="B371" s="121" t="s">
        <v>679</v>
      </c>
      <c r="C371" s="122" t="str">
        <f>VLOOKUP(B371,'Insumos e Serviços'!$A:$F,2,0)</f>
        <v>SINAPI</v>
      </c>
      <c r="D371" s="120" t="str">
        <f>VLOOKUP(B371,'Insumos e Serviços'!$A:$F,4,0)</f>
        <v>RECOMPOSIÇÃO DE REVESTIMENTO EM CONCRETO ASFÁLTICO (AQUISIÇÃO EM USINA), PARA O FECHAMENTO DE VALAS - INCLUSO DEMOLIÇÃO DO PAVIMENTO. AF_12/2020</v>
      </c>
      <c r="E371" s="122" t="str">
        <f>VLOOKUP(B371,'Insumos e Serviços'!$A:$F,5,0)</f>
        <v>m³</v>
      </c>
      <c r="F371" s="123">
        <v>2.96</v>
      </c>
      <c r="G371" s="72">
        <f>VLOOKUP(B371,'Insumos e Serviços'!$A:$F,6,0)</f>
        <v>1980.23</v>
      </c>
      <c r="H371" s="72">
        <f aca="true" t="shared" si="15" ref="H371:H380">TRUNC(F371*G371,2)</f>
        <v>5861.48</v>
      </c>
    </row>
    <row r="372" spans="1:8" s="112" customFormat="1" ht="22.5">
      <c r="A372" s="120" t="str">
        <f>VLOOKUP(B372,'Insumos e Serviços'!$A:$F,3,0)</f>
        <v>Composição</v>
      </c>
      <c r="B372" s="121" t="s">
        <v>66</v>
      </c>
      <c r="C372" s="122" t="str">
        <f>VLOOKUP(B372,'Insumos e Serviços'!$A:$F,2,0)</f>
        <v>SINAPI</v>
      </c>
      <c r="D372" s="120" t="str">
        <f>VLOOKUP(B372,'Insumos e Serviços'!$A:$F,4,0)</f>
        <v>ESCAVAÇÃO MANUAL DE VALA PARA VIGA BALDRAME (INCLUINDO ESCAVAÇÃO PARA COLOCAÇÃO DE FÔRMAS). AF_06/2017</v>
      </c>
      <c r="E372" s="122" t="str">
        <f>VLOOKUP(B372,'Insumos e Serviços'!$A:$F,5,0)</f>
        <v>m³</v>
      </c>
      <c r="F372" s="123">
        <v>13.56</v>
      </c>
      <c r="G372" s="72">
        <f>VLOOKUP(B372,'Insumos e Serviços'!$A:$F,6,0)</f>
        <v>118.45</v>
      </c>
      <c r="H372" s="72">
        <f t="shared" si="15"/>
        <v>1606.18</v>
      </c>
    </row>
    <row r="373" spans="1:8" s="112" customFormat="1" ht="22.5">
      <c r="A373" s="120" t="str">
        <f>VLOOKUP(B373,'Insumos e Serviços'!$A:$F,3,0)</f>
        <v>Composição</v>
      </c>
      <c r="B373" s="121" t="s">
        <v>121</v>
      </c>
      <c r="C373" s="122" t="str">
        <f>VLOOKUP(B373,'Insumos e Serviços'!$A:$F,2,0)</f>
        <v>SINAPI</v>
      </c>
      <c r="D373" s="120" t="str">
        <f>VLOOKUP(B373,'Insumos e Serviços'!$A:$F,4,0)</f>
        <v>CONCRETO MAGRO PARA LASTRO, TRAÇO 1:4,5:4,5 (EM MASSA SECA DE CIMENTO/ AREIA MÉDIA/ BRITA 1) - PREPARO MECÂNICO COM BETONEIRA 400 L. AF_05/2021</v>
      </c>
      <c r="E373" s="122" t="str">
        <f>VLOOKUP(B373,'Insumos e Serviços'!$A:$F,5,0)</f>
        <v>m³</v>
      </c>
      <c r="F373" s="123">
        <v>1</v>
      </c>
      <c r="G373" s="72">
        <f>VLOOKUP(B373,'Insumos e Serviços'!$A:$F,6,0)</f>
        <v>473.94</v>
      </c>
      <c r="H373" s="72">
        <f t="shared" si="15"/>
        <v>473.94</v>
      </c>
    </row>
    <row r="374" spans="1:8" s="112" customFormat="1" ht="22.5">
      <c r="A374" s="120" t="str">
        <f>VLOOKUP(B374,'Insumos e Serviços'!$A:$F,3,0)</f>
        <v>Composição</v>
      </c>
      <c r="B374" s="121" t="s">
        <v>680</v>
      </c>
      <c r="C374" s="122" t="str">
        <f>VLOOKUP(B374,'Insumos e Serviços'!$A:$F,2,0)</f>
        <v>SINAPI</v>
      </c>
      <c r="D374" s="120" t="str">
        <f>VLOOKUP(B374,'Insumos e Serviços'!$A:$F,4,0)</f>
        <v>FABRICAÇÃO DE FÔRMA PARA VIGAS, EM CHAPA DE MADEIRA COMPENSADA RESINADA, E = 17 MM. AF_09/2020</v>
      </c>
      <c r="E374" s="122" t="str">
        <f>VLOOKUP(B374,'Insumos e Serviços'!$A:$F,5,0)</f>
        <v>m²</v>
      </c>
      <c r="F374" s="123">
        <v>1</v>
      </c>
      <c r="G374" s="72">
        <f>VLOOKUP(B374,'Insumos e Serviços'!$A:$F,6,0)</f>
        <v>129.1</v>
      </c>
      <c r="H374" s="72">
        <f t="shared" si="15"/>
        <v>129.1</v>
      </c>
    </row>
    <row r="375" spans="1:8" s="112" customFormat="1" ht="22.5">
      <c r="A375" s="120" t="str">
        <f>VLOOKUP(B375,'Insumos e Serviços'!$A:$F,3,0)</f>
        <v>Composição</v>
      </c>
      <c r="B375" s="121" t="s">
        <v>113</v>
      </c>
      <c r="C375" s="122" t="str">
        <f>VLOOKUP(B375,'Insumos e Serviços'!$A:$F,2,0)</f>
        <v>SINAPI</v>
      </c>
      <c r="D375" s="120" t="str">
        <f>VLOOKUP(B375,'Insumos e Serviços'!$A:$F,4,0)</f>
        <v>ARMAÇÃO DE PILAR OU VIGA DE ESTRUTURA CONVENCIONAL DE CONCRETO ARMADO UTILIZANDO AÇO CA-50 DE 8,0 MM - MONTAGEM. AF_06/2022</v>
      </c>
      <c r="E375" s="122" t="str">
        <f>VLOOKUP(B375,'Insumos e Serviços'!$A:$F,5,0)</f>
        <v>KG</v>
      </c>
      <c r="F375" s="123">
        <v>267</v>
      </c>
      <c r="G375" s="72">
        <f>VLOOKUP(B375,'Insumos e Serviços'!$A:$F,6,0)</f>
        <v>15.29</v>
      </c>
      <c r="H375" s="72">
        <f t="shared" si="15"/>
        <v>4082.43</v>
      </c>
    </row>
    <row r="376" spans="1:8" s="112" customFormat="1" ht="22.5" customHeight="1">
      <c r="A376" s="120" t="e">
        <f>VLOOKUP(B376,'Insumos e Serviços'!$A:$F,3,0)</f>
        <v>#N/A</v>
      </c>
      <c r="B376" s="121" t="s">
        <v>681</v>
      </c>
      <c r="C376" s="122" t="e">
        <f>VLOOKUP(B376,'Insumos e Serviços'!$A:$F,2,0)</f>
        <v>#N/A</v>
      </c>
      <c r="D376" s="120" t="e">
        <f>VLOOKUP(B376,'Insumos e Serviços'!$A:$F,4,0)</f>
        <v>#N/A</v>
      </c>
      <c r="E376" s="122" t="e">
        <f>VLOOKUP(B376,'Insumos e Serviços'!$A:$F,5,0)</f>
        <v>#N/A</v>
      </c>
      <c r="F376" s="123">
        <v>2</v>
      </c>
      <c r="G376" s="72">
        <f>H605</f>
        <v>78.62</v>
      </c>
      <c r="H376" s="72">
        <f t="shared" si="15"/>
        <v>157.24</v>
      </c>
    </row>
    <row r="377" spans="1:8" s="112" customFormat="1" ht="22.5">
      <c r="A377" s="120" t="str">
        <f>VLOOKUP(B377,'Insumos e Serviços'!$A:$F,3,0)</f>
        <v>Composição</v>
      </c>
      <c r="B377" s="121" t="s">
        <v>610</v>
      </c>
      <c r="C377" s="122" t="str">
        <f>VLOOKUP(B377,'Insumos e Serviços'!$A:$F,2,0)</f>
        <v>SINAPI</v>
      </c>
      <c r="D377" s="120" t="str">
        <f>VLOOKUP(B377,'Insumos e Serviços'!$A:$F,4,0)</f>
        <v>CONCRETO FCK = 30MPA, TRAÇO 1:2,1:2,5 (EM MASSA SECA DE CIMENTO/ AREIA MÉDIA/ BRITA 1) - PREPARO MECÂNICO COM BETONEIRA 400 L. AF_05/2021</v>
      </c>
      <c r="E377" s="122" t="str">
        <f>VLOOKUP(B377,'Insumos e Serviços'!$A:$F,5,0)</f>
        <v>m³</v>
      </c>
      <c r="F377" s="123">
        <v>2</v>
      </c>
      <c r="G377" s="72">
        <f>VLOOKUP(B377,'Insumos e Serviços'!$A:$F,6,0)</f>
        <v>571.04</v>
      </c>
      <c r="H377" s="72">
        <f t="shared" si="15"/>
        <v>1142.08</v>
      </c>
    </row>
    <row r="378" spans="1:8" s="112" customFormat="1" ht="22.5">
      <c r="A378" s="120" t="str">
        <f>VLOOKUP(B378,'Insumos e Serviços'!$A:$F,3,0)</f>
        <v>Composição</v>
      </c>
      <c r="B378" s="121" t="s">
        <v>682</v>
      </c>
      <c r="C378" s="122" t="str">
        <f>VLOOKUP(B378,'Insumos e Serviços'!$A:$F,2,0)</f>
        <v>SINAPI</v>
      </c>
      <c r="D378" s="120" t="str">
        <f>VLOOKUP(B378,'Insumos e Serviços'!$A:$F,4,0)</f>
        <v>LANÇAMENTO COM USO DE BOMBA, ADENSAMENTO E ACABAMENTO DE CONCRETO EM ESTRUTURAS. AF_02/2022</v>
      </c>
      <c r="E378" s="122" t="str">
        <f>VLOOKUP(B378,'Insumos e Serviços'!$A:$F,5,0)</f>
        <v>m³</v>
      </c>
      <c r="F378" s="123">
        <v>4</v>
      </c>
      <c r="G378" s="72">
        <f>VLOOKUP(B378,'Insumos e Serviços'!$A:$F,6,0)</f>
        <v>37.91</v>
      </c>
      <c r="H378" s="72">
        <f t="shared" si="15"/>
        <v>151.64</v>
      </c>
    </row>
    <row r="379" spans="1:8" s="112" customFormat="1" ht="11.25">
      <c r="A379" s="120" t="str">
        <f>VLOOKUP(B379,'Insumos e Serviços'!$A:$F,3,0)</f>
        <v>Composição</v>
      </c>
      <c r="B379" s="121" t="s">
        <v>72</v>
      </c>
      <c r="C379" s="122" t="str">
        <f>VLOOKUP(B379,'Insumos e Serviços'!$A:$F,2,0)</f>
        <v>SINAPI</v>
      </c>
      <c r="D379" s="120" t="str">
        <f>VLOOKUP(B379,'Insumos e Serviços'!$A:$F,4,0)</f>
        <v>REATERRO MANUAL APILOADO COM SOQUETE. AF_10/2017</v>
      </c>
      <c r="E379" s="122" t="str">
        <f>VLOOKUP(B379,'Insumos e Serviços'!$A:$F,5,0)</f>
        <v>m³</v>
      </c>
      <c r="F379" s="123">
        <v>16.84</v>
      </c>
      <c r="G379" s="72">
        <f>VLOOKUP(B379,'Insumos e Serviços'!$A:$F,6,0)</f>
        <v>46.5</v>
      </c>
      <c r="H379" s="72">
        <f t="shared" si="15"/>
        <v>783.06</v>
      </c>
    </row>
    <row r="380" spans="1:8" s="112" customFormat="1" ht="24" customHeight="1">
      <c r="A380" s="120" t="e">
        <f>VLOOKUP(B380,'Insumos e Serviços'!$A:$F,3,0)</f>
        <v>#N/A</v>
      </c>
      <c r="B380" s="121" t="s">
        <v>190</v>
      </c>
      <c r="C380" s="122" t="e">
        <f>VLOOKUP(B380,'Insumos e Serviços'!$A:$F,2,0)</f>
        <v>#N/A</v>
      </c>
      <c r="D380" s="120" t="e">
        <f>VLOOKUP(B380,'Insumos e Serviços'!$A:$F,4,0)</f>
        <v>#N/A</v>
      </c>
      <c r="E380" s="122" t="e">
        <f>VLOOKUP(B380,'Insumos e Serviços'!$A:$F,5,0)</f>
        <v>#N/A</v>
      </c>
      <c r="F380" s="123">
        <v>26</v>
      </c>
      <c r="G380" s="72">
        <f>H601</f>
        <v>9.54</v>
      </c>
      <c r="H380" s="72">
        <f t="shared" si="15"/>
        <v>248.04</v>
      </c>
    </row>
    <row r="381" spans="1:8" s="112" customFormat="1" ht="11.25">
      <c r="A381" s="124"/>
      <c r="B381" s="125"/>
      <c r="C381" s="125"/>
      <c r="D381" s="126"/>
      <c r="E381" s="125"/>
      <c r="F381" s="127"/>
      <c r="G381" s="128"/>
      <c r="H381" s="128"/>
    </row>
    <row r="382" spans="1:8" s="112" customFormat="1" ht="11.25">
      <c r="A382" s="62" t="s">
        <v>338</v>
      </c>
      <c r="B382" s="63"/>
      <c r="C382" s="63"/>
      <c r="D382" s="62" t="s">
        <v>339</v>
      </c>
      <c r="E382" s="63"/>
      <c r="F382" s="113"/>
      <c r="G382" s="62"/>
      <c r="H382" s="67"/>
    </row>
    <row r="383" spans="1:8" s="112" customFormat="1" ht="11.25">
      <c r="A383" s="74" t="s">
        <v>340</v>
      </c>
      <c r="B383" s="75"/>
      <c r="C383" s="75"/>
      <c r="D383" s="74" t="s">
        <v>341</v>
      </c>
      <c r="E383" s="75"/>
      <c r="F383" s="129"/>
      <c r="G383" s="74"/>
      <c r="H383" s="78"/>
    </row>
    <row r="384" spans="1:8" s="112" customFormat="1" ht="11.25">
      <c r="A384" s="114" t="s">
        <v>342</v>
      </c>
      <c r="B384" s="115" t="str">
        <f>VLOOKUP(A384,'Orçamento Sintético'!$A:$H,2,0)</f>
        <v> MPDFT1675 </v>
      </c>
      <c r="C384" s="115" t="str">
        <f>VLOOKUP(A384,'Orçamento Sintético'!$A:$H,3,0)</f>
        <v>Próprio</v>
      </c>
      <c r="D384" s="116" t="str">
        <f>VLOOKUP(A384,'Orçamento Sintético'!$A:$H,4,0)</f>
        <v>Reinstalação de cancela automática e ponto eletrônico</v>
      </c>
      <c r="E384" s="115" t="str">
        <f>VLOOKUP(A384,'Orçamento Sintético'!$A:$H,5,0)</f>
        <v>sv</v>
      </c>
      <c r="F384" s="117"/>
      <c r="G384" s="118"/>
      <c r="H384" s="118">
        <f>SUM(H385:H386)</f>
        <v>81.00999999999999</v>
      </c>
    </row>
    <row r="385" spans="1:8" s="112" customFormat="1" ht="11.25">
      <c r="A385" s="120" t="str">
        <f>VLOOKUP(B385,'Insumos e Serviços'!$A:$F,3,0)</f>
        <v>Composição</v>
      </c>
      <c r="B385" s="121" t="s">
        <v>583</v>
      </c>
      <c r="C385" s="122" t="str">
        <f>VLOOKUP(B385,'Insumos e Serviços'!$A:$F,2,0)</f>
        <v>SINAPI</v>
      </c>
      <c r="D385" s="120" t="str">
        <f>VLOOKUP(B385,'Insumos e Serviços'!$A:$F,4,0)</f>
        <v>PEDREIRO COM ENCARGOS COMPLEMENTARES</v>
      </c>
      <c r="E385" s="122" t="str">
        <f>VLOOKUP(B385,'Insumos e Serviços'!$A:$F,5,0)</f>
        <v>H</v>
      </c>
      <c r="F385" s="123">
        <v>1.5</v>
      </c>
      <c r="G385" s="72">
        <f>VLOOKUP(B385,'Insumos e Serviços'!$A:$F,6,0)</f>
        <v>26.2</v>
      </c>
      <c r="H385" s="72">
        <f>TRUNC(F385*G385,2)</f>
        <v>39.3</v>
      </c>
    </row>
    <row r="386" spans="1:8" s="112" customFormat="1" ht="11.25">
      <c r="A386" s="120" t="str">
        <f>VLOOKUP(B386,'Insumos e Serviços'!$A:$F,3,0)</f>
        <v>Composição</v>
      </c>
      <c r="B386" s="121" t="s">
        <v>590</v>
      </c>
      <c r="C386" s="122" t="str">
        <f>VLOOKUP(B386,'Insumos e Serviços'!$A:$F,2,0)</f>
        <v>SINAPI</v>
      </c>
      <c r="D386" s="120" t="str">
        <f>VLOOKUP(B386,'Insumos e Serviços'!$A:$F,4,0)</f>
        <v>MONTADOR ELETROMECÃNICO COM ENCARGOS COMPLEMENTARES</v>
      </c>
      <c r="E386" s="122" t="str">
        <f>VLOOKUP(B386,'Insumos e Serviços'!$A:$F,5,0)</f>
        <v>H</v>
      </c>
      <c r="F386" s="123">
        <v>1.5</v>
      </c>
      <c r="G386" s="72">
        <f>VLOOKUP(B386,'Insumos e Serviços'!$A:$F,6,0)</f>
        <v>27.81</v>
      </c>
      <c r="H386" s="72">
        <f>TRUNC(F386*G386,2)</f>
        <v>41.71</v>
      </c>
    </row>
    <row r="387" spans="1:8" s="112" customFormat="1" ht="11.25">
      <c r="A387" s="124"/>
      <c r="B387" s="125"/>
      <c r="C387" s="125"/>
      <c r="D387" s="126"/>
      <c r="E387" s="125"/>
      <c r="F387" s="127"/>
      <c r="G387" s="128"/>
      <c r="H387" s="128"/>
    </row>
    <row r="388" spans="1:8" s="112" customFormat="1" ht="22.5">
      <c r="A388" s="114" t="s">
        <v>345</v>
      </c>
      <c r="B388" s="115" t="str">
        <f>VLOOKUP(A388,'Orçamento Sintético'!$A:$H,2,0)</f>
        <v> MPDFT1691 </v>
      </c>
      <c r="C388" s="115" t="str">
        <f>VLOOKUP(A388,'Orçamento Sintético'!$A:$H,3,0)</f>
        <v>Próprio</v>
      </c>
      <c r="D388" s="116" t="str">
        <f>VLOOKUP(A388,'Orçamento Sintético'!$A:$H,4,0)</f>
        <v>Reparo em estrutura de metal (passarela, escada) inclusive lixamento, pintura e reforço</v>
      </c>
      <c r="E388" s="115" t="str">
        <f>VLOOKUP(A388,'Orçamento Sintético'!$A:$H,5,0)</f>
        <v>m²</v>
      </c>
      <c r="F388" s="117"/>
      <c r="G388" s="118"/>
      <c r="H388" s="118">
        <f>SUM(H389:H392)</f>
        <v>193.14</v>
      </c>
    </row>
    <row r="389" spans="1:8" s="112" customFormat="1" ht="11.25">
      <c r="A389" s="120" t="str">
        <f>VLOOKUP(B389,'Insumos e Serviços'!$A:$F,3,0)</f>
        <v>Composição</v>
      </c>
      <c r="B389" s="121" t="s">
        <v>601</v>
      </c>
      <c r="C389" s="122" t="str">
        <f>VLOOKUP(B389,'Insumos e Serviços'!$A:$F,2,0)</f>
        <v>SINAPI</v>
      </c>
      <c r="D389" s="120" t="str">
        <f>VLOOKUP(B389,'Insumos e Serviços'!$A:$F,4,0)</f>
        <v>AUXILIAR DE SERRALHEIRO COM ENCARGOS COMPLEMENTARES</v>
      </c>
      <c r="E389" s="122" t="str">
        <f>VLOOKUP(B389,'Insumos e Serviços'!$A:$F,5,0)</f>
        <v>H</v>
      </c>
      <c r="F389" s="123">
        <v>0.906</v>
      </c>
      <c r="G389" s="72">
        <f>VLOOKUP(B389,'Insumos e Serviços'!$A:$F,6,0)</f>
        <v>20.62</v>
      </c>
      <c r="H389" s="72">
        <f>TRUNC(F389*G389,2)</f>
        <v>18.68</v>
      </c>
    </row>
    <row r="390" spans="1:8" s="112" customFormat="1" ht="11.25">
      <c r="A390" s="120" t="str">
        <f>VLOOKUP(B390,'Insumos e Serviços'!$A:$F,3,0)</f>
        <v>Composição</v>
      </c>
      <c r="B390" s="121" t="s">
        <v>600</v>
      </c>
      <c r="C390" s="122" t="str">
        <f>VLOOKUP(B390,'Insumos e Serviços'!$A:$F,2,0)</f>
        <v>SINAPI</v>
      </c>
      <c r="D390" s="120" t="str">
        <f>VLOOKUP(B390,'Insumos e Serviços'!$A:$F,4,0)</f>
        <v>SERRALHEIRO COM ENCARGOS COMPLEMENTARES</v>
      </c>
      <c r="E390" s="122" t="str">
        <f>VLOOKUP(B390,'Insumos e Serviços'!$A:$F,5,0)</f>
        <v>H</v>
      </c>
      <c r="F390" s="123">
        <v>0.906</v>
      </c>
      <c r="G390" s="72">
        <f>VLOOKUP(B390,'Insumos e Serviços'!$A:$F,6,0)</f>
        <v>26.05</v>
      </c>
      <c r="H390" s="72">
        <f>TRUNC(F390*G390,2)</f>
        <v>23.6</v>
      </c>
    </row>
    <row r="391" spans="1:8" s="112" customFormat="1" ht="33.75">
      <c r="A391" s="120" t="str">
        <f>VLOOKUP(B391,'Insumos e Serviços'!$A:$F,3,0)</f>
        <v>Composição</v>
      </c>
      <c r="B391" s="121" t="s">
        <v>683</v>
      </c>
      <c r="C391" s="122" t="str">
        <f>VLOOKUP(B391,'Insumos e Serviços'!$A:$F,2,0)</f>
        <v>SINAPI</v>
      </c>
      <c r="D391" s="120" t="str">
        <f>VLOOKUP(B391,'Insumos e Serviços'!$A:$F,4,0)</f>
        <v>PINTURA COM TINTA ALQUÍDICA DE ACABAMENTO (ESMALTE SINTÉTICO ACETINADO) APLICADA A ROLO OU PINCEL SOBRE SUPERFÍCIES METÁLICAS (EXCETO PERFIL) EXECUTADO EM OBRA (POR DEMÃO). AF_01/2020</v>
      </c>
      <c r="E391" s="122" t="str">
        <f>VLOOKUP(B391,'Insumos e Serviços'!$A:$F,5,0)</f>
        <v>m²</v>
      </c>
      <c r="F391" s="123">
        <v>2</v>
      </c>
      <c r="G391" s="72">
        <f>VLOOKUP(B391,'Insumos e Serviços'!$A:$F,6,0)</f>
        <v>23.95</v>
      </c>
      <c r="H391" s="72">
        <f>TRUNC(F391*G391,2)</f>
        <v>47.9</v>
      </c>
    </row>
    <row r="392" spans="1:8" s="112" customFormat="1" ht="22.5">
      <c r="A392" s="120" t="str">
        <f>VLOOKUP(B392,'Insumos e Serviços'!$A:$F,3,0)</f>
        <v>Insumo</v>
      </c>
      <c r="B392" s="121" t="s">
        <v>684</v>
      </c>
      <c r="C392" s="122" t="str">
        <f>VLOOKUP(B392,'Insumos e Serviços'!$A:$F,2,0)</f>
        <v>SINAPI</v>
      </c>
      <c r="D392" s="120" t="str">
        <f>VLOOKUP(B392,'Insumos e Serviços'!$A:$F,4,0)</f>
        <v>TUBO ACO GALVANIZADO COM COSTURA, CLASSE LEVE, DN 40 MM ( 1 1/2"),  E = 3,00 MM,  *3,48* KG/M (NBR 5580)</v>
      </c>
      <c r="E392" s="122" t="str">
        <f>VLOOKUP(B392,'Insumos e Serviços'!$A:$F,5,0)</f>
        <v>M</v>
      </c>
      <c r="F392" s="123">
        <v>1.5</v>
      </c>
      <c r="G392" s="72">
        <f>VLOOKUP(B392,'Insumos e Serviços'!$A:$F,6,0)</f>
        <v>68.64</v>
      </c>
      <c r="H392" s="72">
        <f>TRUNC(F392*G392,2)</f>
        <v>102.96</v>
      </c>
    </row>
    <row r="393" spans="1:8" s="112" customFormat="1" ht="11.25">
      <c r="A393" s="124"/>
      <c r="B393" s="125"/>
      <c r="C393" s="125"/>
      <c r="D393" s="126"/>
      <c r="E393" s="125"/>
      <c r="F393" s="127"/>
      <c r="G393" s="128"/>
      <c r="H393" s="128"/>
    </row>
    <row r="394" spans="1:8" s="112" customFormat="1" ht="11.25">
      <c r="A394" s="114" t="s">
        <v>348</v>
      </c>
      <c r="B394" s="115" t="str">
        <f>VLOOKUP(A394,'Orçamento Sintético'!$A:$H,2,0)</f>
        <v> MPDFT0596 </v>
      </c>
      <c r="C394" s="115" t="str">
        <f>VLOOKUP(A394,'Orçamento Sintético'!$A:$H,3,0)</f>
        <v>Próprio</v>
      </c>
      <c r="D394" s="116" t="str">
        <f>VLOOKUP(A394,'Orçamento Sintético'!$A:$H,4,0)</f>
        <v>Reinstalação de escadas metálicas e antena</v>
      </c>
      <c r="E394" s="115" t="str">
        <f>VLOOKUP(A394,'Orçamento Sintético'!$A:$H,5,0)</f>
        <v>sv</v>
      </c>
      <c r="F394" s="117"/>
      <c r="G394" s="118"/>
      <c r="H394" s="118">
        <f>SUM(H395:H397)</f>
        <v>623.16</v>
      </c>
    </row>
    <row r="395" spans="1:8" s="112" customFormat="1" ht="11.25">
      <c r="A395" s="120" t="str">
        <f>VLOOKUP(B395,'Insumos e Serviços'!$A:$F,3,0)</f>
        <v>Composição</v>
      </c>
      <c r="B395" s="121" t="s">
        <v>600</v>
      </c>
      <c r="C395" s="122" t="str">
        <f>VLOOKUP(B395,'Insumos e Serviços'!$A:$F,2,0)</f>
        <v>SINAPI</v>
      </c>
      <c r="D395" s="120" t="str">
        <f>VLOOKUP(B395,'Insumos e Serviços'!$A:$F,4,0)</f>
        <v>SERRALHEIRO COM ENCARGOS COMPLEMENTARES</v>
      </c>
      <c r="E395" s="122" t="str">
        <f>VLOOKUP(B395,'Insumos e Serviços'!$A:$F,5,0)</f>
        <v>H</v>
      </c>
      <c r="F395" s="123">
        <v>6</v>
      </c>
      <c r="G395" s="72">
        <f>VLOOKUP(B395,'Insumos e Serviços'!$A:$F,6,0)</f>
        <v>26.05</v>
      </c>
      <c r="H395" s="72">
        <f>TRUNC(F395*G395,2)</f>
        <v>156.3</v>
      </c>
    </row>
    <row r="396" spans="1:8" s="112" customFormat="1" ht="11.25">
      <c r="A396" s="120" t="str">
        <f>VLOOKUP(B396,'Insumos e Serviços'!$A:$F,3,0)</f>
        <v>Composição</v>
      </c>
      <c r="B396" s="121" t="s">
        <v>601</v>
      </c>
      <c r="C396" s="122" t="str">
        <f>VLOOKUP(B396,'Insumos e Serviços'!$A:$F,2,0)</f>
        <v>SINAPI</v>
      </c>
      <c r="D396" s="120" t="str">
        <f>VLOOKUP(B396,'Insumos e Serviços'!$A:$F,4,0)</f>
        <v>AUXILIAR DE SERRALHEIRO COM ENCARGOS COMPLEMENTARES</v>
      </c>
      <c r="E396" s="122" t="str">
        <f>VLOOKUP(B396,'Insumos e Serviços'!$A:$F,5,0)</f>
        <v>H</v>
      </c>
      <c r="F396" s="123">
        <v>9</v>
      </c>
      <c r="G396" s="72">
        <f>VLOOKUP(B396,'Insumos e Serviços'!$A:$F,6,0)</f>
        <v>20.62</v>
      </c>
      <c r="H396" s="72">
        <f>TRUNC(F396*G396,2)</f>
        <v>185.58</v>
      </c>
    </row>
    <row r="397" spans="1:8" s="112" customFormat="1" ht="22.5">
      <c r="A397" s="120" t="str">
        <f>VLOOKUP(B397,'Insumos e Serviços'!$A:$F,3,0)</f>
        <v>Insumo</v>
      </c>
      <c r="B397" s="121" t="s">
        <v>685</v>
      </c>
      <c r="C397" s="122" t="str">
        <f>VLOOKUP(B397,'Insumos e Serviços'!$A:$F,2,0)</f>
        <v>SINAPI</v>
      </c>
      <c r="D397" s="120" t="str">
        <f>VLOOKUP(B397,'Insumos e Serviços'!$A:$F,4,0)</f>
        <v>PARAFUSO DE ACO TIPO CHUMBADOR PARABOLT, DIAMETRO 1/2", COMPRIMENTO 75 MM</v>
      </c>
      <c r="E397" s="122" t="str">
        <f>VLOOKUP(B397,'Insumos e Serviços'!$A:$F,5,0)</f>
        <v>UN</v>
      </c>
      <c r="F397" s="123">
        <v>32</v>
      </c>
      <c r="G397" s="72">
        <f>VLOOKUP(B397,'Insumos e Serviços'!$A:$F,6,0)</f>
        <v>8.79</v>
      </c>
      <c r="H397" s="72">
        <f>TRUNC(F397*G397,2)</f>
        <v>281.28</v>
      </c>
    </row>
    <row r="398" spans="1:8" s="112" customFormat="1" ht="11.25">
      <c r="A398" s="124"/>
      <c r="B398" s="125"/>
      <c r="C398" s="125"/>
      <c r="D398" s="126"/>
      <c r="E398" s="125"/>
      <c r="F398" s="127"/>
      <c r="G398" s="128"/>
      <c r="H398" s="128"/>
    </row>
    <row r="399" spans="1:8" s="112" customFormat="1" ht="22.5">
      <c r="A399" s="114" t="s">
        <v>351</v>
      </c>
      <c r="B399" s="115" t="str">
        <f>VLOOKUP(A399,'Orçamento Sintético'!$A:$H,2,0)</f>
        <v> MPDFT0946 </v>
      </c>
      <c r="C399" s="115" t="str">
        <f>VLOOKUP(A399,'Orçamento Sintético'!$A:$H,3,0)</f>
        <v>Próprio</v>
      </c>
      <c r="D399" s="116" t="str">
        <f>VLOOKUP(A399,'Orçamento Sintético'!$A:$H,4,0)</f>
        <v>Copia da SETOP (SPDA-CAB-025) - Reinstalação de cordoalha do SPDA, utilizando as mesmas fixações e isoladores</v>
      </c>
      <c r="E399" s="115" t="str">
        <f>VLOOKUP(A399,'Orçamento Sintético'!$A:$H,5,0)</f>
        <v>M</v>
      </c>
      <c r="F399" s="117"/>
      <c r="G399" s="118"/>
      <c r="H399" s="118">
        <f>SUM(H400:H401)</f>
        <v>33.29</v>
      </c>
    </row>
    <row r="400" spans="1:8" s="112" customFormat="1" ht="11.25">
      <c r="A400" s="120" t="str">
        <f>VLOOKUP(B400,'Insumos e Serviços'!$A:$F,3,0)</f>
        <v>Composição</v>
      </c>
      <c r="B400" s="121" t="s">
        <v>602</v>
      </c>
      <c r="C400" s="122" t="str">
        <f>VLOOKUP(B400,'Insumos e Serviços'!$A:$F,2,0)</f>
        <v>SINAPI</v>
      </c>
      <c r="D400" s="120" t="str">
        <f>VLOOKUP(B400,'Insumos e Serviços'!$A:$F,4,0)</f>
        <v>AUXILIAR DE ELETRICISTA COM ENCARGOS COMPLEMENTARES</v>
      </c>
      <c r="E400" s="122" t="str">
        <f>VLOOKUP(B400,'Insumos e Serviços'!$A:$F,5,0)</f>
        <v>H</v>
      </c>
      <c r="F400" s="123">
        <v>0.71</v>
      </c>
      <c r="G400" s="72">
        <f>VLOOKUP(B400,'Insumos e Serviços'!$A:$F,6,0)</f>
        <v>20.43</v>
      </c>
      <c r="H400" s="72">
        <f>TRUNC(F400*G400,2)</f>
        <v>14.5</v>
      </c>
    </row>
    <row r="401" spans="1:8" s="112" customFormat="1" ht="11.25">
      <c r="A401" s="120" t="str">
        <f>VLOOKUP(B401,'Insumos e Serviços'!$A:$F,3,0)</f>
        <v>Composição</v>
      </c>
      <c r="B401" s="121" t="s">
        <v>598</v>
      </c>
      <c r="C401" s="122" t="str">
        <f>VLOOKUP(B401,'Insumos e Serviços'!$A:$F,2,0)</f>
        <v>SINAPI</v>
      </c>
      <c r="D401" s="120" t="str">
        <f>VLOOKUP(B401,'Insumos e Serviços'!$A:$F,4,0)</f>
        <v>ELETRICISTA COM ENCARGOS COMPLEMENTARES</v>
      </c>
      <c r="E401" s="122" t="str">
        <f>VLOOKUP(B401,'Insumos e Serviços'!$A:$F,5,0)</f>
        <v>H</v>
      </c>
      <c r="F401" s="123">
        <v>0.71</v>
      </c>
      <c r="G401" s="72">
        <f>VLOOKUP(B401,'Insumos e Serviços'!$A:$F,6,0)</f>
        <v>26.47</v>
      </c>
      <c r="H401" s="72">
        <f>TRUNC(F401*G401,2)</f>
        <v>18.79</v>
      </c>
    </row>
    <row r="402" spans="1:8" s="112" customFormat="1" ht="11.25">
      <c r="A402" s="124"/>
      <c r="B402" s="125"/>
      <c r="C402" s="125"/>
      <c r="D402" s="126"/>
      <c r="E402" s="125"/>
      <c r="F402" s="127"/>
      <c r="G402" s="128"/>
      <c r="H402" s="128"/>
    </row>
    <row r="403" spans="1:8" s="112" customFormat="1" ht="11.25">
      <c r="A403" s="74" t="s">
        <v>354</v>
      </c>
      <c r="B403" s="75"/>
      <c r="C403" s="75"/>
      <c r="D403" s="74" t="s">
        <v>355</v>
      </c>
      <c r="E403" s="75"/>
      <c r="F403" s="129"/>
      <c r="G403" s="74"/>
      <c r="H403" s="78"/>
    </row>
    <row r="404" spans="1:8" s="112" customFormat="1" ht="11.25">
      <c r="A404" s="114" t="s">
        <v>356</v>
      </c>
      <c r="B404" s="115" t="str">
        <f>VLOOKUP(A404,'Orçamento Sintético'!$A:$H,2,0)</f>
        <v> MPDFT1715 </v>
      </c>
      <c r="C404" s="115" t="str">
        <f>VLOOKUP(A404,'Orçamento Sintético'!$A:$H,3,0)</f>
        <v>Próprio</v>
      </c>
      <c r="D404" s="116" t="str">
        <f>VLOOKUP(A404,'Orçamento Sintético'!$A:$H,4,0)</f>
        <v>Copia da ORSE (3199) - Grelha metálica em ferro fundido</v>
      </c>
      <c r="E404" s="115" t="str">
        <f>VLOOKUP(A404,'Orçamento Sintético'!$A:$H,5,0)</f>
        <v>m</v>
      </c>
      <c r="F404" s="117"/>
      <c r="G404" s="118"/>
      <c r="H404" s="118">
        <f>SUM(H405:H407)</f>
        <v>293.93</v>
      </c>
    </row>
    <row r="405" spans="1:8" s="112" customFormat="1" ht="11.25">
      <c r="A405" s="120" t="str">
        <f>VLOOKUP(B405,'Insumos e Serviços'!$A:$F,3,0)</f>
        <v>Composição</v>
      </c>
      <c r="B405" s="121" t="s">
        <v>583</v>
      </c>
      <c r="C405" s="122" t="str">
        <f>VLOOKUP(B405,'Insumos e Serviços'!$A:$F,2,0)</f>
        <v>SINAPI</v>
      </c>
      <c r="D405" s="120" t="str">
        <f>VLOOKUP(B405,'Insumos e Serviços'!$A:$F,4,0)</f>
        <v>PEDREIRO COM ENCARGOS COMPLEMENTARES</v>
      </c>
      <c r="E405" s="122" t="str">
        <f>VLOOKUP(B405,'Insumos e Serviços'!$A:$F,5,0)</f>
        <v>H</v>
      </c>
      <c r="F405" s="123">
        <v>0.3</v>
      </c>
      <c r="G405" s="72">
        <f>VLOOKUP(B405,'Insumos e Serviços'!$A:$F,6,0)</f>
        <v>26.2</v>
      </c>
      <c r="H405" s="72">
        <f>TRUNC(F405*G405,2)</f>
        <v>7.86</v>
      </c>
    </row>
    <row r="406" spans="1:8" s="112" customFormat="1" ht="11.25">
      <c r="A406" s="120" t="str">
        <f>VLOOKUP(B406,'Insumos e Serviços'!$A:$F,3,0)</f>
        <v>Composição</v>
      </c>
      <c r="B406" s="121" t="s">
        <v>581</v>
      </c>
      <c r="C406" s="122" t="str">
        <f>VLOOKUP(B406,'Insumos e Serviços'!$A:$F,2,0)</f>
        <v>SINAPI</v>
      </c>
      <c r="D406" s="120" t="str">
        <f>VLOOKUP(B406,'Insumos e Serviços'!$A:$F,4,0)</f>
        <v>SERVENTE COM ENCARGOS COMPLEMENTARES</v>
      </c>
      <c r="E406" s="122" t="str">
        <f>VLOOKUP(B406,'Insumos e Serviços'!$A:$F,5,0)</f>
        <v>H</v>
      </c>
      <c r="F406" s="123">
        <v>0.3</v>
      </c>
      <c r="G406" s="72">
        <f>VLOOKUP(B406,'Insumos e Serviços'!$A:$F,6,0)</f>
        <v>19.39</v>
      </c>
      <c r="H406" s="72">
        <f>TRUNC(F406*G406,2)</f>
        <v>5.81</v>
      </c>
    </row>
    <row r="407" spans="1:8" s="112" customFormat="1" ht="11.25">
      <c r="A407" s="120" t="str">
        <f>VLOOKUP(B407,'Insumos e Serviços'!$A:$F,3,0)</f>
        <v>Insumo</v>
      </c>
      <c r="B407" s="121" t="s">
        <v>686</v>
      </c>
      <c r="C407" s="122" t="str">
        <f>VLOOKUP(B407,'Insumos e Serviços'!$A:$F,2,0)</f>
        <v>Próprio</v>
      </c>
      <c r="D407" s="120" t="str">
        <f>VLOOKUP(B407,'Insumos e Serviços'!$A:$F,4,0)</f>
        <v>Grelha de ferro fundido com requadro 50x50cm</v>
      </c>
      <c r="E407" s="122" t="str">
        <f>VLOOKUP(B407,'Insumos e Serviços'!$A:$F,5,0)</f>
        <v>un</v>
      </c>
      <c r="F407" s="123">
        <v>2</v>
      </c>
      <c r="G407" s="72">
        <f>VLOOKUP(B407,'Insumos e Serviços'!$A:$F,6,0)</f>
        <v>140.13</v>
      </c>
      <c r="H407" s="72">
        <f>TRUNC(F407*G407,2)</f>
        <v>280.26</v>
      </c>
    </row>
    <row r="408" spans="1:8" s="112" customFormat="1" ht="11.25">
      <c r="A408" s="124"/>
      <c r="B408" s="125"/>
      <c r="C408" s="125"/>
      <c r="D408" s="126"/>
      <c r="E408" s="125"/>
      <c r="F408" s="127"/>
      <c r="G408" s="128"/>
      <c r="H408" s="128"/>
    </row>
    <row r="409" spans="1:8" s="112" customFormat="1" ht="11.25">
      <c r="A409" s="107" t="s">
        <v>1273</v>
      </c>
      <c r="B409" s="108"/>
      <c r="C409" s="108"/>
      <c r="D409" s="130" t="s">
        <v>359</v>
      </c>
      <c r="E409" s="108"/>
      <c r="F409" s="131"/>
      <c r="G409" s="110"/>
      <c r="H409" s="111"/>
    </row>
    <row r="410" spans="1:8" s="112" customFormat="1" ht="11.25">
      <c r="A410" s="62" t="s">
        <v>360</v>
      </c>
      <c r="B410" s="63"/>
      <c r="C410" s="63"/>
      <c r="D410" s="62" t="s">
        <v>361</v>
      </c>
      <c r="E410" s="63"/>
      <c r="F410" s="113"/>
      <c r="G410" s="62"/>
      <c r="H410" s="67"/>
    </row>
    <row r="411" spans="1:8" s="112" customFormat="1" ht="11.25">
      <c r="A411" s="114" t="s">
        <v>368</v>
      </c>
      <c r="B411" s="115" t="str">
        <f>VLOOKUP(A411,'Orçamento Sintético'!$A:$H,2,0)</f>
        <v> MPDFT1707 </v>
      </c>
      <c r="C411" s="115" t="str">
        <f>VLOOKUP(A411,'Orçamento Sintético'!$A:$H,3,0)</f>
        <v>Próprio</v>
      </c>
      <c r="D411" s="116" t="str">
        <f>VLOOKUP(A411,'Orçamento Sintético'!$A:$H,4,0)</f>
        <v>Copia da SINAPI (99803) - LIMPEZA DE PISO COM PANO ÚMIDO. AF_04/2019</v>
      </c>
      <c r="E411" s="115" t="str">
        <f>VLOOKUP(A411,'Orçamento Sintético'!$A:$H,5,0)</f>
        <v>m²</v>
      </c>
      <c r="F411" s="117"/>
      <c r="G411" s="118"/>
      <c r="H411" s="118">
        <f>SUM(H412)</f>
        <v>1.88</v>
      </c>
    </row>
    <row r="412" spans="1:8" s="112" customFormat="1" ht="11.25">
      <c r="A412" s="120" t="str">
        <f>VLOOKUP(B412,'Insumos e Serviços'!$A:$F,3,0)</f>
        <v>Composição</v>
      </c>
      <c r="B412" s="121" t="s">
        <v>581</v>
      </c>
      <c r="C412" s="122" t="str">
        <f>VLOOKUP(B412,'Insumos e Serviços'!$A:$F,2,0)</f>
        <v>SINAPI</v>
      </c>
      <c r="D412" s="120" t="str">
        <f>VLOOKUP(B412,'Insumos e Serviços'!$A:$F,4,0)</f>
        <v>SERVENTE COM ENCARGOS COMPLEMENTARES</v>
      </c>
      <c r="E412" s="122" t="str">
        <f>VLOOKUP(B412,'Insumos e Serviços'!$A:$F,5,0)</f>
        <v>H</v>
      </c>
      <c r="F412" s="123">
        <v>0.097</v>
      </c>
      <c r="G412" s="72">
        <f>VLOOKUP(B412,'Insumos e Serviços'!$A:$F,6,0)</f>
        <v>19.39</v>
      </c>
      <c r="H412" s="72">
        <f>TRUNC(F412*G412,2)</f>
        <v>1.88</v>
      </c>
    </row>
    <row r="413" spans="1:8" s="112" customFormat="1" ht="11.25">
      <c r="A413" s="124"/>
      <c r="B413" s="125"/>
      <c r="C413" s="125"/>
      <c r="D413" s="126"/>
      <c r="E413" s="125"/>
      <c r="F413" s="127"/>
      <c r="G413" s="128"/>
      <c r="H413" s="128"/>
    </row>
    <row r="414" spans="1:8" s="112" customFormat="1" ht="11.25">
      <c r="A414" s="114" t="s">
        <v>371</v>
      </c>
      <c r="B414" s="115" t="s">
        <v>372</v>
      </c>
      <c r="C414" s="115" t="s">
        <v>1305</v>
      </c>
      <c r="D414" s="116" t="s">
        <v>373</v>
      </c>
      <c r="E414" s="115" t="s">
        <v>1316</v>
      </c>
      <c r="F414" s="117"/>
      <c r="G414" s="118"/>
      <c r="H414" s="118">
        <f>SUM(H415)</f>
        <v>8.26</v>
      </c>
    </row>
    <row r="415" spans="1:8" s="112" customFormat="1" ht="11.25">
      <c r="A415" s="120" t="str">
        <f>VLOOKUP(B415,'Insumos e Serviços'!$A:$F,3,0)</f>
        <v>Composição</v>
      </c>
      <c r="B415" s="121" t="s">
        <v>581</v>
      </c>
      <c r="C415" s="122" t="str">
        <f>VLOOKUP(B415,'Insumos e Serviços'!$A:$F,2,0)</f>
        <v>SINAPI</v>
      </c>
      <c r="D415" s="120" t="str">
        <f>VLOOKUP(B415,'Insumos e Serviços'!$A:$F,4,0)</f>
        <v>SERVENTE COM ENCARGOS COMPLEMENTARES</v>
      </c>
      <c r="E415" s="122" t="str">
        <f>VLOOKUP(B415,'Insumos e Serviços'!$A:$F,5,0)</f>
        <v>H</v>
      </c>
      <c r="F415" s="123">
        <v>0.426</v>
      </c>
      <c r="G415" s="72">
        <f>VLOOKUP(B415,'Insumos e Serviços'!$A:$F,6,0)</f>
        <v>19.39</v>
      </c>
      <c r="H415" s="72">
        <f>TRUNC(F415*G415,2)</f>
        <v>8.26</v>
      </c>
    </row>
    <row r="416" spans="1:8" s="112" customFormat="1" ht="11.25">
      <c r="A416" s="124"/>
      <c r="B416" s="125"/>
      <c r="C416" s="125"/>
      <c r="D416" s="126"/>
      <c r="E416" s="125"/>
      <c r="F416" s="127"/>
      <c r="G416" s="128"/>
      <c r="H416" s="128"/>
    </row>
    <row r="417" spans="1:8" s="112" customFormat="1" ht="11.25">
      <c r="A417" s="107" t="s">
        <v>1275</v>
      </c>
      <c r="B417" s="108"/>
      <c r="C417" s="108"/>
      <c r="D417" s="130" t="s">
        <v>379</v>
      </c>
      <c r="E417" s="108"/>
      <c r="F417" s="131"/>
      <c r="G417" s="110"/>
      <c r="H417" s="111"/>
    </row>
    <row r="418" spans="1:8" s="112" customFormat="1" ht="11.25">
      <c r="A418" s="62" t="s">
        <v>390</v>
      </c>
      <c r="B418" s="63"/>
      <c r="C418" s="63"/>
      <c r="D418" s="62" t="s">
        <v>391</v>
      </c>
      <c r="E418" s="63"/>
      <c r="F418" s="113"/>
      <c r="G418" s="62"/>
      <c r="H418" s="67"/>
    </row>
    <row r="419" spans="1:8" s="112" customFormat="1" ht="11.25">
      <c r="A419" s="74" t="s">
        <v>392</v>
      </c>
      <c r="B419" s="75"/>
      <c r="C419" s="75"/>
      <c r="D419" s="74" t="s">
        <v>393</v>
      </c>
      <c r="E419" s="75"/>
      <c r="F419" s="129"/>
      <c r="G419" s="74"/>
      <c r="H419" s="78"/>
    </row>
    <row r="420" spans="1:8" s="112" customFormat="1" ht="11.25">
      <c r="A420" s="83" t="s">
        <v>394</v>
      </c>
      <c r="B420" s="84"/>
      <c r="C420" s="84"/>
      <c r="D420" s="83" t="s">
        <v>395</v>
      </c>
      <c r="E420" s="84"/>
      <c r="F420" s="132"/>
      <c r="G420" s="83"/>
      <c r="H420" s="87"/>
    </row>
    <row r="421" spans="1:8" s="112" customFormat="1" ht="22.5">
      <c r="A421" s="114" t="s">
        <v>396</v>
      </c>
      <c r="B421" s="115" t="str">
        <f>VLOOKUP(A421,'Orçamento Sintético'!$A:$H,2,0)</f>
        <v> MPDFT1677 </v>
      </c>
      <c r="C421" s="115" t="str">
        <f>VLOOKUP(A421,'Orçamento Sintético'!$A:$H,3,0)</f>
        <v>Próprio</v>
      </c>
      <c r="D421" s="116" t="str">
        <f>VLOOKUP(A421,'Orçamento Sintético'!$A:$H,4,0)</f>
        <v>Copia da CPOS (46.33.003) - Tubo de 58mm em polipropileno preto de ultra resistência, ref. Tecnofluidos, linha Duratop XR</v>
      </c>
      <c r="E421" s="115" t="str">
        <f>VLOOKUP(A421,'Orçamento Sintético'!$A:$H,5,0)</f>
        <v>m</v>
      </c>
      <c r="F421" s="117"/>
      <c r="G421" s="118"/>
      <c r="H421" s="118">
        <f>SUM(H422:H424)</f>
        <v>64.29</v>
      </c>
    </row>
    <row r="422" spans="1:8" s="112" customFormat="1" ht="11.25">
      <c r="A422" s="120" t="str">
        <f>VLOOKUP(B422,'Insumos e Serviços'!$A:$F,3,0)</f>
        <v>Composição</v>
      </c>
      <c r="B422" s="121" t="s">
        <v>603</v>
      </c>
      <c r="C422" s="122" t="str">
        <f>VLOOKUP(B422,'Insumos e Serviços'!$A:$F,2,0)</f>
        <v>SINAPI</v>
      </c>
      <c r="D422" s="120" t="str">
        <f>VLOOKUP(B422,'Insumos e Serviços'!$A:$F,4,0)</f>
        <v>ENCANADOR OU BOMBEIRO HIDRÁULICO COM ENCARGOS COMPLEMENTARES</v>
      </c>
      <c r="E422" s="122" t="str">
        <f>VLOOKUP(B422,'Insumos e Serviços'!$A:$F,5,0)</f>
        <v>H</v>
      </c>
      <c r="F422" s="123">
        <v>0.25</v>
      </c>
      <c r="G422" s="72">
        <f>VLOOKUP(B422,'Insumos e Serviços'!$A:$F,6,0)</f>
        <v>25.58</v>
      </c>
      <c r="H422" s="72">
        <f>TRUNC(F422*G422,2)</f>
        <v>6.39</v>
      </c>
    </row>
    <row r="423" spans="1:8" s="112" customFormat="1" ht="22.5">
      <c r="A423" s="120" t="str">
        <f>VLOOKUP(B423,'Insumos e Serviços'!$A:$F,3,0)</f>
        <v>Composição</v>
      </c>
      <c r="B423" s="121" t="s">
        <v>687</v>
      </c>
      <c r="C423" s="122" t="str">
        <f>VLOOKUP(B423,'Insumos e Serviços'!$A:$F,2,0)</f>
        <v>SINAPI</v>
      </c>
      <c r="D423" s="120" t="str">
        <f>VLOOKUP(B423,'Insumos e Serviços'!$A:$F,4,0)</f>
        <v>AUXILIAR DE ENCANADOR OU BOMBEIRO HIDRÁULICO COM ENCARGOS COMPLEMENTARES</v>
      </c>
      <c r="E423" s="122" t="str">
        <f>VLOOKUP(B423,'Insumos e Serviços'!$A:$F,5,0)</f>
        <v>H</v>
      </c>
      <c r="F423" s="123">
        <v>0.5</v>
      </c>
      <c r="G423" s="72">
        <f>VLOOKUP(B423,'Insumos e Serviços'!$A:$F,6,0)</f>
        <v>20.1</v>
      </c>
      <c r="H423" s="72">
        <f>TRUNC(F423*G423,2)</f>
        <v>10.05</v>
      </c>
    </row>
    <row r="424" spans="1:8" s="112" customFormat="1" ht="22.5">
      <c r="A424" s="120" t="str">
        <f>VLOOKUP(B424,'Insumos e Serviços'!$A:$F,3,0)</f>
        <v>Insumo</v>
      </c>
      <c r="B424" s="121" t="s">
        <v>688</v>
      </c>
      <c r="C424" s="122" t="str">
        <f>VLOOKUP(B424,'Insumos e Serviços'!$A:$F,2,0)</f>
        <v>Próprio</v>
      </c>
      <c r="D424" s="120" t="str">
        <f>VLOOKUP(B424,'Insumos e Serviços'!$A:$F,4,0)</f>
        <v>Tubo de 58mm em polipropileno preto de ultra resistência, ref. Tecnofluidos, linha Duratop XR</v>
      </c>
      <c r="E424" s="122" t="str">
        <f>VLOOKUP(B424,'Insumos e Serviços'!$A:$F,5,0)</f>
        <v>m</v>
      </c>
      <c r="F424" s="123">
        <v>1.05</v>
      </c>
      <c r="G424" s="72">
        <f>VLOOKUP(B424,'Insumos e Serviços'!$A:$F,6,0)</f>
        <v>45.58</v>
      </c>
      <c r="H424" s="72">
        <f>TRUNC(F424*G424,2)</f>
        <v>47.85</v>
      </c>
    </row>
    <row r="425" spans="1:8" s="112" customFormat="1" ht="11.25">
      <c r="A425" s="124"/>
      <c r="B425" s="125"/>
      <c r="C425" s="125"/>
      <c r="D425" s="126"/>
      <c r="E425" s="125"/>
      <c r="F425" s="127"/>
      <c r="G425" s="128"/>
      <c r="H425" s="128"/>
    </row>
    <row r="426" spans="1:8" s="112" customFormat="1" ht="22.5">
      <c r="A426" s="114" t="s">
        <v>399</v>
      </c>
      <c r="B426" s="115" t="str">
        <f>VLOOKUP(A426,'Orçamento Sintético'!$A:$H,2,0)</f>
        <v> MPDFT1679 </v>
      </c>
      <c r="C426" s="115" t="str">
        <f>VLOOKUP(A426,'Orçamento Sintético'!$A:$H,3,0)</f>
        <v>Próprio</v>
      </c>
      <c r="D426" s="116" t="str">
        <f>VLOOKUP(A426,'Orçamento Sintético'!$A:$H,4,0)</f>
        <v>Copia da CPOS (46.33.003) - Tubo de 63mm em polipropileno preto de ultra resistência, ref. Tecnofluidos, linha Duratop XR</v>
      </c>
      <c r="E426" s="115" t="str">
        <f>VLOOKUP(A426,'Orçamento Sintético'!$A:$H,5,0)</f>
        <v>m</v>
      </c>
      <c r="F426" s="117"/>
      <c r="G426" s="118"/>
      <c r="H426" s="118">
        <f>SUM(H427:H429)</f>
        <v>70.98</v>
      </c>
    </row>
    <row r="427" spans="1:8" s="112" customFormat="1" ht="11.25">
      <c r="A427" s="120" t="str">
        <f>VLOOKUP(B427,'Insumos e Serviços'!$A:$F,3,0)</f>
        <v>Composição</v>
      </c>
      <c r="B427" s="121" t="s">
        <v>603</v>
      </c>
      <c r="C427" s="122" t="str">
        <f>VLOOKUP(B427,'Insumos e Serviços'!$A:$F,2,0)</f>
        <v>SINAPI</v>
      </c>
      <c r="D427" s="120" t="str">
        <f>VLOOKUP(B427,'Insumos e Serviços'!$A:$F,4,0)</f>
        <v>ENCANADOR OU BOMBEIRO HIDRÁULICO COM ENCARGOS COMPLEMENTARES</v>
      </c>
      <c r="E427" s="122" t="str">
        <f>VLOOKUP(B427,'Insumos e Serviços'!$A:$F,5,0)</f>
        <v>H</v>
      </c>
      <c r="F427" s="123">
        <v>0.25</v>
      </c>
      <c r="G427" s="72">
        <f>VLOOKUP(B427,'Insumos e Serviços'!$A:$F,6,0)</f>
        <v>25.58</v>
      </c>
      <c r="H427" s="72">
        <f>TRUNC(F427*G427,2)</f>
        <v>6.39</v>
      </c>
    </row>
    <row r="428" spans="1:8" s="112" customFormat="1" ht="22.5">
      <c r="A428" s="120" t="str">
        <f>VLOOKUP(B428,'Insumos e Serviços'!$A:$F,3,0)</f>
        <v>Composição</v>
      </c>
      <c r="B428" s="121" t="s">
        <v>687</v>
      </c>
      <c r="C428" s="122" t="str">
        <f>VLOOKUP(B428,'Insumos e Serviços'!$A:$F,2,0)</f>
        <v>SINAPI</v>
      </c>
      <c r="D428" s="120" t="str">
        <f>VLOOKUP(B428,'Insumos e Serviços'!$A:$F,4,0)</f>
        <v>AUXILIAR DE ENCANADOR OU BOMBEIRO HIDRÁULICO COM ENCARGOS COMPLEMENTARES</v>
      </c>
      <c r="E428" s="122" t="str">
        <f>VLOOKUP(B428,'Insumos e Serviços'!$A:$F,5,0)</f>
        <v>H</v>
      </c>
      <c r="F428" s="123">
        <v>0.5</v>
      </c>
      <c r="G428" s="72">
        <f>VLOOKUP(B428,'Insumos e Serviços'!$A:$F,6,0)</f>
        <v>20.1</v>
      </c>
      <c r="H428" s="72">
        <f>TRUNC(F428*G428,2)</f>
        <v>10.05</v>
      </c>
    </row>
    <row r="429" spans="1:8" s="112" customFormat="1" ht="22.5">
      <c r="A429" s="120" t="str">
        <f>VLOOKUP(B429,'Insumos e Serviços'!$A:$F,3,0)</f>
        <v>Insumo</v>
      </c>
      <c r="B429" s="121" t="s">
        <v>689</v>
      </c>
      <c r="C429" s="122" t="str">
        <f>VLOOKUP(B429,'Insumos e Serviços'!$A:$F,2,0)</f>
        <v>Próprio</v>
      </c>
      <c r="D429" s="120" t="str">
        <f>VLOOKUP(B429,'Insumos e Serviços'!$A:$F,4,0)</f>
        <v>Tubo de 63mm em polipropileno preto de ultra resistência, ref. Tecnofluidos, linha Duratop XR</v>
      </c>
      <c r="E429" s="122" t="str">
        <f>VLOOKUP(B429,'Insumos e Serviços'!$A:$F,5,0)</f>
        <v>m</v>
      </c>
      <c r="F429" s="123">
        <v>1.05</v>
      </c>
      <c r="G429" s="72">
        <f>VLOOKUP(B429,'Insumos e Serviços'!$A:$F,6,0)</f>
        <v>51.95</v>
      </c>
      <c r="H429" s="72">
        <f>TRUNC(F429*G429,2)</f>
        <v>54.54</v>
      </c>
    </row>
    <row r="430" spans="1:8" s="112" customFormat="1" ht="11.25">
      <c r="A430" s="124"/>
      <c r="B430" s="125"/>
      <c r="C430" s="125"/>
      <c r="D430" s="126"/>
      <c r="E430" s="125"/>
      <c r="F430" s="127"/>
      <c r="G430" s="128"/>
      <c r="H430" s="128"/>
    </row>
    <row r="431" spans="1:8" s="112" customFormat="1" ht="22.5">
      <c r="A431" s="114" t="s">
        <v>402</v>
      </c>
      <c r="B431" s="115" t="str">
        <f>VLOOKUP(A431,'Orçamento Sintético'!$A:$H,2,0)</f>
        <v> MPDFT1680 </v>
      </c>
      <c r="C431" s="115" t="str">
        <f>VLOOKUP(A431,'Orçamento Sintético'!$A:$H,3,0)</f>
        <v>Próprio</v>
      </c>
      <c r="D431" s="116" t="str">
        <f>VLOOKUP(A431,'Orçamento Sintético'!$A:$H,4,0)</f>
        <v>Copia da CPOS (46.33.004) - Tubo de 78mm em polipropileno preto de ultra resistência, ref. Tecnofluidos, linha Duratop XR</v>
      </c>
      <c r="E431" s="115" t="str">
        <f>VLOOKUP(A431,'Orçamento Sintético'!$A:$H,5,0)</f>
        <v>m</v>
      </c>
      <c r="F431" s="117"/>
      <c r="G431" s="118"/>
      <c r="H431" s="118">
        <f>SUM(H432:H434)</f>
        <v>88.29</v>
      </c>
    </row>
    <row r="432" spans="1:8" s="112" customFormat="1" ht="11.25">
      <c r="A432" s="120" t="str">
        <f>VLOOKUP(B432,'Insumos e Serviços'!$A:$F,3,0)</f>
        <v>Composição</v>
      </c>
      <c r="B432" s="121" t="s">
        <v>603</v>
      </c>
      <c r="C432" s="122" t="str">
        <f>VLOOKUP(B432,'Insumos e Serviços'!$A:$F,2,0)</f>
        <v>SINAPI</v>
      </c>
      <c r="D432" s="120" t="str">
        <f>VLOOKUP(B432,'Insumos e Serviços'!$A:$F,4,0)</f>
        <v>ENCANADOR OU BOMBEIRO HIDRÁULICO COM ENCARGOS COMPLEMENTARES</v>
      </c>
      <c r="E432" s="122" t="str">
        <f>VLOOKUP(B432,'Insumos e Serviços'!$A:$F,5,0)</f>
        <v>H</v>
      </c>
      <c r="F432" s="123">
        <v>0.375</v>
      </c>
      <c r="G432" s="72">
        <f>VLOOKUP(B432,'Insumos e Serviços'!$A:$F,6,0)</f>
        <v>25.58</v>
      </c>
      <c r="H432" s="72">
        <f>TRUNC(F432*G432,2)</f>
        <v>9.59</v>
      </c>
    </row>
    <row r="433" spans="1:8" s="112" customFormat="1" ht="22.5">
      <c r="A433" s="120" t="str">
        <f>VLOOKUP(B433,'Insumos e Serviços'!$A:$F,3,0)</f>
        <v>Composição</v>
      </c>
      <c r="B433" s="121" t="s">
        <v>687</v>
      </c>
      <c r="C433" s="122" t="str">
        <f>VLOOKUP(B433,'Insumos e Serviços'!$A:$F,2,0)</f>
        <v>SINAPI</v>
      </c>
      <c r="D433" s="120" t="str">
        <f>VLOOKUP(B433,'Insumos e Serviços'!$A:$F,4,0)</f>
        <v>AUXILIAR DE ENCANADOR OU BOMBEIRO HIDRÁULICO COM ENCARGOS COMPLEMENTARES</v>
      </c>
      <c r="E433" s="122" t="str">
        <f>VLOOKUP(B433,'Insumos e Serviços'!$A:$F,5,0)</f>
        <v>H</v>
      </c>
      <c r="F433" s="123">
        <v>0.75</v>
      </c>
      <c r="G433" s="72">
        <f>VLOOKUP(B433,'Insumos e Serviços'!$A:$F,6,0)</f>
        <v>20.1</v>
      </c>
      <c r="H433" s="72">
        <f>TRUNC(F433*G433,2)</f>
        <v>15.07</v>
      </c>
    </row>
    <row r="434" spans="1:8" s="112" customFormat="1" ht="22.5">
      <c r="A434" s="120" t="str">
        <f>VLOOKUP(B434,'Insumos e Serviços'!$A:$F,3,0)</f>
        <v>Insumo</v>
      </c>
      <c r="B434" s="121" t="s">
        <v>690</v>
      </c>
      <c r="C434" s="122" t="str">
        <f>VLOOKUP(B434,'Insumos e Serviços'!$A:$F,2,0)</f>
        <v>Próprio</v>
      </c>
      <c r="D434" s="120" t="str">
        <f>VLOOKUP(B434,'Insumos e Serviços'!$A:$F,4,0)</f>
        <v>Tubo de 78mm em polipropileno preto de ultra resistência, ref. Tecnofluidos, linha Duratop XR</v>
      </c>
      <c r="E434" s="122" t="str">
        <f>VLOOKUP(B434,'Insumos e Serviços'!$A:$F,5,0)</f>
        <v>m</v>
      </c>
      <c r="F434" s="123">
        <v>1.05</v>
      </c>
      <c r="G434" s="72">
        <f>VLOOKUP(B434,'Insumos e Serviços'!$A:$F,6,0)</f>
        <v>60.6</v>
      </c>
      <c r="H434" s="72">
        <f>TRUNC(F434*G434,2)</f>
        <v>63.63</v>
      </c>
    </row>
    <row r="435" spans="1:8" s="112" customFormat="1" ht="11.25">
      <c r="A435" s="124"/>
      <c r="B435" s="125"/>
      <c r="C435" s="125"/>
      <c r="D435" s="126"/>
      <c r="E435" s="125"/>
      <c r="F435" s="127"/>
      <c r="G435" s="128"/>
      <c r="H435" s="128"/>
    </row>
    <row r="436" spans="1:8" s="112" customFormat="1" ht="22.5">
      <c r="A436" s="114" t="s">
        <v>405</v>
      </c>
      <c r="B436" s="115" t="str">
        <f>VLOOKUP(A436,'Orçamento Sintético'!$A:$H,2,0)</f>
        <v> MPDFT1681 </v>
      </c>
      <c r="C436" s="115" t="str">
        <f>VLOOKUP(A436,'Orçamento Sintético'!$A:$H,3,0)</f>
        <v>Próprio</v>
      </c>
      <c r="D436" s="116" t="str">
        <f>VLOOKUP(A436,'Orçamento Sintético'!$A:$H,4,0)</f>
        <v>Copia da CPOS (46.33.004) - Tubo de 110mm em polipropileno preto de ultra resistência, ref. Tecnofluidos, linha Duratop XR</v>
      </c>
      <c r="E436" s="115" t="str">
        <f>VLOOKUP(A436,'Orçamento Sintético'!$A:$H,5,0)</f>
        <v>m</v>
      </c>
      <c r="F436" s="117"/>
      <c r="G436" s="118"/>
      <c r="H436" s="118">
        <f>SUM(H437:H439)</f>
        <v>154.65</v>
      </c>
    </row>
    <row r="437" spans="1:8" s="112" customFormat="1" ht="11.25">
      <c r="A437" s="120" t="str">
        <f>VLOOKUP(B437,'Insumos e Serviços'!$A:$F,3,0)</f>
        <v>Composição</v>
      </c>
      <c r="B437" s="121" t="s">
        <v>603</v>
      </c>
      <c r="C437" s="122" t="str">
        <f>VLOOKUP(B437,'Insumos e Serviços'!$A:$F,2,0)</f>
        <v>SINAPI</v>
      </c>
      <c r="D437" s="120" t="str">
        <f>VLOOKUP(B437,'Insumos e Serviços'!$A:$F,4,0)</f>
        <v>ENCANADOR OU BOMBEIRO HIDRÁULICO COM ENCARGOS COMPLEMENTARES</v>
      </c>
      <c r="E437" s="122" t="str">
        <f>VLOOKUP(B437,'Insumos e Serviços'!$A:$F,5,0)</f>
        <v>H</v>
      </c>
      <c r="F437" s="123">
        <v>0.375</v>
      </c>
      <c r="G437" s="72">
        <f>VLOOKUP(B437,'Insumos e Serviços'!$A:$F,6,0)</f>
        <v>25.58</v>
      </c>
      <c r="H437" s="72">
        <f>TRUNC(F437*G437,2)</f>
        <v>9.59</v>
      </c>
    </row>
    <row r="438" spans="1:8" s="112" customFormat="1" ht="22.5">
      <c r="A438" s="120" t="str">
        <f>VLOOKUP(B438,'Insumos e Serviços'!$A:$F,3,0)</f>
        <v>Composição</v>
      </c>
      <c r="B438" s="121" t="s">
        <v>687</v>
      </c>
      <c r="C438" s="122" t="str">
        <f>VLOOKUP(B438,'Insumos e Serviços'!$A:$F,2,0)</f>
        <v>SINAPI</v>
      </c>
      <c r="D438" s="120" t="str">
        <f>VLOOKUP(B438,'Insumos e Serviços'!$A:$F,4,0)</f>
        <v>AUXILIAR DE ENCANADOR OU BOMBEIRO HIDRÁULICO COM ENCARGOS COMPLEMENTARES</v>
      </c>
      <c r="E438" s="122" t="str">
        <f>VLOOKUP(B438,'Insumos e Serviços'!$A:$F,5,0)</f>
        <v>H</v>
      </c>
      <c r="F438" s="123">
        <v>0.75</v>
      </c>
      <c r="G438" s="72">
        <f>VLOOKUP(B438,'Insumos e Serviços'!$A:$F,6,0)</f>
        <v>20.1</v>
      </c>
      <c r="H438" s="72">
        <f>TRUNC(F438*G438,2)</f>
        <v>15.07</v>
      </c>
    </row>
    <row r="439" spans="1:8" s="112" customFormat="1" ht="22.5">
      <c r="A439" s="120" t="str">
        <f>VLOOKUP(B439,'Insumos e Serviços'!$A:$F,3,0)</f>
        <v>Insumo</v>
      </c>
      <c r="B439" s="121" t="s">
        <v>691</v>
      </c>
      <c r="C439" s="122" t="str">
        <f>VLOOKUP(B439,'Insumos e Serviços'!$A:$F,2,0)</f>
        <v>Próprio</v>
      </c>
      <c r="D439" s="120" t="str">
        <f>VLOOKUP(B439,'Insumos e Serviços'!$A:$F,4,0)</f>
        <v>Tubo de 110mm em polipropileno preto de ultra resistência, ref. Tecnofluidos, linha Duratop XR</v>
      </c>
      <c r="E439" s="122" t="str">
        <f>VLOOKUP(B439,'Insumos e Serviços'!$A:$F,5,0)</f>
        <v>m</v>
      </c>
      <c r="F439" s="123">
        <v>1.05</v>
      </c>
      <c r="G439" s="72">
        <f>VLOOKUP(B439,'Insumos e Serviços'!$A:$F,6,0)</f>
        <v>123.8</v>
      </c>
      <c r="H439" s="72">
        <f>TRUNC(F439*G439,2)</f>
        <v>129.99</v>
      </c>
    </row>
    <row r="440" spans="1:8" s="112" customFormat="1" ht="11.25">
      <c r="A440" s="124"/>
      <c r="B440" s="125"/>
      <c r="C440" s="125"/>
      <c r="D440" s="126"/>
      <c r="E440" s="125"/>
      <c r="F440" s="127"/>
      <c r="G440" s="128"/>
      <c r="H440" s="128"/>
    </row>
    <row r="441" spans="1:8" s="112" customFormat="1" ht="11.25">
      <c r="A441" s="83" t="s">
        <v>408</v>
      </c>
      <c r="B441" s="84"/>
      <c r="C441" s="84"/>
      <c r="D441" s="83" t="s">
        <v>409</v>
      </c>
      <c r="E441" s="84"/>
      <c r="F441" s="132"/>
      <c r="G441" s="83"/>
      <c r="H441" s="87"/>
    </row>
    <row r="442" spans="1:8" s="112" customFormat="1" ht="22.5">
      <c r="A442" s="114" t="s">
        <v>410</v>
      </c>
      <c r="B442" s="115" t="str">
        <f>VLOOKUP(A442,'Orçamento Sintético'!$A:$H,2,0)</f>
        <v> MPDFT1688 </v>
      </c>
      <c r="C442" s="115" t="str">
        <f>VLOOKUP(A442,'Orçamento Sintético'!$A:$H,3,0)</f>
        <v>Próprio</v>
      </c>
      <c r="D442" s="116" t="str">
        <f>VLOOKUP(A442,'Orçamento Sintético'!$A:$H,4,0)</f>
        <v>Copia da CPOS (46.33.207) - Tampão (Cap), DN 110mm, em polipropileno preto de ultra resistência, ref. Tecnofluidos, linha Duratop XR</v>
      </c>
      <c r="E442" s="115" t="str">
        <f>VLOOKUP(A442,'Orçamento Sintético'!$A:$H,5,0)</f>
        <v>un</v>
      </c>
      <c r="F442" s="117"/>
      <c r="G442" s="118"/>
      <c r="H442" s="118">
        <f>SUM(H443:H445)</f>
        <v>44.25</v>
      </c>
    </row>
    <row r="443" spans="1:8" s="112" customFormat="1" ht="11.25">
      <c r="A443" s="120" t="str">
        <f>VLOOKUP(B443,'Insumos e Serviços'!$A:$F,3,0)</f>
        <v>Composição</v>
      </c>
      <c r="B443" s="121" t="s">
        <v>603</v>
      </c>
      <c r="C443" s="122" t="str">
        <f>VLOOKUP(B443,'Insumos e Serviços'!$A:$F,2,0)</f>
        <v>SINAPI</v>
      </c>
      <c r="D443" s="120" t="str">
        <f>VLOOKUP(B443,'Insumos e Serviços'!$A:$F,4,0)</f>
        <v>ENCANADOR OU BOMBEIRO HIDRÁULICO COM ENCARGOS COMPLEMENTARES</v>
      </c>
      <c r="E443" s="122" t="str">
        <f>VLOOKUP(B443,'Insumos e Serviços'!$A:$F,5,0)</f>
        <v>H</v>
      </c>
      <c r="F443" s="123">
        <v>0.23</v>
      </c>
      <c r="G443" s="72">
        <f>VLOOKUP(B443,'Insumos e Serviços'!$A:$F,6,0)</f>
        <v>25.58</v>
      </c>
      <c r="H443" s="72">
        <f>TRUNC(F443*G443,2)</f>
        <v>5.88</v>
      </c>
    </row>
    <row r="444" spans="1:8" s="112" customFormat="1" ht="22.5">
      <c r="A444" s="120" t="str">
        <f>VLOOKUP(B444,'Insumos e Serviços'!$A:$F,3,0)</f>
        <v>Composição</v>
      </c>
      <c r="B444" s="121" t="s">
        <v>687</v>
      </c>
      <c r="C444" s="122" t="str">
        <f>VLOOKUP(B444,'Insumos e Serviços'!$A:$F,2,0)</f>
        <v>SINAPI</v>
      </c>
      <c r="D444" s="120" t="str">
        <f>VLOOKUP(B444,'Insumos e Serviços'!$A:$F,4,0)</f>
        <v>AUXILIAR DE ENCANADOR OU BOMBEIRO HIDRÁULICO COM ENCARGOS COMPLEMENTARES</v>
      </c>
      <c r="E444" s="122" t="str">
        <f>VLOOKUP(B444,'Insumos e Serviços'!$A:$F,5,0)</f>
        <v>H</v>
      </c>
      <c r="F444" s="123">
        <v>0.23</v>
      </c>
      <c r="G444" s="72">
        <f>VLOOKUP(B444,'Insumos e Serviços'!$A:$F,6,0)</f>
        <v>20.1</v>
      </c>
      <c r="H444" s="72">
        <f>TRUNC(F444*G444,2)</f>
        <v>4.62</v>
      </c>
    </row>
    <row r="445" spans="1:8" s="112" customFormat="1" ht="22.5">
      <c r="A445" s="120" t="str">
        <f>VLOOKUP(B445,'Insumos e Serviços'!$A:$F,3,0)</f>
        <v>Insumo</v>
      </c>
      <c r="B445" s="121" t="s">
        <v>692</v>
      </c>
      <c r="C445" s="122" t="str">
        <f>VLOOKUP(B445,'Insumos e Serviços'!$A:$F,2,0)</f>
        <v>Próprio</v>
      </c>
      <c r="D445" s="120" t="str">
        <f>VLOOKUP(B445,'Insumos e Serviços'!$A:$F,4,0)</f>
        <v>Tampão (Cap) DN 110mm, em polipropileno preto de ultra resistência, ref. Tecnofluidos, linha Duratop XR</v>
      </c>
      <c r="E445" s="122" t="str">
        <f>VLOOKUP(B445,'Insumos e Serviços'!$A:$F,5,0)</f>
        <v>un</v>
      </c>
      <c r="F445" s="123">
        <v>1</v>
      </c>
      <c r="G445" s="72">
        <f>VLOOKUP(B445,'Insumos e Serviços'!$A:$F,6,0)</f>
        <v>33.75</v>
      </c>
      <c r="H445" s="72">
        <f>TRUNC(F445*G445,2)</f>
        <v>33.75</v>
      </c>
    </row>
    <row r="446" spans="1:8" s="112" customFormat="1" ht="11.25">
      <c r="A446" s="124"/>
      <c r="B446" s="125"/>
      <c r="C446" s="125"/>
      <c r="D446" s="126"/>
      <c r="E446" s="125"/>
      <c r="F446" s="127"/>
      <c r="G446" s="128"/>
      <c r="H446" s="128"/>
    </row>
    <row r="447" spans="1:8" s="112" customFormat="1" ht="11.25">
      <c r="A447" s="83" t="s">
        <v>413</v>
      </c>
      <c r="B447" s="84"/>
      <c r="C447" s="84"/>
      <c r="D447" s="83" t="s">
        <v>414</v>
      </c>
      <c r="E447" s="84"/>
      <c r="F447" s="132"/>
      <c r="G447" s="83"/>
      <c r="H447" s="87"/>
    </row>
    <row r="448" spans="1:8" s="112" customFormat="1" ht="22.5">
      <c r="A448" s="114" t="s">
        <v>415</v>
      </c>
      <c r="B448" s="115" t="str">
        <f>VLOOKUP(A448,'Orçamento Sintético'!$A:$H,2,0)</f>
        <v> MPDFT1686 </v>
      </c>
      <c r="C448" s="115" t="str">
        <f>VLOOKUP(A448,'Orçamento Sintético'!$A:$H,3,0)</f>
        <v>Próprio</v>
      </c>
      <c r="D448" s="116" t="str">
        <f>VLOOKUP(A448,'Orçamento Sintético'!$A:$H,4,0)</f>
        <v>Copia da CPOS (46.33.022) - Joelho 45º, DN 63mm, em polipropileno preto de ultra resistência, ref. Tecnofluidos, linha Duratop XR</v>
      </c>
      <c r="E448" s="115" t="str">
        <f>VLOOKUP(A448,'Orçamento Sintético'!$A:$H,5,0)</f>
        <v>un</v>
      </c>
      <c r="F448" s="117"/>
      <c r="G448" s="118"/>
      <c r="H448" s="118">
        <f>SUM(H449:H451)</f>
        <v>37.260000000000005</v>
      </c>
    </row>
    <row r="449" spans="1:8" s="112" customFormat="1" ht="11.25">
      <c r="A449" s="120" t="str">
        <f>VLOOKUP(B449,'Insumos e Serviços'!$A:$F,3,0)</f>
        <v>Composição</v>
      </c>
      <c r="B449" s="121" t="s">
        <v>603</v>
      </c>
      <c r="C449" s="122" t="str">
        <f>VLOOKUP(B449,'Insumos e Serviços'!$A:$F,2,0)</f>
        <v>SINAPI</v>
      </c>
      <c r="D449" s="120" t="str">
        <f>VLOOKUP(B449,'Insumos e Serviços'!$A:$F,4,0)</f>
        <v>ENCANADOR OU BOMBEIRO HIDRÁULICO COM ENCARGOS COMPLEMENTARES</v>
      </c>
      <c r="E449" s="122" t="str">
        <f>VLOOKUP(B449,'Insumos e Serviços'!$A:$F,5,0)</f>
        <v>H</v>
      </c>
      <c r="F449" s="123">
        <v>0.35</v>
      </c>
      <c r="G449" s="72">
        <f>VLOOKUP(B449,'Insumos e Serviços'!$A:$F,6,0)</f>
        <v>25.58</v>
      </c>
      <c r="H449" s="72">
        <f>TRUNC(F449*G449,2)</f>
        <v>8.95</v>
      </c>
    </row>
    <row r="450" spans="1:8" s="112" customFormat="1" ht="22.5">
      <c r="A450" s="120" t="str">
        <f>VLOOKUP(B450,'Insumos e Serviços'!$A:$F,3,0)</f>
        <v>Composição</v>
      </c>
      <c r="B450" s="121" t="s">
        <v>687</v>
      </c>
      <c r="C450" s="122" t="str">
        <f>VLOOKUP(B450,'Insumos e Serviços'!$A:$F,2,0)</f>
        <v>SINAPI</v>
      </c>
      <c r="D450" s="120" t="str">
        <f>VLOOKUP(B450,'Insumos e Serviços'!$A:$F,4,0)</f>
        <v>AUXILIAR DE ENCANADOR OU BOMBEIRO HIDRÁULICO COM ENCARGOS COMPLEMENTARES</v>
      </c>
      <c r="E450" s="122" t="str">
        <f>VLOOKUP(B450,'Insumos e Serviços'!$A:$F,5,0)</f>
        <v>H</v>
      </c>
      <c r="F450" s="123">
        <v>0.35</v>
      </c>
      <c r="G450" s="72">
        <f>VLOOKUP(B450,'Insumos e Serviços'!$A:$F,6,0)</f>
        <v>20.1</v>
      </c>
      <c r="H450" s="72">
        <f>TRUNC(F450*G450,2)</f>
        <v>7.03</v>
      </c>
    </row>
    <row r="451" spans="1:8" s="112" customFormat="1" ht="22.5">
      <c r="A451" s="120" t="str">
        <f>VLOOKUP(B451,'Insumos e Serviços'!$A:$F,3,0)</f>
        <v>Insumo</v>
      </c>
      <c r="B451" s="121" t="s">
        <v>693</v>
      </c>
      <c r="C451" s="122" t="str">
        <f>VLOOKUP(B451,'Insumos e Serviços'!$A:$F,2,0)</f>
        <v>Próprio</v>
      </c>
      <c r="D451" s="120" t="str">
        <f>VLOOKUP(B451,'Insumos e Serviços'!$A:$F,4,0)</f>
        <v>Joelho 45º, DN 63mm em polipropileno preto de ultra resistência, ref. Tecnofluidos, linha Duratop XR</v>
      </c>
      <c r="E451" s="122" t="str">
        <f>VLOOKUP(B451,'Insumos e Serviços'!$A:$F,5,0)</f>
        <v>un</v>
      </c>
      <c r="F451" s="123">
        <v>1</v>
      </c>
      <c r="G451" s="72">
        <f>VLOOKUP(B451,'Insumos e Serviços'!$A:$F,6,0)</f>
        <v>21.28</v>
      </c>
      <c r="H451" s="72">
        <f>TRUNC(F451*G451,2)</f>
        <v>21.28</v>
      </c>
    </row>
    <row r="452" spans="1:8" s="112" customFormat="1" ht="11.25">
      <c r="A452" s="124"/>
      <c r="B452" s="125"/>
      <c r="C452" s="125"/>
      <c r="D452" s="126"/>
      <c r="E452" s="125"/>
      <c r="F452" s="127"/>
      <c r="G452" s="128"/>
      <c r="H452" s="128"/>
    </row>
    <row r="453" spans="1:8" s="112" customFormat="1" ht="22.5">
      <c r="A453" s="114" t="s">
        <v>418</v>
      </c>
      <c r="B453" s="115" t="str">
        <f>VLOOKUP(A453,'Orçamento Sintético'!$A:$H,2,0)</f>
        <v> MPDFT1687 </v>
      </c>
      <c r="C453" s="115" t="str">
        <f>VLOOKUP(A453,'Orçamento Sintético'!$A:$H,3,0)</f>
        <v>Próprio</v>
      </c>
      <c r="D453" s="116" t="str">
        <f>VLOOKUP(A453,'Orçamento Sintético'!$A:$H,4,0)</f>
        <v>Copia da CPOS (46.33.022) - Joelho 45º, DN 58mm, em polipropileno preto de ultra resistência, ref. Tecnofluidos, linha Duratop XR</v>
      </c>
      <c r="E453" s="115" t="str">
        <f>VLOOKUP(A453,'Orçamento Sintético'!$A:$H,5,0)</f>
        <v>un</v>
      </c>
      <c r="F453" s="117"/>
      <c r="G453" s="118"/>
      <c r="H453" s="118">
        <f>SUM(H454:H456)</f>
        <v>39.29</v>
      </c>
    </row>
    <row r="454" spans="1:8" s="112" customFormat="1" ht="11.25">
      <c r="A454" s="120" t="str">
        <f>VLOOKUP(B454,'Insumos e Serviços'!$A:$F,3,0)</f>
        <v>Composição</v>
      </c>
      <c r="B454" s="121" t="s">
        <v>603</v>
      </c>
      <c r="C454" s="122" t="str">
        <f>VLOOKUP(B454,'Insumos e Serviços'!$A:$F,2,0)</f>
        <v>SINAPI</v>
      </c>
      <c r="D454" s="120" t="str">
        <f>VLOOKUP(B454,'Insumos e Serviços'!$A:$F,4,0)</f>
        <v>ENCANADOR OU BOMBEIRO HIDRÁULICO COM ENCARGOS COMPLEMENTARES</v>
      </c>
      <c r="E454" s="122" t="str">
        <f>VLOOKUP(B454,'Insumos e Serviços'!$A:$F,5,0)</f>
        <v>H</v>
      </c>
      <c r="F454" s="123">
        <v>0.35</v>
      </c>
      <c r="G454" s="72">
        <f>VLOOKUP(B454,'Insumos e Serviços'!$A:$F,6,0)</f>
        <v>25.58</v>
      </c>
      <c r="H454" s="72">
        <f>TRUNC(F454*G454,2)</f>
        <v>8.95</v>
      </c>
    </row>
    <row r="455" spans="1:8" s="112" customFormat="1" ht="22.5">
      <c r="A455" s="120" t="str">
        <f>VLOOKUP(B455,'Insumos e Serviços'!$A:$F,3,0)</f>
        <v>Composição</v>
      </c>
      <c r="B455" s="121" t="s">
        <v>687</v>
      </c>
      <c r="C455" s="122" t="str">
        <f>VLOOKUP(B455,'Insumos e Serviços'!$A:$F,2,0)</f>
        <v>SINAPI</v>
      </c>
      <c r="D455" s="120" t="str">
        <f>VLOOKUP(B455,'Insumos e Serviços'!$A:$F,4,0)</f>
        <v>AUXILIAR DE ENCANADOR OU BOMBEIRO HIDRÁULICO COM ENCARGOS COMPLEMENTARES</v>
      </c>
      <c r="E455" s="122" t="str">
        <f>VLOOKUP(B455,'Insumos e Serviços'!$A:$F,5,0)</f>
        <v>H</v>
      </c>
      <c r="F455" s="123">
        <v>0.35</v>
      </c>
      <c r="G455" s="72">
        <f>VLOOKUP(B455,'Insumos e Serviços'!$A:$F,6,0)</f>
        <v>20.1</v>
      </c>
      <c r="H455" s="72">
        <f>TRUNC(F455*G455,2)</f>
        <v>7.03</v>
      </c>
    </row>
    <row r="456" spans="1:8" s="112" customFormat="1" ht="22.5">
      <c r="A456" s="120" t="str">
        <f>VLOOKUP(B456,'Insumos e Serviços'!$A:$F,3,0)</f>
        <v>Insumo</v>
      </c>
      <c r="B456" s="121" t="s">
        <v>694</v>
      </c>
      <c r="C456" s="122" t="str">
        <f>VLOOKUP(B456,'Insumos e Serviços'!$A:$F,2,0)</f>
        <v>Próprio</v>
      </c>
      <c r="D456" s="120" t="str">
        <f>VLOOKUP(B456,'Insumos e Serviços'!$A:$F,4,0)</f>
        <v>Joelho 45º, DN 58mm em polipropileno preto de ultra resistência, ref. Tecnofluidos, linha Duratop XR</v>
      </c>
      <c r="E456" s="122" t="str">
        <f>VLOOKUP(B456,'Insumos e Serviços'!$A:$F,5,0)</f>
        <v>un</v>
      </c>
      <c r="F456" s="123">
        <v>1</v>
      </c>
      <c r="G456" s="72">
        <f>VLOOKUP(B456,'Insumos e Serviços'!$A:$F,6,0)</f>
        <v>23.31</v>
      </c>
      <c r="H456" s="72">
        <f>TRUNC(F456*G456,2)</f>
        <v>23.31</v>
      </c>
    </row>
    <row r="457" spans="1:8" s="112" customFormat="1" ht="11.25">
      <c r="A457" s="124"/>
      <c r="B457" s="125"/>
      <c r="C457" s="125"/>
      <c r="D457" s="126"/>
      <c r="E457" s="125"/>
      <c r="F457" s="127"/>
      <c r="G457" s="128"/>
      <c r="H457" s="128"/>
    </row>
    <row r="458" spans="1:8" s="112" customFormat="1" ht="11.25">
      <c r="A458" s="83" t="s">
        <v>421</v>
      </c>
      <c r="B458" s="84"/>
      <c r="C458" s="84"/>
      <c r="D458" s="83" t="s">
        <v>422</v>
      </c>
      <c r="E458" s="84"/>
      <c r="F458" s="132"/>
      <c r="G458" s="83"/>
      <c r="H458" s="87"/>
    </row>
    <row r="459" spans="1:8" s="112" customFormat="1" ht="22.5">
      <c r="A459" s="114" t="s">
        <v>423</v>
      </c>
      <c r="B459" s="115" t="str">
        <f>VLOOKUP(A459,'Orçamento Sintético'!$A:$H,2,0)</f>
        <v> MPDFT1682 </v>
      </c>
      <c r="C459" s="115" t="str">
        <f>VLOOKUP(A459,'Orçamento Sintético'!$A:$H,3,0)</f>
        <v>Próprio</v>
      </c>
      <c r="D459" s="116" t="str">
        <f>VLOOKUP(A459,'Orçamento Sintético'!$A:$H,4,0)</f>
        <v>Copia da CPOS (46.33.151) - Junção 45º, DN 110x110mm em polipropileno preto de ultra resistência, ref. Tecnofluidos, linha Duratop XR</v>
      </c>
      <c r="E459" s="115" t="str">
        <f>VLOOKUP(A459,'Orçamento Sintético'!$A:$H,5,0)</f>
        <v>un</v>
      </c>
      <c r="F459" s="117"/>
      <c r="G459" s="118"/>
      <c r="H459" s="118">
        <f>SUM(H460:H462)</f>
        <v>98.25999999999999</v>
      </c>
    </row>
    <row r="460" spans="1:8" s="112" customFormat="1" ht="11.25">
      <c r="A460" s="120" t="str">
        <f>VLOOKUP(B460,'Insumos e Serviços'!$A:$F,3,0)</f>
        <v>Composição</v>
      </c>
      <c r="B460" s="121" t="s">
        <v>603</v>
      </c>
      <c r="C460" s="122" t="str">
        <f>VLOOKUP(B460,'Insumos e Serviços'!$A:$F,2,0)</f>
        <v>SINAPI</v>
      </c>
      <c r="D460" s="120" t="str">
        <f>VLOOKUP(B460,'Insumos e Serviços'!$A:$F,4,0)</f>
        <v>ENCANADOR OU BOMBEIRO HIDRÁULICO COM ENCARGOS COMPLEMENTARES</v>
      </c>
      <c r="E460" s="122" t="str">
        <f>VLOOKUP(B460,'Insumos e Serviços'!$A:$F,5,0)</f>
        <v>H</v>
      </c>
      <c r="F460" s="123">
        <v>0.4</v>
      </c>
      <c r="G460" s="72">
        <f>VLOOKUP(B460,'Insumos e Serviços'!$A:$F,6,0)</f>
        <v>25.58</v>
      </c>
      <c r="H460" s="72">
        <f>TRUNC(F460*G460,2)</f>
        <v>10.23</v>
      </c>
    </row>
    <row r="461" spans="1:8" s="112" customFormat="1" ht="22.5">
      <c r="A461" s="120" t="str">
        <f>VLOOKUP(B461,'Insumos e Serviços'!$A:$F,3,0)</f>
        <v>Composição</v>
      </c>
      <c r="B461" s="121" t="s">
        <v>687</v>
      </c>
      <c r="C461" s="122" t="str">
        <f>VLOOKUP(B461,'Insumos e Serviços'!$A:$F,2,0)</f>
        <v>SINAPI</v>
      </c>
      <c r="D461" s="120" t="str">
        <f>VLOOKUP(B461,'Insumos e Serviços'!$A:$F,4,0)</f>
        <v>AUXILIAR DE ENCANADOR OU BOMBEIRO HIDRÁULICO COM ENCARGOS COMPLEMENTARES</v>
      </c>
      <c r="E461" s="122" t="str">
        <f>VLOOKUP(B461,'Insumos e Serviços'!$A:$F,5,0)</f>
        <v>H</v>
      </c>
      <c r="F461" s="123">
        <v>0.4</v>
      </c>
      <c r="G461" s="72">
        <f>VLOOKUP(B461,'Insumos e Serviços'!$A:$F,6,0)</f>
        <v>20.1</v>
      </c>
      <c r="H461" s="72">
        <f>TRUNC(F461*G461,2)</f>
        <v>8.04</v>
      </c>
    </row>
    <row r="462" spans="1:8" s="112" customFormat="1" ht="22.5">
      <c r="A462" s="120" t="str">
        <f>VLOOKUP(B462,'Insumos e Serviços'!$A:$F,3,0)</f>
        <v>Insumo</v>
      </c>
      <c r="B462" s="121" t="s">
        <v>695</v>
      </c>
      <c r="C462" s="122" t="str">
        <f>VLOOKUP(B462,'Insumos e Serviços'!$A:$F,2,0)</f>
        <v>Próprio</v>
      </c>
      <c r="D462" s="120" t="str">
        <f>VLOOKUP(B462,'Insumos e Serviços'!$A:$F,4,0)</f>
        <v>Junção 45º, DN 110x110mm em polipropileno preto de ultra resistência, ref. Tecnofluidos, linha Duratop XR</v>
      </c>
      <c r="E462" s="122" t="str">
        <f>VLOOKUP(B462,'Insumos e Serviços'!$A:$F,5,0)</f>
        <v>un</v>
      </c>
      <c r="F462" s="123">
        <v>1</v>
      </c>
      <c r="G462" s="72">
        <f>VLOOKUP(B462,'Insumos e Serviços'!$A:$F,6,0)</f>
        <v>79.99</v>
      </c>
      <c r="H462" s="72">
        <f>TRUNC(F462*G462,2)</f>
        <v>79.99</v>
      </c>
    </row>
    <row r="463" spans="1:8" s="112" customFormat="1" ht="11.25">
      <c r="A463" s="124"/>
      <c r="B463" s="125"/>
      <c r="C463" s="125"/>
      <c r="D463" s="126"/>
      <c r="E463" s="125"/>
      <c r="F463" s="127"/>
      <c r="G463" s="128"/>
      <c r="H463" s="128"/>
    </row>
    <row r="464" spans="1:8" s="112" customFormat="1" ht="22.5">
      <c r="A464" s="114" t="s">
        <v>426</v>
      </c>
      <c r="B464" s="115" t="str">
        <f>VLOOKUP(A464,'Orçamento Sintético'!$A:$H,2,0)</f>
        <v> MPDFT1683 </v>
      </c>
      <c r="C464" s="115" t="str">
        <f>VLOOKUP(A464,'Orçamento Sintético'!$A:$H,3,0)</f>
        <v>Próprio</v>
      </c>
      <c r="D464" s="116" t="str">
        <f>VLOOKUP(A464,'Orçamento Sintético'!$A:$H,4,0)</f>
        <v>Copia da CPOS (46.33.151) - Junção 45º de redução, DN 110x78mm em polipropileno preto de ultra resistência, ref. Tecnofluidos, linha Duratop XR</v>
      </c>
      <c r="E464" s="115" t="str">
        <f>VLOOKUP(A464,'Orçamento Sintético'!$A:$H,5,0)</f>
        <v>un</v>
      </c>
      <c r="F464" s="117"/>
      <c r="G464" s="118"/>
      <c r="H464" s="118">
        <f>SUM(H465:H467)</f>
        <v>118.55</v>
      </c>
    </row>
    <row r="465" spans="1:8" s="112" customFormat="1" ht="11.25">
      <c r="A465" s="120" t="str">
        <f>VLOOKUP(B465,'Insumos e Serviços'!$A:$F,3,0)</f>
        <v>Composição</v>
      </c>
      <c r="B465" s="121" t="s">
        <v>603</v>
      </c>
      <c r="C465" s="122" t="str">
        <f>VLOOKUP(B465,'Insumos e Serviços'!$A:$F,2,0)</f>
        <v>SINAPI</v>
      </c>
      <c r="D465" s="120" t="str">
        <f>VLOOKUP(B465,'Insumos e Serviços'!$A:$F,4,0)</f>
        <v>ENCANADOR OU BOMBEIRO HIDRÁULICO COM ENCARGOS COMPLEMENTARES</v>
      </c>
      <c r="E465" s="122" t="str">
        <f>VLOOKUP(B465,'Insumos e Serviços'!$A:$F,5,0)</f>
        <v>H</v>
      </c>
      <c r="F465" s="123">
        <v>0.4</v>
      </c>
      <c r="G465" s="72">
        <f>VLOOKUP(B465,'Insumos e Serviços'!$A:$F,6,0)</f>
        <v>25.58</v>
      </c>
      <c r="H465" s="72">
        <f>TRUNC(F465*G465,2)</f>
        <v>10.23</v>
      </c>
    </row>
    <row r="466" spans="1:8" s="112" customFormat="1" ht="22.5">
      <c r="A466" s="120" t="str">
        <f>VLOOKUP(B466,'Insumos e Serviços'!$A:$F,3,0)</f>
        <v>Composição</v>
      </c>
      <c r="B466" s="121" t="s">
        <v>687</v>
      </c>
      <c r="C466" s="122" t="str">
        <f>VLOOKUP(B466,'Insumos e Serviços'!$A:$F,2,0)</f>
        <v>SINAPI</v>
      </c>
      <c r="D466" s="120" t="str">
        <f>VLOOKUP(B466,'Insumos e Serviços'!$A:$F,4,0)</f>
        <v>AUXILIAR DE ENCANADOR OU BOMBEIRO HIDRÁULICO COM ENCARGOS COMPLEMENTARES</v>
      </c>
      <c r="E466" s="122" t="str">
        <f>VLOOKUP(B466,'Insumos e Serviços'!$A:$F,5,0)</f>
        <v>H</v>
      </c>
      <c r="F466" s="123">
        <v>0.4</v>
      </c>
      <c r="G466" s="72">
        <f>VLOOKUP(B466,'Insumos e Serviços'!$A:$F,6,0)</f>
        <v>20.1</v>
      </c>
      <c r="H466" s="72">
        <f>TRUNC(F466*G466,2)</f>
        <v>8.04</v>
      </c>
    </row>
    <row r="467" spans="1:8" s="112" customFormat="1" ht="22.5">
      <c r="A467" s="120" t="str">
        <f>VLOOKUP(B467,'Insumos e Serviços'!$A:$F,3,0)</f>
        <v>Insumo</v>
      </c>
      <c r="B467" s="121" t="s">
        <v>696</v>
      </c>
      <c r="C467" s="122" t="str">
        <f>VLOOKUP(B467,'Insumos e Serviços'!$A:$F,2,0)</f>
        <v>Próprio</v>
      </c>
      <c r="D467" s="120" t="str">
        <f>VLOOKUP(B467,'Insumos e Serviços'!$A:$F,4,0)</f>
        <v>Junção 45º, DN 110x78mm em polipropileno preto de ultra resistência, ref. Tecnofluidos, linha Duratop XR</v>
      </c>
      <c r="E467" s="122" t="str">
        <f>VLOOKUP(B467,'Insumos e Serviços'!$A:$F,5,0)</f>
        <v>un</v>
      </c>
      <c r="F467" s="123">
        <v>1</v>
      </c>
      <c r="G467" s="72">
        <f>VLOOKUP(B467,'Insumos e Serviços'!$A:$F,6,0)</f>
        <v>100.28</v>
      </c>
      <c r="H467" s="72">
        <f>TRUNC(F467*G467,2)</f>
        <v>100.28</v>
      </c>
    </row>
    <row r="468" spans="1:8" s="112" customFormat="1" ht="11.25">
      <c r="A468" s="124"/>
      <c r="B468" s="125"/>
      <c r="C468" s="125"/>
      <c r="D468" s="126"/>
      <c r="E468" s="125"/>
      <c r="F468" s="127"/>
      <c r="G468" s="128"/>
      <c r="H468" s="128"/>
    </row>
    <row r="469" spans="1:8" s="112" customFormat="1" ht="22.5">
      <c r="A469" s="114" t="s">
        <v>429</v>
      </c>
      <c r="B469" s="115" t="str">
        <f>VLOOKUP(A469,'Orçamento Sintético'!$A:$H,2,0)</f>
        <v> MPDFT1684 </v>
      </c>
      <c r="C469" s="115" t="str">
        <f>VLOOKUP(A469,'Orçamento Sintético'!$A:$H,3,0)</f>
        <v>Próprio</v>
      </c>
      <c r="D469" s="116" t="str">
        <f>VLOOKUP(A469,'Orçamento Sintético'!$A:$H,4,0)</f>
        <v>Copia da CPOS (46.33.151) - Junção 45º de redução, DN 78x78mm em polipropileno preto de ultra resistência, ref. Tecnofluidos, linha Duratop XR</v>
      </c>
      <c r="E469" s="115" t="str">
        <f>VLOOKUP(A469,'Orçamento Sintético'!$A:$H,5,0)</f>
        <v>un</v>
      </c>
      <c r="F469" s="117"/>
      <c r="G469" s="118"/>
      <c r="H469" s="118">
        <f>SUM(H470:H472)</f>
        <v>74.69</v>
      </c>
    </row>
    <row r="470" spans="1:8" s="112" customFormat="1" ht="11.25">
      <c r="A470" s="120" t="str">
        <f>VLOOKUP(B470,'Insumos e Serviços'!$A:$F,3,0)</f>
        <v>Composição</v>
      </c>
      <c r="B470" s="121" t="s">
        <v>603</v>
      </c>
      <c r="C470" s="122" t="str">
        <f>VLOOKUP(B470,'Insumos e Serviços'!$A:$F,2,0)</f>
        <v>SINAPI</v>
      </c>
      <c r="D470" s="120" t="str">
        <f>VLOOKUP(B470,'Insumos e Serviços'!$A:$F,4,0)</f>
        <v>ENCANADOR OU BOMBEIRO HIDRÁULICO COM ENCARGOS COMPLEMENTARES</v>
      </c>
      <c r="E470" s="122" t="str">
        <f>VLOOKUP(B470,'Insumos e Serviços'!$A:$F,5,0)</f>
        <v>H</v>
      </c>
      <c r="F470" s="123">
        <v>0.4</v>
      </c>
      <c r="G470" s="72">
        <f>VLOOKUP(B470,'Insumos e Serviços'!$A:$F,6,0)</f>
        <v>25.58</v>
      </c>
      <c r="H470" s="72">
        <f>TRUNC(F470*G470,2)</f>
        <v>10.23</v>
      </c>
    </row>
    <row r="471" spans="1:8" s="112" customFormat="1" ht="22.5">
      <c r="A471" s="120" t="str">
        <f>VLOOKUP(B471,'Insumos e Serviços'!$A:$F,3,0)</f>
        <v>Composição</v>
      </c>
      <c r="B471" s="121" t="s">
        <v>687</v>
      </c>
      <c r="C471" s="122" t="str">
        <f>VLOOKUP(B471,'Insumos e Serviços'!$A:$F,2,0)</f>
        <v>SINAPI</v>
      </c>
      <c r="D471" s="120" t="str">
        <f>VLOOKUP(B471,'Insumos e Serviços'!$A:$F,4,0)</f>
        <v>AUXILIAR DE ENCANADOR OU BOMBEIRO HIDRÁULICO COM ENCARGOS COMPLEMENTARES</v>
      </c>
      <c r="E471" s="122" t="str">
        <f>VLOOKUP(B471,'Insumos e Serviços'!$A:$F,5,0)</f>
        <v>H</v>
      </c>
      <c r="F471" s="123">
        <v>0.4</v>
      </c>
      <c r="G471" s="72">
        <f>VLOOKUP(B471,'Insumos e Serviços'!$A:$F,6,0)</f>
        <v>20.1</v>
      </c>
      <c r="H471" s="72">
        <f>TRUNC(F471*G471,2)</f>
        <v>8.04</v>
      </c>
    </row>
    <row r="472" spans="1:8" s="112" customFormat="1" ht="22.5">
      <c r="A472" s="120" t="str">
        <f>VLOOKUP(B472,'Insumos e Serviços'!$A:$F,3,0)</f>
        <v>Insumo</v>
      </c>
      <c r="B472" s="121" t="s">
        <v>697</v>
      </c>
      <c r="C472" s="122" t="str">
        <f>VLOOKUP(B472,'Insumos e Serviços'!$A:$F,2,0)</f>
        <v>Próprio</v>
      </c>
      <c r="D472" s="120" t="str">
        <f>VLOOKUP(B472,'Insumos e Serviços'!$A:$F,4,0)</f>
        <v>Junção 45º, DN 78x78mm em polipropileno preto de ultra resistência, ref. Tecnofluidos, linha Duratop XR</v>
      </c>
      <c r="E472" s="122" t="str">
        <f>VLOOKUP(B472,'Insumos e Serviços'!$A:$F,5,0)</f>
        <v>un</v>
      </c>
      <c r="F472" s="123">
        <v>1</v>
      </c>
      <c r="G472" s="72">
        <f>VLOOKUP(B472,'Insumos e Serviços'!$A:$F,6,0)</f>
        <v>56.42</v>
      </c>
      <c r="H472" s="72">
        <f>TRUNC(F472*G472,2)</f>
        <v>56.42</v>
      </c>
    </row>
    <row r="473" spans="1:8" s="112" customFormat="1" ht="11.25">
      <c r="A473" s="124"/>
      <c r="B473" s="125"/>
      <c r="C473" s="125"/>
      <c r="D473" s="126"/>
      <c r="E473" s="125"/>
      <c r="F473" s="127"/>
      <c r="G473" s="128"/>
      <c r="H473" s="128"/>
    </row>
    <row r="474" spans="1:8" s="112" customFormat="1" ht="11.25">
      <c r="A474" s="83" t="s">
        <v>432</v>
      </c>
      <c r="B474" s="84"/>
      <c r="C474" s="84"/>
      <c r="D474" s="83" t="s">
        <v>433</v>
      </c>
      <c r="E474" s="84"/>
      <c r="F474" s="132"/>
      <c r="G474" s="83"/>
      <c r="H474" s="87"/>
    </row>
    <row r="475" spans="1:8" s="112" customFormat="1" ht="22.5">
      <c r="A475" s="114" t="s">
        <v>434</v>
      </c>
      <c r="B475" s="115" t="str">
        <f>VLOOKUP(A475,'Orçamento Sintético'!$A:$H,2,0)</f>
        <v> MPDFT1685 </v>
      </c>
      <c r="C475" s="115" t="str">
        <f>VLOOKUP(A475,'Orçamento Sintético'!$A:$H,3,0)</f>
        <v>Próprio</v>
      </c>
      <c r="D475" s="116" t="str">
        <f>VLOOKUP(A475,'Orçamento Sintético'!$A:$H,4,0)</f>
        <v>Copia da CPOS (46.33.118) - Redução, DN 78x63mm, em polipropileno preto de ultra resistência, ref. Tecnofluidos, linha Duratop XR</v>
      </c>
      <c r="E475" s="115" t="str">
        <f>VLOOKUP(A475,'Orçamento Sintético'!$A:$H,5,0)</f>
        <v>un</v>
      </c>
      <c r="F475" s="117"/>
      <c r="G475" s="118"/>
      <c r="H475" s="118">
        <f>SUM(H476:H478)</f>
        <v>57.239999999999995</v>
      </c>
    </row>
    <row r="476" spans="1:8" s="112" customFormat="1" ht="11.25">
      <c r="A476" s="120" t="str">
        <f>VLOOKUP(B476,'Insumos e Serviços'!$A:$F,3,0)</f>
        <v>Composição</v>
      </c>
      <c r="B476" s="121" t="s">
        <v>603</v>
      </c>
      <c r="C476" s="122" t="str">
        <f>VLOOKUP(B476,'Insumos e Serviços'!$A:$F,2,0)</f>
        <v>SINAPI</v>
      </c>
      <c r="D476" s="120" t="str">
        <f>VLOOKUP(B476,'Insumos e Serviços'!$A:$F,4,0)</f>
        <v>ENCANADOR OU BOMBEIRO HIDRÁULICO COM ENCARGOS COMPLEMENTARES</v>
      </c>
      <c r="E476" s="122" t="str">
        <f>VLOOKUP(B476,'Insumos e Serviços'!$A:$F,5,0)</f>
        <v>H</v>
      </c>
      <c r="F476" s="123">
        <v>0.4</v>
      </c>
      <c r="G476" s="72">
        <f>VLOOKUP(B476,'Insumos e Serviços'!$A:$F,6,0)</f>
        <v>25.58</v>
      </c>
      <c r="H476" s="72">
        <f>TRUNC(F476*G476,2)</f>
        <v>10.23</v>
      </c>
    </row>
    <row r="477" spans="1:8" s="112" customFormat="1" ht="22.5">
      <c r="A477" s="120" t="str">
        <f>VLOOKUP(B477,'Insumos e Serviços'!$A:$F,3,0)</f>
        <v>Composição</v>
      </c>
      <c r="B477" s="121" t="s">
        <v>687</v>
      </c>
      <c r="C477" s="122" t="str">
        <f>VLOOKUP(B477,'Insumos e Serviços'!$A:$F,2,0)</f>
        <v>SINAPI</v>
      </c>
      <c r="D477" s="120" t="str">
        <f>VLOOKUP(B477,'Insumos e Serviços'!$A:$F,4,0)</f>
        <v>AUXILIAR DE ENCANADOR OU BOMBEIRO HIDRÁULICO COM ENCARGOS COMPLEMENTARES</v>
      </c>
      <c r="E477" s="122" t="str">
        <f>VLOOKUP(B477,'Insumos e Serviços'!$A:$F,5,0)</f>
        <v>H</v>
      </c>
      <c r="F477" s="123">
        <v>0.4</v>
      </c>
      <c r="G477" s="72">
        <f>VLOOKUP(B477,'Insumos e Serviços'!$A:$F,6,0)</f>
        <v>20.1</v>
      </c>
      <c r="H477" s="72">
        <f>TRUNC(F477*G477,2)</f>
        <v>8.04</v>
      </c>
    </row>
    <row r="478" spans="1:8" s="112" customFormat="1" ht="22.5">
      <c r="A478" s="120" t="str">
        <f>VLOOKUP(B478,'Insumos e Serviços'!$A:$F,3,0)</f>
        <v>Insumo</v>
      </c>
      <c r="B478" s="121" t="s">
        <v>698</v>
      </c>
      <c r="C478" s="122" t="str">
        <f>VLOOKUP(B478,'Insumos e Serviços'!$A:$F,2,0)</f>
        <v>Próprio</v>
      </c>
      <c r="D478" s="120" t="str">
        <f>VLOOKUP(B478,'Insumos e Serviços'!$A:$F,4,0)</f>
        <v>Redução, DN 78x63mm em polipropileno preto de ultra resistência, ref. Tecnofluidos, linha Duratop XR</v>
      </c>
      <c r="E478" s="122" t="str">
        <f>VLOOKUP(B478,'Insumos e Serviços'!$A:$F,5,0)</f>
        <v>un</v>
      </c>
      <c r="F478" s="123">
        <v>1</v>
      </c>
      <c r="G478" s="72">
        <f>VLOOKUP(B478,'Insumos e Serviços'!$A:$F,6,0)</f>
        <v>38.97</v>
      </c>
      <c r="H478" s="72">
        <f>TRUNC(F478*G478,2)</f>
        <v>38.97</v>
      </c>
    </row>
    <row r="479" spans="1:8" s="112" customFormat="1" ht="11.25">
      <c r="A479" s="124"/>
      <c r="B479" s="125"/>
      <c r="C479" s="125"/>
      <c r="D479" s="126"/>
      <c r="E479" s="125"/>
      <c r="F479" s="127"/>
      <c r="G479" s="128"/>
      <c r="H479" s="128"/>
    </row>
    <row r="480" spans="1:8" s="112" customFormat="1" ht="11.25">
      <c r="A480" s="74" t="s">
        <v>441</v>
      </c>
      <c r="B480" s="75"/>
      <c r="C480" s="75"/>
      <c r="D480" s="74" t="s">
        <v>442</v>
      </c>
      <c r="E480" s="75"/>
      <c r="F480" s="129"/>
      <c r="G480" s="74"/>
      <c r="H480" s="78"/>
    </row>
    <row r="481" spans="1:8" s="112" customFormat="1" ht="11.25">
      <c r="A481" s="83" t="s">
        <v>443</v>
      </c>
      <c r="B481" s="84"/>
      <c r="C481" s="84"/>
      <c r="D481" s="83" t="s">
        <v>444</v>
      </c>
      <c r="E481" s="84"/>
      <c r="F481" s="132"/>
      <c r="G481" s="83"/>
      <c r="H481" s="87"/>
    </row>
    <row r="482" spans="1:8" s="112" customFormat="1" ht="22.5">
      <c r="A482" s="114" t="s">
        <v>445</v>
      </c>
      <c r="B482" s="115" t="str">
        <f>VLOOKUP(A482,'Orçamento Sintético'!$A:$H,2,0)</f>
        <v> MPDFT1676 </v>
      </c>
      <c r="C482" s="115" t="str">
        <f>VLOOKUP(A482,'Orçamento Sintético'!$A:$H,3,0)</f>
        <v>Próprio</v>
      </c>
      <c r="D482" s="116" t="str">
        <f>VLOOKUP(A482,'Orçamento Sintético'!$A:$H,4,0)</f>
        <v>Copia da CPOS (46.33.186) - Caixa sifonada 125mm - saída de 63mm, em polipropileno preto de ultra resistência, ref. Tecnofluidos, linha Duratop X</v>
      </c>
      <c r="E482" s="115" t="str">
        <f>VLOOKUP(A482,'Orçamento Sintético'!$A:$H,5,0)</f>
        <v>UN</v>
      </c>
      <c r="F482" s="117"/>
      <c r="G482" s="118"/>
      <c r="H482" s="118">
        <f>SUM(H483:H485)</f>
        <v>133.24</v>
      </c>
    </row>
    <row r="483" spans="1:8" s="112" customFormat="1" ht="11.25">
      <c r="A483" s="120" t="str">
        <f>VLOOKUP(B483,'Insumos e Serviços'!$A:$F,3,0)</f>
        <v>Composição</v>
      </c>
      <c r="B483" s="121" t="s">
        <v>603</v>
      </c>
      <c r="C483" s="122" t="str">
        <f>VLOOKUP(B483,'Insumos e Serviços'!$A:$F,2,0)</f>
        <v>SINAPI</v>
      </c>
      <c r="D483" s="120" t="str">
        <f>VLOOKUP(B483,'Insumos e Serviços'!$A:$F,4,0)</f>
        <v>ENCANADOR OU BOMBEIRO HIDRÁULICO COM ENCARGOS COMPLEMENTARES</v>
      </c>
      <c r="E483" s="122" t="str">
        <f>VLOOKUP(B483,'Insumos e Serviços'!$A:$F,5,0)</f>
        <v>H</v>
      </c>
      <c r="F483" s="123">
        <v>0.35</v>
      </c>
      <c r="G483" s="72">
        <f>VLOOKUP(B483,'Insumos e Serviços'!$A:$F,6,0)</f>
        <v>25.58</v>
      </c>
      <c r="H483" s="72">
        <f>TRUNC(F483*G483,2)</f>
        <v>8.95</v>
      </c>
    </row>
    <row r="484" spans="1:8" s="112" customFormat="1" ht="22.5">
      <c r="A484" s="120" t="str">
        <f>VLOOKUP(B484,'Insumos e Serviços'!$A:$F,3,0)</f>
        <v>Composição</v>
      </c>
      <c r="B484" s="121" t="s">
        <v>687</v>
      </c>
      <c r="C484" s="122" t="str">
        <f>VLOOKUP(B484,'Insumos e Serviços'!$A:$F,2,0)</f>
        <v>SINAPI</v>
      </c>
      <c r="D484" s="120" t="str">
        <f>VLOOKUP(B484,'Insumos e Serviços'!$A:$F,4,0)</f>
        <v>AUXILIAR DE ENCANADOR OU BOMBEIRO HIDRÁULICO COM ENCARGOS COMPLEMENTARES</v>
      </c>
      <c r="E484" s="122" t="str">
        <f>VLOOKUP(B484,'Insumos e Serviços'!$A:$F,5,0)</f>
        <v>H</v>
      </c>
      <c r="F484" s="123">
        <v>0.35</v>
      </c>
      <c r="G484" s="72">
        <f>VLOOKUP(B484,'Insumos e Serviços'!$A:$F,6,0)</f>
        <v>20.1</v>
      </c>
      <c r="H484" s="72">
        <f>TRUNC(F484*G484,2)</f>
        <v>7.03</v>
      </c>
    </row>
    <row r="485" spans="1:8" s="112" customFormat="1" ht="22.5">
      <c r="A485" s="120" t="str">
        <f>VLOOKUP(B485,'Insumos e Serviços'!$A:$F,3,0)</f>
        <v>Insumo</v>
      </c>
      <c r="B485" s="121" t="s">
        <v>699</v>
      </c>
      <c r="C485" s="122" t="str">
        <f>VLOOKUP(B485,'Insumos e Serviços'!$A:$F,2,0)</f>
        <v>Próprio</v>
      </c>
      <c r="D485" s="120" t="str">
        <f>VLOOKUP(B485,'Insumos e Serviços'!$A:$F,4,0)</f>
        <v>Caixa sifonada 125mm - saída de 63mm, em polipropileno preto de ultra resistência, ref. Tecnofluidos, linha Duratop X</v>
      </c>
      <c r="E485" s="122" t="str">
        <f>VLOOKUP(B485,'Insumos e Serviços'!$A:$F,5,0)</f>
        <v>un</v>
      </c>
      <c r="F485" s="123">
        <v>1</v>
      </c>
      <c r="G485" s="72">
        <f>VLOOKUP(B485,'Insumos e Serviços'!$A:$F,6,0)</f>
        <v>117.26</v>
      </c>
      <c r="H485" s="72">
        <f>TRUNC(F485*G485,2)</f>
        <v>117.26</v>
      </c>
    </row>
    <row r="486" spans="1:8" s="112" customFormat="1" ht="11.25">
      <c r="A486" s="124"/>
      <c r="B486" s="125"/>
      <c r="C486" s="125"/>
      <c r="D486" s="126"/>
      <c r="E486" s="125"/>
      <c r="F486" s="127"/>
      <c r="G486" s="128"/>
      <c r="H486" s="128"/>
    </row>
    <row r="487" spans="1:8" s="112" customFormat="1" ht="11.25">
      <c r="A487" s="83" t="s">
        <v>448</v>
      </c>
      <c r="B487" s="84"/>
      <c r="C487" s="84"/>
      <c r="D487" s="83" t="s">
        <v>449</v>
      </c>
      <c r="E487" s="84"/>
      <c r="F487" s="132"/>
      <c r="G487" s="83"/>
      <c r="H487" s="87"/>
    </row>
    <row r="488" spans="1:8" s="112" customFormat="1" ht="22.5">
      <c r="A488" s="114" t="s">
        <v>450</v>
      </c>
      <c r="B488" s="115" t="str">
        <f>VLOOKUP(A488,'Orçamento Sintético'!$A:$H,2,0)</f>
        <v> MPDFT1720 </v>
      </c>
      <c r="C488" s="115" t="str">
        <f>VLOOKUP(A488,'Orçamento Sintético'!$A:$H,3,0)</f>
        <v>Próprio</v>
      </c>
      <c r="D488" s="116" t="str">
        <f>VLOOKUP(A488,'Orçamento Sintético'!$A:$H,4,0)</f>
        <v>Poço de visita circular em concreto pré-moldado, diâmetro interno = 1,20m, profundidade de 2,20m, excluindo tampão</v>
      </c>
      <c r="E488" s="115" t="str">
        <f>VLOOKUP(A488,'Orçamento Sintético'!$A:$H,5,0)</f>
        <v>un</v>
      </c>
      <c r="F488" s="117"/>
      <c r="G488" s="118"/>
      <c r="H488" s="118">
        <f>SUM(H489:H494)</f>
        <v>2530.52</v>
      </c>
    </row>
    <row r="489" spans="1:8" s="112" customFormat="1" ht="33.75">
      <c r="A489" s="120" t="str">
        <f>VLOOKUP(B489,'Insumos e Serviços'!$A:$F,3,0)</f>
        <v>Composição</v>
      </c>
      <c r="B489" s="121" t="s">
        <v>700</v>
      </c>
      <c r="C489" s="122" t="str">
        <f>VLOOKUP(B489,'Insumos e Serviços'!$A:$F,2,0)</f>
        <v>SINAPI</v>
      </c>
      <c r="D489" s="120" t="str">
        <f>VLOOKUP(B489,'Insumos e Serviços'!$A:$F,4,0)</f>
        <v>BASE PARA POÇO DE VISITA CIRCULAR PARA  ESGOTO, EM CONCRETO PRÉ-MOLDADO, DIÂMETRO INTERNO = 1,20 M, PROFUNDIDADE = 1,60 M, EXCLUINDO TAMPÃO. AF_12/2020</v>
      </c>
      <c r="E489" s="122" t="str">
        <f>VLOOKUP(B489,'Insumos e Serviços'!$A:$F,5,0)</f>
        <v>UN</v>
      </c>
      <c r="F489" s="123">
        <v>1</v>
      </c>
      <c r="G489" s="72">
        <f>VLOOKUP(B489,'Insumos e Serviços'!$A:$F,6,0)</f>
        <v>1739.63</v>
      </c>
      <c r="H489" s="72">
        <f aca="true" t="shared" si="16" ref="H489:H494">TRUNC(F489*G489,2)</f>
        <v>1739.63</v>
      </c>
    </row>
    <row r="490" spans="1:8" s="112" customFormat="1" ht="22.5">
      <c r="A490" s="120" t="str">
        <f>VLOOKUP(B490,'Insumos e Serviços'!$A:$F,3,0)</f>
        <v>Composição</v>
      </c>
      <c r="B490" s="121" t="s">
        <v>701</v>
      </c>
      <c r="C490" s="122" t="str">
        <f>VLOOKUP(B490,'Insumos e Serviços'!$A:$F,2,0)</f>
        <v>SINAPI</v>
      </c>
      <c r="D490" s="120" t="str">
        <f>VLOOKUP(B490,'Insumos e Serviços'!$A:$F,4,0)</f>
        <v>ACRÉSCIMO PARA POÇO DE VISITA CIRCULAR PARA ESGOTO, EM CONCRETO PRÉ-MOLDADO, DIÂMETRO INTERNO = 1,2 M. AF_12/2020</v>
      </c>
      <c r="E490" s="122" t="str">
        <f>VLOOKUP(B490,'Insumos e Serviços'!$A:$F,5,0)</f>
        <v>M</v>
      </c>
      <c r="F490" s="123">
        <v>0.6</v>
      </c>
      <c r="G490" s="72">
        <f>VLOOKUP(B490,'Insumos e Serviços'!$A:$F,6,0)</f>
        <v>642.28</v>
      </c>
      <c r="H490" s="72">
        <f t="shared" si="16"/>
        <v>385.36</v>
      </c>
    </row>
    <row r="491" spans="1:8" s="112" customFormat="1" ht="22.5">
      <c r="A491" s="120" t="str">
        <f>VLOOKUP(B491,'Insumos e Serviços'!$A:$F,3,0)</f>
        <v>Composição</v>
      </c>
      <c r="B491" s="121" t="s">
        <v>702</v>
      </c>
      <c r="C491" s="122" t="str">
        <f>VLOOKUP(B491,'Insumos e Serviços'!$A:$F,2,0)</f>
        <v>SINAPI</v>
      </c>
      <c r="D491" s="120" t="str">
        <f>VLOOKUP(B491,'Insumos e Serviços'!$A:$F,4,0)</f>
        <v>CONCRETO MAGRO PARA LASTRO, TRAÇO 1:4,5:4,5 (EM MASSA SECA DE CIMENTO/ AREIA MÉDIA/ BRITA 1) - PREPARO MANUAL. AF_05/2021</v>
      </c>
      <c r="E491" s="122" t="str">
        <f>VLOOKUP(B491,'Insumos e Serviços'!$A:$F,5,0)</f>
        <v>m³</v>
      </c>
      <c r="F491" s="123">
        <v>0.196</v>
      </c>
      <c r="G491" s="72">
        <f>VLOOKUP(B491,'Insumos e Serviços'!$A:$F,6,0)</f>
        <v>533.09</v>
      </c>
      <c r="H491" s="72">
        <f t="shared" si="16"/>
        <v>104.48</v>
      </c>
    </row>
    <row r="492" spans="1:8" s="112" customFormat="1" ht="22.5">
      <c r="A492" s="120" t="str">
        <f>VLOOKUP(B492,'Insumos e Serviços'!$A:$F,3,0)</f>
        <v>Composição</v>
      </c>
      <c r="B492" s="121" t="s">
        <v>703</v>
      </c>
      <c r="C492" s="122" t="str">
        <f>VLOOKUP(B492,'Insumos e Serviços'!$A:$F,2,0)</f>
        <v>SINAPI</v>
      </c>
      <c r="D492" s="120" t="str">
        <f>VLOOKUP(B492,'Insumos e Serviços'!$A:$F,4,0)</f>
        <v>LASTRO COM MATERIAL GRANULAR (PEDRA BRITADA N.1 E PEDRA BRITADA N.2), APLICADO EM PISOS OU LAJES SOBRE SOLO, ESPESSURA DE *10 CM*. AF_07/2019</v>
      </c>
      <c r="E492" s="122" t="str">
        <f>VLOOKUP(B492,'Insumos e Serviços'!$A:$F,5,0)</f>
        <v>m³</v>
      </c>
      <c r="F492" s="123">
        <v>0.196</v>
      </c>
      <c r="G492" s="72">
        <f>VLOOKUP(B492,'Insumos e Serviços'!$A:$F,6,0)</f>
        <v>214.27</v>
      </c>
      <c r="H492" s="72">
        <f t="shared" si="16"/>
        <v>41.99</v>
      </c>
    </row>
    <row r="493" spans="1:8" s="112" customFormat="1" ht="22.5">
      <c r="A493" s="120" t="str">
        <f>VLOOKUP(B493,'Insumos e Serviços'!$A:$F,3,0)</f>
        <v>Composição</v>
      </c>
      <c r="B493" s="121" t="s">
        <v>704</v>
      </c>
      <c r="C493" s="122" t="str">
        <f>VLOOKUP(B493,'Insumos e Serviços'!$A:$F,2,0)</f>
        <v>SINAPI</v>
      </c>
      <c r="D493" s="120" t="str">
        <f>VLOOKUP(B493,'Insumos e Serviços'!$A:$F,4,0)</f>
        <v>DEMOLIÇÃO DE LAJES, DE FORMA MECANIZADA COM MARTELETE, SEM REAPROVEITAMENTO. AF_12/2017</v>
      </c>
      <c r="E493" s="122" t="str">
        <f>VLOOKUP(B493,'Insumos e Serviços'!$A:$F,5,0)</f>
        <v>m³</v>
      </c>
      <c r="F493" s="123">
        <v>0.4</v>
      </c>
      <c r="G493" s="72">
        <f>VLOOKUP(B493,'Insumos e Serviços'!$A:$F,6,0)</f>
        <v>114.81</v>
      </c>
      <c r="H493" s="72">
        <f t="shared" si="16"/>
        <v>45.92</v>
      </c>
    </row>
    <row r="494" spans="1:8" s="112" customFormat="1" ht="11.25">
      <c r="A494" s="120" t="str">
        <f>VLOOKUP(B494,'Insumos e Serviços'!$A:$F,3,0)</f>
        <v>Composição</v>
      </c>
      <c r="B494" s="121" t="s">
        <v>705</v>
      </c>
      <c r="C494" s="122" t="str">
        <f>VLOOKUP(B494,'Insumos e Serviços'!$A:$F,2,0)</f>
        <v>SINAPI</v>
      </c>
      <c r="D494" s="120" t="str">
        <f>VLOOKUP(B494,'Insumos e Serviços'!$A:$F,4,0)</f>
        <v>ARMAÇÃO UTILIZANDO AÇO CA-25 DE 25,0 MM - MONTAGEM. AF_06/2022</v>
      </c>
      <c r="E494" s="122" t="str">
        <f>VLOOKUP(B494,'Insumos e Serviços'!$A:$F,5,0)</f>
        <v>KG</v>
      </c>
      <c r="F494" s="123">
        <v>15.412</v>
      </c>
      <c r="G494" s="72">
        <f>VLOOKUP(B494,'Insumos e Serviços'!$A:$F,6,0)</f>
        <v>13.83</v>
      </c>
      <c r="H494" s="72">
        <f t="shared" si="16"/>
        <v>213.14</v>
      </c>
    </row>
    <row r="495" spans="1:8" s="112" customFormat="1" ht="11.25">
      <c r="A495" s="124"/>
      <c r="B495" s="125"/>
      <c r="C495" s="125"/>
      <c r="D495" s="126"/>
      <c r="E495" s="125"/>
      <c r="F495" s="127"/>
      <c r="G495" s="128"/>
      <c r="H495" s="128"/>
    </row>
    <row r="496" spans="1:8" s="112" customFormat="1" ht="33.75">
      <c r="A496" s="114" t="s">
        <v>453</v>
      </c>
      <c r="B496" s="115" t="str">
        <f>VLOOKUP(A496,'Orçamento Sintético'!$A:$H,2,0)</f>
        <v> MPDFT0712 </v>
      </c>
      <c r="C496" s="115" t="str">
        <f>VLOOKUP(A496,'Orçamento Sintético'!$A:$H,3,0)</f>
        <v>Próprio</v>
      </c>
      <c r="D496" s="116" t="str">
        <f>VLOOKUP(A496,'Orçamento Sintético'!$A:$H,4,0)</f>
        <v>Copia da SINAPI (98114) - Tampão para caixa de inspeção / pluvial / esgoto , com 2 travas Oliv, Cl400 - ferro fundido nodular, T100 - base 72cm, tampa 53cm,  Fundição Vesúvio Fl-51682</v>
      </c>
      <c r="E496" s="115" t="str">
        <f>VLOOKUP(A496,'Orçamento Sintético'!$A:$H,5,0)</f>
        <v>UN</v>
      </c>
      <c r="F496" s="117"/>
      <c r="G496" s="118"/>
      <c r="H496" s="118">
        <f>SUM(H497:H500)</f>
        <v>1877.2</v>
      </c>
    </row>
    <row r="497" spans="1:8" s="112" customFormat="1" ht="11.25">
      <c r="A497" s="120" t="str">
        <f>VLOOKUP(B497,'Insumos e Serviços'!$A:$F,3,0)</f>
        <v>Composição</v>
      </c>
      <c r="B497" s="121" t="s">
        <v>583</v>
      </c>
      <c r="C497" s="122" t="str">
        <f>VLOOKUP(B497,'Insumos e Serviços'!$A:$F,2,0)</f>
        <v>SINAPI</v>
      </c>
      <c r="D497" s="120" t="str">
        <f>VLOOKUP(B497,'Insumos e Serviços'!$A:$F,4,0)</f>
        <v>PEDREIRO COM ENCARGOS COMPLEMENTARES</v>
      </c>
      <c r="E497" s="122" t="str">
        <f>VLOOKUP(B497,'Insumos e Serviços'!$A:$F,5,0)</f>
        <v>H</v>
      </c>
      <c r="F497" s="123">
        <v>1.4045</v>
      </c>
      <c r="G497" s="72">
        <f>VLOOKUP(B497,'Insumos e Serviços'!$A:$F,6,0)</f>
        <v>26.2</v>
      </c>
      <c r="H497" s="72">
        <f>TRUNC(F497*G497,2)</f>
        <v>36.79</v>
      </c>
    </row>
    <row r="498" spans="1:8" s="112" customFormat="1" ht="11.25">
      <c r="A498" s="120" t="str">
        <f>VLOOKUP(B498,'Insumos e Serviços'!$A:$F,3,0)</f>
        <v>Composição</v>
      </c>
      <c r="B498" s="121" t="s">
        <v>581</v>
      </c>
      <c r="C498" s="122" t="str">
        <f>VLOOKUP(B498,'Insumos e Serviços'!$A:$F,2,0)</f>
        <v>SINAPI</v>
      </c>
      <c r="D498" s="120" t="str">
        <f>VLOOKUP(B498,'Insumos e Serviços'!$A:$F,4,0)</f>
        <v>SERVENTE COM ENCARGOS COMPLEMENTARES</v>
      </c>
      <c r="E498" s="122" t="str">
        <f>VLOOKUP(B498,'Insumos e Serviços'!$A:$F,5,0)</f>
        <v>H</v>
      </c>
      <c r="F498" s="123">
        <v>1.4045</v>
      </c>
      <c r="G498" s="72">
        <f>VLOOKUP(B498,'Insumos e Serviços'!$A:$F,6,0)</f>
        <v>19.39</v>
      </c>
      <c r="H498" s="72">
        <f>TRUNC(F498*G498,2)</f>
        <v>27.23</v>
      </c>
    </row>
    <row r="499" spans="1:8" s="112" customFormat="1" ht="22.5">
      <c r="A499" s="120" t="str">
        <f>VLOOKUP(B499,'Insumos e Serviços'!$A:$F,3,0)</f>
        <v>Composição</v>
      </c>
      <c r="B499" s="121" t="s">
        <v>706</v>
      </c>
      <c r="C499" s="122" t="str">
        <f>VLOOKUP(B499,'Insumos e Serviços'!$A:$F,2,0)</f>
        <v>SINAPI</v>
      </c>
      <c r="D499" s="120" t="str">
        <f>VLOOKUP(B499,'Insumos e Serviços'!$A:$F,4,0)</f>
        <v>CONCRETO FCK = 20MPA, TRAÇO 1:2,7:3 (EM MASSA SECA DE CIMENTO/ AREIA MÉDIA/ BRITA 1) - PREPARO MECÂNICO COM BETONEIRA 600 L. AF_05/2021</v>
      </c>
      <c r="E499" s="122" t="str">
        <f>VLOOKUP(B499,'Insumos e Serviços'!$A:$F,5,0)</f>
        <v>m³</v>
      </c>
      <c r="F499" s="123">
        <v>0.0281</v>
      </c>
      <c r="G499" s="72">
        <f>VLOOKUP(B499,'Insumos e Serviços'!$A:$F,6,0)</f>
        <v>532.46</v>
      </c>
      <c r="H499" s="72">
        <f>TRUNC(F499*G499,2)</f>
        <v>14.96</v>
      </c>
    </row>
    <row r="500" spans="1:8" s="112" customFormat="1" ht="22.5">
      <c r="A500" s="120" t="str">
        <f>VLOOKUP(B500,'Insumos e Serviços'!$A:$F,3,0)</f>
        <v>Insumo</v>
      </c>
      <c r="B500" s="121" t="s">
        <v>707</v>
      </c>
      <c r="C500" s="122" t="str">
        <f>VLOOKUP(B500,'Insumos e Serviços'!$A:$F,2,0)</f>
        <v>Próprio</v>
      </c>
      <c r="D500" s="120" t="str">
        <f>VLOOKUP(B500,'Insumos e Serviços'!$A:$F,4,0)</f>
        <v>Tampão para caixa de inspeção / pluvial / esgoto , com 2 travas Oliv, Cl400 - ferro fundido nodular, T100 - base 72cm, tampa 53cm, Fundição Vesúvio Fl-51682</v>
      </c>
      <c r="E500" s="122" t="str">
        <f>VLOOKUP(B500,'Insumos e Serviços'!$A:$F,5,0)</f>
        <v>un</v>
      </c>
      <c r="F500" s="123">
        <v>1</v>
      </c>
      <c r="G500" s="72">
        <f>VLOOKUP(B500,'Insumos e Serviços'!$A:$F,6,0)</f>
        <v>1798.22</v>
      </c>
      <c r="H500" s="72">
        <f>TRUNC(F500*G500,2)</f>
        <v>1798.22</v>
      </c>
    </row>
    <row r="501" spans="1:8" s="112" customFormat="1" ht="11.25">
      <c r="A501" s="124"/>
      <c r="B501" s="125"/>
      <c r="C501" s="125"/>
      <c r="D501" s="126"/>
      <c r="E501" s="125"/>
      <c r="F501" s="127"/>
      <c r="G501" s="128"/>
      <c r="H501" s="128"/>
    </row>
    <row r="502" spans="1:8" s="112" customFormat="1" ht="11.25">
      <c r="A502" s="107" t="s">
        <v>1276</v>
      </c>
      <c r="B502" s="108"/>
      <c r="C502" s="108"/>
      <c r="D502" s="130" t="s">
        <v>460</v>
      </c>
      <c r="E502" s="108"/>
      <c r="F502" s="131"/>
      <c r="G502" s="110"/>
      <c r="H502" s="111"/>
    </row>
    <row r="503" spans="1:8" s="112" customFormat="1" ht="11.25">
      <c r="A503" s="62" t="s">
        <v>461</v>
      </c>
      <c r="B503" s="63"/>
      <c r="C503" s="63"/>
      <c r="D503" s="62" t="s">
        <v>462</v>
      </c>
      <c r="E503" s="63"/>
      <c r="F503" s="113"/>
      <c r="G503" s="62"/>
      <c r="H503" s="67"/>
    </row>
    <row r="504" spans="1:8" s="112" customFormat="1" ht="11.25">
      <c r="A504" s="74" t="s">
        <v>471</v>
      </c>
      <c r="B504" s="75"/>
      <c r="C504" s="75"/>
      <c r="D504" s="74" t="s">
        <v>472</v>
      </c>
      <c r="E504" s="75"/>
      <c r="F504" s="129"/>
      <c r="G504" s="74"/>
      <c r="H504" s="78"/>
    </row>
    <row r="505" spans="1:8" s="112" customFormat="1" ht="11.25">
      <c r="A505" s="83" t="s">
        <v>473</v>
      </c>
      <c r="B505" s="84"/>
      <c r="C505" s="84"/>
      <c r="D505" s="83" t="s">
        <v>474</v>
      </c>
      <c r="E505" s="84"/>
      <c r="F505" s="132"/>
      <c r="G505" s="83"/>
      <c r="H505" s="87"/>
    </row>
    <row r="506" spans="1:8" s="112" customFormat="1" ht="33.75">
      <c r="A506" s="114" t="s">
        <v>475</v>
      </c>
      <c r="B506" s="115" t="str">
        <f>VLOOKUP(A506,'Orçamento Sintético'!$A:$H,2,0)</f>
        <v> MPDFT1697 </v>
      </c>
      <c r="C506" s="115" t="str">
        <f>VLOOKUP(A506,'Orçamento Sintético'!$A:$H,3,0)</f>
        <v>Próprio</v>
      </c>
      <c r="D506" s="116" t="str">
        <f>VLOOKUP(A506,'Orçamento Sintético'!$A:$H,4,0)</f>
        <v>Copia da CPOS (41.14.560) -LUMINÁRIA DE EMBUTIR DE 2 X 32W, COM ALETAS EM ALUMÍNIO REFLETIDO, COM DIMENSÕES DE 1,25M, NA COR BRANCA. MARCA: ABALUX, MODELO: A407</v>
      </c>
      <c r="E506" s="115" t="str">
        <f>VLOOKUP(A506,'Orçamento Sintético'!$A:$H,5,0)</f>
        <v>UN</v>
      </c>
      <c r="F506" s="117"/>
      <c r="G506" s="118"/>
      <c r="H506" s="118">
        <f>SUM(H507:H512)</f>
        <v>181.01</v>
      </c>
    </row>
    <row r="507" spans="1:8" s="112" customFormat="1" ht="11.25">
      <c r="A507" s="120" t="str">
        <f>VLOOKUP(B507,'Insumos e Serviços'!$A:$F,3,0)</f>
        <v>Composição</v>
      </c>
      <c r="B507" s="121" t="s">
        <v>598</v>
      </c>
      <c r="C507" s="122" t="str">
        <f>VLOOKUP(B507,'Insumos e Serviços'!$A:$F,2,0)</f>
        <v>SINAPI</v>
      </c>
      <c r="D507" s="120" t="str">
        <f>VLOOKUP(B507,'Insumos e Serviços'!$A:$F,4,0)</f>
        <v>ELETRICISTA COM ENCARGOS COMPLEMENTARES</v>
      </c>
      <c r="E507" s="122" t="str">
        <f>VLOOKUP(B507,'Insumos e Serviços'!$A:$F,5,0)</f>
        <v>H</v>
      </c>
      <c r="F507" s="123">
        <v>0.4</v>
      </c>
      <c r="G507" s="72">
        <f>VLOOKUP(B507,'Insumos e Serviços'!$A:$F,6,0)</f>
        <v>26.47</v>
      </c>
      <c r="H507" s="72">
        <f aca="true" t="shared" si="17" ref="H507:H512">TRUNC(F507*G507,2)</f>
        <v>10.58</v>
      </c>
    </row>
    <row r="508" spans="1:8" s="112" customFormat="1" ht="11.25">
      <c r="A508" s="120" t="str">
        <f>VLOOKUP(B508,'Insumos e Serviços'!$A:$F,3,0)</f>
        <v>Composição</v>
      </c>
      <c r="B508" s="121" t="s">
        <v>602</v>
      </c>
      <c r="C508" s="122" t="str">
        <f>VLOOKUP(B508,'Insumos e Serviços'!$A:$F,2,0)</f>
        <v>SINAPI</v>
      </c>
      <c r="D508" s="120" t="str">
        <f>VLOOKUP(B508,'Insumos e Serviços'!$A:$F,4,0)</f>
        <v>AUXILIAR DE ELETRICISTA COM ENCARGOS COMPLEMENTARES</v>
      </c>
      <c r="E508" s="122" t="str">
        <f>VLOOKUP(B508,'Insumos e Serviços'!$A:$F,5,0)</f>
        <v>H</v>
      </c>
      <c r="F508" s="123">
        <v>0.4</v>
      </c>
      <c r="G508" s="72">
        <f>VLOOKUP(B508,'Insumos e Serviços'!$A:$F,6,0)</f>
        <v>20.43</v>
      </c>
      <c r="H508" s="72">
        <f t="shared" si="17"/>
        <v>8.17</v>
      </c>
    </row>
    <row r="509" spans="1:8" s="112" customFormat="1" ht="11.25">
      <c r="A509" s="120" t="str">
        <f>VLOOKUP(B509,'Insumos e Serviços'!$A:$F,3,0)</f>
        <v>Insumo</v>
      </c>
      <c r="B509" s="121" t="s">
        <v>708</v>
      </c>
      <c r="C509" s="122" t="str">
        <f>VLOOKUP(B509,'Insumos e Serviços'!$A:$F,2,0)</f>
        <v>SINAPI</v>
      </c>
      <c r="D509" s="120" t="str">
        <f>VLOOKUP(B509,'Insumos e Serviços'!$A:$F,4,0)</f>
        <v>CABO FLEXIVEL PVC 750 V, 3 CONDUTORES DE 1,5 MM2</v>
      </c>
      <c r="E509" s="122" t="str">
        <f>VLOOKUP(B509,'Insumos e Serviços'!$A:$F,5,0)</f>
        <v>M</v>
      </c>
      <c r="F509" s="123">
        <v>1</v>
      </c>
      <c r="G509" s="72">
        <f>VLOOKUP(B509,'Insumos e Serviços'!$A:$F,6,0)</f>
        <v>7.6</v>
      </c>
      <c r="H509" s="72">
        <f t="shared" si="17"/>
        <v>7.6</v>
      </c>
    </row>
    <row r="510" spans="1:8" s="112" customFormat="1" ht="11.25">
      <c r="A510" s="120" t="str">
        <f>VLOOKUP(B510,'Insumos e Serviços'!$A:$F,3,0)</f>
        <v>Insumo</v>
      </c>
      <c r="B510" s="121" t="s">
        <v>709</v>
      </c>
      <c r="C510" s="122" t="str">
        <f>VLOOKUP(B510,'Insumos e Serviços'!$A:$F,2,0)</f>
        <v>Próprio</v>
      </c>
      <c r="D510" s="120" t="str">
        <f>VLOOKUP(B510,'Insumos e Serviços'!$A:$F,4,0)</f>
        <v>Plug macho 2P+T 10A para tomada</v>
      </c>
      <c r="E510" s="122" t="str">
        <f>VLOOKUP(B510,'Insumos e Serviços'!$A:$F,5,0)</f>
        <v>un</v>
      </c>
      <c r="F510" s="123">
        <v>1</v>
      </c>
      <c r="G510" s="72">
        <f>VLOOKUP(B510,'Insumos e Serviços'!$A:$F,6,0)</f>
        <v>2.6</v>
      </c>
      <c r="H510" s="72">
        <f t="shared" si="17"/>
        <v>2.6</v>
      </c>
    </row>
    <row r="511" spans="1:8" s="112" customFormat="1" ht="11.25">
      <c r="A511" s="120" t="str">
        <f>VLOOKUP(B511,'Insumos e Serviços'!$A:$F,3,0)</f>
        <v>Insumo</v>
      </c>
      <c r="B511" s="121" t="s">
        <v>710</v>
      </c>
      <c r="C511" s="122" t="str">
        <f>VLOOKUP(B511,'Insumos e Serviços'!$A:$F,2,0)</f>
        <v>SINAPI</v>
      </c>
      <c r="D511" s="120" t="str">
        <f>VLOOKUP(B511,'Insumos e Serviços'!$A:$F,4,0)</f>
        <v>FITA ISOLANTE ADESIVA ANTICHAMA, USO ATE 750 V, EM ROLO DE 19 MM X 20 M</v>
      </c>
      <c r="E511" s="122" t="str">
        <f>VLOOKUP(B511,'Insumos e Serviços'!$A:$F,5,0)</f>
        <v>UN</v>
      </c>
      <c r="F511" s="123">
        <v>0.01</v>
      </c>
      <c r="G511" s="72">
        <f>VLOOKUP(B511,'Insumos e Serviços'!$A:$F,6,0)</f>
        <v>11.5</v>
      </c>
      <c r="H511" s="72">
        <f t="shared" si="17"/>
        <v>0.11</v>
      </c>
    </row>
    <row r="512" spans="1:8" s="112" customFormat="1" ht="22.5">
      <c r="A512" s="120" t="str">
        <f>VLOOKUP(B512,'Insumos e Serviços'!$A:$F,3,0)</f>
        <v>Insumo</v>
      </c>
      <c r="B512" s="121" t="s">
        <v>711</v>
      </c>
      <c r="C512" s="122" t="str">
        <f>VLOOKUP(B512,'Insumos e Serviços'!$A:$F,2,0)</f>
        <v>Próprio</v>
      </c>
      <c r="D512" s="120" t="str">
        <f>VLOOKUP(B512,'Insumos e Serviços'!$A:$F,4,0)</f>
        <v>LUMINÁRIA DE EMBUTIR DE 2 X 32W-T8, FACETADO EM ALUMÍNIO ALTO BRILHO, COM DIMENSÕES DE 1,25M, NA COR BRANCA. MARCA: LUMICENTER, MODELO: CAC02-E</v>
      </c>
      <c r="E512" s="122" t="str">
        <f>VLOOKUP(B512,'Insumos e Serviços'!$A:$F,5,0)</f>
        <v>un</v>
      </c>
      <c r="F512" s="123">
        <v>1</v>
      </c>
      <c r="G512" s="72">
        <f>VLOOKUP(B512,'Insumos e Serviços'!$A:$F,6,0)</f>
        <v>151.95</v>
      </c>
      <c r="H512" s="72">
        <f t="shared" si="17"/>
        <v>151.95</v>
      </c>
    </row>
    <row r="513" spans="1:8" s="112" customFormat="1" ht="11.25">
      <c r="A513" s="124"/>
      <c r="B513" s="125"/>
      <c r="C513" s="125"/>
      <c r="D513" s="126"/>
      <c r="E513" s="125"/>
      <c r="F513" s="127"/>
      <c r="G513" s="128"/>
      <c r="H513" s="128"/>
    </row>
    <row r="514" spans="1:8" s="112" customFormat="1" ht="11.25">
      <c r="A514" s="114" t="s">
        <v>478</v>
      </c>
      <c r="B514" s="115" t="str">
        <f>VLOOKUP(A514,'Orçamento Sintético'!$A:$H,2,0)</f>
        <v> MPDFT1515 </v>
      </c>
      <c r="C514" s="115" t="str">
        <f>VLOOKUP(A514,'Orçamento Sintético'!$A:$H,3,0)</f>
        <v>Próprio</v>
      </c>
      <c r="D514" s="116" t="str">
        <f>VLOOKUP(A514,'Orçamento Sintético'!$A:$H,4,0)</f>
        <v>Copia da SINAPI (97590) - REINSTALAÇÃO DE LUMINÁRIA</v>
      </c>
      <c r="E514" s="115" t="str">
        <f>VLOOKUP(A514,'Orçamento Sintético'!$A:$H,5,0)</f>
        <v>UN</v>
      </c>
      <c r="F514" s="117"/>
      <c r="G514" s="118"/>
      <c r="H514" s="118">
        <f>SUM(H515:H516)</f>
        <v>18.72</v>
      </c>
    </row>
    <row r="515" spans="1:8" s="112" customFormat="1" ht="11.25">
      <c r="A515" s="120" t="str">
        <f>VLOOKUP(B515,'Insumos e Serviços'!$A:$F,3,0)</f>
        <v>Composição</v>
      </c>
      <c r="B515" s="121" t="s">
        <v>602</v>
      </c>
      <c r="C515" s="122" t="str">
        <f>VLOOKUP(B515,'Insumos e Serviços'!$A:$F,2,0)</f>
        <v>SINAPI</v>
      </c>
      <c r="D515" s="120" t="str">
        <f>VLOOKUP(B515,'Insumos e Serviços'!$A:$F,4,0)</f>
        <v>AUXILIAR DE ELETRICISTA COM ENCARGOS COMPLEMENTARES</v>
      </c>
      <c r="E515" s="122" t="str">
        <f>VLOOKUP(B515,'Insumos e Serviços'!$A:$F,5,0)</f>
        <v>H</v>
      </c>
      <c r="F515" s="123">
        <v>0.2231</v>
      </c>
      <c r="G515" s="72">
        <f>VLOOKUP(B515,'Insumos e Serviços'!$A:$F,6,0)</f>
        <v>20.43</v>
      </c>
      <c r="H515" s="72">
        <f>TRUNC(F515*G515,2)</f>
        <v>4.55</v>
      </c>
    </row>
    <row r="516" spans="1:8" s="112" customFormat="1" ht="11.25">
      <c r="A516" s="120" t="str">
        <f>VLOOKUP(B516,'Insumos e Serviços'!$A:$F,3,0)</f>
        <v>Composição</v>
      </c>
      <c r="B516" s="121" t="s">
        <v>598</v>
      </c>
      <c r="C516" s="122" t="str">
        <f>VLOOKUP(B516,'Insumos e Serviços'!$A:$F,2,0)</f>
        <v>SINAPI</v>
      </c>
      <c r="D516" s="120" t="str">
        <f>VLOOKUP(B516,'Insumos e Serviços'!$A:$F,4,0)</f>
        <v>ELETRICISTA COM ENCARGOS COMPLEMENTARES</v>
      </c>
      <c r="E516" s="122" t="str">
        <f>VLOOKUP(B516,'Insumos e Serviços'!$A:$F,5,0)</f>
        <v>H</v>
      </c>
      <c r="F516" s="123">
        <v>0.5355</v>
      </c>
      <c r="G516" s="72">
        <f>VLOOKUP(B516,'Insumos e Serviços'!$A:$F,6,0)</f>
        <v>26.47</v>
      </c>
      <c r="H516" s="72">
        <f>TRUNC(F516*G516,2)</f>
        <v>14.17</v>
      </c>
    </row>
    <row r="517" spans="1:8" s="112" customFormat="1" ht="11.25">
      <c r="A517" s="124"/>
      <c r="B517" s="125"/>
      <c r="C517" s="125"/>
      <c r="D517" s="126"/>
      <c r="E517" s="125"/>
      <c r="F517" s="127"/>
      <c r="G517" s="128"/>
      <c r="H517" s="128"/>
    </row>
    <row r="518" spans="1:8" s="112" customFormat="1" ht="11.25">
      <c r="A518" s="74" t="s">
        <v>489</v>
      </c>
      <c r="B518" s="75"/>
      <c r="C518" s="75"/>
      <c r="D518" s="74" t="s">
        <v>490</v>
      </c>
      <c r="E518" s="75"/>
      <c r="F518" s="129"/>
      <c r="G518" s="74"/>
      <c r="H518" s="78"/>
    </row>
    <row r="519" spans="1:8" s="112" customFormat="1" ht="11.25">
      <c r="A519" s="83" t="s">
        <v>491</v>
      </c>
      <c r="B519" s="84"/>
      <c r="C519" s="84"/>
      <c r="D519" s="83" t="s">
        <v>492</v>
      </c>
      <c r="E519" s="84"/>
      <c r="F519" s="132"/>
      <c r="G519" s="83"/>
      <c r="H519" s="87"/>
    </row>
    <row r="520" spans="1:8" s="112" customFormat="1" ht="22.5">
      <c r="A520" s="114" t="s">
        <v>499</v>
      </c>
      <c r="B520" s="115" t="str">
        <f>VLOOKUP(A520,'Orçamento Sintético'!$A:$H,2,0)</f>
        <v> MPDFT1699 </v>
      </c>
      <c r="C520" s="115" t="str">
        <f>VLOOKUP(A520,'Orçamento Sintético'!$A:$H,3,0)</f>
        <v>Próprio</v>
      </c>
      <c r="D520" s="116" t="str">
        <f>VLOOKUP(A520,'Orçamento Sintético'!$A:$H,4,0)</f>
        <v>Copia da SINAPI (91998) - TOMADA NO PISO DE EMBUTIR (1 MÓDULO), 2P+T 10 A, SEM SUPORTE E SEM PLACA - FORNECIMENTO E INSTALAÇÃO. AF_12/2015</v>
      </c>
      <c r="E520" s="115" t="str">
        <f>VLOOKUP(A520,'Orçamento Sintético'!$A:$H,5,0)</f>
        <v>UN</v>
      </c>
      <c r="F520" s="117"/>
      <c r="G520" s="118"/>
      <c r="H520" s="118">
        <f>SUM(H521:H523)</f>
        <v>20.29</v>
      </c>
    </row>
    <row r="521" spans="1:8" s="112" customFormat="1" ht="11.25">
      <c r="A521" s="120" t="str">
        <f>VLOOKUP(B521,'Insumos e Serviços'!$A:$F,3,0)</f>
        <v>Composição</v>
      </c>
      <c r="B521" s="121" t="s">
        <v>602</v>
      </c>
      <c r="C521" s="122" t="str">
        <f>VLOOKUP(B521,'Insumos e Serviços'!$A:$F,2,0)</f>
        <v>SINAPI</v>
      </c>
      <c r="D521" s="120" t="str">
        <f>VLOOKUP(B521,'Insumos e Serviços'!$A:$F,4,0)</f>
        <v>AUXILIAR DE ELETRICISTA COM ENCARGOS COMPLEMENTARES</v>
      </c>
      <c r="E521" s="122" t="str">
        <f>VLOOKUP(B521,'Insumos e Serviços'!$A:$F,5,0)</f>
        <v>H</v>
      </c>
      <c r="F521" s="123">
        <v>0.235</v>
      </c>
      <c r="G521" s="72">
        <f>VLOOKUP(B521,'Insumos e Serviços'!$A:$F,6,0)</f>
        <v>20.43</v>
      </c>
      <c r="H521" s="72">
        <f>TRUNC(F521*G521,2)</f>
        <v>4.8</v>
      </c>
    </row>
    <row r="522" spans="1:8" s="112" customFormat="1" ht="11.25">
      <c r="A522" s="120" t="str">
        <f>VLOOKUP(B522,'Insumos e Serviços'!$A:$F,3,0)</f>
        <v>Composição</v>
      </c>
      <c r="B522" s="121" t="s">
        <v>598</v>
      </c>
      <c r="C522" s="122" t="str">
        <f>VLOOKUP(B522,'Insumos e Serviços'!$A:$F,2,0)</f>
        <v>SINAPI</v>
      </c>
      <c r="D522" s="120" t="str">
        <f>VLOOKUP(B522,'Insumos e Serviços'!$A:$F,4,0)</f>
        <v>ELETRICISTA COM ENCARGOS COMPLEMENTARES</v>
      </c>
      <c r="E522" s="122" t="str">
        <f>VLOOKUP(B522,'Insumos e Serviços'!$A:$F,5,0)</f>
        <v>H</v>
      </c>
      <c r="F522" s="123">
        <v>0.235</v>
      </c>
      <c r="G522" s="72">
        <f>VLOOKUP(B522,'Insumos e Serviços'!$A:$F,6,0)</f>
        <v>26.47</v>
      </c>
      <c r="H522" s="72">
        <f>TRUNC(F522*G522,2)</f>
        <v>6.22</v>
      </c>
    </row>
    <row r="523" spans="1:8" s="112" customFormat="1" ht="11.25">
      <c r="A523" s="120" t="str">
        <f>VLOOKUP(B523,'Insumos e Serviços'!$A:$F,3,0)</f>
        <v>Insumo</v>
      </c>
      <c r="B523" s="121" t="s">
        <v>712</v>
      </c>
      <c r="C523" s="122" t="str">
        <f>VLOOKUP(B523,'Insumos e Serviços'!$A:$F,2,0)</f>
        <v>SINAPI</v>
      </c>
      <c r="D523" s="120" t="str">
        <f>VLOOKUP(B523,'Insumos e Serviços'!$A:$F,4,0)</f>
        <v>TOMADA 2P+T 10A, 250V  (APENAS MODULO)</v>
      </c>
      <c r="E523" s="122" t="str">
        <f>VLOOKUP(B523,'Insumos e Serviços'!$A:$F,5,0)</f>
        <v>UN</v>
      </c>
      <c r="F523" s="123">
        <v>1</v>
      </c>
      <c r="G523" s="72">
        <f>VLOOKUP(B523,'Insumos e Serviços'!$A:$F,6,0)</f>
        <v>9.27</v>
      </c>
      <c r="H523" s="72">
        <f>TRUNC(F523*G523,2)</f>
        <v>9.27</v>
      </c>
    </row>
    <row r="524" spans="1:8" s="112" customFormat="1" ht="11.25">
      <c r="A524" s="124"/>
      <c r="B524" s="125"/>
      <c r="C524" s="125"/>
      <c r="D524" s="126"/>
      <c r="E524" s="125"/>
      <c r="F524" s="127"/>
      <c r="G524" s="128"/>
      <c r="H524" s="128"/>
    </row>
    <row r="525" spans="1:8" s="112" customFormat="1" ht="11.25">
      <c r="A525" s="62" t="s">
        <v>508</v>
      </c>
      <c r="B525" s="63"/>
      <c r="C525" s="63"/>
      <c r="D525" s="62" t="s">
        <v>509</v>
      </c>
      <c r="E525" s="63"/>
      <c r="F525" s="113"/>
      <c r="G525" s="62"/>
      <c r="H525" s="67"/>
    </row>
    <row r="526" spans="1:8" s="112" customFormat="1" ht="11.25">
      <c r="A526" s="74" t="s">
        <v>510</v>
      </c>
      <c r="B526" s="75"/>
      <c r="C526" s="75"/>
      <c r="D526" s="74" t="s">
        <v>511</v>
      </c>
      <c r="E526" s="75"/>
      <c r="F526" s="129"/>
      <c r="G526" s="74"/>
      <c r="H526" s="78"/>
    </row>
    <row r="527" spans="1:8" s="112" customFormat="1" ht="11.25">
      <c r="A527" s="83" t="s">
        <v>512</v>
      </c>
      <c r="B527" s="84"/>
      <c r="C527" s="84"/>
      <c r="D527" s="83" t="s">
        <v>492</v>
      </c>
      <c r="E527" s="84"/>
      <c r="F527" s="132"/>
      <c r="G527" s="83"/>
      <c r="H527" s="87"/>
    </row>
    <row r="528" spans="1:8" s="112" customFormat="1" ht="22.5">
      <c r="A528" s="114" t="s">
        <v>513</v>
      </c>
      <c r="B528" s="115" t="str">
        <f>VLOOKUP(A528,'Orçamento Sintético'!$A:$H,2,0)</f>
        <v> MPDFT1701 </v>
      </c>
      <c r="C528" s="115" t="str">
        <f>VLOOKUP(A528,'Orçamento Sintético'!$A:$H,3,0)</f>
        <v>Próprio</v>
      </c>
      <c r="D528" s="116" t="str">
        <f>VLOOKUP(A528,'Orçamento Sintético'!$A:$H,4,0)</f>
        <v>Copia da SINAPI (98307) - TOMADA DE REDE RJ45 - FORNECIMENTO E INSTALAÇÃO. AF_11/2019</v>
      </c>
      <c r="E528" s="115" t="str">
        <f>VLOOKUP(A528,'Orçamento Sintético'!$A:$H,5,0)</f>
        <v>UN</v>
      </c>
      <c r="F528" s="117"/>
      <c r="G528" s="118"/>
      <c r="H528" s="118">
        <f>SUM(H529:H531)</f>
        <v>40.35</v>
      </c>
    </row>
    <row r="529" spans="1:8" s="112" customFormat="1" ht="11.25">
      <c r="A529" s="120" t="str">
        <f>VLOOKUP(B529,'Insumos e Serviços'!$A:$F,3,0)</f>
        <v>Composição</v>
      </c>
      <c r="B529" s="121" t="s">
        <v>602</v>
      </c>
      <c r="C529" s="122" t="str">
        <f>VLOOKUP(B529,'Insumos e Serviços'!$A:$F,2,0)</f>
        <v>SINAPI</v>
      </c>
      <c r="D529" s="120" t="str">
        <f>VLOOKUP(B529,'Insumos e Serviços'!$A:$F,4,0)</f>
        <v>AUXILIAR DE ELETRICISTA COM ENCARGOS COMPLEMENTARES</v>
      </c>
      <c r="E529" s="122" t="str">
        <f>VLOOKUP(B529,'Insumos e Serviços'!$A:$F,5,0)</f>
        <v>H</v>
      </c>
      <c r="F529" s="123">
        <v>0.2062</v>
      </c>
      <c r="G529" s="72">
        <f>VLOOKUP(B529,'Insumos e Serviços'!$A:$F,6,0)</f>
        <v>20.43</v>
      </c>
      <c r="H529" s="72">
        <f>TRUNC(F529*G529,2)</f>
        <v>4.21</v>
      </c>
    </row>
    <row r="530" spans="1:8" s="112" customFormat="1" ht="11.25">
      <c r="A530" s="120" t="str">
        <f>VLOOKUP(B530,'Insumos e Serviços'!$A:$F,3,0)</f>
        <v>Composição</v>
      </c>
      <c r="B530" s="121" t="s">
        <v>598</v>
      </c>
      <c r="C530" s="122" t="str">
        <f>VLOOKUP(B530,'Insumos e Serviços'!$A:$F,2,0)</f>
        <v>SINAPI</v>
      </c>
      <c r="D530" s="120" t="str">
        <f>VLOOKUP(B530,'Insumos e Serviços'!$A:$F,4,0)</f>
        <v>ELETRICISTA COM ENCARGOS COMPLEMENTARES</v>
      </c>
      <c r="E530" s="122" t="str">
        <f>VLOOKUP(B530,'Insumos e Serviços'!$A:$F,5,0)</f>
        <v>H</v>
      </c>
      <c r="F530" s="123">
        <v>0.2062</v>
      </c>
      <c r="G530" s="72">
        <f>VLOOKUP(B530,'Insumos e Serviços'!$A:$F,6,0)</f>
        <v>26.47</v>
      </c>
      <c r="H530" s="72">
        <f>TRUNC(F530*G530,2)</f>
        <v>5.45</v>
      </c>
    </row>
    <row r="531" spans="1:8" s="112" customFormat="1" ht="11.25">
      <c r="A531" s="120" t="str">
        <f>VLOOKUP(B531,'Insumos e Serviços'!$A:$F,3,0)</f>
        <v>Insumo</v>
      </c>
      <c r="B531" s="121" t="s">
        <v>713</v>
      </c>
      <c r="C531" s="122" t="str">
        <f>VLOOKUP(B531,'Insumos e Serviços'!$A:$F,2,0)</f>
        <v>SINAPI</v>
      </c>
      <c r="D531" s="120" t="str">
        <f>VLOOKUP(B531,'Insumos e Serviços'!$A:$F,4,0)</f>
        <v>CONECTOR / TOMADA FEMEA RJ 45, CATEGORIA 6 (CAT 6) PARA CABOS</v>
      </c>
      <c r="E531" s="122" t="str">
        <f>VLOOKUP(B531,'Insumos e Serviços'!$A:$F,5,0)</f>
        <v>UN</v>
      </c>
      <c r="F531" s="123">
        <v>1</v>
      </c>
      <c r="G531" s="72">
        <f>VLOOKUP(B531,'Insumos e Serviços'!$A:$F,6,0)</f>
        <v>30.69</v>
      </c>
      <c r="H531" s="72">
        <f>TRUNC(F531*G531,2)</f>
        <v>30.69</v>
      </c>
    </row>
    <row r="532" spans="1:8" s="112" customFormat="1" ht="11.25">
      <c r="A532" s="124"/>
      <c r="B532" s="125"/>
      <c r="C532" s="125"/>
      <c r="D532" s="126"/>
      <c r="E532" s="125"/>
      <c r="F532" s="127"/>
      <c r="G532" s="128"/>
      <c r="H532" s="128"/>
    </row>
    <row r="533" spans="1:8" s="112" customFormat="1" ht="22.5">
      <c r="A533" s="114" t="s">
        <v>516</v>
      </c>
      <c r="B533" s="115" t="str">
        <f>VLOOKUP(A533,'Orçamento Sintético'!$A:$H,2,0)</f>
        <v> MPDFT1700 </v>
      </c>
      <c r="C533" s="115" t="str">
        <f>VLOOKUP(A533,'Orçamento Sintético'!$A:$H,3,0)</f>
        <v>Próprio</v>
      </c>
      <c r="D533" s="116" t="str">
        <f>VLOOKUP(A533,'Orçamento Sintético'!$A:$H,4,0)</f>
        <v>Copia da SINAPI (98308) - TOMADA PARA TELEFONE RJ11 - FORNECIMENTO E INSTALAÇÃO. AF_11/2019</v>
      </c>
      <c r="E533" s="115" t="str">
        <f>VLOOKUP(A533,'Orçamento Sintético'!$A:$H,5,0)</f>
        <v>UN</v>
      </c>
      <c r="F533" s="117"/>
      <c r="G533" s="118"/>
      <c r="H533" s="118">
        <f>SUM(H534:H536)</f>
        <v>29.16</v>
      </c>
    </row>
    <row r="534" spans="1:8" s="112" customFormat="1" ht="11.25">
      <c r="A534" s="120" t="str">
        <f>VLOOKUP(B534,'Insumos e Serviços'!$A:$F,3,0)</f>
        <v>Composição</v>
      </c>
      <c r="B534" s="121" t="s">
        <v>602</v>
      </c>
      <c r="C534" s="122" t="str">
        <f>VLOOKUP(B534,'Insumos e Serviços'!$A:$F,2,0)</f>
        <v>SINAPI</v>
      </c>
      <c r="D534" s="120" t="str">
        <f>VLOOKUP(B534,'Insumos e Serviços'!$A:$F,4,0)</f>
        <v>AUXILIAR DE ELETRICISTA COM ENCARGOS COMPLEMENTARES</v>
      </c>
      <c r="E534" s="122" t="str">
        <f>VLOOKUP(B534,'Insumos e Serviços'!$A:$F,5,0)</f>
        <v>H</v>
      </c>
      <c r="F534" s="123">
        <v>0.2062</v>
      </c>
      <c r="G534" s="72">
        <f>VLOOKUP(B534,'Insumos e Serviços'!$A:$F,6,0)</f>
        <v>20.43</v>
      </c>
      <c r="H534" s="72">
        <f>TRUNC(F534*G534,2)</f>
        <v>4.21</v>
      </c>
    </row>
    <row r="535" spans="1:8" s="112" customFormat="1" ht="11.25">
      <c r="A535" s="120" t="str">
        <f>VLOOKUP(B535,'Insumos e Serviços'!$A:$F,3,0)</f>
        <v>Composição</v>
      </c>
      <c r="B535" s="121" t="s">
        <v>598</v>
      </c>
      <c r="C535" s="122" t="str">
        <f>VLOOKUP(B535,'Insumos e Serviços'!$A:$F,2,0)</f>
        <v>SINAPI</v>
      </c>
      <c r="D535" s="120" t="str">
        <f>VLOOKUP(B535,'Insumos e Serviços'!$A:$F,4,0)</f>
        <v>ELETRICISTA COM ENCARGOS COMPLEMENTARES</v>
      </c>
      <c r="E535" s="122" t="str">
        <f>VLOOKUP(B535,'Insumos e Serviços'!$A:$F,5,0)</f>
        <v>H</v>
      </c>
      <c r="F535" s="123">
        <v>0.2062</v>
      </c>
      <c r="G535" s="72">
        <f>VLOOKUP(B535,'Insumos e Serviços'!$A:$F,6,0)</f>
        <v>26.47</v>
      </c>
      <c r="H535" s="72">
        <f>TRUNC(F535*G535,2)</f>
        <v>5.45</v>
      </c>
    </row>
    <row r="536" spans="1:8" s="112" customFormat="1" ht="11.25">
      <c r="A536" s="120" t="str">
        <f>VLOOKUP(B536,'Insumos e Serviços'!$A:$F,3,0)</f>
        <v>Insumo</v>
      </c>
      <c r="B536" s="121" t="s">
        <v>714</v>
      </c>
      <c r="C536" s="122" t="str">
        <f>VLOOKUP(B536,'Insumos e Serviços'!$A:$F,2,0)</f>
        <v>SINAPI</v>
      </c>
      <c r="D536" s="120" t="str">
        <f>VLOOKUP(B536,'Insumos e Serviços'!$A:$F,4,0)</f>
        <v>TOMADA RJ11, 2 FIOS (APENAS MODULO)</v>
      </c>
      <c r="E536" s="122" t="str">
        <f>VLOOKUP(B536,'Insumos e Serviços'!$A:$F,5,0)</f>
        <v>UN</v>
      </c>
      <c r="F536" s="123">
        <v>1</v>
      </c>
      <c r="G536" s="72">
        <f>VLOOKUP(B536,'Insumos e Serviços'!$A:$F,6,0)</f>
        <v>19.5</v>
      </c>
      <c r="H536" s="72">
        <f>TRUNC(F536*G536,2)</f>
        <v>19.5</v>
      </c>
    </row>
    <row r="537" spans="1:8" s="112" customFormat="1" ht="11.25">
      <c r="A537" s="124"/>
      <c r="B537" s="125"/>
      <c r="C537" s="125"/>
      <c r="D537" s="126"/>
      <c r="E537" s="125"/>
      <c r="F537" s="127"/>
      <c r="G537" s="128"/>
      <c r="H537" s="128"/>
    </row>
    <row r="538" spans="1:8" s="112" customFormat="1" ht="11.25">
      <c r="A538" s="62" t="s">
        <v>519</v>
      </c>
      <c r="B538" s="63"/>
      <c r="C538" s="63"/>
      <c r="D538" s="62" t="s">
        <v>520</v>
      </c>
      <c r="E538" s="63"/>
      <c r="F538" s="113"/>
      <c r="G538" s="62"/>
      <c r="H538" s="67"/>
    </row>
    <row r="539" spans="1:8" s="112" customFormat="1" ht="11.25">
      <c r="A539" s="74" t="s">
        <v>521</v>
      </c>
      <c r="B539" s="75"/>
      <c r="C539" s="75"/>
      <c r="D539" s="74" t="s">
        <v>522</v>
      </c>
      <c r="E539" s="75"/>
      <c r="F539" s="129"/>
      <c r="G539" s="74"/>
      <c r="H539" s="78"/>
    </row>
    <row r="540" spans="1:8" s="112" customFormat="1" ht="11.25">
      <c r="A540" s="83" t="s">
        <v>523</v>
      </c>
      <c r="B540" s="84"/>
      <c r="C540" s="84"/>
      <c r="D540" s="83" t="s">
        <v>524</v>
      </c>
      <c r="E540" s="84"/>
      <c r="F540" s="132"/>
      <c r="G540" s="83"/>
      <c r="H540" s="87"/>
    </row>
    <row r="541" spans="1:8" s="112" customFormat="1" ht="11.25">
      <c r="A541" s="114" t="s">
        <v>525</v>
      </c>
      <c r="B541" s="115" t="str">
        <f>VLOOKUP(A541,'Orçamento Sintético'!$A:$H,2,0)</f>
        <v> MPDFT0265 </v>
      </c>
      <c r="C541" s="115" t="str">
        <f>VLOOKUP(A541,'Orçamento Sintético'!$A:$H,3,0)</f>
        <v>Próprio</v>
      </c>
      <c r="D541" s="116" t="str">
        <f>VLOOKUP(A541,'Orçamento Sintético'!$A:$H,4,0)</f>
        <v>Copia da ORSE (698) - Fornecimento e colocação de anilha para identificação</v>
      </c>
      <c r="E541" s="115" t="str">
        <f>VLOOKUP(A541,'Orçamento Sintético'!$A:$H,5,0)</f>
        <v>mil</v>
      </c>
      <c r="F541" s="117"/>
      <c r="G541" s="118"/>
      <c r="H541" s="118">
        <f>SUM(H542:H543)</f>
        <v>117.46</v>
      </c>
    </row>
    <row r="542" spans="1:8" s="112" customFormat="1" ht="11.25">
      <c r="A542" s="120" t="str">
        <f>VLOOKUP(B542,'Insumos e Serviços'!$A:$F,3,0)</f>
        <v>Composição</v>
      </c>
      <c r="B542" s="121" t="s">
        <v>602</v>
      </c>
      <c r="C542" s="122" t="str">
        <f>VLOOKUP(B542,'Insumos e Serviços'!$A:$F,2,0)</f>
        <v>SINAPI</v>
      </c>
      <c r="D542" s="120" t="str">
        <f>VLOOKUP(B542,'Insumos e Serviços'!$A:$F,4,0)</f>
        <v>AUXILIAR DE ELETRICISTA COM ENCARGOS COMPLEMENTARES</v>
      </c>
      <c r="E542" s="122" t="str">
        <f>VLOOKUP(B542,'Insumos e Serviços'!$A:$F,5,0)</f>
        <v>H</v>
      </c>
      <c r="F542" s="123">
        <v>3.3</v>
      </c>
      <c r="G542" s="72">
        <f>VLOOKUP(B542,'Insumos e Serviços'!$A:$F,6,0)</f>
        <v>20.43</v>
      </c>
      <c r="H542" s="72">
        <f>TRUNC(F542*G542,2)</f>
        <v>67.41</v>
      </c>
    </row>
    <row r="543" spans="1:8" s="112" customFormat="1" ht="22.5">
      <c r="A543" s="120" t="str">
        <f>VLOOKUP(B543,'Insumos e Serviços'!$A:$F,3,0)</f>
        <v>Insumo</v>
      </c>
      <c r="B543" s="121" t="s">
        <v>715</v>
      </c>
      <c r="C543" s="122" t="str">
        <f>VLOOKUP(B543,'Insumos e Serviços'!$A:$F,2,0)</f>
        <v>Próprio</v>
      </c>
      <c r="D543" s="120" t="str">
        <f>VLOOKUP(B543,'Insumos e Serviços'!$A:$F,4,0)</f>
        <v>Marcadores tipo anilha aberta com garra em PVC, Ø6mm, fab. Hellerman Tyton 1000 unidades, mod. WIC W3</v>
      </c>
      <c r="E543" s="122" t="str">
        <f>VLOOKUP(B543,'Insumos e Serviços'!$A:$F,5,0)</f>
        <v>cx</v>
      </c>
      <c r="F543" s="123">
        <v>1</v>
      </c>
      <c r="G543" s="72">
        <f>VLOOKUP(B543,'Insumos e Serviços'!$A:$F,6,0)</f>
        <v>50.05</v>
      </c>
      <c r="H543" s="72">
        <f>TRUNC(F543*G543,2)</f>
        <v>50.05</v>
      </c>
    </row>
    <row r="544" spans="1:8" s="112" customFormat="1" ht="11.25">
      <c r="A544" s="124"/>
      <c r="B544" s="125"/>
      <c r="C544" s="125"/>
      <c r="D544" s="126"/>
      <c r="E544" s="125"/>
      <c r="F544" s="127"/>
      <c r="G544" s="128"/>
      <c r="H544" s="128"/>
    </row>
    <row r="545" spans="1:8" s="112" customFormat="1" ht="11.25">
      <c r="A545" s="62" t="s">
        <v>529</v>
      </c>
      <c r="B545" s="63"/>
      <c r="C545" s="63"/>
      <c r="D545" s="62" t="s">
        <v>530</v>
      </c>
      <c r="E545" s="63"/>
      <c r="F545" s="113"/>
      <c r="G545" s="62"/>
      <c r="H545" s="67"/>
    </row>
    <row r="546" spans="1:8" s="112" customFormat="1" ht="11.25">
      <c r="A546" s="74" t="s">
        <v>531</v>
      </c>
      <c r="B546" s="75"/>
      <c r="C546" s="75"/>
      <c r="D546" s="74" t="s">
        <v>532</v>
      </c>
      <c r="E546" s="75"/>
      <c r="F546" s="129"/>
      <c r="G546" s="74"/>
      <c r="H546" s="78"/>
    </row>
    <row r="547" spans="1:8" s="112" customFormat="1" ht="11.25">
      <c r="A547" s="83" t="s">
        <v>533</v>
      </c>
      <c r="B547" s="84"/>
      <c r="C547" s="84"/>
      <c r="D547" s="83" t="s">
        <v>534</v>
      </c>
      <c r="E547" s="84"/>
      <c r="F547" s="132"/>
      <c r="G547" s="83"/>
      <c r="H547" s="87"/>
    </row>
    <row r="548" spans="1:8" s="112" customFormat="1" ht="45">
      <c r="A548" s="114" t="s">
        <v>535</v>
      </c>
      <c r="B548" s="115" t="str">
        <f>VLOOKUP(A548,'Orçamento Sintético'!$A:$H,2,0)</f>
        <v> MPDFT0354 </v>
      </c>
      <c r="C548" s="115" t="str">
        <f>VLOOKUP(A548,'Orçamento Sintético'!$A:$H,3,0)</f>
        <v>Próprio</v>
      </c>
      <c r="D548" s="116" t="str">
        <f>VLOOKUP(A548,'Orçamento Sintético'!$A:$H,4,0)</f>
        <v>Copia da SINAPI (95746) - Eletroduto rígido de 25mm em aço carbono sem costura, parede classe pesada de espessura ≥1,5mm, com revestimento protetor de zinco aplicado a quente, extremidades com rosa BSP. Fabricação Apolo Tubos e Equipamentos</v>
      </c>
      <c r="E548" s="115" t="str">
        <f>VLOOKUP(A548,'Orçamento Sintético'!$A:$H,5,0)</f>
        <v>M</v>
      </c>
      <c r="F548" s="117"/>
      <c r="G548" s="118"/>
      <c r="H548" s="118">
        <f>SUM(H549:H553)</f>
        <v>28.380000000000003</v>
      </c>
    </row>
    <row r="549" spans="1:8" s="112" customFormat="1" ht="11.25">
      <c r="A549" s="120" t="str">
        <f>VLOOKUP(B549,'Insumos e Serviços'!$A:$F,3,0)</f>
        <v>Composição</v>
      </c>
      <c r="B549" s="121" t="s">
        <v>602</v>
      </c>
      <c r="C549" s="122" t="str">
        <f>VLOOKUP(B549,'Insumos e Serviços'!$A:$F,2,0)</f>
        <v>SINAPI</v>
      </c>
      <c r="D549" s="120" t="str">
        <f>VLOOKUP(B549,'Insumos e Serviços'!$A:$F,4,0)</f>
        <v>AUXILIAR DE ELETRICISTA COM ENCARGOS COMPLEMENTARES</v>
      </c>
      <c r="E549" s="122" t="str">
        <f>VLOOKUP(B549,'Insumos e Serviços'!$A:$F,5,0)</f>
        <v>H</v>
      </c>
      <c r="F549" s="123">
        <v>0.1044</v>
      </c>
      <c r="G549" s="72">
        <f>VLOOKUP(B549,'Insumos e Serviços'!$A:$F,6,0)</f>
        <v>20.43</v>
      </c>
      <c r="H549" s="72">
        <f>TRUNC(F549*G549,2)</f>
        <v>2.13</v>
      </c>
    </row>
    <row r="550" spans="1:8" s="112" customFormat="1" ht="11.25">
      <c r="A550" s="120" t="str">
        <f>VLOOKUP(B550,'Insumos e Serviços'!$A:$F,3,0)</f>
        <v>Composição</v>
      </c>
      <c r="B550" s="121" t="s">
        <v>598</v>
      </c>
      <c r="C550" s="122" t="str">
        <f>VLOOKUP(B550,'Insumos e Serviços'!$A:$F,2,0)</f>
        <v>SINAPI</v>
      </c>
      <c r="D550" s="120" t="str">
        <f>VLOOKUP(B550,'Insumos e Serviços'!$A:$F,4,0)</f>
        <v>ELETRICISTA COM ENCARGOS COMPLEMENTARES</v>
      </c>
      <c r="E550" s="122" t="str">
        <f>VLOOKUP(B550,'Insumos e Serviços'!$A:$F,5,0)</f>
        <v>H</v>
      </c>
      <c r="F550" s="123">
        <v>0.1044</v>
      </c>
      <c r="G550" s="72">
        <f>VLOOKUP(B550,'Insumos e Serviços'!$A:$F,6,0)</f>
        <v>26.47</v>
      </c>
      <c r="H550" s="72">
        <f>TRUNC(F550*G550,2)</f>
        <v>2.76</v>
      </c>
    </row>
    <row r="551" spans="1:8" s="112" customFormat="1" ht="33.75">
      <c r="A551" s="120" t="str">
        <f>VLOOKUP(B551,'Insumos e Serviços'!$A:$F,3,0)</f>
        <v>Composição</v>
      </c>
      <c r="B551" s="121" t="s">
        <v>716</v>
      </c>
      <c r="C551" s="122" t="str">
        <f>VLOOKUP(B551,'Insumos e Serviços'!$A:$F,2,0)</f>
        <v>SINAPI</v>
      </c>
      <c r="D551" s="120" t="str">
        <f>VLOOKUP(B551,'Insumos e Serviços'!$A:$F,4,0)</f>
        <v>FIXAÇÃO DE TUBOS HORIZONTAIS DE PVC, CPVC OU COBRE DIÂMETROS MENORES OU IGUAIS A 40 MM OU ELETROCALHAS ATÉ 150MM DE LARGURA, COM ABRAÇADEIRA METÁLICA RÍGIDA TIPO D 1/2, FIXADA EM PERFILADO EM LAJE. AF_05/2015</v>
      </c>
      <c r="E551" s="122" t="str">
        <f>VLOOKUP(B551,'Insumos e Serviços'!$A:$F,5,0)</f>
        <v>M</v>
      </c>
      <c r="F551" s="123">
        <v>1</v>
      </c>
      <c r="G551" s="72">
        <f>VLOOKUP(B551,'Insumos e Serviços'!$A:$F,6,0)</f>
        <v>3.09</v>
      </c>
      <c r="H551" s="72">
        <f>TRUNC(F551*G551,2)</f>
        <v>3.09</v>
      </c>
    </row>
    <row r="552" spans="1:8" s="112" customFormat="1" ht="22.5">
      <c r="A552" s="120" t="str">
        <f>VLOOKUP(B552,'Insumos e Serviços'!$A:$F,3,0)</f>
        <v>Composição</v>
      </c>
      <c r="B552" s="121" t="s">
        <v>717</v>
      </c>
      <c r="C552" s="122" t="str">
        <f>VLOOKUP(B552,'Insumos e Serviços'!$A:$F,2,0)</f>
        <v>SINAPI</v>
      </c>
      <c r="D552" s="120" t="str">
        <f>VLOOKUP(B552,'Insumos e Serviços'!$A:$F,4,0)</f>
        <v>LUVA DE EMENDA PARA ELETRODUTO, AÇO GALVANIZADO, DN 25 MM (1''), APARENTE, INSTALADA EM TETO - FORNECIMENTO E INSTALAÇÃO. AF_11/2016_P</v>
      </c>
      <c r="E552" s="122" t="str">
        <f>VLOOKUP(B552,'Insumos e Serviços'!$A:$F,5,0)</f>
        <v>UN</v>
      </c>
      <c r="F552" s="123">
        <v>0.3333</v>
      </c>
      <c r="G552" s="72">
        <f>VLOOKUP(B552,'Insumos e Serviços'!$A:$F,6,0)</f>
        <v>9.32</v>
      </c>
      <c r="H552" s="72">
        <f>TRUNC(F552*G552,2)</f>
        <v>3.1</v>
      </c>
    </row>
    <row r="553" spans="1:8" s="112" customFormat="1" ht="33.75">
      <c r="A553" s="120" t="str">
        <f>VLOOKUP(B553,'Insumos e Serviços'!$A:$F,3,0)</f>
        <v>Insumo</v>
      </c>
      <c r="B553" s="121" t="s">
        <v>718</v>
      </c>
      <c r="C553" s="122" t="str">
        <f>VLOOKUP(B553,'Insumos e Serviços'!$A:$F,2,0)</f>
        <v>Próprio</v>
      </c>
      <c r="D553" s="120" t="str">
        <f>VLOOKUP(B553,'Insumos e Serviços'!$A:$F,4,0)</f>
        <v>Eletroduto rígido de 25mm em aço carbono sem costura, parede classe pesada de espessura ≥1,5mm, com revestimento protetor de zinco aplicado a quente, extremidades com rosa BSP. Fabricação Apolo Tubos e Equipamentos</v>
      </c>
      <c r="E553" s="122" t="str">
        <f>VLOOKUP(B553,'Insumos e Serviços'!$A:$F,5,0)</f>
        <v>m</v>
      </c>
      <c r="F553" s="123">
        <v>1.05</v>
      </c>
      <c r="G553" s="72">
        <f>VLOOKUP(B553,'Insumos e Serviços'!$A:$F,6,0)</f>
        <v>16.48</v>
      </c>
      <c r="H553" s="72">
        <f>TRUNC(F553*G553,2)</f>
        <v>17.3</v>
      </c>
    </row>
    <row r="554" spans="1:8" s="112" customFormat="1" ht="11.25">
      <c r="A554" s="124"/>
      <c r="B554" s="125"/>
      <c r="C554" s="125"/>
      <c r="D554" s="126"/>
      <c r="E554" s="125"/>
      <c r="F554" s="127"/>
      <c r="G554" s="128"/>
      <c r="H554" s="128"/>
    </row>
    <row r="555" spans="1:8" s="112" customFormat="1" ht="11.25">
      <c r="A555" s="114" t="s">
        <v>538</v>
      </c>
      <c r="B555" s="115" t="str">
        <f>VLOOKUP(A555,'Orçamento Sintético'!$A:$H,2,0)</f>
        <v> MPDFT0373 </v>
      </c>
      <c r="C555" s="115" t="str">
        <f>VLOOKUP(A555,'Orçamento Sintético'!$A:$H,3,0)</f>
        <v>Próprio</v>
      </c>
      <c r="D555" s="116" t="str">
        <f>VLOOKUP(A555,'Orçamento Sintético'!$A:$H,4,0)</f>
        <v>Copia da SBC (063756) - Saída horizontal para eletroduto Ø 3/4"</v>
      </c>
      <c r="E555" s="115" t="str">
        <f>VLOOKUP(A555,'Orçamento Sintético'!$A:$H,5,0)</f>
        <v>un</v>
      </c>
      <c r="F555" s="117"/>
      <c r="G555" s="118"/>
      <c r="H555" s="118">
        <f>SUM(H556:H558)</f>
        <v>10.600000000000001</v>
      </c>
    </row>
    <row r="556" spans="1:8" s="112" customFormat="1" ht="11.25">
      <c r="A556" s="120" t="str">
        <f>VLOOKUP(B556,'Insumos e Serviços'!$A:$F,3,0)</f>
        <v>Composição</v>
      </c>
      <c r="B556" s="121" t="s">
        <v>598</v>
      </c>
      <c r="C556" s="122" t="str">
        <f>VLOOKUP(B556,'Insumos e Serviços'!$A:$F,2,0)</f>
        <v>SINAPI</v>
      </c>
      <c r="D556" s="120" t="str">
        <f>VLOOKUP(B556,'Insumos e Serviços'!$A:$F,4,0)</f>
        <v>ELETRICISTA COM ENCARGOS COMPLEMENTARES</v>
      </c>
      <c r="E556" s="122" t="str">
        <f>VLOOKUP(B556,'Insumos e Serviços'!$A:$F,5,0)</f>
        <v>H</v>
      </c>
      <c r="F556" s="123">
        <v>0.156</v>
      </c>
      <c r="G556" s="72">
        <f>VLOOKUP(B556,'Insumos e Serviços'!$A:$F,6,0)</f>
        <v>26.47</v>
      </c>
      <c r="H556" s="72">
        <f>TRUNC(F556*G556,2)</f>
        <v>4.12</v>
      </c>
    </row>
    <row r="557" spans="1:8" s="112" customFormat="1" ht="11.25">
      <c r="A557" s="120" t="str">
        <f>VLOOKUP(B557,'Insumos e Serviços'!$A:$F,3,0)</f>
        <v>Composição</v>
      </c>
      <c r="B557" s="121" t="s">
        <v>602</v>
      </c>
      <c r="C557" s="122" t="str">
        <f>VLOOKUP(B557,'Insumos e Serviços'!$A:$F,2,0)</f>
        <v>SINAPI</v>
      </c>
      <c r="D557" s="120" t="str">
        <f>VLOOKUP(B557,'Insumos e Serviços'!$A:$F,4,0)</f>
        <v>AUXILIAR DE ELETRICISTA COM ENCARGOS COMPLEMENTARES</v>
      </c>
      <c r="E557" s="122" t="str">
        <f>VLOOKUP(B557,'Insumos e Serviços'!$A:$F,5,0)</f>
        <v>H</v>
      </c>
      <c r="F557" s="123">
        <v>0.156</v>
      </c>
      <c r="G557" s="72">
        <f>VLOOKUP(B557,'Insumos e Serviços'!$A:$F,6,0)</f>
        <v>20.43</v>
      </c>
      <c r="H557" s="72">
        <f>TRUNC(F557*G557,2)</f>
        <v>3.18</v>
      </c>
    </row>
    <row r="558" spans="1:8" s="112" customFormat="1" ht="11.25">
      <c r="A558" s="120" t="str">
        <f>VLOOKUP(B558,'Insumos e Serviços'!$A:$F,3,0)</f>
        <v>Insumo</v>
      </c>
      <c r="B558" s="121" t="s">
        <v>719</v>
      </c>
      <c r="C558" s="122" t="str">
        <f>VLOOKUP(B558,'Insumos e Serviços'!$A:$F,2,0)</f>
        <v>Próprio</v>
      </c>
      <c r="D558" s="120" t="str">
        <f>VLOOKUP(B558,'Insumos e Serviços'!$A:$F,4,0)</f>
        <v>Saída horizontal para eletroduto Ø 3/4"</v>
      </c>
      <c r="E558" s="122" t="str">
        <f>VLOOKUP(B558,'Insumos e Serviços'!$A:$F,5,0)</f>
        <v>un</v>
      </c>
      <c r="F558" s="123">
        <v>1</v>
      </c>
      <c r="G558" s="72">
        <f>VLOOKUP(B558,'Insumos e Serviços'!$A:$F,6,0)</f>
        <v>3.3</v>
      </c>
      <c r="H558" s="72">
        <f>TRUNC(F558*G558,2)</f>
        <v>3.3</v>
      </c>
    </row>
    <row r="559" spans="1:8" s="112" customFormat="1" ht="11.25">
      <c r="A559" s="124"/>
      <c r="B559" s="125"/>
      <c r="C559" s="125"/>
      <c r="D559" s="126"/>
      <c r="E559" s="125"/>
      <c r="F559" s="127"/>
      <c r="G559" s="128"/>
      <c r="H559" s="128"/>
    </row>
    <row r="560" spans="1:8" s="112" customFormat="1" ht="11.25">
      <c r="A560" s="83" t="s">
        <v>541</v>
      </c>
      <c r="B560" s="84"/>
      <c r="C560" s="84"/>
      <c r="D560" s="83" t="s">
        <v>542</v>
      </c>
      <c r="E560" s="84"/>
      <c r="F560" s="132"/>
      <c r="G560" s="83"/>
      <c r="H560" s="87"/>
    </row>
    <row r="561" spans="1:8" s="112" customFormat="1" ht="11.25">
      <c r="A561" s="114" t="s">
        <v>545</v>
      </c>
      <c r="B561" s="115" t="str">
        <f>VLOOKUP(A561,'Orçamento Sintético'!$A:$H,2,0)</f>
        <v> MPDFT1693 </v>
      </c>
      <c r="C561" s="115" t="str">
        <f>VLOOKUP(A561,'Orçamento Sintético'!$A:$H,3,0)</f>
        <v>Próprio</v>
      </c>
      <c r="D561" s="116" t="str">
        <f>VLOOKUP(A561,'Orçamento Sintético'!$A:$H,4,0)</f>
        <v>Copia da SBC (062616) - TAMPA EM ALUMINIO CONDULETE 3/4"", UM POSTO</v>
      </c>
      <c r="E561" s="115" t="str">
        <f>VLOOKUP(A561,'Orçamento Sintético'!$A:$H,5,0)</f>
        <v>UN</v>
      </c>
      <c r="F561" s="117"/>
      <c r="G561" s="118"/>
      <c r="H561" s="118">
        <f>SUM(H562:H564)</f>
        <v>7.21</v>
      </c>
    </row>
    <row r="562" spans="1:8" s="112" customFormat="1" ht="11.25">
      <c r="A562" s="120" t="str">
        <f>VLOOKUP(B562,'Insumos e Serviços'!$A:$F,3,0)</f>
        <v>Composição</v>
      </c>
      <c r="B562" s="121" t="s">
        <v>598</v>
      </c>
      <c r="C562" s="122" t="str">
        <f>VLOOKUP(B562,'Insumos e Serviços'!$A:$F,2,0)</f>
        <v>SINAPI</v>
      </c>
      <c r="D562" s="120" t="str">
        <f>VLOOKUP(B562,'Insumos e Serviços'!$A:$F,4,0)</f>
        <v>ELETRICISTA COM ENCARGOS COMPLEMENTARES</v>
      </c>
      <c r="E562" s="122" t="str">
        <f>VLOOKUP(B562,'Insumos e Serviços'!$A:$F,5,0)</f>
        <v>H</v>
      </c>
      <c r="F562" s="123">
        <v>0.107</v>
      </c>
      <c r="G562" s="72">
        <f>VLOOKUP(B562,'Insumos e Serviços'!$A:$F,6,0)</f>
        <v>26.47</v>
      </c>
      <c r="H562" s="72">
        <f>TRUNC(F562*G562,2)</f>
        <v>2.83</v>
      </c>
    </row>
    <row r="563" spans="1:8" s="112" customFormat="1" ht="11.25">
      <c r="A563" s="120" t="str">
        <f>VLOOKUP(B563,'Insumos e Serviços'!$A:$F,3,0)</f>
        <v>Composição</v>
      </c>
      <c r="B563" s="121" t="s">
        <v>602</v>
      </c>
      <c r="C563" s="122" t="str">
        <f>VLOOKUP(B563,'Insumos e Serviços'!$A:$F,2,0)</f>
        <v>SINAPI</v>
      </c>
      <c r="D563" s="120" t="str">
        <f>VLOOKUP(B563,'Insumos e Serviços'!$A:$F,4,0)</f>
        <v>AUXILIAR DE ELETRICISTA COM ENCARGOS COMPLEMENTARES</v>
      </c>
      <c r="E563" s="122" t="str">
        <f>VLOOKUP(B563,'Insumos e Serviços'!$A:$F,5,0)</f>
        <v>H</v>
      </c>
      <c r="F563" s="123">
        <v>0.107</v>
      </c>
      <c r="G563" s="72">
        <f>VLOOKUP(B563,'Insumos e Serviços'!$A:$F,6,0)</f>
        <v>20.43</v>
      </c>
      <c r="H563" s="72">
        <f>TRUNC(F563*G563,2)</f>
        <v>2.18</v>
      </c>
    </row>
    <row r="564" spans="1:8" s="112" customFormat="1" ht="11.25">
      <c r="A564" s="120" t="str">
        <f>VLOOKUP(B564,'Insumos e Serviços'!$A:$F,3,0)</f>
        <v>Insumo</v>
      </c>
      <c r="B564" s="121" t="s">
        <v>720</v>
      </c>
      <c r="C564" s="122" t="str">
        <f>VLOOKUP(B564,'Insumos e Serviços'!$A:$F,2,0)</f>
        <v>Próprio</v>
      </c>
      <c r="D564" s="120" t="str">
        <f>VLOOKUP(B564,'Insumos e Serviços'!$A:$F,4,0)</f>
        <v>TAMPA DE ALUMÍNIO COM 1 POSTO PARA INTERRUPTOR/TOMADA</v>
      </c>
      <c r="E564" s="122" t="str">
        <f>VLOOKUP(B564,'Insumos e Serviços'!$A:$F,5,0)</f>
        <v>un</v>
      </c>
      <c r="F564" s="123">
        <v>1</v>
      </c>
      <c r="G564" s="72">
        <f>VLOOKUP(B564,'Insumos e Serviços'!$A:$F,6,0)</f>
        <v>2.2</v>
      </c>
      <c r="H564" s="72">
        <f>TRUNC(F564*G564,2)</f>
        <v>2.2</v>
      </c>
    </row>
    <row r="565" spans="1:8" s="112" customFormat="1" ht="11.25">
      <c r="A565" s="124"/>
      <c r="B565" s="125"/>
      <c r="C565" s="125"/>
      <c r="D565" s="126"/>
      <c r="E565" s="125"/>
      <c r="F565" s="127"/>
      <c r="G565" s="128"/>
      <c r="H565" s="128"/>
    </row>
    <row r="566" spans="1:8" s="112" customFormat="1" ht="22.5">
      <c r="A566" s="114" t="s">
        <v>548</v>
      </c>
      <c r="B566" s="115" t="str">
        <f>VLOOKUP(A566,'Orçamento Sintético'!$A:$H,2,0)</f>
        <v> MPDFT1702 </v>
      </c>
      <c r="C566" s="115" t="str">
        <f>VLOOKUP(A566,'Orçamento Sintético'!$A:$H,3,0)</f>
        <v>Próprio</v>
      </c>
      <c r="D566" s="116" t="str">
        <f>VLOOKUP(A566,'Orçamento Sintético'!$A:$H,4,0)</f>
        <v>Copia da SBC (062617) - TAMPA EM ALUMINIO PARA CONDULETE, COM 2 POSTOS PARA RJ45 ou RJ11</v>
      </c>
      <c r="E566" s="115" t="str">
        <f>VLOOKUP(A566,'Orçamento Sintético'!$A:$H,5,0)</f>
        <v>UN</v>
      </c>
      <c r="F566" s="117"/>
      <c r="G566" s="118"/>
      <c r="H566" s="118">
        <f>SUM(H567:H569)</f>
        <v>14.89</v>
      </c>
    </row>
    <row r="567" spans="1:8" s="112" customFormat="1" ht="11.25">
      <c r="A567" s="120" t="str">
        <f>VLOOKUP(B567,'Insumos e Serviços'!$A:$F,3,0)</f>
        <v>Composição</v>
      </c>
      <c r="B567" s="121" t="s">
        <v>598</v>
      </c>
      <c r="C567" s="122" t="str">
        <f>VLOOKUP(B567,'Insumos e Serviços'!$A:$F,2,0)</f>
        <v>SINAPI</v>
      </c>
      <c r="D567" s="120" t="str">
        <f>VLOOKUP(B567,'Insumos e Serviços'!$A:$F,4,0)</f>
        <v>ELETRICISTA COM ENCARGOS COMPLEMENTARES</v>
      </c>
      <c r="E567" s="122" t="str">
        <f>VLOOKUP(B567,'Insumos e Serviços'!$A:$F,5,0)</f>
        <v>H</v>
      </c>
      <c r="F567" s="123">
        <v>0.107</v>
      </c>
      <c r="G567" s="72">
        <f>VLOOKUP(B567,'Insumos e Serviços'!$A:$F,6,0)</f>
        <v>26.47</v>
      </c>
      <c r="H567" s="72">
        <f>TRUNC(F567*G567,2)</f>
        <v>2.83</v>
      </c>
    </row>
    <row r="568" spans="1:8" s="112" customFormat="1" ht="11.25">
      <c r="A568" s="120" t="str">
        <f>VLOOKUP(B568,'Insumos e Serviços'!$A:$F,3,0)</f>
        <v>Composição</v>
      </c>
      <c r="B568" s="121" t="s">
        <v>602</v>
      </c>
      <c r="C568" s="122" t="str">
        <f>VLOOKUP(B568,'Insumos e Serviços'!$A:$F,2,0)</f>
        <v>SINAPI</v>
      </c>
      <c r="D568" s="120" t="str">
        <f>VLOOKUP(B568,'Insumos e Serviços'!$A:$F,4,0)</f>
        <v>AUXILIAR DE ELETRICISTA COM ENCARGOS COMPLEMENTARES</v>
      </c>
      <c r="E568" s="122" t="str">
        <f>VLOOKUP(B568,'Insumos e Serviços'!$A:$F,5,0)</f>
        <v>H</v>
      </c>
      <c r="F568" s="123">
        <v>0.107</v>
      </c>
      <c r="G568" s="72">
        <f>VLOOKUP(B568,'Insumos e Serviços'!$A:$F,6,0)</f>
        <v>20.43</v>
      </c>
      <c r="H568" s="72">
        <f>TRUNC(F568*G568,2)</f>
        <v>2.18</v>
      </c>
    </row>
    <row r="569" spans="1:8" s="112" customFormat="1" ht="11.25">
      <c r="A569" s="120" t="str">
        <f>VLOOKUP(B569,'Insumos e Serviços'!$A:$F,3,0)</f>
        <v>Insumo</v>
      </c>
      <c r="B569" s="121" t="s">
        <v>721</v>
      </c>
      <c r="C569" s="122" t="str">
        <f>VLOOKUP(B569,'Insumos e Serviços'!$A:$F,2,0)</f>
        <v>Próprio</v>
      </c>
      <c r="D569" s="120" t="str">
        <f>VLOOKUP(B569,'Insumos e Serviços'!$A:$F,4,0)</f>
        <v>TAMPA PARA CONDULETE, EM ALUMÍNIO, COM 2 POSTOS PARA RJ45 ou RJ11</v>
      </c>
      <c r="E569" s="122" t="str">
        <f>VLOOKUP(B569,'Insumos e Serviços'!$A:$F,5,0)</f>
        <v>un</v>
      </c>
      <c r="F569" s="123">
        <v>1</v>
      </c>
      <c r="G569" s="72">
        <f>VLOOKUP(B569,'Insumos e Serviços'!$A:$F,6,0)</f>
        <v>9.88</v>
      </c>
      <c r="H569" s="72">
        <f>TRUNC(F569*G569,2)</f>
        <v>9.88</v>
      </c>
    </row>
    <row r="570" spans="1:8" s="112" customFormat="1" ht="11.25">
      <c r="A570" s="124"/>
      <c r="B570" s="125"/>
      <c r="C570" s="125"/>
      <c r="D570" s="126"/>
      <c r="E570" s="125"/>
      <c r="F570" s="127"/>
      <c r="G570" s="128"/>
      <c r="H570" s="128"/>
    </row>
    <row r="571" spans="1:8" s="112" customFormat="1" ht="11.25">
      <c r="A571" s="74" t="s">
        <v>551</v>
      </c>
      <c r="B571" s="75"/>
      <c r="C571" s="75"/>
      <c r="D571" s="74" t="s">
        <v>552</v>
      </c>
      <c r="E571" s="75"/>
      <c r="F571" s="129"/>
      <c r="G571" s="74"/>
      <c r="H571" s="78"/>
    </row>
    <row r="572" spans="1:8" s="112" customFormat="1" ht="33.75">
      <c r="A572" s="114" t="s">
        <v>553</v>
      </c>
      <c r="B572" s="115" t="str">
        <f>VLOOKUP(A572,'Orçamento Sintético'!$A:$H,2,0)</f>
        <v> MPDFT0281 </v>
      </c>
      <c r="C572" s="115" t="str">
        <f>VLOOKUP(A572,'Orçamento Sintético'!$A:$H,3,0)</f>
        <v>Próprio</v>
      </c>
      <c r="D572" s="116" t="str">
        <f>VLOOKUP(A572,'Orçamento Sintético'!$A:$H,4,0)</f>
        <v>Copia da SETOP (ELE-CAL-045) - Eletrocalha perfurada, chapa mínima de 20, tipo "C", 100x50mm, incluindo divisores perfurados perfil "L", conexões e fixações, fab. Mopa</v>
      </c>
      <c r="E572" s="115" t="str">
        <f>VLOOKUP(A572,'Orçamento Sintético'!$A:$H,5,0)</f>
        <v>m</v>
      </c>
      <c r="F572" s="117"/>
      <c r="G572" s="118"/>
      <c r="H572" s="118">
        <f>SUM(H573:H576)</f>
        <v>81.3</v>
      </c>
    </row>
    <row r="573" spans="1:8" s="112" customFormat="1" ht="11.25">
      <c r="A573" s="120" t="str">
        <f>VLOOKUP(B573,'Insumos e Serviços'!$A:$F,3,0)</f>
        <v>Composição</v>
      </c>
      <c r="B573" s="121" t="s">
        <v>598</v>
      </c>
      <c r="C573" s="122" t="str">
        <f>VLOOKUP(B573,'Insumos e Serviços'!$A:$F,2,0)</f>
        <v>SINAPI</v>
      </c>
      <c r="D573" s="120" t="str">
        <f>VLOOKUP(B573,'Insumos e Serviços'!$A:$F,4,0)</f>
        <v>ELETRICISTA COM ENCARGOS COMPLEMENTARES</v>
      </c>
      <c r="E573" s="122" t="str">
        <f>VLOOKUP(B573,'Insumos e Serviços'!$A:$F,5,0)</f>
        <v>H</v>
      </c>
      <c r="F573" s="123">
        <v>1</v>
      </c>
      <c r="G573" s="72">
        <f>VLOOKUP(B573,'Insumos e Serviços'!$A:$F,6,0)</f>
        <v>26.47</v>
      </c>
      <c r="H573" s="72">
        <f>TRUNC(F573*G573,2)</f>
        <v>26.47</v>
      </c>
    </row>
    <row r="574" spans="1:8" s="112" customFormat="1" ht="11.25">
      <c r="A574" s="120" t="str">
        <f>VLOOKUP(B574,'Insumos e Serviços'!$A:$F,3,0)</f>
        <v>Composição</v>
      </c>
      <c r="B574" s="121" t="s">
        <v>602</v>
      </c>
      <c r="C574" s="122" t="str">
        <f>VLOOKUP(B574,'Insumos e Serviços'!$A:$F,2,0)</f>
        <v>SINAPI</v>
      </c>
      <c r="D574" s="120" t="str">
        <f>VLOOKUP(B574,'Insumos e Serviços'!$A:$F,4,0)</f>
        <v>AUXILIAR DE ELETRICISTA COM ENCARGOS COMPLEMENTARES</v>
      </c>
      <c r="E574" s="122" t="str">
        <f>VLOOKUP(B574,'Insumos e Serviços'!$A:$F,5,0)</f>
        <v>H</v>
      </c>
      <c r="F574" s="123">
        <v>1</v>
      </c>
      <c r="G574" s="72">
        <f>VLOOKUP(B574,'Insumos e Serviços'!$A:$F,6,0)</f>
        <v>20.43</v>
      </c>
      <c r="H574" s="72">
        <f>TRUNC(F574*G574,2)</f>
        <v>20.43</v>
      </c>
    </row>
    <row r="575" spans="1:8" s="112" customFormat="1" ht="33.75">
      <c r="A575" s="120" t="str">
        <f>VLOOKUP(B575,'Insumos e Serviços'!$A:$F,3,0)</f>
        <v>Composição</v>
      </c>
      <c r="B575" s="121" t="s">
        <v>716</v>
      </c>
      <c r="C575" s="122" t="str">
        <f>VLOOKUP(B575,'Insumos e Serviços'!$A:$F,2,0)</f>
        <v>SINAPI</v>
      </c>
      <c r="D575" s="120" t="str">
        <f>VLOOKUP(B575,'Insumos e Serviços'!$A:$F,4,0)</f>
        <v>FIXAÇÃO DE TUBOS HORIZONTAIS DE PVC, CPVC OU COBRE DIÂMETROS MENORES OU IGUAIS A 40 MM OU ELETROCALHAS ATÉ 150MM DE LARGURA, COM ABRAÇADEIRA METÁLICA RÍGIDA TIPO D 1/2, FIXADA EM PERFILADO EM LAJE. AF_05/2015</v>
      </c>
      <c r="E575" s="122" t="str">
        <f>VLOOKUP(B575,'Insumos e Serviços'!$A:$F,5,0)</f>
        <v>M</v>
      </c>
      <c r="F575" s="123">
        <v>1</v>
      </c>
      <c r="G575" s="72">
        <f>VLOOKUP(B575,'Insumos e Serviços'!$A:$F,6,0)</f>
        <v>3.09</v>
      </c>
      <c r="H575" s="72">
        <f>TRUNC(F575*G575,2)</f>
        <v>3.09</v>
      </c>
    </row>
    <row r="576" spans="1:8" s="112" customFormat="1" ht="11.25">
      <c r="A576" s="120" t="str">
        <f>VLOOKUP(B576,'Insumos e Serviços'!$A:$F,3,0)</f>
        <v>Insumo</v>
      </c>
      <c r="B576" s="121" t="s">
        <v>722</v>
      </c>
      <c r="C576" s="122" t="str">
        <f>VLOOKUP(B576,'Insumos e Serviços'!$A:$F,2,0)</f>
        <v>Próprio</v>
      </c>
      <c r="D576" s="120" t="str">
        <f>VLOOKUP(B576,'Insumos e Serviços'!$A:$F,4,0)</f>
        <v>Eletrocalha perfurada, chapa mínima de 20, tipo "C", 100x50mm, fab. Mopa</v>
      </c>
      <c r="E576" s="122" t="str">
        <f>VLOOKUP(B576,'Insumos e Serviços'!$A:$F,5,0)</f>
        <v>m</v>
      </c>
      <c r="F576" s="123">
        <v>1.25</v>
      </c>
      <c r="G576" s="72">
        <f>VLOOKUP(B576,'Insumos e Serviços'!$A:$F,6,0)</f>
        <v>25.05</v>
      </c>
      <c r="H576" s="72">
        <f>TRUNC(F576*G576,2)</f>
        <v>31.31</v>
      </c>
    </row>
    <row r="577" spans="1:8" s="112" customFormat="1" ht="11.25">
      <c r="A577" s="124"/>
      <c r="B577" s="125"/>
      <c r="C577" s="125"/>
      <c r="D577" s="126"/>
      <c r="E577" s="125"/>
      <c r="F577" s="127"/>
      <c r="G577" s="128"/>
      <c r="H577" s="128"/>
    </row>
    <row r="578" spans="1:8" s="112" customFormat="1" ht="11.25">
      <c r="A578" s="62" t="s">
        <v>556</v>
      </c>
      <c r="B578" s="63"/>
      <c r="C578" s="63"/>
      <c r="D578" s="62" t="s">
        <v>457</v>
      </c>
      <c r="E578" s="63"/>
      <c r="F578" s="113"/>
      <c r="G578" s="62"/>
      <c r="H578" s="67"/>
    </row>
    <row r="579" spans="1:8" s="112" customFormat="1" ht="11.25">
      <c r="A579" s="114" t="s">
        <v>557</v>
      </c>
      <c r="B579" s="115" t="str">
        <f>VLOOKUP(A579,'Orçamento Sintético'!$A:$H,2,0)</f>
        <v> MPDFT0435 </v>
      </c>
      <c r="C579" s="115" t="str">
        <f>VLOOKUP(A579,'Orçamento Sintético'!$A:$H,3,0)</f>
        <v>Próprio</v>
      </c>
      <c r="D579" s="116" t="str">
        <f>VLOOKUP(A579,'Orçamento Sintético'!$A:$H,4,0)</f>
        <v>Identificação, teste e certificação de pontos de rede lógica, emissão de relatório</v>
      </c>
      <c r="E579" s="115" t="str">
        <f>VLOOKUP(A579,'Orçamento Sintético'!$A:$H,5,0)</f>
        <v>un</v>
      </c>
      <c r="F579" s="117"/>
      <c r="G579" s="118"/>
      <c r="H579" s="118">
        <f>SUM(H580)</f>
        <v>14.63</v>
      </c>
    </row>
    <row r="580" spans="1:8" s="112" customFormat="1" ht="11.25">
      <c r="A580" s="120" t="str">
        <f>VLOOKUP(B580,'Insumos e Serviços'!$A:$F,3,0)</f>
        <v>Insumo</v>
      </c>
      <c r="B580" s="121" t="s">
        <v>723</v>
      </c>
      <c r="C580" s="122" t="str">
        <f>VLOOKUP(B580,'Insumos e Serviços'!$A:$F,2,0)</f>
        <v>Próprio</v>
      </c>
      <c r="D580" s="120" t="str">
        <f>VLOOKUP(B580,'Insumos e Serviços'!$A:$F,4,0)</f>
        <v>Identificação, teste e certificação de pontos de rede lógica, emissão de relatório</v>
      </c>
      <c r="E580" s="122" t="str">
        <f>VLOOKUP(B580,'Insumos e Serviços'!$A:$F,5,0)</f>
        <v>un</v>
      </c>
      <c r="F580" s="123">
        <v>1</v>
      </c>
      <c r="G580" s="72">
        <f>VLOOKUP(B580,'Insumos e Serviços'!$A:$F,6,0)</f>
        <v>14.63</v>
      </c>
      <c r="H580" s="72">
        <f>TRUNC(F580*G580,2)</f>
        <v>14.63</v>
      </c>
    </row>
    <row r="581" spans="1:8" s="112" customFormat="1" ht="11.25">
      <c r="A581" s="124"/>
      <c r="B581" s="125"/>
      <c r="C581" s="125"/>
      <c r="D581" s="126"/>
      <c r="E581" s="125"/>
      <c r="F581" s="127"/>
      <c r="G581" s="128"/>
      <c r="H581" s="128"/>
    </row>
    <row r="582" spans="1:8" s="112" customFormat="1" ht="11.25">
      <c r="A582" s="107" t="s">
        <v>1277</v>
      </c>
      <c r="B582" s="108"/>
      <c r="C582" s="108"/>
      <c r="D582" s="130" t="s">
        <v>560</v>
      </c>
      <c r="E582" s="108"/>
      <c r="F582" s="131"/>
      <c r="G582" s="110"/>
      <c r="H582" s="111"/>
    </row>
    <row r="583" spans="1:8" s="112" customFormat="1" ht="11.25">
      <c r="A583" s="62" t="s">
        <v>561</v>
      </c>
      <c r="B583" s="63"/>
      <c r="C583" s="63"/>
      <c r="D583" s="62" t="s">
        <v>562</v>
      </c>
      <c r="E583" s="63"/>
      <c r="F583" s="113"/>
      <c r="G583" s="62"/>
      <c r="H583" s="67"/>
    </row>
    <row r="584" spans="1:8" s="112" customFormat="1" ht="11.25">
      <c r="A584" s="74" t="s">
        <v>563</v>
      </c>
      <c r="B584" s="75"/>
      <c r="C584" s="75"/>
      <c r="D584" s="74" t="s">
        <v>564</v>
      </c>
      <c r="E584" s="75"/>
      <c r="F584" s="129"/>
      <c r="G584" s="74"/>
      <c r="H584" s="78"/>
    </row>
    <row r="585" spans="1:8" s="112" customFormat="1" ht="22.5">
      <c r="A585" s="114" t="s">
        <v>565</v>
      </c>
      <c r="B585" s="115" t="str">
        <f>VLOOKUP(A585,'Orçamento Sintético'!$A:$H,2,0)</f>
        <v> MPDFT1694 </v>
      </c>
      <c r="C585" s="115" t="str">
        <f>VLOOKUP(A585,'Orçamento Sintético'!$A:$H,3,0)</f>
        <v>Próprio</v>
      </c>
      <c r="D585" s="116" t="str">
        <f>VLOOKUP(A585,'Orçamento Sintético'!$A:$H,4,0)</f>
        <v>Copia da SINAPI (103250) - INSTALAÇÃO DE AR CONDICIONADO SPLIT INVERTER, HI-WALL (PAREDE), 18000 BTU/H, CICLO FRIO - SOMENTE INSTALAÇÃO.</v>
      </c>
      <c r="E585" s="115" t="str">
        <f>VLOOKUP(A585,'Orçamento Sintético'!$A:$H,5,0)</f>
        <v>UN</v>
      </c>
      <c r="F585" s="117"/>
      <c r="G585" s="118"/>
      <c r="H585" s="118">
        <f>SUM(H586:H592)</f>
        <v>220.62999999999997</v>
      </c>
    </row>
    <row r="586" spans="1:8" s="112" customFormat="1" ht="11.25">
      <c r="A586" s="120" t="str">
        <f>VLOOKUP(B586,'Insumos e Serviços'!$A:$F,3,0)</f>
        <v>Composição</v>
      </c>
      <c r="B586" s="121" t="s">
        <v>593</v>
      </c>
      <c r="C586" s="122" t="str">
        <f>VLOOKUP(B586,'Insumos e Serviços'!$A:$F,2,0)</f>
        <v>SINAPI</v>
      </c>
      <c r="D586" s="120" t="str">
        <f>VLOOKUP(B586,'Insumos e Serviços'!$A:$F,4,0)</f>
        <v>AJUDANTE ESPECIALIZADO COM ENCARGOS COMPLEMENTARES</v>
      </c>
      <c r="E586" s="122" t="str">
        <f>VLOOKUP(B586,'Insumos e Serviços'!$A:$F,5,0)</f>
        <v>H</v>
      </c>
      <c r="F586" s="123">
        <v>2.523</v>
      </c>
      <c r="G586" s="72">
        <f>VLOOKUP(B586,'Insumos e Serviços'!$A:$F,6,0)</f>
        <v>20.5</v>
      </c>
      <c r="H586" s="72">
        <f aca="true" t="shared" si="18" ref="H586:H592">TRUNC(F586*G586,2)</f>
        <v>51.72</v>
      </c>
    </row>
    <row r="587" spans="1:8" s="112" customFormat="1" ht="11.25">
      <c r="A587" s="120" t="str">
        <f>VLOOKUP(B587,'Insumos e Serviços'!$A:$F,3,0)</f>
        <v>Composição</v>
      </c>
      <c r="B587" s="121" t="s">
        <v>724</v>
      </c>
      <c r="C587" s="122" t="str">
        <f>VLOOKUP(B587,'Insumos e Serviços'!$A:$F,2,0)</f>
        <v>SINAPI</v>
      </c>
      <c r="D587" s="120" t="str">
        <f>VLOOKUP(B587,'Insumos e Serviços'!$A:$F,4,0)</f>
        <v>MECÂNICO DE REFRIGERAÇÃO COM ENCARGOS COMPLEMENTARES</v>
      </c>
      <c r="E587" s="122" t="str">
        <f>VLOOKUP(B587,'Insumos e Serviços'!$A:$F,5,0)</f>
        <v>H</v>
      </c>
      <c r="F587" s="123">
        <v>2.523</v>
      </c>
      <c r="G587" s="72">
        <f>VLOOKUP(B587,'Insumos e Serviços'!$A:$F,6,0)</f>
        <v>27.65</v>
      </c>
      <c r="H587" s="72">
        <f t="shared" si="18"/>
        <v>69.76</v>
      </c>
    </row>
    <row r="588" spans="1:8" s="112" customFormat="1" ht="22.5">
      <c r="A588" s="120" t="str">
        <f>VLOOKUP(B588,'Insumos e Serviços'!$A:$F,3,0)</f>
        <v>Insumo</v>
      </c>
      <c r="B588" s="121" t="s">
        <v>725</v>
      </c>
      <c r="C588" s="122" t="str">
        <f>VLOOKUP(B588,'Insumos e Serviços'!$A:$F,2,0)</f>
        <v>SINAPI</v>
      </c>
      <c r="D588" s="120" t="str">
        <f>VLOOKUP(B588,'Insumos e Serviços'!$A:$F,4,0)</f>
        <v>TERMINAL A COMPRESSAO EM COBRE ESTANHADO PARA CABO 2,5 MM2, 1 FURO E 1 COMPRESSAO, PARA PARAFUSO DE FIXACAO M5</v>
      </c>
      <c r="E588" s="122" t="str">
        <f>VLOOKUP(B588,'Insumos e Serviços'!$A:$F,5,0)</f>
        <v>UN</v>
      </c>
      <c r="F588" s="123">
        <v>10</v>
      </c>
      <c r="G588" s="72">
        <f>VLOOKUP(B588,'Insumos e Serviços'!$A:$F,6,0)</f>
        <v>0.83</v>
      </c>
      <c r="H588" s="72">
        <f t="shared" si="18"/>
        <v>8.3</v>
      </c>
    </row>
    <row r="589" spans="1:8" s="112" customFormat="1" ht="22.5">
      <c r="A589" s="120" t="str">
        <f>VLOOKUP(B589,'Insumos e Serviços'!$A:$F,3,0)</f>
        <v>Insumo</v>
      </c>
      <c r="B589" s="121" t="s">
        <v>726</v>
      </c>
      <c r="C589" s="122" t="str">
        <f>VLOOKUP(B589,'Insumos e Serviços'!$A:$F,2,0)</f>
        <v>SINAPI</v>
      </c>
      <c r="D589" s="120" t="str">
        <f>VLOOKUP(B589,'Insumos e Serviços'!$A:$F,4,0)</f>
        <v>BUCHA DE NYLON SEM ABA S10, COM PARAFUSO DE 6,10 X 65 MM EM ACO ZINCADO COM ROSCA SOBERBA, CABECA CHATA E FENDA PHILLIPS</v>
      </c>
      <c r="E589" s="122" t="str">
        <f>VLOOKUP(B589,'Insumos e Serviços'!$A:$F,5,0)</f>
        <v>UN</v>
      </c>
      <c r="F589" s="123">
        <v>9</v>
      </c>
      <c r="G589" s="72">
        <f>VLOOKUP(B589,'Insumos e Serviços'!$A:$F,6,0)</f>
        <v>1.29</v>
      </c>
      <c r="H589" s="72">
        <f t="shared" si="18"/>
        <v>11.61</v>
      </c>
    </row>
    <row r="590" spans="1:8" s="112" customFormat="1" ht="11.25">
      <c r="A590" s="120" t="str">
        <f>VLOOKUP(B590,'Insumos e Serviços'!$A:$F,3,0)</f>
        <v>Insumo</v>
      </c>
      <c r="B590" s="121" t="s">
        <v>727</v>
      </c>
      <c r="C590" s="122" t="str">
        <f>VLOOKUP(B590,'Insumos e Serviços'!$A:$F,2,0)</f>
        <v>SINAPI</v>
      </c>
      <c r="D590" s="120" t="str">
        <f>VLOOKUP(B590,'Insumos e Serviços'!$A:$F,4,0)</f>
        <v>CHUMBADOR, DIAMETRO 1/4" COM PARAFUSO 1/4" X 40 MM</v>
      </c>
      <c r="E590" s="122" t="str">
        <f>VLOOKUP(B590,'Insumos e Serviços'!$A:$F,5,0)</f>
        <v>UN</v>
      </c>
      <c r="F590" s="123">
        <v>6</v>
      </c>
      <c r="G590" s="72">
        <f>VLOOKUP(B590,'Insumos e Serviços'!$A:$F,6,0)</f>
        <v>1.11</v>
      </c>
      <c r="H590" s="72">
        <f t="shared" si="18"/>
        <v>6.66</v>
      </c>
    </row>
    <row r="591" spans="1:8" s="112" customFormat="1" ht="22.5">
      <c r="A591" s="120" t="str">
        <f>VLOOKUP(B591,'Insumos e Serviços'!$A:$F,3,0)</f>
        <v>Insumo</v>
      </c>
      <c r="B591" s="121" t="s">
        <v>728</v>
      </c>
      <c r="C591" s="122" t="str">
        <f>VLOOKUP(B591,'Insumos e Serviços'!$A:$F,2,0)</f>
        <v>SINAPI</v>
      </c>
      <c r="D591" s="120" t="str">
        <f>VLOOKUP(B591,'Insumos e Serviços'!$A:$F,4,0)</f>
        <v>PARAFUSO DE FERRO POLIDO, SEXTAVADO, COM ROSCA INTEIRA, DIAMETRO 5/16", COMPRIMENTO 3/4", COM PORCA E ARRUELA LISA LEVE</v>
      </c>
      <c r="E591" s="122" t="str">
        <f>VLOOKUP(B591,'Insumos e Serviços'!$A:$F,5,0)</f>
        <v>UN</v>
      </c>
      <c r="F591" s="123">
        <v>4</v>
      </c>
      <c r="G591" s="72">
        <f>VLOOKUP(B591,'Insumos e Serviços'!$A:$F,6,0)</f>
        <v>0.41</v>
      </c>
      <c r="H591" s="72">
        <f t="shared" si="18"/>
        <v>1.64</v>
      </c>
    </row>
    <row r="592" spans="1:8" s="112" customFormat="1" ht="22.5">
      <c r="A592" s="120" t="str">
        <f>VLOOKUP(B592,'Insumos e Serviços'!$A:$F,3,0)</f>
        <v>Insumo</v>
      </c>
      <c r="B592" s="121" t="s">
        <v>729</v>
      </c>
      <c r="C592" s="122" t="str">
        <f>VLOOKUP(B592,'Insumos e Serviços'!$A:$F,2,0)</f>
        <v>SINAPI</v>
      </c>
      <c r="D592" s="120" t="str">
        <f>VLOOKUP(B592,'Insumos e Serviços'!$A:$F,4,0)</f>
        <v>SUPORTE MAO-FRANCESA EM ACO, ABAS IGUAIS 40 CM, CAPACIDADE MINIMA 70 KG, BRANCO</v>
      </c>
      <c r="E592" s="122" t="str">
        <f>VLOOKUP(B592,'Insumos e Serviços'!$A:$F,5,0)</f>
        <v>UN</v>
      </c>
      <c r="F592" s="123">
        <v>2</v>
      </c>
      <c r="G592" s="72">
        <f>VLOOKUP(B592,'Insumos e Serviços'!$A:$F,6,0)</f>
        <v>35.47</v>
      </c>
      <c r="H592" s="72">
        <f t="shared" si="18"/>
        <v>70.94</v>
      </c>
    </row>
    <row r="593" spans="1:8" s="112" customFormat="1" ht="11.25">
      <c r="A593" s="124"/>
      <c r="B593" s="125"/>
      <c r="C593" s="125"/>
      <c r="D593" s="126"/>
      <c r="E593" s="125"/>
      <c r="F593" s="127"/>
      <c r="G593" s="128"/>
      <c r="H593" s="128"/>
    </row>
    <row r="594" spans="1:8" s="112" customFormat="1" ht="101.25">
      <c r="A594" s="114" t="s">
        <v>568</v>
      </c>
      <c r="B594" s="115" t="str">
        <f>VLOOKUP(A594,'Orçamento Sintético'!$A:$H,2,0)</f>
        <v> MPDFT0058 </v>
      </c>
      <c r="C594" s="115" t="str">
        <f>VLOOKUP(A594,'Orçamento Sintético'!$A:$H,3,0)</f>
        <v>Próprio</v>
      </c>
      <c r="D594" s="116" t="str">
        <f>VLOOKUP(A594,'Orçamento Sintético'!$A:$H,4,0)</f>
        <v>Aparelho de ar condicionado de expansão direta split, tipo hi-wall, gás refrigerante R-410A, compressor com sistema inverter,  capacidade nominal de resfriamento de 12.000 BTU/h , dimensões da unidade externa (AxLxP) 550 x 740 x 326mm, massa 26kg, dimensões da unidade interna (AxLxP) 285 x 770 x 225mm, massa 8 kg, linha de líquido Ø6,35mm, linha de sucção Ø9,53mm, conexão do dreno de Ø20mm, cor branca, alimentação elétrica 220- monofásica-60Hz, potência elétrica 1,03kW, COP 3,45, incluindo: filtro de ar e controle remoto sem fio. Modelo de referência: DAIKIN- STK12P5VL (FTK12P5VL+RK12P5VL) ou similar equivalente.</v>
      </c>
      <c r="E594" s="115" t="str">
        <f>VLOOKUP(A594,'Orçamento Sintético'!$A:$H,5,0)</f>
        <v>un</v>
      </c>
      <c r="F594" s="117"/>
      <c r="G594" s="118"/>
      <c r="H594" s="118">
        <f>SUM(H595:H599)</f>
        <v>2437.2700000000004</v>
      </c>
    </row>
    <row r="595" spans="1:8" s="112" customFormat="1" ht="11.25">
      <c r="A595" s="120" t="str">
        <f>VLOOKUP(B595,'Insumos e Serviços'!$A:$F,3,0)</f>
        <v>Composição</v>
      </c>
      <c r="B595" s="121" t="s">
        <v>730</v>
      </c>
      <c r="C595" s="122" t="str">
        <f>VLOOKUP(B595,'Insumos e Serviços'!$A:$F,2,0)</f>
        <v>SINAPI</v>
      </c>
      <c r="D595" s="120" t="str">
        <f>VLOOKUP(B595,'Insumos e Serviços'!$A:$F,4,0)</f>
        <v>AUXILIAR DE MECÂNICO COM ENCARGOS COMPLEMENTARES</v>
      </c>
      <c r="E595" s="122" t="str">
        <f>VLOOKUP(B595,'Insumos e Serviços'!$A:$F,5,0)</f>
        <v>H</v>
      </c>
      <c r="F595" s="123">
        <v>3.093</v>
      </c>
      <c r="G595" s="72">
        <f>VLOOKUP(B595,'Insumos e Serviços'!$A:$F,6,0)</f>
        <v>18.25</v>
      </c>
      <c r="H595" s="72">
        <f>TRUNC(F595*G595,2)</f>
        <v>56.44</v>
      </c>
    </row>
    <row r="596" spans="1:8" s="112" customFormat="1" ht="11.25">
      <c r="A596" s="120" t="str">
        <f>VLOOKUP(B596,'Insumos e Serviços'!$A:$F,3,0)</f>
        <v>Composição</v>
      </c>
      <c r="B596" s="121" t="s">
        <v>731</v>
      </c>
      <c r="C596" s="122" t="str">
        <f>VLOOKUP(B596,'Insumos e Serviços'!$A:$F,2,0)</f>
        <v>SINAPI</v>
      </c>
      <c r="D596" s="120" t="str">
        <f>VLOOKUP(B596,'Insumos e Serviços'!$A:$F,4,0)</f>
        <v>MECÃNICO DE EQUIPAMENTOS PESADOS COM ENCARGOS COMPLEMENTARES</v>
      </c>
      <c r="E596" s="122" t="str">
        <f>VLOOKUP(B596,'Insumos e Serviços'!$A:$F,5,0)</f>
        <v>H</v>
      </c>
      <c r="F596" s="123">
        <v>3.093</v>
      </c>
      <c r="G596" s="72">
        <f>VLOOKUP(B596,'Insumos e Serviços'!$A:$F,6,0)</f>
        <v>27.46</v>
      </c>
      <c r="H596" s="72">
        <f>TRUNC(F596*G596,2)</f>
        <v>84.93</v>
      </c>
    </row>
    <row r="597" spans="1:8" s="112" customFormat="1" ht="22.5">
      <c r="A597" s="120" t="str">
        <f>VLOOKUP(B597,'Insumos e Serviços'!$A:$F,3,0)</f>
        <v>Insumo</v>
      </c>
      <c r="B597" s="121" t="s">
        <v>732</v>
      </c>
      <c r="C597" s="122" t="str">
        <f>VLOOKUP(B597,'Insumos e Serviços'!$A:$F,2,0)</f>
        <v>SINAPI</v>
      </c>
      <c r="D597" s="120" t="str">
        <f>VLOOKUP(B597,'Insumos e Serviços'!$A:$F,4,0)</f>
        <v>AR CONDICIONADO SPLIT INVERTER, HI-WALL (PAREDE), 12000 BTU/H, CICLO FRIO, 60HZ, CLASSIFICACAO A (SELO PROCEL), GAS HFC, CONTROLE S/FIO</v>
      </c>
      <c r="E597" s="122" t="str">
        <f>VLOOKUP(B597,'Insumos e Serviços'!$A:$F,5,0)</f>
        <v>UN</v>
      </c>
      <c r="F597" s="123">
        <v>1</v>
      </c>
      <c r="G597" s="72">
        <f>VLOOKUP(B597,'Insumos e Serviços'!$A:$F,6,0)</f>
        <v>2256.26</v>
      </c>
      <c r="H597" s="72">
        <f>TRUNC(F597*G597,2)</f>
        <v>2256.26</v>
      </c>
    </row>
    <row r="598" spans="1:8" s="112" customFormat="1" ht="22.5">
      <c r="A598" s="120" t="str">
        <f>VLOOKUP(B598,'Insumos e Serviços'!$A:$F,3,0)</f>
        <v>Insumo</v>
      </c>
      <c r="B598" s="121" t="s">
        <v>733</v>
      </c>
      <c r="C598" s="122" t="str">
        <f>VLOOKUP(B598,'Insumos e Serviços'!$A:$F,2,0)</f>
        <v>SINAPI</v>
      </c>
      <c r="D598" s="120" t="str">
        <f>VLOOKUP(B598,'Insumos e Serviços'!$A:$F,4,0)</f>
        <v>ELETRODUTO FLEXIVEL, EM ACO GALVANIZADO, REVESTIDO EXTERNAMENTE COM PVC PRETO, DIAMETRO EXTERNO DE 25 MM (3/4"), TIPO SEALTUBO</v>
      </c>
      <c r="E598" s="122" t="str">
        <f>VLOOKUP(B598,'Insumos e Serviços'!$A:$F,5,0)</f>
        <v>M</v>
      </c>
      <c r="F598" s="123">
        <v>1.5</v>
      </c>
      <c r="G598" s="72">
        <f>VLOOKUP(B598,'Insumos e Serviços'!$A:$F,6,0)</f>
        <v>15.42</v>
      </c>
      <c r="H598" s="72">
        <f>TRUNC(F598*G598,2)</f>
        <v>23.13</v>
      </c>
    </row>
    <row r="599" spans="1:8" s="112" customFormat="1" ht="22.5">
      <c r="A599" s="120" t="str">
        <f>VLOOKUP(B599,'Insumos e Serviços'!$A:$F,3,0)</f>
        <v>Insumo</v>
      </c>
      <c r="B599" s="121" t="s">
        <v>734</v>
      </c>
      <c r="C599" s="122" t="str">
        <f>VLOOKUP(B599,'Insumos e Serviços'!$A:$F,2,0)</f>
        <v>SINAPI</v>
      </c>
      <c r="D599" s="120" t="str">
        <f>VLOOKUP(B599,'Insumos e Serviços'!$A:$F,4,0)</f>
        <v>CABO DE COBRE, RIGIDO, CLASSE 2, ISOLACAO EM PVC/A, ANTICHAMA BWF-B, 1 CONDUTOR, 450/750 V, SECAO NOMINAL 2,5 MM2</v>
      </c>
      <c r="E599" s="122" t="str">
        <f>VLOOKUP(B599,'Insumos e Serviços'!$A:$F,5,0)</f>
        <v>M</v>
      </c>
      <c r="F599" s="123">
        <v>4.5</v>
      </c>
      <c r="G599" s="72">
        <f>VLOOKUP(B599,'Insumos e Serviços'!$A:$F,6,0)</f>
        <v>3.67</v>
      </c>
      <c r="H599" s="72">
        <f>TRUNC(F599*G599,2)</f>
        <v>16.51</v>
      </c>
    </row>
    <row r="600" spans="1:8" s="112" customFormat="1" ht="11.25">
      <c r="A600" s="124"/>
      <c r="B600" s="125"/>
      <c r="C600" s="125"/>
      <c r="D600" s="126"/>
      <c r="E600" s="125"/>
      <c r="F600" s="127"/>
      <c r="G600" s="128"/>
      <c r="H600" s="128"/>
    </row>
    <row r="601" spans="1:8" s="112" customFormat="1" ht="22.5" customHeight="1">
      <c r="A601" s="114" t="s">
        <v>735</v>
      </c>
      <c r="B601" s="115" t="s">
        <v>190</v>
      </c>
      <c r="C601" s="115" t="s">
        <v>1305</v>
      </c>
      <c r="D601" s="116" t="s">
        <v>191</v>
      </c>
      <c r="E601" s="115" t="s">
        <v>1320</v>
      </c>
      <c r="F601" s="117"/>
      <c r="G601" s="118"/>
      <c r="H601" s="118">
        <f>SUM(H602:H603)</f>
        <v>9.54</v>
      </c>
    </row>
    <row r="602" spans="1:8" ht="12.75">
      <c r="A602" s="120" t="str">
        <f>VLOOKUP(B602,'Insumos e Serviços'!$A:$F,3,0)</f>
        <v>Composição</v>
      </c>
      <c r="B602" s="121" t="s">
        <v>583</v>
      </c>
      <c r="C602" s="122" t="str">
        <f>VLOOKUP(B602,'Insumos e Serviços'!$A:$F,2,0)</f>
        <v>SINAPI</v>
      </c>
      <c r="D602" s="120" t="str">
        <f>VLOOKUP(B602,'Insumos e Serviços'!$A:$F,4,0)</f>
        <v>PEDREIRO COM ENCARGOS COMPLEMENTARES</v>
      </c>
      <c r="E602" s="122" t="str">
        <f>VLOOKUP(B602,'Insumos e Serviços'!$A:$F,5,0)</f>
        <v>H</v>
      </c>
      <c r="F602" s="123">
        <v>0.2</v>
      </c>
      <c r="G602" s="72">
        <f>VLOOKUP(B602,'Insumos e Serviços'!$A:$F,6,0)</f>
        <v>26.2</v>
      </c>
      <c r="H602" s="72">
        <f>TRUNC(F602*G602,2)</f>
        <v>5.24</v>
      </c>
    </row>
    <row r="603" spans="1:8" ht="22.5">
      <c r="A603" s="120" t="str">
        <f>VLOOKUP(B603,'Insumos e Serviços'!$A:$F,3,0)</f>
        <v>Insumo</v>
      </c>
      <c r="B603" s="121" t="s">
        <v>646</v>
      </c>
      <c r="C603" s="122" t="str">
        <f>VLOOKUP(B603,'Insumos e Serviços'!$A:$F,2,0)</f>
        <v>SINAPI</v>
      </c>
      <c r="D603" s="120" t="str">
        <f>VLOOKUP(B603,'Insumos e Serviços'!$A:$F,4,0)</f>
        <v>DISCO DE CORTE DIAMANTADO SEGMENTADO PARA CONCRETO, DIAMETRO DE 110 MM, FURO DE 20 MM</v>
      </c>
      <c r="E603" s="122" t="str">
        <f>VLOOKUP(B603,'Insumos e Serviços'!$A:$F,5,0)</f>
        <v>UN</v>
      </c>
      <c r="F603" s="123">
        <v>0.2</v>
      </c>
      <c r="G603" s="72">
        <f>VLOOKUP(B603,'Insumos e Serviços'!$A:$F,6,0)</f>
        <v>21.5</v>
      </c>
      <c r="H603" s="72">
        <f>TRUNC(F603*G603,2)</f>
        <v>4.3</v>
      </c>
    </row>
    <row r="605" spans="1:8" ht="22.5" customHeight="1">
      <c r="A605" s="114" t="s">
        <v>735</v>
      </c>
      <c r="B605" s="115" t="s">
        <v>681</v>
      </c>
      <c r="C605" s="115" t="s">
        <v>1305</v>
      </c>
      <c r="D605" s="116" t="s">
        <v>736</v>
      </c>
      <c r="E605" s="115" t="s">
        <v>737</v>
      </c>
      <c r="F605" s="117"/>
      <c r="G605" s="118"/>
      <c r="H605" s="118">
        <f>SUM(H606:H607)</f>
        <v>78.62</v>
      </c>
    </row>
    <row r="606" spans="1:8" ht="12.75">
      <c r="A606" s="120" t="str">
        <f>VLOOKUP(B606,'Insumos e Serviços'!$A:$F,3,0)</f>
        <v>Composição</v>
      </c>
      <c r="B606" s="121" t="s">
        <v>583</v>
      </c>
      <c r="C606" s="122" t="str">
        <f>VLOOKUP(B606,'Insumos e Serviços'!$A:$F,2,0)</f>
        <v>SINAPI</v>
      </c>
      <c r="D606" s="120" t="str">
        <f>VLOOKUP(B606,'Insumos e Serviços'!$A:$F,4,0)</f>
        <v>PEDREIRO COM ENCARGOS COMPLEMENTARES</v>
      </c>
      <c r="E606" s="122" t="str">
        <f>VLOOKUP(B606,'Insumos e Serviços'!$A:$F,5,0)</f>
        <v>H</v>
      </c>
      <c r="F606" s="123">
        <v>0.8</v>
      </c>
      <c r="G606" s="72">
        <f>VLOOKUP(B606,'Insumos e Serviços'!$A:$F,6,0)</f>
        <v>26.2</v>
      </c>
      <c r="H606" s="72">
        <f>TRUNC(F606*G606,2)</f>
        <v>20.96</v>
      </c>
    </row>
    <row r="607" spans="1:8" ht="12.75">
      <c r="A607" s="120" t="str">
        <f>VLOOKUP(B607,'Insumos e Serviços'!$A:$F,3,0)</f>
        <v>Insumo</v>
      </c>
      <c r="B607" s="133" t="s">
        <v>738</v>
      </c>
      <c r="C607" s="122" t="str">
        <f>VLOOKUP(B607,'Insumos e Serviços'!$A:$F,2,0)</f>
        <v>SINAPI</v>
      </c>
      <c r="D607" s="120" t="str">
        <f>VLOOKUP(B607,'Insumos e Serviços'!$A:$F,4,0)</f>
        <v>ADESIVO ESTRUTURAL A BASE DE RESINA EPOXI, BICOMPONENTE, FLUIDO</v>
      </c>
      <c r="E607" s="122" t="str">
        <f>VLOOKUP(B607,'Insumos e Serviços'!$A:$F,5,0)</f>
        <v>kg</v>
      </c>
      <c r="F607" s="123">
        <v>1</v>
      </c>
      <c r="G607" s="72">
        <f>VLOOKUP(B607,'Insumos e Serviços'!$A:$F,6,0)</f>
        <v>57.66</v>
      </c>
      <c r="H607" s="72">
        <f>TRUNC(F607*G607,2)</f>
        <v>57.66</v>
      </c>
    </row>
  </sheetData>
  <sheetProtection/>
  <mergeCells count="13">
    <mergeCell ref="A4:B4"/>
    <mergeCell ref="C4:D4"/>
    <mergeCell ref="E4:F4"/>
    <mergeCell ref="G4:H4"/>
    <mergeCell ref="A7:H7"/>
    <mergeCell ref="A6:B6"/>
    <mergeCell ref="C6:D6"/>
    <mergeCell ref="E6:F6"/>
    <mergeCell ref="G6:H6"/>
    <mergeCell ref="G1:H1"/>
    <mergeCell ref="A2:B2"/>
    <mergeCell ref="E2:F2"/>
    <mergeCell ref="G2:H2"/>
  </mergeCells>
  <printOptions/>
  <pageMargins left="0.7875" right="0.7875" top="0.7875" bottom="0.7875" header="0.511805555555555" footer="0.511805555555555"/>
  <pageSetup fitToHeight="0" fitToWidth="1" horizontalDpi="300" verticalDpi="300" orientation="portrait" paperSize="9" scale="57" r:id="rId1"/>
  <rowBreaks count="2" manualBreakCount="2">
    <brk id="466" max="255" man="1"/>
    <brk id="53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F236"/>
  <sheetViews>
    <sheetView showOutlineSymbols="0" view="pageBreakPreview" zoomScale="85" zoomScaleSheetLayoutView="85" zoomScalePageLayoutView="140" workbookViewId="0" topLeftCell="A1">
      <selection activeCell="A1" sqref="A1"/>
    </sheetView>
  </sheetViews>
  <sheetFormatPr defaultColWidth="9.421875" defaultRowHeight="12.75"/>
  <cols>
    <col min="1" max="1" width="13.140625" style="38" customWidth="1"/>
    <col min="2" max="3" width="11.00390625" style="38" customWidth="1"/>
    <col min="4" max="4" width="65.8515625" style="39" customWidth="1"/>
    <col min="5" max="5" width="13.140625" style="37" customWidth="1"/>
    <col min="6" max="6" width="14.28125" style="37" customWidth="1"/>
    <col min="7" max="16384" width="9.421875" style="37" customWidth="1"/>
  </cols>
  <sheetData>
    <row r="1" spans="1:6" ht="22.5">
      <c r="A1" s="20" t="str">
        <f>'Orçamento Sintético'!A1:A2</f>
        <v>P. Execução:</v>
      </c>
      <c r="B1" s="47"/>
      <c r="C1" s="20" t="str">
        <f>'Orçamento Sintético'!C1</f>
        <v>Licitação:</v>
      </c>
      <c r="D1" s="21" t="str">
        <f>'Orçamento Sintético'!D1</f>
        <v>Objeto: Impermeabilização, revitalização, construção de guaritas e depósitos no subsolo do Edifício Sede</v>
      </c>
      <c r="E1" s="20" t="str">
        <f>'Orçamento Sintético'!E1</f>
        <v>Data:</v>
      </c>
      <c r="F1" s="104"/>
    </row>
    <row r="2" spans="1:6" ht="11.25">
      <c r="A2" s="236" t="str">
        <f>'Orçamento Sintético'!A2:B2</f>
        <v>A</v>
      </c>
      <c r="B2" s="236"/>
      <c r="C2" s="45" t="str">
        <f>'Orçamento Sintético'!C2:D2</f>
        <v>B</v>
      </c>
      <c r="D2" s="24" t="str">
        <f>'Orçamento Sintético'!D2</f>
        <v>Local: Eixo Monumental, Praça do Buriti, Lote 2, Sede do MPDFT, Brasília-DF</v>
      </c>
      <c r="E2" s="230">
        <f>'Orçamento Sintético'!E2:F2</f>
        <v>1</v>
      </c>
      <c r="F2" s="230"/>
    </row>
    <row r="3" spans="1:6" ht="12.75" customHeight="1">
      <c r="A3" s="26" t="str">
        <f>'Orçamento Sintético'!A3:B3</f>
        <v>P. Validade:</v>
      </c>
      <c r="B3" s="134"/>
      <c r="C3" s="26" t="str">
        <f>'Orçamento Sintético'!C3:D3</f>
        <v>Razão Social:</v>
      </c>
      <c r="D3" s="104"/>
      <c r="E3" s="20" t="str">
        <f>'Orçamento Sintético'!E3</f>
        <v>Telefone:</v>
      </c>
      <c r="F3" s="104"/>
    </row>
    <row r="4" spans="1:6" ht="11.25">
      <c r="A4" s="236" t="str">
        <f>'Orçamento Sintético'!A4:B4</f>
        <v>C</v>
      </c>
      <c r="B4" s="236"/>
      <c r="C4" s="235" t="str">
        <f>'Orçamento Sintético'!C4:D4</f>
        <v>D</v>
      </c>
      <c r="D4" s="235"/>
      <c r="E4" s="235" t="str">
        <f>'Orçamento Sintético'!E4:F4</f>
        <v>E</v>
      </c>
      <c r="F4" s="235"/>
    </row>
    <row r="5" spans="1:6" ht="11.25">
      <c r="A5" s="20" t="str">
        <f>'Orçamento Sintético'!A5</f>
        <v>P. Garantia:</v>
      </c>
      <c r="B5" s="47"/>
      <c r="C5" s="20" t="str">
        <f>'Orçamento Sintético'!C5</f>
        <v>CNPJ:</v>
      </c>
      <c r="D5" s="104"/>
      <c r="E5" s="20" t="str">
        <f>'Orçamento Sintético'!E5</f>
        <v>E-mail:</v>
      </c>
      <c r="F5" s="104"/>
    </row>
    <row r="6" spans="1:6" ht="11.25">
      <c r="A6" s="236" t="str">
        <f>'Orçamento Sintético'!A6:B6</f>
        <v>F</v>
      </c>
      <c r="B6" s="236"/>
      <c r="C6" s="235" t="str">
        <f>'Orçamento Sintético'!C6:D6</f>
        <v>G</v>
      </c>
      <c r="D6" s="235"/>
      <c r="E6" s="235" t="str">
        <f>'Orçamento Sintético'!E6:F6</f>
        <v>H</v>
      </c>
      <c r="F6" s="235"/>
    </row>
    <row r="7" spans="1:6" ht="13.5" customHeight="1">
      <c r="A7" s="238" t="s">
        <v>739</v>
      </c>
      <c r="B7" s="238"/>
      <c r="C7" s="238"/>
      <c r="D7" s="238"/>
      <c r="E7" s="238"/>
      <c r="F7" s="238"/>
    </row>
    <row r="8" spans="1:6" ht="22.5">
      <c r="A8" s="135" t="s">
        <v>1295</v>
      </c>
      <c r="B8" s="135" t="s">
        <v>1296</v>
      </c>
      <c r="C8" s="135" t="s">
        <v>740</v>
      </c>
      <c r="D8" s="135" t="s">
        <v>1266</v>
      </c>
      <c r="E8" s="135" t="s">
        <v>1297</v>
      </c>
      <c r="F8" s="135" t="s">
        <v>1299</v>
      </c>
    </row>
    <row r="9" spans="1:6" ht="22.5">
      <c r="A9" s="133" t="s">
        <v>672</v>
      </c>
      <c r="B9" s="133" t="s">
        <v>741</v>
      </c>
      <c r="C9" s="133" t="s">
        <v>661</v>
      </c>
      <c r="D9" s="136" t="s">
        <v>742</v>
      </c>
      <c r="E9" s="133" t="s">
        <v>743</v>
      </c>
      <c r="F9" s="137">
        <v>3.57</v>
      </c>
    </row>
    <row r="10" spans="1:6" ht="22.5">
      <c r="A10" s="133" t="s">
        <v>678</v>
      </c>
      <c r="B10" s="133" t="s">
        <v>741</v>
      </c>
      <c r="C10" s="133" t="s">
        <v>661</v>
      </c>
      <c r="D10" s="136" t="s">
        <v>744</v>
      </c>
      <c r="E10" s="133" t="s">
        <v>745</v>
      </c>
      <c r="F10" s="137">
        <v>37.31</v>
      </c>
    </row>
    <row r="11" spans="1:6" ht="11.25">
      <c r="A11" s="133" t="s">
        <v>738</v>
      </c>
      <c r="B11" s="133" t="s">
        <v>741</v>
      </c>
      <c r="C11" s="133" t="s">
        <v>661</v>
      </c>
      <c r="D11" s="136" t="s">
        <v>746</v>
      </c>
      <c r="E11" s="133" t="s">
        <v>737</v>
      </c>
      <c r="F11" s="137">
        <v>57.66</v>
      </c>
    </row>
    <row r="12" spans="1:6" ht="22.5">
      <c r="A12" s="133" t="s">
        <v>664</v>
      </c>
      <c r="B12" s="133" t="s">
        <v>741</v>
      </c>
      <c r="C12" s="133" t="s">
        <v>661</v>
      </c>
      <c r="D12" s="136" t="s">
        <v>747</v>
      </c>
      <c r="E12" s="133" t="s">
        <v>743</v>
      </c>
      <c r="F12" s="137">
        <v>14.98</v>
      </c>
    </row>
    <row r="13" spans="1:6" ht="22.5">
      <c r="A13" s="133" t="s">
        <v>658</v>
      </c>
      <c r="B13" s="133" t="s">
        <v>741</v>
      </c>
      <c r="C13" s="133" t="s">
        <v>661</v>
      </c>
      <c r="D13" s="136" t="s">
        <v>748</v>
      </c>
      <c r="E13" s="133" t="s">
        <v>749</v>
      </c>
      <c r="F13" s="137">
        <v>16.5</v>
      </c>
    </row>
    <row r="14" spans="1:6" ht="22.5">
      <c r="A14" s="133" t="s">
        <v>659</v>
      </c>
      <c r="B14" s="133" t="s">
        <v>741</v>
      </c>
      <c r="C14" s="133" t="s">
        <v>661</v>
      </c>
      <c r="D14" s="136" t="s">
        <v>750</v>
      </c>
      <c r="E14" s="133" t="s">
        <v>743</v>
      </c>
      <c r="F14" s="137">
        <v>13.35</v>
      </c>
    </row>
    <row r="15" spans="1:6" ht="22.5">
      <c r="A15" s="133" t="s">
        <v>659</v>
      </c>
      <c r="B15" s="133" t="s">
        <v>741</v>
      </c>
      <c r="C15" s="133" t="s">
        <v>661</v>
      </c>
      <c r="D15" s="136" t="s">
        <v>750</v>
      </c>
      <c r="E15" s="133" t="s">
        <v>743</v>
      </c>
      <c r="F15" s="137">
        <v>13.35</v>
      </c>
    </row>
    <row r="16" spans="1:6" ht="11.25">
      <c r="A16" s="133" t="s">
        <v>649</v>
      </c>
      <c r="B16" s="133" t="s">
        <v>741</v>
      </c>
      <c r="C16" s="133" t="s">
        <v>661</v>
      </c>
      <c r="D16" s="136" t="s">
        <v>751</v>
      </c>
      <c r="E16" s="133" t="s">
        <v>57</v>
      </c>
      <c r="F16" s="137">
        <v>20.72</v>
      </c>
    </row>
    <row r="17" spans="1:6" ht="33.75">
      <c r="A17" s="133" t="s">
        <v>674</v>
      </c>
      <c r="B17" s="133" t="s">
        <v>741</v>
      </c>
      <c r="C17" s="133" t="s">
        <v>661</v>
      </c>
      <c r="D17" s="136" t="s">
        <v>752</v>
      </c>
      <c r="E17" s="133" t="s">
        <v>743</v>
      </c>
      <c r="F17" s="137">
        <v>20.88</v>
      </c>
    </row>
    <row r="18" spans="1:6" ht="22.5">
      <c r="A18" s="133" t="s">
        <v>734</v>
      </c>
      <c r="B18" s="133" t="s">
        <v>741</v>
      </c>
      <c r="C18" s="133" t="s">
        <v>661</v>
      </c>
      <c r="D18" s="136" t="s">
        <v>753</v>
      </c>
      <c r="E18" s="133" t="s">
        <v>57</v>
      </c>
      <c r="F18" s="137">
        <v>3.67</v>
      </c>
    </row>
    <row r="19" spans="1:6" ht="11.25">
      <c r="A19" s="133" t="s">
        <v>644</v>
      </c>
      <c r="B19" s="133" t="s">
        <v>741</v>
      </c>
      <c r="C19" s="133" t="s">
        <v>661</v>
      </c>
      <c r="D19" s="136" t="s">
        <v>754</v>
      </c>
      <c r="E19" s="133" t="s">
        <v>743</v>
      </c>
      <c r="F19" s="137">
        <v>12.37</v>
      </c>
    </row>
    <row r="20" spans="1:6" ht="11.25">
      <c r="A20" s="133" t="s">
        <v>638</v>
      </c>
      <c r="B20" s="133" t="s">
        <v>741</v>
      </c>
      <c r="C20" s="133" t="s">
        <v>661</v>
      </c>
      <c r="D20" s="136" t="s">
        <v>755</v>
      </c>
      <c r="E20" s="133" t="s">
        <v>743</v>
      </c>
      <c r="F20" s="137">
        <v>57.55</v>
      </c>
    </row>
    <row r="21" spans="1:6" ht="22.5">
      <c r="A21" s="133" t="s">
        <v>725</v>
      </c>
      <c r="B21" s="133" t="s">
        <v>741</v>
      </c>
      <c r="C21" s="133" t="s">
        <v>661</v>
      </c>
      <c r="D21" s="136" t="s">
        <v>756</v>
      </c>
      <c r="E21" s="133" t="s">
        <v>39</v>
      </c>
      <c r="F21" s="137">
        <v>0.83</v>
      </c>
    </row>
    <row r="22" spans="1:6" ht="22.5">
      <c r="A22" s="133" t="s">
        <v>733</v>
      </c>
      <c r="B22" s="133" t="s">
        <v>741</v>
      </c>
      <c r="C22" s="133" t="s">
        <v>661</v>
      </c>
      <c r="D22" s="136" t="s">
        <v>757</v>
      </c>
      <c r="E22" s="133" t="s">
        <v>57</v>
      </c>
      <c r="F22" s="137">
        <v>15.42</v>
      </c>
    </row>
    <row r="23" spans="1:6" ht="11.25">
      <c r="A23" s="133" t="s">
        <v>582</v>
      </c>
      <c r="B23" s="133" t="s">
        <v>741</v>
      </c>
      <c r="C23" s="133" t="s">
        <v>661</v>
      </c>
      <c r="D23" s="136" t="s">
        <v>758</v>
      </c>
      <c r="E23" s="133" t="s">
        <v>1316</v>
      </c>
      <c r="F23" s="137">
        <v>1.66</v>
      </c>
    </row>
    <row r="24" spans="1:6" ht="22.5">
      <c r="A24" s="133" t="s">
        <v>656</v>
      </c>
      <c r="B24" s="133" t="s">
        <v>741</v>
      </c>
      <c r="C24" s="133" t="s">
        <v>661</v>
      </c>
      <c r="D24" s="136" t="s">
        <v>759</v>
      </c>
      <c r="E24" s="133" t="s">
        <v>1316</v>
      </c>
      <c r="F24" s="137">
        <v>61.59</v>
      </c>
    </row>
    <row r="25" spans="1:6" ht="22.5">
      <c r="A25" s="133" t="s">
        <v>663</v>
      </c>
      <c r="B25" s="133" t="s">
        <v>741</v>
      </c>
      <c r="C25" s="133" t="s">
        <v>661</v>
      </c>
      <c r="D25" s="136" t="s">
        <v>760</v>
      </c>
      <c r="E25" s="133" t="s">
        <v>1316</v>
      </c>
      <c r="F25" s="137">
        <v>8.83</v>
      </c>
    </row>
    <row r="26" spans="1:6" ht="11.25">
      <c r="A26" s="133" t="s">
        <v>671</v>
      </c>
      <c r="B26" s="133" t="s">
        <v>741</v>
      </c>
      <c r="C26" s="133" t="s">
        <v>661</v>
      </c>
      <c r="D26" s="136" t="s">
        <v>761</v>
      </c>
      <c r="E26" s="133" t="s">
        <v>1316</v>
      </c>
      <c r="F26" s="137">
        <v>6.57</v>
      </c>
    </row>
    <row r="27" spans="1:6" ht="11.25">
      <c r="A27" s="133" t="s">
        <v>657</v>
      </c>
      <c r="B27" s="133" t="s">
        <v>741</v>
      </c>
      <c r="C27" s="133" t="s">
        <v>661</v>
      </c>
      <c r="D27" s="136" t="s">
        <v>762</v>
      </c>
      <c r="E27" s="133" t="s">
        <v>743</v>
      </c>
      <c r="F27" s="137">
        <v>8.16</v>
      </c>
    </row>
    <row r="28" spans="1:6" ht="22.5">
      <c r="A28" s="133" t="s">
        <v>629</v>
      </c>
      <c r="B28" s="133" t="s">
        <v>741</v>
      </c>
      <c r="C28" s="133" t="s">
        <v>661</v>
      </c>
      <c r="D28" s="136" t="s">
        <v>763</v>
      </c>
      <c r="E28" s="133" t="s">
        <v>39</v>
      </c>
      <c r="F28" s="137">
        <v>0.17</v>
      </c>
    </row>
    <row r="29" spans="1:6" ht="11.25">
      <c r="A29" s="133" t="s">
        <v>627</v>
      </c>
      <c r="B29" s="133" t="s">
        <v>741</v>
      </c>
      <c r="C29" s="133" t="s">
        <v>661</v>
      </c>
      <c r="D29" s="136" t="s">
        <v>764</v>
      </c>
      <c r="E29" s="133" t="s">
        <v>743</v>
      </c>
      <c r="F29" s="137">
        <v>14.04</v>
      </c>
    </row>
    <row r="30" spans="1:6" ht="11.25">
      <c r="A30" s="133" t="s">
        <v>653</v>
      </c>
      <c r="B30" s="133" t="s">
        <v>741</v>
      </c>
      <c r="C30" s="133" t="s">
        <v>661</v>
      </c>
      <c r="D30" s="136" t="s">
        <v>765</v>
      </c>
      <c r="E30" s="133" t="s">
        <v>749</v>
      </c>
      <c r="F30" s="137">
        <v>18</v>
      </c>
    </row>
    <row r="31" spans="1:6" ht="22.5">
      <c r="A31" s="133" t="s">
        <v>628</v>
      </c>
      <c r="B31" s="133" t="s">
        <v>741</v>
      </c>
      <c r="C31" s="133" t="s">
        <v>661</v>
      </c>
      <c r="D31" s="136" t="s">
        <v>766</v>
      </c>
      <c r="E31" s="133" t="s">
        <v>1316</v>
      </c>
      <c r="F31" s="137">
        <v>28.55</v>
      </c>
    </row>
    <row r="32" spans="1:6" ht="11.25">
      <c r="A32" s="133" t="s">
        <v>667</v>
      </c>
      <c r="B32" s="133" t="s">
        <v>741</v>
      </c>
      <c r="C32" s="133" t="s">
        <v>661</v>
      </c>
      <c r="D32" s="136" t="s">
        <v>767</v>
      </c>
      <c r="E32" s="133" t="s">
        <v>749</v>
      </c>
      <c r="F32" s="137">
        <v>16.91</v>
      </c>
    </row>
    <row r="33" spans="1:6" ht="22.5">
      <c r="A33" s="133" t="s">
        <v>726</v>
      </c>
      <c r="B33" s="133" t="s">
        <v>741</v>
      </c>
      <c r="C33" s="133" t="s">
        <v>661</v>
      </c>
      <c r="D33" s="136" t="s">
        <v>768</v>
      </c>
      <c r="E33" s="133" t="s">
        <v>39</v>
      </c>
      <c r="F33" s="137">
        <v>1.29</v>
      </c>
    </row>
    <row r="34" spans="1:6" ht="11.25">
      <c r="A34" s="133" t="s">
        <v>631</v>
      </c>
      <c r="B34" s="133" t="s">
        <v>741</v>
      </c>
      <c r="C34" s="133" t="s">
        <v>661</v>
      </c>
      <c r="D34" s="136" t="s">
        <v>769</v>
      </c>
      <c r="E34" s="133" t="s">
        <v>1316</v>
      </c>
      <c r="F34" s="137">
        <v>126.93</v>
      </c>
    </row>
    <row r="35" spans="1:6" ht="22.5">
      <c r="A35" s="80" t="s">
        <v>1324</v>
      </c>
      <c r="B35" s="80" t="s">
        <v>741</v>
      </c>
      <c r="C35" s="80" t="s">
        <v>661</v>
      </c>
      <c r="D35" s="81" t="s">
        <v>770</v>
      </c>
      <c r="E35" s="80" t="s">
        <v>771</v>
      </c>
      <c r="F35" s="73">
        <v>851.56</v>
      </c>
    </row>
    <row r="36" spans="1:6" ht="11.25">
      <c r="A36" s="133" t="s">
        <v>625</v>
      </c>
      <c r="B36" s="133" t="s">
        <v>741</v>
      </c>
      <c r="C36" s="133" t="s">
        <v>661</v>
      </c>
      <c r="D36" s="136" t="s">
        <v>772</v>
      </c>
      <c r="E36" s="133" t="s">
        <v>743</v>
      </c>
      <c r="F36" s="137">
        <v>34.47</v>
      </c>
    </row>
    <row r="37" spans="1:6" ht="22.5">
      <c r="A37" s="133" t="s">
        <v>640</v>
      </c>
      <c r="B37" s="133" t="s">
        <v>741</v>
      </c>
      <c r="C37" s="133" t="s">
        <v>661</v>
      </c>
      <c r="D37" s="136" t="s">
        <v>773</v>
      </c>
      <c r="E37" s="133" t="s">
        <v>39</v>
      </c>
      <c r="F37" s="137">
        <v>168.92</v>
      </c>
    </row>
    <row r="38" spans="1:6" ht="11.25">
      <c r="A38" s="133" t="s">
        <v>673</v>
      </c>
      <c r="B38" s="133" t="s">
        <v>741</v>
      </c>
      <c r="C38" s="133" t="s">
        <v>661</v>
      </c>
      <c r="D38" s="136" t="s">
        <v>774</v>
      </c>
      <c r="E38" s="133" t="s">
        <v>749</v>
      </c>
      <c r="F38" s="137">
        <v>13.14</v>
      </c>
    </row>
    <row r="39" spans="1:6" ht="22.5">
      <c r="A39" s="133" t="s">
        <v>660</v>
      </c>
      <c r="B39" s="133" t="s">
        <v>741</v>
      </c>
      <c r="C39" s="133" t="s">
        <v>661</v>
      </c>
      <c r="D39" s="136" t="s">
        <v>775</v>
      </c>
      <c r="E39" s="133" t="s">
        <v>1316</v>
      </c>
      <c r="F39" s="137">
        <v>48.48</v>
      </c>
    </row>
    <row r="40" spans="1:6" ht="22.5">
      <c r="A40" s="133" t="s">
        <v>685</v>
      </c>
      <c r="B40" s="133" t="s">
        <v>741</v>
      </c>
      <c r="C40" s="133" t="s">
        <v>661</v>
      </c>
      <c r="D40" s="136" t="s">
        <v>776</v>
      </c>
      <c r="E40" s="133" t="s">
        <v>39</v>
      </c>
      <c r="F40" s="137">
        <v>8.79</v>
      </c>
    </row>
    <row r="41" spans="1:6" ht="11.25">
      <c r="A41" s="133" t="s">
        <v>727</v>
      </c>
      <c r="B41" s="133" t="s">
        <v>741</v>
      </c>
      <c r="C41" s="133" t="s">
        <v>661</v>
      </c>
      <c r="D41" s="136" t="s">
        <v>777</v>
      </c>
      <c r="E41" s="133" t="s">
        <v>39</v>
      </c>
      <c r="F41" s="137">
        <v>1.11</v>
      </c>
    </row>
    <row r="42" spans="1:6" ht="22.5">
      <c r="A42" s="133" t="s">
        <v>728</v>
      </c>
      <c r="B42" s="133" t="s">
        <v>741</v>
      </c>
      <c r="C42" s="133" t="s">
        <v>661</v>
      </c>
      <c r="D42" s="136" t="s">
        <v>778</v>
      </c>
      <c r="E42" s="133" t="s">
        <v>39</v>
      </c>
      <c r="F42" s="137">
        <v>0.41</v>
      </c>
    </row>
    <row r="43" spans="1:6" ht="11.25">
      <c r="A43" s="133" t="s">
        <v>710</v>
      </c>
      <c r="B43" s="133" t="s">
        <v>741</v>
      </c>
      <c r="C43" s="133" t="s">
        <v>661</v>
      </c>
      <c r="D43" s="136" t="s">
        <v>779</v>
      </c>
      <c r="E43" s="133" t="s">
        <v>39</v>
      </c>
      <c r="F43" s="137">
        <v>11.5</v>
      </c>
    </row>
    <row r="44" spans="1:6" ht="22.5">
      <c r="A44" s="133" t="s">
        <v>684</v>
      </c>
      <c r="B44" s="133" t="s">
        <v>741</v>
      </c>
      <c r="C44" s="133" t="s">
        <v>661</v>
      </c>
      <c r="D44" s="136" t="s">
        <v>780</v>
      </c>
      <c r="E44" s="133" t="s">
        <v>57</v>
      </c>
      <c r="F44" s="137">
        <v>68.64</v>
      </c>
    </row>
    <row r="45" spans="1:6" ht="22.5">
      <c r="A45" s="133" t="s">
        <v>605</v>
      </c>
      <c r="B45" s="133" t="s">
        <v>741</v>
      </c>
      <c r="C45" s="133" t="s">
        <v>661</v>
      </c>
      <c r="D45" s="136" t="s">
        <v>781</v>
      </c>
      <c r="E45" s="133" t="s">
        <v>57</v>
      </c>
      <c r="F45" s="137">
        <v>4.22</v>
      </c>
    </row>
    <row r="46" spans="1:6" ht="11.25">
      <c r="A46" s="133" t="s">
        <v>708</v>
      </c>
      <c r="B46" s="133" t="s">
        <v>741</v>
      </c>
      <c r="C46" s="133" t="s">
        <v>661</v>
      </c>
      <c r="D46" s="136" t="s">
        <v>782</v>
      </c>
      <c r="E46" s="133" t="s">
        <v>57</v>
      </c>
      <c r="F46" s="137">
        <v>7.6</v>
      </c>
    </row>
    <row r="47" spans="1:6" ht="11.25">
      <c r="A47" s="133" t="s">
        <v>606</v>
      </c>
      <c r="B47" s="133" t="s">
        <v>741</v>
      </c>
      <c r="C47" s="133" t="s">
        <v>661</v>
      </c>
      <c r="D47" s="136" t="s">
        <v>783</v>
      </c>
      <c r="E47" s="133" t="s">
        <v>784</v>
      </c>
      <c r="F47" s="137">
        <v>33</v>
      </c>
    </row>
    <row r="48" spans="1:6" ht="11.25">
      <c r="A48" s="133" t="s">
        <v>597</v>
      </c>
      <c r="B48" s="133" t="s">
        <v>741</v>
      </c>
      <c r="C48" s="133" t="s">
        <v>661</v>
      </c>
      <c r="D48" s="136" t="s">
        <v>785</v>
      </c>
      <c r="E48" s="133" t="s">
        <v>39</v>
      </c>
      <c r="F48" s="137">
        <v>4.44</v>
      </c>
    </row>
    <row r="49" spans="1:6" ht="22.5">
      <c r="A49" s="133" t="s">
        <v>612</v>
      </c>
      <c r="B49" s="133" t="s">
        <v>741</v>
      </c>
      <c r="C49" s="133" t="s">
        <v>661</v>
      </c>
      <c r="D49" s="136" t="s">
        <v>786</v>
      </c>
      <c r="E49" s="133" t="s">
        <v>784</v>
      </c>
      <c r="F49" s="137">
        <v>46.91</v>
      </c>
    </row>
    <row r="50" spans="1:6" ht="22.5">
      <c r="A50" s="133" t="s">
        <v>729</v>
      </c>
      <c r="B50" s="133" t="s">
        <v>741</v>
      </c>
      <c r="C50" s="133" t="s">
        <v>661</v>
      </c>
      <c r="D50" s="136" t="s">
        <v>787</v>
      </c>
      <c r="E50" s="133" t="s">
        <v>39</v>
      </c>
      <c r="F50" s="137">
        <v>35.47</v>
      </c>
    </row>
    <row r="51" spans="1:6" ht="11.25">
      <c r="A51" s="133" t="s">
        <v>712</v>
      </c>
      <c r="B51" s="133" t="s">
        <v>741</v>
      </c>
      <c r="C51" s="133" t="s">
        <v>661</v>
      </c>
      <c r="D51" s="136" t="s">
        <v>788</v>
      </c>
      <c r="E51" s="133" t="s">
        <v>39</v>
      </c>
      <c r="F51" s="137">
        <v>9.27</v>
      </c>
    </row>
    <row r="52" spans="1:6" ht="11.25">
      <c r="A52" s="133" t="s">
        <v>714</v>
      </c>
      <c r="B52" s="133" t="s">
        <v>741</v>
      </c>
      <c r="C52" s="133" t="s">
        <v>661</v>
      </c>
      <c r="D52" s="136" t="s">
        <v>789</v>
      </c>
      <c r="E52" s="133" t="s">
        <v>39</v>
      </c>
      <c r="F52" s="137">
        <v>19.5</v>
      </c>
    </row>
    <row r="53" spans="1:6" ht="11.25">
      <c r="A53" s="133" t="s">
        <v>645</v>
      </c>
      <c r="B53" s="133" t="s">
        <v>741</v>
      </c>
      <c r="C53" s="133" t="s">
        <v>661</v>
      </c>
      <c r="D53" s="136" t="s">
        <v>790</v>
      </c>
      <c r="E53" s="133" t="s">
        <v>39</v>
      </c>
      <c r="F53" s="137">
        <v>32.9</v>
      </c>
    </row>
    <row r="54" spans="1:6" ht="22.5">
      <c r="A54" s="133" t="s">
        <v>646</v>
      </c>
      <c r="B54" s="133" t="s">
        <v>741</v>
      </c>
      <c r="C54" s="133" t="s">
        <v>661</v>
      </c>
      <c r="D54" s="136" t="s">
        <v>791</v>
      </c>
      <c r="E54" s="133" t="s">
        <v>39</v>
      </c>
      <c r="F54" s="137">
        <v>21.5</v>
      </c>
    </row>
    <row r="55" spans="1:6" ht="33.75">
      <c r="A55" s="133" t="s">
        <v>636</v>
      </c>
      <c r="B55" s="133" t="s">
        <v>741</v>
      </c>
      <c r="C55" s="133" t="s">
        <v>661</v>
      </c>
      <c r="D55" s="136" t="s">
        <v>792</v>
      </c>
      <c r="E55" s="133" t="s">
        <v>793</v>
      </c>
      <c r="F55" s="137">
        <v>130.01</v>
      </c>
    </row>
    <row r="56" spans="1:6" ht="22.5">
      <c r="A56" s="133" t="s">
        <v>650</v>
      </c>
      <c r="B56" s="133" t="s">
        <v>741</v>
      </c>
      <c r="C56" s="133" t="s">
        <v>661</v>
      </c>
      <c r="D56" s="136" t="s">
        <v>794</v>
      </c>
      <c r="E56" s="133" t="s">
        <v>1316</v>
      </c>
      <c r="F56" s="137">
        <v>16.9</v>
      </c>
    </row>
    <row r="57" spans="1:6" ht="22.5">
      <c r="A57" s="133" t="s">
        <v>620</v>
      </c>
      <c r="B57" s="133" t="s">
        <v>741</v>
      </c>
      <c r="C57" s="133" t="s">
        <v>661</v>
      </c>
      <c r="D57" s="136" t="s">
        <v>795</v>
      </c>
      <c r="E57" s="133" t="s">
        <v>1316</v>
      </c>
      <c r="F57" s="137">
        <v>24.11</v>
      </c>
    </row>
    <row r="58" spans="1:6" ht="22.5">
      <c r="A58" s="133" t="s">
        <v>613</v>
      </c>
      <c r="B58" s="133" t="s">
        <v>741</v>
      </c>
      <c r="C58" s="133" t="s">
        <v>661</v>
      </c>
      <c r="D58" s="136" t="s">
        <v>796</v>
      </c>
      <c r="E58" s="133" t="s">
        <v>57</v>
      </c>
      <c r="F58" s="137">
        <v>8.21</v>
      </c>
    </row>
    <row r="59" spans="1:6" ht="22.5">
      <c r="A59" s="133" t="s">
        <v>614</v>
      </c>
      <c r="B59" s="133" t="s">
        <v>741</v>
      </c>
      <c r="C59" s="133" t="s">
        <v>661</v>
      </c>
      <c r="D59" s="136" t="s">
        <v>797</v>
      </c>
      <c r="E59" s="133" t="s">
        <v>57</v>
      </c>
      <c r="F59" s="137">
        <v>9.32</v>
      </c>
    </row>
    <row r="60" spans="1:6" ht="22.5">
      <c r="A60" s="133" t="s">
        <v>615</v>
      </c>
      <c r="B60" s="133" t="s">
        <v>741</v>
      </c>
      <c r="C60" s="133" t="s">
        <v>661</v>
      </c>
      <c r="D60" s="136" t="s">
        <v>798</v>
      </c>
      <c r="E60" s="133" t="s">
        <v>57</v>
      </c>
      <c r="F60" s="137">
        <v>0.28</v>
      </c>
    </row>
    <row r="61" spans="1:6" ht="22.5">
      <c r="A61" s="133" t="s">
        <v>616</v>
      </c>
      <c r="B61" s="133" t="s">
        <v>741</v>
      </c>
      <c r="C61" s="133" t="s">
        <v>661</v>
      </c>
      <c r="D61" s="136" t="s">
        <v>799</v>
      </c>
      <c r="E61" s="133" t="s">
        <v>57</v>
      </c>
      <c r="F61" s="137">
        <v>2.53</v>
      </c>
    </row>
    <row r="62" spans="1:6" ht="22.5">
      <c r="A62" s="133" t="s">
        <v>617</v>
      </c>
      <c r="B62" s="133" t="s">
        <v>741</v>
      </c>
      <c r="C62" s="133" t="s">
        <v>661</v>
      </c>
      <c r="D62" s="136" t="s">
        <v>800</v>
      </c>
      <c r="E62" s="133" t="s">
        <v>743</v>
      </c>
      <c r="F62" s="137">
        <v>3.16</v>
      </c>
    </row>
    <row r="63" spans="1:6" ht="22.5">
      <c r="A63" s="133" t="s">
        <v>618</v>
      </c>
      <c r="B63" s="133" t="s">
        <v>741</v>
      </c>
      <c r="C63" s="133" t="s">
        <v>661</v>
      </c>
      <c r="D63" s="136" t="s">
        <v>801</v>
      </c>
      <c r="E63" s="133" t="s">
        <v>39</v>
      </c>
      <c r="F63" s="137">
        <v>0.09</v>
      </c>
    </row>
    <row r="64" spans="1:6" ht="22.5">
      <c r="A64" s="133" t="s">
        <v>621</v>
      </c>
      <c r="B64" s="133" t="s">
        <v>741</v>
      </c>
      <c r="C64" s="133" t="s">
        <v>661</v>
      </c>
      <c r="D64" s="136" t="s">
        <v>802</v>
      </c>
      <c r="E64" s="133" t="s">
        <v>39</v>
      </c>
      <c r="F64" s="137">
        <v>0.21</v>
      </c>
    </row>
    <row r="65" spans="1:6" ht="22.5">
      <c r="A65" s="133" t="s">
        <v>619</v>
      </c>
      <c r="B65" s="133" t="s">
        <v>741</v>
      </c>
      <c r="C65" s="133" t="s">
        <v>661</v>
      </c>
      <c r="D65" s="136" t="s">
        <v>803</v>
      </c>
      <c r="E65" s="133" t="s">
        <v>39</v>
      </c>
      <c r="F65" s="137">
        <v>0.22</v>
      </c>
    </row>
    <row r="66" spans="1:6" ht="11.25">
      <c r="A66" s="133" t="s">
        <v>713</v>
      </c>
      <c r="B66" s="133" t="s">
        <v>741</v>
      </c>
      <c r="C66" s="133" t="s">
        <v>661</v>
      </c>
      <c r="D66" s="136" t="s">
        <v>804</v>
      </c>
      <c r="E66" s="133" t="s">
        <v>39</v>
      </c>
      <c r="F66" s="137">
        <v>30.69</v>
      </c>
    </row>
    <row r="67" spans="1:6" ht="11.25">
      <c r="A67" s="133" t="s">
        <v>630</v>
      </c>
      <c r="B67" s="133" t="s">
        <v>741</v>
      </c>
      <c r="C67" s="133" t="s">
        <v>661</v>
      </c>
      <c r="D67" s="136" t="s">
        <v>805</v>
      </c>
      <c r="E67" s="133" t="s">
        <v>39</v>
      </c>
      <c r="F67" s="137">
        <v>24.65</v>
      </c>
    </row>
    <row r="68" spans="1:6" ht="33.75">
      <c r="A68" s="80" t="s">
        <v>1322</v>
      </c>
      <c r="B68" s="80" t="s">
        <v>741</v>
      </c>
      <c r="C68" s="80" t="s">
        <v>661</v>
      </c>
      <c r="D68" s="81" t="s">
        <v>806</v>
      </c>
      <c r="E68" s="80" t="s">
        <v>771</v>
      </c>
      <c r="F68" s="73">
        <v>600</v>
      </c>
    </row>
    <row r="69" spans="1:6" ht="22.5">
      <c r="A69" s="133" t="s">
        <v>732</v>
      </c>
      <c r="B69" s="133" t="s">
        <v>741</v>
      </c>
      <c r="C69" s="133" t="s">
        <v>661</v>
      </c>
      <c r="D69" s="136" t="s">
        <v>807</v>
      </c>
      <c r="E69" s="133" t="s">
        <v>39</v>
      </c>
      <c r="F69" s="137">
        <v>2256.26</v>
      </c>
    </row>
    <row r="70" spans="1:6" ht="22.5">
      <c r="A70" s="133" t="s">
        <v>626</v>
      </c>
      <c r="B70" s="133" t="s">
        <v>741</v>
      </c>
      <c r="C70" s="133" t="s">
        <v>661</v>
      </c>
      <c r="D70" s="136" t="s">
        <v>808</v>
      </c>
      <c r="E70" s="133" t="s">
        <v>743</v>
      </c>
      <c r="F70" s="137">
        <v>15.16</v>
      </c>
    </row>
    <row r="71" spans="1:6" ht="22.5">
      <c r="A71" s="133" t="s">
        <v>596</v>
      </c>
      <c r="B71" s="133" t="s">
        <v>741</v>
      </c>
      <c r="C71" s="80" t="s">
        <v>589</v>
      </c>
      <c r="D71" s="136" t="s">
        <v>809</v>
      </c>
      <c r="E71" s="133" t="s">
        <v>35</v>
      </c>
      <c r="F71" s="137">
        <v>0.71</v>
      </c>
    </row>
    <row r="72" spans="1:6" ht="22.5">
      <c r="A72" s="80" t="s">
        <v>28</v>
      </c>
      <c r="B72" s="80" t="s">
        <v>741</v>
      </c>
      <c r="C72" s="80" t="s">
        <v>589</v>
      </c>
      <c r="D72" s="81" t="s">
        <v>810</v>
      </c>
      <c r="E72" s="80" t="s">
        <v>35</v>
      </c>
      <c r="F72" s="73">
        <v>0.72</v>
      </c>
    </row>
    <row r="73" spans="1:6" ht="11.25">
      <c r="A73" s="133" t="s">
        <v>724</v>
      </c>
      <c r="B73" s="133" t="s">
        <v>741</v>
      </c>
      <c r="C73" s="80" t="s">
        <v>589</v>
      </c>
      <c r="D73" s="136" t="s">
        <v>811</v>
      </c>
      <c r="E73" s="133" t="s">
        <v>1293</v>
      </c>
      <c r="F73" s="137">
        <v>27.65</v>
      </c>
    </row>
    <row r="74" spans="1:6" ht="22.5">
      <c r="A74" s="80" t="s">
        <v>459</v>
      </c>
      <c r="B74" s="80" t="s">
        <v>741</v>
      </c>
      <c r="C74" s="80" t="s">
        <v>589</v>
      </c>
      <c r="D74" s="81" t="s">
        <v>812</v>
      </c>
      <c r="E74" s="80" t="s">
        <v>1</v>
      </c>
      <c r="F74" s="73">
        <v>255.38</v>
      </c>
    </row>
    <row r="75" spans="1:6" ht="22.5">
      <c r="A75" s="133" t="s">
        <v>703</v>
      </c>
      <c r="B75" s="133" t="s">
        <v>741</v>
      </c>
      <c r="C75" s="80" t="s">
        <v>589</v>
      </c>
      <c r="D75" s="136" t="s">
        <v>813</v>
      </c>
      <c r="E75" s="133" t="s">
        <v>1</v>
      </c>
      <c r="F75" s="137">
        <v>214.27</v>
      </c>
    </row>
    <row r="76" spans="1:6" ht="22.5">
      <c r="A76" s="80" t="s">
        <v>188</v>
      </c>
      <c r="B76" s="80" t="s">
        <v>741</v>
      </c>
      <c r="C76" s="80" t="s">
        <v>589</v>
      </c>
      <c r="D76" s="81" t="s">
        <v>814</v>
      </c>
      <c r="E76" s="80" t="s">
        <v>1316</v>
      </c>
      <c r="F76" s="73">
        <v>1.1</v>
      </c>
    </row>
    <row r="77" spans="1:6" ht="33.75">
      <c r="A77" s="133" t="s">
        <v>643</v>
      </c>
      <c r="B77" s="133" t="s">
        <v>741</v>
      </c>
      <c r="C77" s="80" t="s">
        <v>589</v>
      </c>
      <c r="D77" s="136" t="s">
        <v>815</v>
      </c>
      <c r="E77" s="133" t="s">
        <v>1316</v>
      </c>
      <c r="F77" s="137">
        <v>24.38</v>
      </c>
    </row>
    <row r="78" spans="1:6" ht="33.75">
      <c r="A78" s="133" t="s">
        <v>624</v>
      </c>
      <c r="B78" s="133" t="s">
        <v>741</v>
      </c>
      <c r="C78" s="80" t="s">
        <v>589</v>
      </c>
      <c r="D78" s="136" t="s">
        <v>816</v>
      </c>
      <c r="E78" s="133" t="s">
        <v>1316</v>
      </c>
      <c r="F78" s="137">
        <v>11.2</v>
      </c>
    </row>
    <row r="79" spans="1:6" ht="33.75">
      <c r="A79" s="133" t="s">
        <v>683</v>
      </c>
      <c r="B79" s="133" t="s">
        <v>741</v>
      </c>
      <c r="C79" s="80" t="s">
        <v>589</v>
      </c>
      <c r="D79" s="136" t="s">
        <v>817</v>
      </c>
      <c r="E79" s="133" t="s">
        <v>1316</v>
      </c>
      <c r="F79" s="137">
        <v>23.95</v>
      </c>
    </row>
    <row r="80" spans="1:6" ht="33.75">
      <c r="A80" s="133" t="s">
        <v>623</v>
      </c>
      <c r="B80" s="133" t="s">
        <v>741</v>
      </c>
      <c r="C80" s="80" t="s">
        <v>589</v>
      </c>
      <c r="D80" s="136" t="s">
        <v>818</v>
      </c>
      <c r="E80" s="133" t="s">
        <v>1316</v>
      </c>
      <c r="F80" s="137">
        <v>23.85</v>
      </c>
    </row>
    <row r="81" spans="1:6" ht="33.75">
      <c r="A81" s="133" t="s">
        <v>642</v>
      </c>
      <c r="B81" s="133" t="s">
        <v>741</v>
      </c>
      <c r="C81" s="80" t="s">
        <v>589</v>
      </c>
      <c r="D81" s="136" t="s">
        <v>819</v>
      </c>
      <c r="E81" s="133" t="s">
        <v>1316</v>
      </c>
      <c r="F81" s="137">
        <v>48</v>
      </c>
    </row>
    <row r="82" spans="1:6" ht="33.75">
      <c r="A82" s="80" t="s">
        <v>260</v>
      </c>
      <c r="B82" s="80" t="s">
        <v>741</v>
      </c>
      <c r="C82" s="80" t="s">
        <v>589</v>
      </c>
      <c r="D82" s="81" t="s">
        <v>820</v>
      </c>
      <c r="E82" s="80" t="s">
        <v>1316</v>
      </c>
      <c r="F82" s="73">
        <v>47.92</v>
      </c>
    </row>
    <row r="83" spans="1:6" ht="22.5">
      <c r="A83" s="80" t="s">
        <v>484</v>
      </c>
      <c r="B83" s="80" t="s">
        <v>741</v>
      </c>
      <c r="C83" s="80" t="s">
        <v>589</v>
      </c>
      <c r="D83" s="81" t="s">
        <v>821</v>
      </c>
      <c r="E83" s="80" t="s">
        <v>39</v>
      </c>
      <c r="F83" s="73">
        <v>30.86</v>
      </c>
    </row>
    <row r="84" spans="1:6" ht="33.75">
      <c r="A84" s="80" t="s">
        <v>92</v>
      </c>
      <c r="B84" s="80" t="s">
        <v>741</v>
      </c>
      <c r="C84" s="80" t="s">
        <v>589</v>
      </c>
      <c r="D84" s="81" t="s">
        <v>822</v>
      </c>
      <c r="E84" s="80" t="s">
        <v>1316</v>
      </c>
      <c r="F84" s="73">
        <v>140.5</v>
      </c>
    </row>
    <row r="85" spans="1:6" ht="22.5">
      <c r="A85" s="80" t="s">
        <v>378</v>
      </c>
      <c r="B85" s="80" t="s">
        <v>741</v>
      </c>
      <c r="C85" s="80" t="s">
        <v>589</v>
      </c>
      <c r="D85" s="81" t="s">
        <v>823</v>
      </c>
      <c r="E85" s="80" t="s">
        <v>57</v>
      </c>
      <c r="F85" s="73">
        <v>89.44</v>
      </c>
    </row>
    <row r="86" spans="1:6" ht="22.5">
      <c r="A86" s="133" t="s">
        <v>679</v>
      </c>
      <c r="B86" s="133" t="s">
        <v>741</v>
      </c>
      <c r="C86" s="80" t="s">
        <v>589</v>
      </c>
      <c r="D86" s="136" t="s">
        <v>824</v>
      </c>
      <c r="E86" s="133" t="s">
        <v>1</v>
      </c>
      <c r="F86" s="137">
        <v>1980.23</v>
      </c>
    </row>
    <row r="87" spans="1:6" ht="33.75">
      <c r="A87" s="133" t="s">
        <v>700</v>
      </c>
      <c r="B87" s="133" t="s">
        <v>741</v>
      </c>
      <c r="C87" s="80" t="s">
        <v>589</v>
      </c>
      <c r="D87" s="136" t="s">
        <v>825</v>
      </c>
      <c r="E87" s="133" t="s">
        <v>39</v>
      </c>
      <c r="F87" s="137">
        <v>1739.63</v>
      </c>
    </row>
    <row r="88" spans="1:6" ht="45">
      <c r="A88" s="80" t="s">
        <v>68</v>
      </c>
      <c r="B88" s="80" t="s">
        <v>741</v>
      </c>
      <c r="C88" s="80" t="s">
        <v>589</v>
      </c>
      <c r="D88" s="81" t="s">
        <v>826</v>
      </c>
      <c r="E88" s="80" t="s">
        <v>1</v>
      </c>
      <c r="F88" s="73">
        <v>7.81</v>
      </c>
    </row>
    <row r="89" spans="1:6" ht="22.5">
      <c r="A89" s="80" t="s">
        <v>254</v>
      </c>
      <c r="B89" s="80" t="s">
        <v>741</v>
      </c>
      <c r="C89" s="80" t="s">
        <v>589</v>
      </c>
      <c r="D89" s="81" t="s">
        <v>827</v>
      </c>
      <c r="E89" s="80" t="s">
        <v>1316</v>
      </c>
      <c r="F89" s="73">
        <v>18.32</v>
      </c>
    </row>
    <row r="90" spans="1:6" ht="11.25">
      <c r="A90" s="80" t="s">
        <v>256</v>
      </c>
      <c r="B90" s="80" t="s">
        <v>741</v>
      </c>
      <c r="C90" s="80" t="s">
        <v>589</v>
      </c>
      <c r="D90" s="81" t="s">
        <v>828</v>
      </c>
      <c r="E90" s="80" t="s">
        <v>57</v>
      </c>
      <c r="F90" s="73">
        <v>1.5</v>
      </c>
    </row>
    <row r="91" spans="1:6" ht="33.75">
      <c r="A91" s="80" t="s">
        <v>90</v>
      </c>
      <c r="B91" s="80" t="s">
        <v>741</v>
      </c>
      <c r="C91" s="80" t="s">
        <v>589</v>
      </c>
      <c r="D91" s="81" t="s">
        <v>829</v>
      </c>
      <c r="E91" s="80" t="s">
        <v>1316</v>
      </c>
      <c r="F91" s="73">
        <v>71.7</v>
      </c>
    </row>
    <row r="92" spans="1:6" ht="22.5">
      <c r="A92" s="133" t="s">
        <v>682</v>
      </c>
      <c r="B92" s="133" t="s">
        <v>741</v>
      </c>
      <c r="C92" s="80" t="s">
        <v>589</v>
      </c>
      <c r="D92" s="136" t="s">
        <v>830</v>
      </c>
      <c r="E92" s="133" t="s">
        <v>1</v>
      </c>
      <c r="F92" s="137">
        <v>37.91</v>
      </c>
    </row>
    <row r="93" spans="1:6" ht="33.75">
      <c r="A93" s="133" t="s">
        <v>831</v>
      </c>
      <c r="B93" s="133" t="s">
        <v>741</v>
      </c>
      <c r="C93" s="80" t="s">
        <v>589</v>
      </c>
      <c r="D93" s="136" t="s">
        <v>832</v>
      </c>
      <c r="E93" s="133" t="s">
        <v>833</v>
      </c>
      <c r="F93" s="137">
        <v>339.46</v>
      </c>
    </row>
    <row r="94" spans="1:6" ht="33.75">
      <c r="A94" s="133" t="s">
        <v>834</v>
      </c>
      <c r="B94" s="133" t="s">
        <v>741</v>
      </c>
      <c r="C94" s="80" t="s">
        <v>589</v>
      </c>
      <c r="D94" s="136" t="s">
        <v>835</v>
      </c>
      <c r="E94" s="133" t="s">
        <v>836</v>
      </c>
      <c r="F94" s="137">
        <v>55.39</v>
      </c>
    </row>
    <row r="95" spans="1:6" ht="33.75">
      <c r="A95" s="133" t="s">
        <v>585</v>
      </c>
      <c r="B95" s="133" t="s">
        <v>741</v>
      </c>
      <c r="C95" s="80" t="s">
        <v>589</v>
      </c>
      <c r="D95" s="136" t="s">
        <v>837</v>
      </c>
      <c r="E95" s="133" t="s">
        <v>833</v>
      </c>
      <c r="F95" s="137">
        <v>289.06</v>
      </c>
    </row>
    <row r="96" spans="1:6" ht="33.75">
      <c r="A96" s="133" t="s">
        <v>586</v>
      </c>
      <c r="B96" s="133" t="s">
        <v>741</v>
      </c>
      <c r="C96" s="80" t="s">
        <v>589</v>
      </c>
      <c r="D96" s="136" t="s">
        <v>838</v>
      </c>
      <c r="E96" s="133" t="s">
        <v>836</v>
      </c>
      <c r="F96" s="137">
        <v>52.06</v>
      </c>
    </row>
    <row r="97" spans="1:6" ht="22.5">
      <c r="A97" s="133" t="s">
        <v>839</v>
      </c>
      <c r="B97" s="133" t="s">
        <v>741</v>
      </c>
      <c r="C97" s="80" t="s">
        <v>589</v>
      </c>
      <c r="D97" s="136" t="s">
        <v>840</v>
      </c>
      <c r="E97" s="133" t="s">
        <v>833</v>
      </c>
      <c r="F97" s="137">
        <v>248.29</v>
      </c>
    </row>
    <row r="98" spans="1:6" ht="22.5">
      <c r="A98" s="133" t="s">
        <v>841</v>
      </c>
      <c r="B98" s="133" t="s">
        <v>741</v>
      </c>
      <c r="C98" s="80" t="s">
        <v>589</v>
      </c>
      <c r="D98" s="136" t="s">
        <v>842</v>
      </c>
      <c r="E98" s="133" t="s">
        <v>836</v>
      </c>
      <c r="F98" s="137">
        <v>76.84</v>
      </c>
    </row>
    <row r="99" spans="1:6" ht="22.5">
      <c r="A99" s="133" t="s">
        <v>666</v>
      </c>
      <c r="B99" s="133" t="s">
        <v>741</v>
      </c>
      <c r="C99" s="80" t="s">
        <v>589</v>
      </c>
      <c r="D99" s="136" t="s">
        <v>843</v>
      </c>
      <c r="E99" s="133" t="s">
        <v>1</v>
      </c>
      <c r="F99" s="137">
        <v>727.97</v>
      </c>
    </row>
    <row r="100" spans="1:6" ht="22.5">
      <c r="A100" s="133" t="s">
        <v>662</v>
      </c>
      <c r="B100" s="133" t="s">
        <v>741</v>
      </c>
      <c r="C100" s="80" t="s">
        <v>589</v>
      </c>
      <c r="D100" s="136" t="s">
        <v>844</v>
      </c>
      <c r="E100" s="133" t="s">
        <v>1</v>
      </c>
      <c r="F100" s="137">
        <v>676.92</v>
      </c>
    </row>
    <row r="101" spans="1:6" ht="33.75">
      <c r="A101" s="133" t="s">
        <v>665</v>
      </c>
      <c r="B101" s="133" t="s">
        <v>741</v>
      </c>
      <c r="C101" s="80" t="s">
        <v>589</v>
      </c>
      <c r="D101" s="136" t="s">
        <v>845</v>
      </c>
      <c r="E101" s="133" t="s">
        <v>1316</v>
      </c>
      <c r="F101" s="137">
        <v>50.91</v>
      </c>
    </row>
    <row r="102" spans="1:6" ht="33.75">
      <c r="A102" s="80" t="s">
        <v>214</v>
      </c>
      <c r="B102" s="80" t="s">
        <v>741</v>
      </c>
      <c r="C102" s="80" t="s">
        <v>589</v>
      </c>
      <c r="D102" s="81" t="s">
        <v>846</v>
      </c>
      <c r="E102" s="80" t="s">
        <v>1316</v>
      </c>
      <c r="F102" s="73">
        <v>4.33</v>
      </c>
    </row>
    <row r="103" spans="1:6" ht="11.25">
      <c r="A103" s="133" t="s">
        <v>593</v>
      </c>
      <c r="B103" s="133" t="s">
        <v>741</v>
      </c>
      <c r="C103" s="80" t="s">
        <v>589</v>
      </c>
      <c r="D103" s="136" t="s">
        <v>847</v>
      </c>
      <c r="E103" s="133" t="s">
        <v>1293</v>
      </c>
      <c r="F103" s="137">
        <v>20.5</v>
      </c>
    </row>
    <row r="104" spans="1:6" ht="11.25">
      <c r="A104" s="133" t="s">
        <v>602</v>
      </c>
      <c r="B104" s="133" t="s">
        <v>741</v>
      </c>
      <c r="C104" s="80" t="s">
        <v>589</v>
      </c>
      <c r="D104" s="136" t="s">
        <v>848</v>
      </c>
      <c r="E104" s="133" t="s">
        <v>1293</v>
      </c>
      <c r="F104" s="137">
        <v>20.43</v>
      </c>
    </row>
    <row r="105" spans="1:6" ht="22.5">
      <c r="A105" s="133" t="s">
        <v>687</v>
      </c>
      <c r="B105" s="133" t="s">
        <v>741</v>
      </c>
      <c r="C105" s="80" t="s">
        <v>589</v>
      </c>
      <c r="D105" s="136" t="s">
        <v>849</v>
      </c>
      <c r="E105" s="133" t="s">
        <v>1293</v>
      </c>
      <c r="F105" s="137">
        <v>20.1</v>
      </c>
    </row>
    <row r="106" spans="1:6" ht="11.25">
      <c r="A106" s="133" t="s">
        <v>730</v>
      </c>
      <c r="B106" s="133" t="s">
        <v>741</v>
      </c>
      <c r="C106" s="80" t="s">
        <v>589</v>
      </c>
      <c r="D106" s="136" t="s">
        <v>850</v>
      </c>
      <c r="E106" s="133" t="s">
        <v>1293</v>
      </c>
      <c r="F106" s="137">
        <v>18.25</v>
      </c>
    </row>
    <row r="107" spans="1:6" ht="11.25">
      <c r="A107" s="133" t="s">
        <v>601</v>
      </c>
      <c r="B107" s="133" t="s">
        <v>741</v>
      </c>
      <c r="C107" s="80" t="s">
        <v>589</v>
      </c>
      <c r="D107" s="136" t="s">
        <v>851</v>
      </c>
      <c r="E107" s="133" t="s">
        <v>1293</v>
      </c>
      <c r="F107" s="137">
        <v>20.62</v>
      </c>
    </row>
    <row r="108" spans="1:6" ht="11.25">
      <c r="A108" s="133" t="s">
        <v>633</v>
      </c>
      <c r="B108" s="133" t="s">
        <v>741</v>
      </c>
      <c r="C108" s="80" t="s">
        <v>589</v>
      </c>
      <c r="D108" s="136" t="s">
        <v>852</v>
      </c>
      <c r="E108" s="133" t="s">
        <v>1293</v>
      </c>
      <c r="F108" s="137">
        <v>24.86</v>
      </c>
    </row>
    <row r="109" spans="1:6" ht="11.25">
      <c r="A109" s="133" t="s">
        <v>607</v>
      </c>
      <c r="B109" s="133" t="s">
        <v>741</v>
      </c>
      <c r="C109" s="80" t="s">
        <v>589</v>
      </c>
      <c r="D109" s="136" t="s">
        <v>853</v>
      </c>
      <c r="E109" s="133" t="s">
        <v>1293</v>
      </c>
      <c r="F109" s="137">
        <v>25.93</v>
      </c>
    </row>
    <row r="110" spans="1:6" ht="11.25">
      <c r="A110" s="133" t="s">
        <v>598</v>
      </c>
      <c r="B110" s="133" t="s">
        <v>741</v>
      </c>
      <c r="C110" s="80" t="s">
        <v>589</v>
      </c>
      <c r="D110" s="136" t="s">
        <v>854</v>
      </c>
      <c r="E110" s="133" t="s">
        <v>1293</v>
      </c>
      <c r="F110" s="137">
        <v>26.47</v>
      </c>
    </row>
    <row r="111" spans="1:6" ht="11.25">
      <c r="A111" s="133" t="s">
        <v>603</v>
      </c>
      <c r="B111" s="133" t="s">
        <v>741</v>
      </c>
      <c r="C111" s="80" t="s">
        <v>589</v>
      </c>
      <c r="D111" s="136" t="s">
        <v>855</v>
      </c>
      <c r="E111" s="133" t="s">
        <v>1293</v>
      </c>
      <c r="F111" s="137">
        <v>25.58</v>
      </c>
    </row>
    <row r="112" spans="1:6" ht="11.25">
      <c r="A112" s="133" t="s">
        <v>648</v>
      </c>
      <c r="B112" s="133" t="s">
        <v>741</v>
      </c>
      <c r="C112" s="80" t="s">
        <v>589</v>
      </c>
      <c r="D112" s="136" t="s">
        <v>856</v>
      </c>
      <c r="E112" s="133" t="s">
        <v>1293</v>
      </c>
      <c r="F112" s="137">
        <v>26.05</v>
      </c>
    </row>
    <row r="113" spans="1:6" ht="11.25">
      <c r="A113" s="133" t="s">
        <v>655</v>
      </c>
      <c r="B113" s="133" t="s">
        <v>741</v>
      </c>
      <c r="C113" s="80" t="s">
        <v>589</v>
      </c>
      <c r="D113" s="136" t="s">
        <v>857</v>
      </c>
      <c r="E113" s="133" t="s">
        <v>1293</v>
      </c>
      <c r="F113" s="137">
        <v>26.2</v>
      </c>
    </row>
    <row r="114" spans="1:6" ht="11.25">
      <c r="A114" s="133" t="s">
        <v>635</v>
      </c>
      <c r="B114" s="133" t="s">
        <v>741</v>
      </c>
      <c r="C114" s="80" t="s">
        <v>589</v>
      </c>
      <c r="D114" s="136" t="s">
        <v>858</v>
      </c>
      <c r="E114" s="133" t="s">
        <v>1293</v>
      </c>
      <c r="F114" s="137">
        <v>24.56</v>
      </c>
    </row>
    <row r="115" spans="1:6" ht="11.25">
      <c r="A115" s="133" t="s">
        <v>731</v>
      </c>
      <c r="B115" s="133" t="s">
        <v>741</v>
      </c>
      <c r="C115" s="80" t="s">
        <v>589</v>
      </c>
      <c r="D115" s="136" t="s">
        <v>859</v>
      </c>
      <c r="E115" s="133" t="s">
        <v>1293</v>
      </c>
      <c r="F115" s="137">
        <v>27.46</v>
      </c>
    </row>
    <row r="116" spans="1:6" ht="11.25">
      <c r="A116" s="133" t="s">
        <v>592</v>
      </c>
      <c r="B116" s="133" t="s">
        <v>741</v>
      </c>
      <c r="C116" s="80" t="s">
        <v>589</v>
      </c>
      <c r="D116" s="136" t="s">
        <v>860</v>
      </c>
      <c r="E116" s="133" t="s">
        <v>1293</v>
      </c>
      <c r="F116" s="137">
        <v>20.62</v>
      </c>
    </row>
    <row r="117" spans="1:6" ht="11.25">
      <c r="A117" s="133" t="s">
        <v>611</v>
      </c>
      <c r="B117" s="133" t="s">
        <v>741</v>
      </c>
      <c r="C117" s="80" t="s">
        <v>589</v>
      </c>
      <c r="D117" s="136" t="s">
        <v>861</v>
      </c>
      <c r="E117" s="133" t="s">
        <v>1293</v>
      </c>
      <c r="F117" s="137">
        <v>19.93</v>
      </c>
    </row>
    <row r="118" spans="1:6" ht="11.25">
      <c r="A118" s="133" t="s">
        <v>590</v>
      </c>
      <c r="B118" s="133" t="s">
        <v>741</v>
      </c>
      <c r="C118" s="80" t="s">
        <v>589</v>
      </c>
      <c r="D118" s="136" t="s">
        <v>862</v>
      </c>
      <c r="E118" s="133" t="s">
        <v>1293</v>
      </c>
      <c r="F118" s="137">
        <v>27.81</v>
      </c>
    </row>
    <row r="119" spans="1:6" ht="11.25">
      <c r="A119" s="133" t="s">
        <v>583</v>
      </c>
      <c r="B119" s="133" t="s">
        <v>741</v>
      </c>
      <c r="C119" s="80" t="s">
        <v>589</v>
      </c>
      <c r="D119" s="136" t="s">
        <v>863</v>
      </c>
      <c r="E119" s="133" t="s">
        <v>1293</v>
      </c>
      <c r="F119" s="137">
        <v>26.2</v>
      </c>
    </row>
    <row r="120" spans="1:6" ht="11.25">
      <c r="A120" s="133" t="s">
        <v>652</v>
      </c>
      <c r="B120" s="133" t="s">
        <v>741</v>
      </c>
      <c r="C120" s="80" t="s">
        <v>589</v>
      </c>
      <c r="D120" s="136" t="s">
        <v>864</v>
      </c>
      <c r="E120" s="133" t="s">
        <v>1293</v>
      </c>
      <c r="F120" s="137">
        <v>27.25</v>
      </c>
    </row>
    <row r="121" spans="1:6" ht="11.25">
      <c r="A121" s="133" t="s">
        <v>600</v>
      </c>
      <c r="B121" s="133" t="s">
        <v>741</v>
      </c>
      <c r="C121" s="80" t="s">
        <v>589</v>
      </c>
      <c r="D121" s="136" t="s">
        <v>865</v>
      </c>
      <c r="E121" s="133" t="s">
        <v>1293</v>
      </c>
      <c r="F121" s="137">
        <v>26.05</v>
      </c>
    </row>
    <row r="122" spans="1:6" ht="11.25">
      <c r="A122" s="133" t="s">
        <v>581</v>
      </c>
      <c r="B122" s="133" t="s">
        <v>741</v>
      </c>
      <c r="C122" s="80" t="s">
        <v>589</v>
      </c>
      <c r="D122" s="136" t="s">
        <v>866</v>
      </c>
      <c r="E122" s="133" t="s">
        <v>1293</v>
      </c>
      <c r="F122" s="137">
        <v>19.39</v>
      </c>
    </row>
    <row r="123" spans="1:6" ht="11.25">
      <c r="A123" s="133" t="s">
        <v>591</v>
      </c>
      <c r="B123" s="133" t="s">
        <v>741</v>
      </c>
      <c r="C123" s="80" t="s">
        <v>589</v>
      </c>
      <c r="D123" s="136" t="s">
        <v>867</v>
      </c>
      <c r="E123" s="133" t="s">
        <v>1293</v>
      </c>
      <c r="F123" s="137">
        <v>25.7</v>
      </c>
    </row>
    <row r="124" spans="1:6" ht="22.5">
      <c r="A124" s="133">
        <v>88423</v>
      </c>
      <c r="B124" s="133" t="s">
        <v>741</v>
      </c>
      <c r="C124" s="80" t="s">
        <v>589</v>
      </c>
      <c r="D124" s="136" t="s">
        <v>868</v>
      </c>
      <c r="E124" s="133" t="s">
        <v>1316</v>
      </c>
      <c r="F124" s="137">
        <v>16.68</v>
      </c>
    </row>
    <row r="125" spans="1:6" ht="11.25">
      <c r="A125" s="133" t="s">
        <v>599</v>
      </c>
      <c r="B125" s="133" t="s">
        <v>741</v>
      </c>
      <c r="C125" s="80" t="s">
        <v>589</v>
      </c>
      <c r="D125" s="136" t="s">
        <v>869</v>
      </c>
      <c r="E125" s="133" t="s">
        <v>1293</v>
      </c>
      <c r="F125" s="137">
        <v>20.55</v>
      </c>
    </row>
    <row r="126" spans="1:6" ht="11.25">
      <c r="A126" s="80" t="s">
        <v>222</v>
      </c>
      <c r="B126" s="80" t="s">
        <v>741</v>
      </c>
      <c r="C126" s="80" t="s">
        <v>589</v>
      </c>
      <c r="D126" s="81" t="s">
        <v>870</v>
      </c>
      <c r="E126" s="80" t="s">
        <v>1316</v>
      </c>
      <c r="F126" s="73">
        <v>3.43</v>
      </c>
    </row>
    <row r="127" spans="1:6" ht="11.25">
      <c r="A127" s="80" t="s">
        <v>224</v>
      </c>
      <c r="B127" s="80" t="s">
        <v>741</v>
      </c>
      <c r="C127" s="80" t="s">
        <v>589</v>
      </c>
      <c r="D127" s="81" t="s">
        <v>871</v>
      </c>
      <c r="E127" s="80" t="s">
        <v>1316</v>
      </c>
      <c r="F127" s="73">
        <v>3.02</v>
      </c>
    </row>
    <row r="128" spans="1:6" ht="22.5">
      <c r="A128" s="80" t="s">
        <v>250</v>
      </c>
      <c r="B128" s="80" t="s">
        <v>741</v>
      </c>
      <c r="C128" s="80" t="s">
        <v>589</v>
      </c>
      <c r="D128" s="81" t="s">
        <v>872</v>
      </c>
      <c r="E128" s="80" t="s">
        <v>1316</v>
      </c>
      <c r="F128" s="73">
        <v>16.25</v>
      </c>
    </row>
    <row r="129" spans="1:6" ht="22.5">
      <c r="A129" s="80" t="s">
        <v>248</v>
      </c>
      <c r="B129" s="80" t="s">
        <v>741</v>
      </c>
      <c r="C129" s="80" t="s">
        <v>589</v>
      </c>
      <c r="D129" s="81" t="s">
        <v>873</v>
      </c>
      <c r="E129" s="80" t="s">
        <v>1316</v>
      </c>
      <c r="F129" s="73">
        <v>14.31</v>
      </c>
    </row>
    <row r="130" spans="1:6" ht="22.5">
      <c r="A130" s="133" t="s">
        <v>622</v>
      </c>
      <c r="B130" s="133" t="s">
        <v>741</v>
      </c>
      <c r="C130" s="80" t="s">
        <v>589</v>
      </c>
      <c r="D130" s="136" t="s">
        <v>874</v>
      </c>
      <c r="E130" s="133" t="s">
        <v>1</v>
      </c>
      <c r="F130" s="137">
        <v>704.25</v>
      </c>
    </row>
    <row r="131" spans="1:6" ht="22.5">
      <c r="A131" s="133" t="s">
        <v>668</v>
      </c>
      <c r="B131" s="133" t="s">
        <v>741</v>
      </c>
      <c r="C131" s="80" t="s">
        <v>589</v>
      </c>
      <c r="D131" s="136" t="s">
        <v>875</v>
      </c>
      <c r="E131" s="133" t="s">
        <v>1</v>
      </c>
      <c r="F131" s="137">
        <v>550.14</v>
      </c>
    </row>
    <row r="132" spans="1:6" ht="45">
      <c r="A132" s="80" t="s">
        <v>218</v>
      </c>
      <c r="B132" s="80" t="s">
        <v>741</v>
      </c>
      <c r="C132" s="80" t="s">
        <v>589</v>
      </c>
      <c r="D132" s="81" t="s">
        <v>876</v>
      </c>
      <c r="E132" s="80" t="s">
        <v>1316</v>
      </c>
      <c r="F132" s="73">
        <v>39.97</v>
      </c>
    </row>
    <row r="133" spans="1:6" ht="22.5">
      <c r="A133" s="80" t="s">
        <v>389</v>
      </c>
      <c r="B133" s="80" t="s">
        <v>741</v>
      </c>
      <c r="C133" s="80" t="s">
        <v>589</v>
      </c>
      <c r="D133" s="81" t="s">
        <v>877</v>
      </c>
      <c r="E133" s="80" t="s">
        <v>57</v>
      </c>
      <c r="F133" s="73">
        <v>93.95</v>
      </c>
    </row>
    <row r="134" spans="1:6" ht="33.75">
      <c r="A134" s="80" t="s">
        <v>387</v>
      </c>
      <c r="B134" s="80" t="s">
        <v>741</v>
      </c>
      <c r="C134" s="80" t="s">
        <v>589</v>
      </c>
      <c r="D134" s="81" t="s">
        <v>878</v>
      </c>
      <c r="E134" s="80" t="s">
        <v>39</v>
      </c>
      <c r="F134" s="73">
        <v>143.28</v>
      </c>
    </row>
    <row r="135" spans="1:6" ht="22.5">
      <c r="A135" s="80" t="s">
        <v>385</v>
      </c>
      <c r="B135" s="80" t="s">
        <v>741</v>
      </c>
      <c r="C135" s="80" t="s">
        <v>589</v>
      </c>
      <c r="D135" s="81" t="s">
        <v>879</v>
      </c>
      <c r="E135" s="80" t="s">
        <v>57</v>
      </c>
      <c r="F135" s="73">
        <v>13.78</v>
      </c>
    </row>
    <row r="136" spans="1:6" ht="22.5">
      <c r="A136" s="80" t="s">
        <v>1336</v>
      </c>
      <c r="B136" s="80" t="s">
        <v>741</v>
      </c>
      <c r="C136" s="80" t="s">
        <v>589</v>
      </c>
      <c r="D136" s="81" t="s">
        <v>880</v>
      </c>
      <c r="E136" s="80" t="s">
        <v>39</v>
      </c>
      <c r="F136" s="73">
        <v>34.44</v>
      </c>
    </row>
    <row r="137" spans="1:6" ht="22.5">
      <c r="A137" s="133" t="s">
        <v>608</v>
      </c>
      <c r="B137" s="133" t="s">
        <v>741</v>
      </c>
      <c r="C137" s="80" t="s">
        <v>589</v>
      </c>
      <c r="D137" s="136" t="s">
        <v>881</v>
      </c>
      <c r="E137" s="133" t="s">
        <v>833</v>
      </c>
      <c r="F137" s="137">
        <v>1.24</v>
      </c>
    </row>
    <row r="138" spans="1:6" ht="22.5">
      <c r="A138" s="133" t="s">
        <v>609</v>
      </c>
      <c r="B138" s="133" t="s">
        <v>741</v>
      </c>
      <c r="C138" s="80" t="s">
        <v>589</v>
      </c>
      <c r="D138" s="136" t="s">
        <v>882</v>
      </c>
      <c r="E138" s="133" t="s">
        <v>836</v>
      </c>
      <c r="F138" s="137">
        <v>0.56</v>
      </c>
    </row>
    <row r="139" spans="1:6" ht="11.25">
      <c r="A139" s="80" t="s">
        <v>81</v>
      </c>
      <c r="B139" s="80" t="s">
        <v>741</v>
      </c>
      <c r="C139" s="80" t="s">
        <v>589</v>
      </c>
      <c r="D139" s="81" t="s">
        <v>883</v>
      </c>
      <c r="E139" s="80" t="s">
        <v>1293</v>
      </c>
      <c r="F139" s="73">
        <v>104.39</v>
      </c>
    </row>
    <row r="140" spans="1:6" ht="33.75">
      <c r="A140" s="133" t="s">
        <v>634</v>
      </c>
      <c r="B140" s="133" t="s">
        <v>741</v>
      </c>
      <c r="C140" s="80" t="s">
        <v>589</v>
      </c>
      <c r="D140" s="136" t="s">
        <v>884</v>
      </c>
      <c r="E140" s="133" t="s">
        <v>39</v>
      </c>
      <c r="F140" s="137">
        <v>410.19</v>
      </c>
    </row>
    <row r="141" spans="1:6" ht="33.75">
      <c r="A141" s="133" t="s">
        <v>639</v>
      </c>
      <c r="B141" s="133" t="s">
        <v>741</v>
      </c>
      <c r="C141" s="80" t="s">
        <v>589</v>
      </c>
      <c r="D141" s="136" t="s">
        <v>885</v>
      </c>
      <c r="E141" s="133" t="s">
        <v>39</v>
      </c>
      <c r="F141" s="137">
        <v>458.13</v>
      </c>
    </row>
    <row r="142" spans="1:6" ht="33.75">
      <c r="A142" s="133" t="s">
        <v>716</v>
      </c>
      <c r="B142" s="133" t="s">
        <v>741</v>
      </c>
      <c r="C142" s="80" t="s">
        <v>589</v>
      </c>
      <c r="D142" s="136" t="s">
        <v>886</v>
      </c>
      <c r="E142" s="133" t="s">
        <v>57</v>
      </c>
      <c r="F142" s="137">
        <v>3.09</v>
      </c>
    </row>
    <row r="143" spans="1:6" ht="22.5">
      <c r="A143" s="80" t="s">
        <v>155</v>
      </c>
      <c r="B143" s="80" t="s">
        <v>741</v>
      </c>
      <c r="C143" s="80" t="s">
        <v>589</v>
      </c>
      <c r="D143" s="81" t="s">
        <v>887</v>
      </c>
      <c r="E143" s="80" t="s">
        <v>1316</v>
      </c>
      <c r="F143" s="73">
        <v>625.88</v>
      </c>
    </row>
    <row r="144" spans="1:6" ht="45">
      <c r="A144" s="80" t="s">
        <v>440</v>
      </c>
      <c r="B144" s="80" t="s">
        <v>741</v>
      </c>
      <c r="C144" s="80" t="s">
        <v>589</v>
      </c>
      <c r="D144" s="81" t="s">
        <v>888</v>
      </c>
      <c r="E144" s="80" t="s">
        <v>57</v>
      </c>
      <c r="F144" s="73">
        <v>71.84</v>
      </c>
    </row>
    <row r="145" spans="1:6" ht="22.5">
      <c r="A145" s="80" t="s">
        <v>507</v>
      </c>
      <c r="B145" s="80" t="s">
        <v>741</v>
      </c>
      <c r="C145" s="80" t="s">
        <v>589</v>
      </c>
      <c r="D145" s="81" t="s">
        <v>889</v>
      </c>
      <c r="E145" s="80" t="s">
        <v>57</v>
      </c>
      <c r="F145" s="73">
        <v>4.22</v>
      </c>
    </row>
    <row r="146" spans="1:6" ht="22.5">
      <c r="A146" s="80" t="s">
        <v>488</v>
      </c>
      <c r="B146" s="80" t="s">
        <v>741</v>
      </c>
      <c r="C146" s="80" t="s">
        <v>589</v>
      </c>
      <c r="D146" s="81" t="s">
        <v>890</v>
      </c>
      <c r="E146" s="80" t="s">
        <v>39</v>
      </c>
      <c r="F146" s="73">
        <v>18.69</v>
      </c>
    </row>
    <row r="147" spans="1:6" ht="22.5">
      <c r="A147" s="80" t="s">
        <v>496</v>
      </c>
      <c r="B147" s="80" t="s">
        <v>741</v>
      </c>
      <c r="C147" s="80" t="s">
        <v>589</v>
      </c>
      <c r="D147" s="81" t="s">
        <v>891</v>
      </c>
      <c r="E147" s="80" t="s">
        <v>39</v>
      </c>
      <c r="F147" s="73">
        <v>32.52</v>
      </c>
    </row>
    <row r="148" spans="1:6" ht="22.5">
      <c r="A148" s="80" t="s">
        <v>498</v>
      </c>
      <c r="B148" s="80" t="s">
        <v>741</v>
      </c>
      <c r="C148" s="80" t="s">
        <v>589</v>
      </c>
      <c r="D148" s="81" t="s">
        <v>892</v>
      </c>
      <c r="E148" s="80" t="s">
        <v>39</v>
      </c>
      <c r="F148" s="73">
        <v>23.71</v>
      </c>
    </row>
    <row r="149" spans="1:6" ht="22.5">
      <c r="A149" s="80" t="s">
        <v>494</v>
      </c>
      <c r="B149" s="80" t="s">
        <v>741</v>
      </c>
      <c r="C149" s="80" t="s">
        <v>589</v>
      </c>
      <c r="D149" s="81" t="s">
        <v>893</v>
      </c>
      <c r="E149" s="80" t="s">
        <v>39</v>
      </c>
      <c r="F149" s="73">
        <v>20.29</v>
      </c>
    </row>
    <row r="150" spans="1:6" ht="22.5">
      <c r="A150" s="133" t="s">
        <v>680</v>
      </c>
      <c r="B150" s="133" t="s">
        <v>741</v>
      </c>
      <c r="C150" s="80" t="s">
        <v>589</v>
      </c>
      <c r="D150" s="136" t="s">
        <v>894</v>
      </c>
      <c r="E150" s="133" t="s">
        <v>1316</v>
      </c>
      <c r="F150" s="137">
        <v>129.1</v>
      </c>
    </row>
    <row r="151" spans="1:6" ht="33.75">
      <c r="A151" s="80" t="s">
        <v>117</v>
      </c>
      <c r="B151" s="80" t="s">
        <v>741</v>
      </c>
      <c r="C151" s="80" t="s">
        <v>589</v>
      </c>
      <c r="D151" s="81" t="s">
        <v>895</v>
      </c>
      <c r="E151" s="80" t="s">
        <v>1316</v>
      </c>
      <c r="F151" s="73">
        <v>140.31</v>
      </c>
    </row>
    <row r="152" spans="1:6" ht="33.75">
      <c r="A152" s="80" t="s">
        <v>119</v>
      </c>
      <c r="B152" s="80" t="s">
        <v>741</v>
      </c>
      <c r="C152" s="80" t="s">
        <v>589</v>
      </c>
      <c r="D152" s="81" t="s">
        <v>896</v>
      </c>
      <c r="E152" s="80" t="s">
        <v>1316</v>
      </c>
      <c r="F152" s="73">
        <v>196.51</v>
      </c>
    </row>
    <row r="153" spans="1:6" ht="22.5">
      <c r="A153" s="80" t="s">
        <v>115</v>
      </c>
      <c r="B153" s="80" t="s">
        <v>741</v>
      </c>
      <c r="C153" s="80" t="s">
        <v>589</v>
      </c>
      <c r="D153" s="81" t="s">
        <v>897</v>
      </c>
      <c r="E153" s="80" t="s">
        <v>743</v>
      </c>
      <c r="F153" s="73">
        <v>16.35</v>
      </c>
    </row>
    <row r="154" spans="1:6" ht="22.5">
      <c r="A154" s="80" t="s">
        <v>113</v>
      </c>
      <c r="B154" s="80" t="s">
        <v>741</v>
      </c>
      <c r="C154" s="80" t="s">
        <v>589</v>
      </c>
      <c r="D154" s="81" t="s">
        <v>898</v>
      </c>
      <c r="E154" s="80" t="s">
        <v>743</v>
      </c>
      <c r="F154" s="73">
        <v>15.29</v>
      </c>
    </row>
    <row r="155" spans="1:6" ht="11.25">
      <c r="A155" s="133" t="s">
        <v>705</v>
      </c>
      <c r="B155" s="133" t="s">
        <v>741</v>
      </c>
      <c r="C155" s="80" t="s">
        <v>589</v>
      </c>
      <c r="D155" s="136" t="s">
        <v>899</v>
      </c>
      <c r="E155" s="133" t="s">
        <v>743</v>
      </c>
      <c r="F155" s="137">
        <v>13.83</v>
      </c>
    </row>
    <row r="156" spans="1:6" ht="11.25">
      <c r="A156" s="80" t="s">
        <v>102</v>
      </c>
      <c r="B156" s="80" t="s">
        <v>741</v>
      </c>
      <c r="C156" s="80" t="s">
        <v>589</v>
      </c>
      <c r="D156" s="81" t="s">
        <v>900</v>
      </c>
      <c r="E156" s="80" t="s">
        <v>57</v>
      </c>
      <c r="F156" s="73">
        <v>70.39</v>
      </c>
    </row>
    <row r="157" spans="1:6" ht="11.25">
      <c r="A157" s="80" t="s">
        <v>100</v>
      </c>
      <c r="B157" s="80" t="s">
        <v>741</v>
      </c>
      <c r="C157" s="80" t="s">
        <v>589</v>
      </c>
      <c r="D157" s="81" t="s">
        <v>901</v>
      </c>
      <c r="E157" s="80" t="s">
        <v>57</v>
      </c>
      <c r="F157" s="73">
        <v>40.45</v>
      </c>
    </row>
    <row r="158" spans="1:6" ht="22.5">
      <c r="A158" s="80" t="s">
        <v>98</v>
      </c>
      <c r="B158" s="80" t="s">
        <v>741</v>
      </c>
      <c r="C158" s="80" t="s">
        <v>589</v>
      </c>
      <c r="D158" s="81" t="s">
        <v>902</v>
      </c>
      <c r="E158" s="80" t="s">
        <v>57</v>
      </c>
      <c r="F158" s="73">
        <v>53.75</v>
      </c>
    </row>
    <row r="159" spans="1:6" ht="22.5">
      <c r="A159" s="80" t="s">
        <v>96</v>
      </c>
      <c r="B159" s="80" t="s">
        <v>741</v>
      </c>
      <c r="C159" s="80" t="s">
        <v>589</v>
      </c>
      <c r="D159" s="81" t="s">
        <v>903</v>
      </c>
      <c r="E159" s="80" t="s">
        <v>57</v>
      </c>
      <c r="F159" s="73">
        <v>65.71</v>
      </c>
    </row>
    <row r="160" spans="1:6" ht="22.5">
      <c r="A160" s="80" t="s">
        <v>94</v>
      </c>
      <c r="B160" s="80" t="s">
        <v>741</v>
      </c>
      <c r="C160" s="80" t="s">
        <v>589</v>
      </c>
      <c r="D160" s="81" t="s">
        <v>904</v>
      </c>
      <c r="E160" s="80" t="s">
        <v>57</v>
      </c>
      <c r="F160" s="73">
        <v>15.85</v>
      </c>
    </row>
    <row r="161" spans="1:6" ht="11.25">
      <c r="A161" s="80" t="s">
        <v>79</v>
      </c>
      <c r="B161" s="80" t="s">
        <v>741</v>
      </c>
      <c r="C161" s="80" t="s">
        <v>589</v>
      </c>
      <c r="D161" s="81" t="s">
        <v>905</v>
      </c>
      <c r="E161" s="80" t="s">
        <v>771</v>
      </c>
      <c r="F161" s="73">
        <v>3807.72</v>
      </c>
    </row>
    <row r="162" spans="1:6" ht="22.5">
      <c r="A162" s="80" t="s">
        <v>468</v>
      </c>
      <c r="B162" s="80" t="s">
        <v>741</v>
      </c>
      <c r="C162" s="80" t="s">
        <v>589</v>
      </c>
      <c r="D162" s="81" t="s">
        <v>906</v>
      </c>
      <c r="E162" s="80" t="s">
        <v>39</v>
      </c>
      <c r="F162" s="73">
        <v>12.66</v>
      </c>
    </row>
    <row r="163" spans="1:6" ht="22.5">
      <c r="A163" s="80" t="s">
        <v>470</v>
      </c>
      <c r="B163" s="80" t="s">
        <v>741</v>
      </c>
      <c r="C163" s="80" t="s">
        <v>589</v>
      </c>
      <c r="D163" s="81" t="s">
        <v>907</v>
      </c>
      <c r="E163" s="80" t="s">
        <v>39</v>
      </c>
      <c r="F163" s="73">
        <v>13.24</v>
      </c>
    </row>
    <row r="164" spans="1:6" ht="22.5">
      <c r="A164" s="133" t="s">
        <v>677</v>
      </c>
      <c r="B164" s="133" t="s">
        <v>741</v>
      </c>
      <c r="C164" s="80" t="s">
        <v>589</v>
      </c>
      <c r="D164" s="136" t="s">
        <v>908</v>
      </c>
      <c r="E164" s="133" t="s">
        <v>57</v>
      </c>
      <c r="F164" s="137">
        <v>57.09</v>
      </c>
    </row>
    <row r="165" spans="1:6" ht="45">
      <c r="A165" s="80" t="s">
        <v>210</v>
      </c>
      <c r="B165" s="80" t="s">
        <v>741</v>
      </c>
      <c r="C165" s="80" t="s">
        <v>589</v>
      </c>
      <c r="D165" s="81" t="s">
        <v>909</v>
      </c>
      <c r="E165" s="80" t="s">
        <v>57</v>
      </c>
      <c r="F165" s="73">
        <v>53.87</v>
      </c>
    </row>
    <row r="166" spans="1:6" ht="45">
      <c r="A166" s="80" t="s">
        <v>203</v>
      </c>
      <c r="B166" s="80" t="s">
        <v>741</v>
      </c>
      <c r="C166" s="80" t="s">
        <v>589</v>
      </c>
      <c r="D166" s="81" t="s">
        <v>910</v>
      </c>
      <c r="E166" s="80" t="s">
        <v>1316</v>
      </c>
      <c r="F166" s="73">
        <v>44.09</v>
      </c>
    </row>
    <row r="167" spans="1:6" ht="22.5">
      <c r="A167" s="80" t="s">
        <v>121</v>
      </c>
      <c r="B167" s="80" t="s">
        <v>741</v>
      </c>
      <c r="C167" s="80" t="s">
        <v>589</v>
      </c>
      <c r="D167" s="81" t="s">
        <v>911</v>
      </c>
      <c r="E167" s="80" t="s">
        <v>1</v>
      </c>
      <c r="F167" s="73">
        <v>473.94</v>
      </c>
    </row>
    <row r="168" spans="1:6" ht="22.5">
      <c r="A168" s="133" t="s">
        <v>610</v>
      </c>
      <c r="B168" s="133" t="s">
        <v>741</v>
      </c>
      <c r="C168" s="80" t="s">
        <v>589</v>
      </c>
      <c r="D168" s="136" t="s">
        <v>912</v>
      </c>
      <c r="E168" s="133" t="s">
        <v>1</v>
      </c>
      <c r="F168" s="137">
        <v>571.04</v>
      </c>
    </row>
    <row r="169" spans="1:6" ht="22.5">
      <c r="A169" s="133" t="s">
        <v>706</v>
      </c>
      <c r="B169" s="133" t="s">
        <v>741</v>
      </c>
      <c r="C169" s="80" t="s">
        <v>589</v>
      </c>
      <c r="D169" s="136" t="s">
        <v>913</v>
      </c>
      <c r="E169" s="133" t="s">
        <v>1</v>
      </c>
      <c r="F169" s="137">
        <v>532.46</v>
      </c>
    </row>
    <row r="170" spans="1:6" ht="22.5">
      <c r="A170" s="133" t="s">
        <v>702</v>
      </c>
      <c r="B170" s="133" t="s">
        <v>741</v>
      </c>
      <c r="C170" s="80" t="s">
        <v>589</v>
      </c>
      <c r="D170" s="136" t="s">
        <v>914</v>
      </c>
      <c r="E170" s="133" t="s">
        <v>1</v>
      </c>
      <c r="F170" s="137">
        <v>533.09</v>
      </c>
    </row>
    <row r="171" spans="1:6" ht="22.5">
      <c r="A171" s="80" t="s">
        <v>201</v>
      </c>
      <c r="B171" s="80" t="s">
        <v>741</v>
      </c>
      <c r="C171" s="80" t="s">
        <v>589</v>
      </c>
      <c r="D171" s="81" t="s">
        <v>915</v>
      </c>
      <c r="E171" s="80" t="s">
        <v>1</v>
      </c>
      <c r="F171" s="73">
        <v>885.18</v>
      </c>
    </row>
    <row r="172" spans="1:6" ht="22.5">
      <c r="A172" s="133" t="s">
        <v>717</v>
      </c>
      <c r="B172" s="133" t="s">
        <v>741</v>
      </c>
      <c r="C172" s="80" t="s">
        <v>589</v>
      </c>
      <c r="D172" s="136" t="s">
        <v>916</v>
      </c>
      <c r="E172" s="133" t="s">
        <v>39</v>
      </c>
      <c r="F172" s="137">
        <v>9.32</v>
      </c>
    </row>
    <row r="173" spans="1:6" ht="22.5">
      <c r="A173" s="80" t="s">
        <v>544</v>
      </c>
      <c r="B173" s="80" t="s">
        <v>741</v>
      </c>
      <c r="C173" s="80" t="s">
        <v>589</v>
      </c>
      <c r="D173" s="81" t="s">
        <v>917</v>
      </c>
      <c r="E173" s="80" t="s">
        <v>39</v>
      </c>
      <c r="F173" s="73">
        <v>37.79</v>
      </c>
    </row>
    <row r="174" spans="1:6" ht="22.5">
      <c r="A174" s="80" t="s">
        <v>236</v>
      </c>
      <c r="B174" s="80" t="s">
        <v>741</v>
      </c>
      <c r="C174" s="80" t="s">
        <v>589</v>
      </c>
      <c r="D174" s="81" t="s">
        <v>918</v>
      </c>
      <c r="E174" s="80" t="s">
        <v>1316</v>
      </c>
      <c r="F174" s="73">
        <v>68.53</v>
      </c>
    </row>
    <row r="175" spans="1:6" ht="22.5">
      <c r="A175" s="80" t="s">
        <v>228</v>
      </c>
      <c r="B175" s="80" t="s">
        <v>741</v>
      </c>
      <c r="C175" s="80" t="s">
        <v>589</v>
      </c>
      <c r="D175" s="81" t="s">
        <v>919</v>
      </c>
      <c r="E175" s="80" t="s">
        <v>1316</v>
      </c>
      <c r="F175" s="73">
        <v>28.36</v>
      </c>
    </row>
    <row r="176" spans="1:6" ht="22.5">
      <c r="A176" s="80" t="s">
        <v>230</v>
      </c>
      <c r="B176" s="80" t="s">
        <v>741</v>
      </c>
      <c r="C176" s="80" t="s">
        <v>589</v>
      </c>
      <c r="D176" s="81" t="s">
        <v>920</v>
      </c>
      <c r="E176" s="80" t="s">
        <v>1316</v>
      </c>
      <c r="F176" s="73">
        <v>43.76</v>
      </c>
    </row>
    <row r="177" spans="1:6" ht="33.75">
      <c r="A177" s="80" t="s">
        <v>133</v>
      </c>
      <c r="B177" s="80" t="s">
        <v>741</v>
      </c>
      <c r="C177" s="80" t="s">
        <v>589</v>
      </c>
      <c r="D177" s="81" t="s">
        <v>921</v>
      </c>
      <c r="E177" s="80" t="s">
        <v>1316</v>
      </c>
      <c r="F177" s="73">
        <v>97.82</v>
      </c>
    </row>
    <row r="178" spans="1:6" ht="33.75">
      <c r="A178" s="80" t="s">
        <v>135</v>
      </c>
      <c r="B178" s="80" t="s">
        <v>741</v>
      </c>
      <c r="C178" s="80" t="s">
        <v>589</v>
      </c>
      <c r="D178" s="81" t="s">
        <v>922</v>
      </c>
      <c r="E178" s="80" t="s">
        <v>1316</v>
      </c>
      <c r="F178" s="73">
        <v>188.95</v>
      </c>
    </row>
    <row r="179" spans="1:6" ht="33.75">
      <c r="A179" s="133" t="s">
        <v>923</v>
      </c>
      <c r="B179" s="133" t="s">
        <v>741</v>
      </c>
      <c r="C179" s="80" t="s">
        <v>589</v>
      </c>
      <c r="D179" s="136" t="s">
        <v>924</v>
      </c>
      <c r="E179" s="133" t="s">
        <v>833</v>
      </c>
      <c r="F179" s="137">
        <v>218.53</v>
      </c>
    </row>
    <row r="180" spans="1:6" ht="33.75">
      <c r="A180" s="133" t="s">
        <v>925</v>
      </c>
      <c r="B180" s="133" t="s">
        <v>741</v>
      </c>
      <c r="C180" s="80" t="s">
        <v>589</v>
      </c>
      <c r="D180" s="136" t="s">
        <v>926</v>
      </c>
      <c r="E180" s="133" t="s">
        <v>836</v>
      </c>
      <c r="F180" s="137">
        <v>76.91</v>
      </c>
    </row>
    <row r="181" spans="1:6" ht="22.5">
      <c r="A181" s="80" t="s">
        <v>66</v>
      </c>
      <c r="B181" s="80" t="s">
        <v>741</v>
      </c>
      <c r="C181" s="80" t="s">
        <v>589</v>
      </c>
      <c r="D181" s="81" t="s">
        <v>927</v>
      </c>
      <c r="E181" s="80" t="s">
        <v>1</v>
      </c>
      <c r="F181" s="73">
        <v>118.45</v>
      </c>
    </row>
    <row r="182" spans="1:6" ht="11.25">
      <c r="A182" s="80" t="s">
        <v>72</v>
      </c>
      <c r="B182" s="80" t="s">
        <v>741</v>
      </c>
      <c r="C182" s="80" t="s">
        <v>589</v>
      </c>
      <c r="D182" s="81" t="s">
        <v>928</v>
      </c>
      <c r="E182" s="80" t="s">
        <v>1</v>
      </c>
      <c r="F182" s="73">
        <v>46.5</v>
      </c>
    </row>
    <row r="183" spans="1:6" ht="33.75">
      <c r="A183" s="80" t="s">
        <v>572</v>
      </c>
      <c r="B183" s="80" t="s">
        <v>741</v>
      </c>
      <c r="C183" s="80" t="s">
        <v>589</v>
      </c>
      <c r="D183" s="81" t="s">
        <v>929</v>
      </c>
      <c r="E183" s="80" t="s">
        <v>57</v>
      </c>
      <c r="F183" s="73">
        <v>32.33</v>
      </c>
    </row>
    <row r="184" spans="1:6" ht="33.75">
      <c r="A184" s="80" t="s">
        <v>574</v>
      </c>
      <c r="B184" s="80" t="s">
        <v>741</v>
      </c>
      <c r="C184" s="80" t="s">
        <v>589</v>
      </c>
      <c r="D184" s="81" t="s">
        <v>930</v>
      </c>
      <c r="E184" s="80" t="s">
        <v>57</v>
      </c>
      <c r="F184" s="73">
        <v>57.27</v>
      </c>
    </row>
    <row r="185" spans="1:6" ht="22.5">
      <c r="A185" s="80" t="s">
        <v>1334</v>
      </c>
      <c r="B185" s="80" t="s">
        <v>741</v>
      </c>
      <c r="C185" s="80" t="s">
        <v>589</v>
      </c>
      <c r="D185" s="81" t="s">
        <v>931</v>
      </c>
      <c r="E185" s="80" t="s">
        <v>1</v>
      </c>
      <c r="F185" s="73">
        <v>50.96</v>
      </c>
    </row>
    <row r="186" spans="1:6" ht="22.5">
      <c r="A186" s="133" t="s">
        <v>704</v>
      </c>
      <c r="B186" s="133" t="s">
        <v>741</v>
      </c>
      <c r="C186" s="80" t="s">
        <v>589</v>
      </c>
      <c r="D186" s="136" t="s">
        <v>932</v>
      </c>
      <c r="E186" s="133" t="s">
        <v>1</v>
      </c>
      <c r="F186" s="137">
        <v>114.81</v>
      </c>
    </row>
    <row r="187" spans="1:6" ht="22.5">
      <c r="A187" s="133" t="s">
        <v>588</v>
      </c>
      <c r="B187" s="133" t="s">
        <v>741</v>
      </c>
      <c r="C187" s="80" t="s">
        <v>589</v>
      </c>
      <c r="D187" s="136" t="s">
        <v>933</v>
      </c>
      <c r="E187" s="133" t="s">
        <v>1316</v>
      </c>
      <c r="F187" s="137">
        <v>3.01</v>
      </c>
    </row>
    <row r="188" spans="1:6" ht="22.5">
      <c r="A188" s="133" t="s">
        <v>587</v>
      </c>
      <c r="B188" s="133" t="s">
        <v>741</v>
      </c>
      <c r="C188" s="80" t="s">
        <v>589</v>
      </c>
      <c r="D188" s="136" t="s">
        <v>934</v>
      </c>
      <c r="E188" s="133" t="s">
        <v>1316</v>
      </c>
      <c r="F188" s="137">
        <v>11.17</v>
      </c>
    </row>
    <row r="189" spans="1:6" ht="22.5">
      <c r="A189" s="80" t="s">
        <v>6</v>
      </c>
      <c r="B189" s="80" t="s">
        <v>741</v>
      </c>
      <c r="C189" s="80" t="s">
        <v>589</v>
      </c>
      <c r="D189" s="81" t="s">
        <v>935</v>
      </c>
      <c r="E189" s="80" t="s">
        <v>1316</v>
      </c>
      <c r="F189" s="73">
        <v>17.59</v>
      </c>
    </row>
    <row r="190" spans="1:6" ht="22.5">
      <c r="A190" s="80" t="s">
        <v>12</v>
      </c>
      <c r="B190" s="80" t="s">
        <v>741</v>
      </c>
      <c r="C190" s="80" t="s">
        <v>589</v>
      </c>
      <c r="D190" s="81" t="s">
        <v>936</v>
      </c>
      <c r="E190" s="80" t="s">
        <v>1316</v>
      </c>
      <c r="F190" s="73">
        <v>4.56</v>
      </c>
    </row>
    <row r="191" spans="1:6" ht="11.25">
      <c r="A191" s="80" t="s">
        <v>26</v>
      </c>
      <c r="B191" s="80" t="s">
        <v>741</v>
      </c>
      <c r="C191" s="80" t="s">
        <v>589</v>
      </c>
      <c r="D191" s="81" t="s">
        <v>937</v>
      </c>
      <c r="E191" s="80" t="s">
        <v>1316</v>
      </c>
      <c r="F191" s="73">
        <v>8.44</v>
      </c>
    </row>
    <row r="192" spans="1:6" ht="22.5">
      <c r="A192" s="80" t="s">
        <v>41</v>
      </c>
      <c r="B192" s="80" t="s">
        <v>741</v>
      </c>
      <c r="C192" s="80" t="s">
        <v>589</v>
      </c>
      <c r="D192" s="81" t="s">
        <v>938</v>
      </c>
      <c r="E192" s="80" t="s">
        <v>57</v>
      </c>
      <c r="F192" s="73">
        <v>0.61</v>
      </c>
    </row>
    <row r="193" spans="1:6" ht="11.25">
      <c r="A193" s="80" t="s">
        <v>10</v>
      </c>
      <c r="B193" s="80" t="s">
        <v>741</v>
      </c>
      <c r="C193" s="80" t="s">
        <v>589</v>
      </c>
      <c r="D193" s="81" t="s">
        <v>939</v>
      </c>
      <c r="E193" s="80" t="s">
        <v>39</v>
      </c>
      <c r="F193" s="73">
        <v>1.17</v>
      </c>
    </row>
    <row r="194" spans="1:6" ht="22.5">
      <c r="A194" s="80" t="s">
        <v>197</v>
      </c>
      <c r="B194" s="80" t="s">
        <v>741</v>
      </c>
      <c r="C194" s="80" t="s">
        <v>589</v>
      </c>
      <c r="D194" s="81" t="s">
        <v>940</v>
      </c>
      <c r="E194" s="80" t="s">
        <v>1316</v>
      </c>
      <c r="F194" s="73">
        <v>24.76</v>
      </c>
    </row>
    <row r="195" spans="1:6" ht="22.5">
      <c r="A195" s="133" t="s">
        <v>595</v>
      </c>
      <c r="B195" s="133" t="s">
        <v>741</v>
      </c>
      <c r="C195" s="80" t="s">
        <v>589</v>
      </c>
      <c r="D195" s="136" t="s">
        <v>941</v>
      </c>
      <c r="E195" s="133" t="s">
        <v>942</v>
      </c>
      <c r="F195" s="137">
        <v>2.82</v>
      </c>
    </row>
    <row r="196" spans="1:6" ht="22.5">
      <c r="A196" s="133" t="s">
        <v>594</v>
      </c>
      <c r="B196" s="133" t="s">
        <v>741</v>
      </c>
      <c r="C196" s="80" t="s">
        <v>589</v>
      </c>
      <c r="D196" s="136" t="s">
        <v>943</v>
      </c>
      <c r="E196" s="133" t="s">
        <v>942</v>
      </c>
      <c r="F196" s="137">
        <v>1.13</v>
      </c>
    </row>
    <row r="197" spans="1:6" ht="22.5">
      <c r="A197" s="133" t="s">
        <v>701</v>
      </c>
      <c r="B197" s="133" t="s">
        <v>741</v>
      </c>
      <c r="C197" s="80" t="s">
        <v>589</v>
      </c>
      <c r="D197" s="136" t="s">
        <v>944</v>
      </c>
      <c r="E197" s="133" t="s">
        <v>57</v>
      </c>
      <c r="F197" s="137">
        <v>642.28</v>
      </c>
    </row>
    <row r="198" spans="1:6" ht="22.5">
      <c r="A198" s="80" t="s">
        <v>314</v>
      </c>
      <c r="B198" s="80" t="s">
        <v>741</v>
      </c>
      <c r="C198" s="80" t="s">
        <v>589</v>
      </c>
      <c r="D198" s="81" t="s">
        <v>945</v>
      </c>
      <c r="E198" s="80" t="s">
        <v>1316</v>
      </c>
      <c r="F198" s="73">
        <v>44.11</v>
      </c>
    </row>
    <row r="199" spans="1:6" ht="11.25">
      <c r="A199" s="80" t="s">
        <v>363</v>
      </c>
      <c r="B199" s="80" t="s">
        <v>741</v>
      </c>
      <c r="C199" s="80" t="s">
        <v>589</v>
      </c>
      <c r="D199" s="81" t="s">
        <v>946</v>
      </c>
      <c r="E199" s="80" t="s">
        <v>1316</v>
      </c>
      <c r="F199" s="73">
        <v>3.19</v>
      </c>
    </row>
    <row r="200" spans="1:6" ht="11.25">
      <c r="A200" s="80" t="s">
        <v>281</v>
      </c>
      <c r="B200" s="80" t="s">
        <v>741</v>
      </c>
      <c r="C200" s="80" t="s">
        <v>589</v>
      </c>
      <c r="D200" s="81" t="s">
        <v>947</v>
      </c>
      <c r="E200" s="80" t="s">
        <v>1316</v>
      </c>
      <c r="F200" s="73">
        <v>1.76</v>
      </c>
    </row>
    <row r="201" spans="1:6" ht="11.25">
      <c r="A201" s="80" t="s">
        <v>365</v>
      </c>
      <c r="B201" s="80" t="s">
        <v>741</v>
      </c>
      <c r="C201" s="80" t="s">
        <v>589</v>
      </c>
      <c r="D201" s="81" t="s">
        <v>948</v>
      </c>
      <c r="E201" s="80" t="s">
        <v>1316</v>
      </c>
      <c r="F201" s="73">
        <v>2.73</v>
      </c>
    </row>
    <row r="202" spans="1:6" ht="11.25">
      <c r="A202" s="80" t="s">
        <v>367</v>
      </c>
      <c r="B202" s="80" t="s">
        <v>741</v>
      </c>
      <c r="C202" s="80" t="s">
        <v>589</v>
      </c>
      <c r="D202" s="81" t="s">
        <v>949</v>
      </c>
      <c r="E202" s="80" t="s">
        <v>1316</v>
      </c>
      <c r="F202" s="73">
        <v>2.27</v>
      </c>
    </row>
    <row r="203" spans="1:6" ht="33.75">
      <c r="A203" s="133" t="s">
        <v>718</v>
      </c>
      <c r="B203" s="133" t="s">
        <v>1305</v>
      </c>
      <c r="C203" s="133" t="s">
        <v>661</v>
      </c>
      <c r="D203" s="136" t="s">
        <v>950</v>
      </c>
      <c r="E203" s="133" t="s">
        <v>1320</v>
      </c>
      <c r="F203" s="138">
        <v>16.48</v>
      </c>
    </row>
    <row r="204" spans="1:6" ht="11.25">
      <c r="A204" s="133" t="s">
        <v>647</v>
      </c>
      <c r="B204" s="133" t="s">
        <v>1305</v>
      </c>
      <c r="C204" s="133" t="s">
        <v>661</v>
      </c>
      <c r="D204" s="136" t="s">
        <v>951</v>
      </c>
      <c r="E204" s="133" t="s">
        <v>1320</v>
      </c>
      <c r="F204" s="138">
        <v>18.69</v>
      </c>
    </row>
    <row r="205" spans="1:6" ht="22.5">
      <c r="A205" s="133" t="s">
        <v>715</v>
      </c>
      <c r="B205" s="133" t="s">
        <v>1305</v>
      </c>
      <c r="C205" s="133" t="s">
        <v>661</v>
      </c>
      <c r="D205" s="136" t="s">
        <v>952</v>
      </c>
      <c r="E205" s="133" t="s">
        <v>953</v>
      </c>
      <c r="F205" s="138">
        <v>50.05</v>
      </c>
    </row>
    <row r="206" spans="1:6" ht="22.5">
      <c r="A206" s="133" t="s">
        <v>637</v>
      </c>
      <c r="B206" s="133" t="s">
        <v>1305</v>
      </c>
      <c r="C206" s="133" t="s">
        <v>661</v>
      </c>
      <c r="D206" s="136" t="s">
        <v>954</v>
      </c>
      <c r="E206" s="133" t="s">
        <v>1316</v>
      </c>
      <c r="F206" s="138">
        <v>117.76</v>
      </c>
    </row>
    <row r="207" spans="1:6" ht="11.25">
      <c r="A207" s="133" t="s">
        <v>723</v>
      </c>
      <c r="B207" s="133" t="s">
        <v>1305</v>
      </c>
      <c r="C207" s="133" t="s">
        <v>661</v>
      </c>
      <c r="D207" s="136" t="s">
        <v>559</v>
      </c>
      <c r="E207" s="133" t="s">
        <v>1307</v>
      </c>
      <c r="F207" s="138">
        <v>14.63</v>
      </c>
    </row>
    <row r="208" spans="1:6" ht="11.25">
      <c r="A208" s="133" t="s">
        <v>722</v>
      </c>
      <c r="B208" s="133" t="s">
        <v>1305</v>
      </c>
      <c r="C208" s="133" t="s">
        <v>661</v>
      </c>
      <c r="D208" s="136" t="s">
        <v>955</v>
      </c>
      <c r="E208" s="133" t="s">
        <v>1320</v>
      </c>
      <c r="F208" s="138">
        <v>25.05</v>
      </c>
    </row>
    <row r="209" spans="1:6" ht="11.25">
      <c r="A209" s="133" t="s">
        <v>709</v>
      </c>
      <c r="B209" s="133" t="s">
        <v>1305</v>
      </c>
      <c r="C209" s="133" t="s">
        <v>661</v>
      </c>
      <c r="D209" s="136" t="s">
        <v>956</v>
      </c>
      <c r="E209" s="133" t="s">
        <v>1307</v>
      </c>
      <c r="F209" s="138">
        <v>2.6</v>
      </c>
    </row>
    <row r="210" spans="1:6" ht="11.25">
      <c r="A210" s="133" t="s">
        <v>579</v>
      </c>
      <c r="B210" s="133" t="s">
        <v>1305</v>
      </c>
      <c r="C210" s="133" t="s">
        <v>661</v>
      </c>
      <c r="D210" s="136" t="s">
        <v>957</v>
      </c>
      <c r="E210" s="133" t="s">
        <v>958</v>
      </c>
      <c r="F210" s="138">
        <v>233.94</v>
      </c>
    </row>
    <row r="211" spans="1:6" ht="22.5">
      <c r="A211" s="133" t="s">
        <v>669</v>
      </c>
      <c r="B211" s="133" t="s">
        <v>1305</v>
      </c>
      <c r="C211" s="133" t="s">
        <v>661</v>
      </c>
      <c r="D211" s="136" t="s">
        <v>959</v>
      </c>
      <c r="E211" s="133" t="s">
        <v>737</v>
      </c>
      <c r="F211" s="138">
        <v>13.67</v>
      </c>
    </row>
    <row r="212" spans="1:6" ht="11.25">
      <c r="A212" s="133" t="s">
        <v>584</v>
      </c>
      <c r="B212" s="133" t="s">
        <v>1305</v>
      </c>
      <c r="C212" s="133" t="s">
        <v>661</v>
      </c>
      <c r="D212" s="136" t="s">
        <v>960</v>
      </c>
      <c r="E212" s="133" t="s">
        <v>1320</v>
      </c>
      <c r="F212" s="138">
        <v>0.07</v>
      </c>
    </row>
    <row r="213" spans="1:6" ht="22.5">
      <c r="A213" s="133" t="s">
        <v>670</v>
      </c>
      <c r="B213" s="133" t="s">
        <v>1305</v>
      </c>
      <c r="C213" s="133" t="s">
        <v>661</v>
      </c>
      <c r="D213" s="136" t="s">
        <v>961</v>
      </c>
      <c r="E213" s="133" t="s">
        <v>737</v>
      </c>
      <c r="F213" s="138">
        <v>3.2</v>
      </c>
    </row>
    <row r="214" spans="1:6" ht="22.5">
      <c r="A214" s="80" t="s">
        <v>641</v>
      </c>
      <c r="B214" s="133" t="s">
        <v>1305</v>
      </c>
      <c r="C214" s="133" t="s">
        <v>661</v>
      </c>
      <c r="D214" s="136" t="s">
        <v>962</v>
      </c>
      <c r="E214" s="133" t="s">
        <v>1307</v>
      </c>
      <c r="F214" s="138">
        <v>308.03</v>
      </c>
    </row>
    <row r="215" spans="1:6" ht="11.25">
      <c r="A215" s="133" t="s">
        <v>719</v>
      </c>
      <c r="B215" s="133" t="s">
        <v>1305</v>
      </c>
      <c r="C215" s="133" t="s">
        <v>661</v>
      </c>
      <c r="D215" s="136" t="s">
        <v>963</v>
      </c>
      <c r="E215" s="133" t="s">
        <v>1307</v>
      </c>
      <c r="F215" s="138">
        <v>3.3</v>
      </c>
    </row>
    <row r="216" spans="1:6" ht="22.5">
      <c r="A216" s="133" t="s">
        <v>707</v>
      </c>
      <c r="B216" s="133" t="s">
        <v>1305</v>
      </c>
      <c r="C216" s="133" t="s">
        <v>661</v>
      </c>
      <c r="D216" s="136" t="s">
        <v>964</v>
      </c>
      <c r="E216" s="133" t="s">
        <v>1307</v>
      </c>
      <c r="F216" s="138">
        <v>1798.22</v>
      </c>
    </row>
    <row r="217" spans="1:6" ht="11.25">
      <c r="A217" s="133" t="s">
        <v>654</v>
      </c>
      <c r="B217" s="133" t="s">
        <v>1305</v>
      </c>
      <c r="C217" s="133" t="s">
        <v>661</v>
      </c>
      <c r="D217" s="136" t="s">
        <v>965</v>
      </c>
      <c r="E217" s="133" t="s">
        <v>966</v>
      </c>
      <c r="F217" s="138">
        <v>23.52</v>
      </c>
    </row>
    <row r="218" spans="1:6" ht="22.5">
      <c r="A218" s="133" t="s">
        <v>699</v>
      </c>
      <c r="B218" s="133" t="s">
        <v>1305</v>
      </c>
      <c r="C218" s="133" t="s">
        <v>661</v>
      </c>
      <c r="D218" s="136" t="s">
        <v>967</v>
      </c>
      <c r="E218" s="133" t="s">
        <v>1307</v>
      </c>
      <c r="F218" s="138">
        <v>117.26</v>
      </c>
    </row>
    <row r="219" spans="1:6" ht="22.5">
      <c r="A219" s="133" t="s">
        <v>688</v>
      </c>
      <c r="B219" s="133" t="s">
        <v>1305</v>
      </c>
      <c r="C219" s="133" t="s">
        <v>661</v>
      </c>
      <c r="D219" s="136" t="s">
        <v>968</v>
      </c>
      <c r="E219" s="133" t="s">
        <v>1320</v>
      </c>
      <c r="F219" s="138">
        <v>45.58</v>
      </c>
    </row>
    <row r="220" spans="1:6" ht="22.5">
      <c r="A220" s="133" t="s">
        <v>689</v>
      </c>
      <c r="B220" s="133" t="s">
        <v>1305</v>
      </c>
      <c r="C220" s="133" t="s">
        <v>661</v>
      </c>
      <c r="D220" s="136" t="s">
        <v>969</v>
      </c>
      <c r="E220" s="133" t="s">
        <v>1320</v>
      </c>
      <c r="F220" s="138">
        <v>51.95</v>
      </c>
    </row>
    <row r="221" spans="1:6" ht="22.5">
      <c r="A221" s="133" t="s">
        <v>690</v>
      </c>
      <c r="B221" s="133" t="s">
        <v>1305</v>
      </c>
      <c r="C221" s="133" t="s">
        <v>661</v>
      </c>
      <c r="D221" s="136" t="s">
        <v>970</v>
      </c>
      <c r="E221" s="133" t="s">
        <v>1320</v>
      </c>
      <c r="F221" s="138">
        <v>60.6</v>
      </c>
    </row>
    <row r="222" spans="1:6" ht="22.5">
      <c r="A222" s="133" t="s">
        <v>691</v>
      </c>
      <c r="B222" s="133" t="s">
        <v>1305</v>
      </c>
      <c r="C222" s="133" t="s">
        <v>661</v>
      </c>
      <c r="D222" s="136" t="s">
        <v>971</v>
      </c>
      <c r="E222" s="133" t="s">
        <v>1320</v>
      </c>
      <c r="F222" s="138">
        <v>123.8</v>
      </c>
    </row>
    <row r="223" spans="1:6" ht="22.5">
      <c r="A223" s="133" t="s">
        <v>695</v>
      </c>
      <c r="B223" s="133" t="s">
        <v>1305</v>
      </c>
      <c r="C223" s="133" t="s">
        <v>661</v>
      </c>
      <c r="D223" s="136" t="s">
        <v>972</v>
      </c>
      <c r="E223" s="133" t="s">
        <v>1307</v>
      </c>
      <c r="F223" s="138">
        <v>79.99</v>
      </c>
    </row>
    <row r="224" spans="1:6" ht="22.5">
      <c r="A224" s="133" t="s">
        <v>696</v>
      </c>
      <c r="B224" s="133" t="s">
        <v>1305</v>
      </c>
      <c r="C224" s="133" t="s">
        <v>661</v>
      </c>
      <c r="D224" s="136" t="s">
        <v>973</v>
      </c>
      <c r="E224" s="133" t="s">
        <v>1307</v>
      </c>
      <c r="F224" s="138">
        <v>100.28</v>
      </c>
    </row>
    <row r="225" spans="1:6" ht="22.5">
      <c r="A225" s="133" t="s">
        <v>697</v>
      </c>
      <c r="B225" s="133" t="s">
        <v>1305</v>
      </c>
      <c r="C225" s="133" t="s">
        <v>661</v>
      </c>
      <c r="D225" s="136" t="s">
        <v>974</v>
      </c>
      <c r="E225" s="133" t="s">
        <v>1307</v>
      </c>
      <c r="F225" s="138">
        <v>56.42</v>
      </c>
    </row>
    <row r="226" spans="1:6" ht="22.5">
      <c r="A226" s="133" t="s">
        <v>698</v>
      </c>
      <c r="B226" s="133" t="s">
        <v>1305</v>
      </c>
      <c r="C226" s="133" t="s">
        <v>661</v>
      </c>
      <c r="D226" s="136" t="s">
        <v>975</v>
      </c>
      <c r="E226" s="133" t="s">
        <v>1307</v>
      </c>
      <c r="F226" s="138">
        <v>38.97</v>
      </c>
    </row>
    <row r="227" spans="1:6" ht="22.5">
      <c r="A227" s="133" t="s">
        <v>693</v>
      </c>
      <c r="B227" s="133" t="s">
        <v>1305</v>
      </c>
      <c r="C227" s="133" t="s">
        <v>661</v>
      </c>
      <c r="D227" s="136" t="s">
        <v>976</v>
      </c>
      <c r="E227" s="133" t="s">
        <v>1307</v>
      </c>
      <c r="F227" s="138">
        <v>21.28</v>
      </c>
    </row>
    <row r="228" spans="1:6" ht="22.5">
      <c r="A228" s="133" t="s">
        <v>694</v>
      </c>
      <c r="B228" s="133" t="s">
        <v>1305</v>
      </c>
      <c r="C228" s="133" t="s">
        <v>661</v>
      </c>
      <c r="D228" s="136" t="s">
        <v>977</v>
      </c>
      <c r="E228" s="133" t="s">
        <v>1307</v>
      </c>
      <c r="F228" s="138">
        <v>23.31</v>
      </c>
    </row>
    <row r="229" spans="1:6" ht="22.5">
      <c r="A229" s="133" t="s">
        <v>692</v>
      </c>
      <c r="B229" s="133" t="s">
        <v>1305</v>
      </c>
      <c r="C229" s="133" t="s">
        <v>661</v>
      </c>
      <c r="D229" s="136" t="s">
        <v>978</v>
      </c>
      <c r="E229" s="133" t="s">
        <v>1307</v>
      </c>
      <c r="F229" s="138">
        <v>33.75</v>
      </c>
    </row>
    <row r="230" spans="1:6" ht="11.25">
      <c r="A230" s="133" t="s">
        <v>720</v>
      </c>
      <c r="B230" s="133" t="s">
        <v>1305</v>
      </c>
      <c r="C230" s="133" t="s">
        <v>661</v>
      </c>
      <c r="D230" s="136" t="s">
        <v>979</v>
      </c>
      <c r="E230" s="133" t="s">
        <v>1307</v>
      </c>
      <c r="F230" s="138">
        <v>2.2</v>
      </c>
    </row>
    <row r="231" spans="1:6" ht="22.5">
      <c r="A231" s="133" t="s">
        <v>711</v>
      </c>
      <c r="B231" s="133" t="s">
        <v>1305</v>
      </c>
      <c r="C231" s="133" t="s">
        <v>661</v>
      </c>
      <c r="D231" s="136" t="s">
        <v>980</v>
      </c>
      <c r="E231" s="133" t="s">
        <v>1307</v>
      </c>
      <c r="F231" s="138">
        <v>151.95</v>
      </c>
    </row>
    <row r="232" spans="1:6" ht="11.25">
      <c r="A232" s="133" t="s">
        <v>721</v>
      </c>
      <c r="B232" s="133" t="s">
        <v>1305</v>
      </c>
      <c r="C232" s="133" t="s">
        <v>661</v>
      </c>
      <c r="D232" s="136" t="s">
        <v>981</v>
      </c>
      <c r="E232" s="133" t="s">
        <v>1307</v>
      </c>
      <c r="F232" s="138">
        <v>9.88</v>
      </c>
    </row>
    <row r="233" spans="1:6" ht="11.25">
      <c r="A233" s="133" t="s">
        <v>686</v>
      </c>
      <c r="B233" s="133" t="s">
        <v>1305</v>
      </c>
      <c r="C233" s="133" t="s">
        <v>661</v>
      </c>
      <c r="D233" s="136" t="s">
        <v>982</v>
      </c>
      <c r="E233" s="133" t="s">
        <v>1307</v>
      </c>
      <c r="F233" s="138">
        <v>140.13</v>
      </c>
    </row>
    <row r="234" spans="1:6" ht="11.25">
      <c r="A234" s="133" t="s">
        <v>675</v>
      </c>
      <c r="B234" s="133" t="s">
        <v>1305</v>
      </c>
      <c r="C234" s="133" t="s">
        <v>661</v>
      </c>
      <c r="D234" s="136" t="s">
        <v>983</v>
      </c>
      <c r="E234" s="133" t="s">
        <v>749</v>
      </c>
      <c r="F234" s="138">
        <v>127.97</v>
      </c>
    </row>
    <row r="235" spans="1:6" ht="11.25">
      <c r="A235" s="133" t="s">
        <v>676</v>
      </c>
      <c r="B235" s="133" t="s">
        <v>1305</v>
      </c>
      <c r="C235" s="133" t="s">
        <v>661</v>
      </c>
      <c r="D235" s="136" t="s">
        <v>984</v>
      </c>
      <c r="E235" s="133" t="s">
        <v>749</v>
      </c>
      <c r="F235" s="138">
        <v>165.85</v>
      </c>
    </row>
    <row r="236" spans="1:6" ht="11.25">
      <c r="A236" s="133" t="s">
        <v>632</v>
      </c>
      <c r="B236" s="133" t="s">
        <v>1305</v>
      </c>
      <c r="C236" s="133" t="s">
        <v>661</v>
      </c>
      <c r="D236" s="136" t="s">
        <v>985</v>
      </c>
      <c r="E236" s="133" t="s">
        <v>986</v>
      </c>
      <c r="F236" s="138">
        <v>270.2</v>
      </c>
    </row>
  </sheetData>
  <sheetProtection/>
  <mergeCells count="9">
    <mergeCell ref="A7:F7"/>
    <mergeCell ref="A2:B2"/>
    <mergeCell ref="E2:F2"/>
    <mergeCell ref="A4:B4"/>
    <mergeCell ref="C4:D4"/>
    <mergeCell ref="E4:F4"/>
    <mergeCell ref="A6:B6"/>
    <mergeCell ref="C6:D6"/>
    <mergeCell ref="E6:F6"/>
  </mergeCells>
  <printOptions/>
  <pageMargins left="0.7875" right="0.7875" top="0.7875" bottom="0.7875" header="0.511805555555555" footer="0.511805555555555"/>
  <pageSetup fitToHeight="0" fitToWidth="1" horizontalDpi="300" verticalDpi="300" orientation="portrait" paperSize="9" scale="67" r:id="rId1"/>
</worksheet>
</file>

<file path=xl/worksheets/sheet6.xml><?xml version="1.0" encoding="utf-8"?>
<worksheet xmlns="http://schemas.openxmlformats.org/spreadsheetml/2006/main" xmlns:r="http://schemas.openxmlformats.org/officeDocument/2006/relationships">
  <dimension ref="A1:F66"/>
  <sheetViews>
    <sheetView showOutlineSymbols="0" view="pageBreakPreview" zoomScaleSheetLayoutView="100" zoomScalePageLayoutView="140" workbookViewId="0" topLeftCell="A1">
      <selection activeCell="A1" sqref="A1"/>
    </sheetView>
  </sheetViews>
  <sheetFormatPr defaultColWidth="11.57421875" defaultRowHeight="12.75"/>
  <cols>
    <col min="1" max="1" width="26.8515625" style="0" customWidth="1"/>
    <col min="2" max="3" width="20.00390625" style="0" customWidth="1"/>
    <col min="4" max="4" width="2.28125" style="0" customWidth="1"/>
    <col min="5" max="6" width="20.00390625" style="0" customWidth="1"/>
  </cols>
  <sheetData>
    <row r="1" spans="1:6" ht="12.75">
      <c r="A1" s="139" t="str">
        <f>'Orçamento Sintético'!A1</f>
        <v>P. Execução:</v>
      </c>
      <c r="B1" s="248" t="str">
        <f>'Orçamento Sintético'!D1</f>
        <v>Objeto: Impermeabilização, revitalização, construção de guaritas e depósitos no subsolo do Edifício Sede</v>
      </c>
      <c r="C1" s="248"/>
      <c r="D1" s="248"/>
      <c r="E1" s="248"/>
      <c r="F1" s="140" t="str">
        <f>'Orçamento Sintético'!C1</f>
        <v>Licitação:</v>
      </c>
    </row>
    <row r="2" spans="1:6" ht="12.75">
      <c r="A2" s="141" t="str">
        <f>'Orçamento Sintético'!A2</f>
        <v>A</v>
      </c>
      <c r="B2" s="249" t="str">
        <f>'Orçamento Sintético'!D2</f>
        <v>Local: Eixo Monumental, Praça do Buriti, Lote 2, Sede do MPDFT, Brasília-DF</v>
      </c>
      <c r="C2" s="249"/>
      <c r="D2" s="249"/>
      <c r="E2" s="249"/>
      <c r="F2" s="142" t="str">
        <f>'Orçamento Sintético'!C2</f>
        <v>B</v>
      </c>
    </row>
    <row r="3" spans="1:6" ht="12.75">
      <c r="A3" s="143" t="str">
        <f>'Orçamento Sintético'!A3</f>
        <v>P. Validade:</v>
      </c>
      <c r="B3" s="250" t="str">
        <f>'Orçamento Sintético'!C3</f>
        <v>Razão Social:</v>
      </c>
      <c r="C3" s="250"/>
      <c r="D3" s="250"/>
      <c r="E3" s="250"/>
      <c r="F3" s="144" t="str">
        <f>'Orçamento Sintético'!E1</f>
        <v>Data:</v>
      </c>
    </row>
    <row r="4" spans="1:6" ht="12.75">
      <c r="A4" s="141" t="str">
        <f>'Orçamento Sintético'!A4</f>
        <v>C</v>
      </c>
      <c r="B4" s="244" t="str">
        <f>'Orçamento Sintético'!C4</f>
        <v>D</v>
      </c>
      <c r="C4" s="244"/>
      <c r="D4" s="244"/>
      <c r="E4" s="244"/>
      <c r="F4" s="145">
        <f>'Orçamento Sintético'!E2</f>
        <v>1</v>
      </c>
    </row>
    <row r="5" spans="1:6" ht="12.75">
      <c r="A5" s="139" t="str">
        <f>'Orçamento Sintético'!A5</f>
        <v>P. Garantia:</v>
      </c>
      <c r="B5" s="251" t="str">
        <f>'Orçamento Sintético'!C5</f>
        <v>CNPJ:</v>
      </c>
      <c r="C5" s="251"/>
      <c r="D5" s="251"/>
      <c r="E5" s="251"/>
      <c r="F5" s="140" t="str">
        <f>'Orçamento Sintético'!E3</f>
        <v>Telefone:</v>
      </c>
    </row>
    <row r="6" spans="1:6" ht="12.75">
      <c r="A6" s="141" t="str">
        <f>'Orçamento Sintético'!A6</f>
        <v>F</v>
      </c>
      <c r="B6" s="244" t="str">
        <f>'Orçamento Sintético'!C6</f>
        <v>G</v>
      </c>
      <c r="C6" s="244"/>
      <c r="D6" s="244"/>
      <c r="E6" s="244"/>
      <c r="F6" s="145" t="str">
        <f>'Orçamento Sintético'!E4</f>
        <v>E</v>
      </c>
    </row>
    <row r="7" spans="1:6" ht="13.5" customHeight="1">
      <c r="A7" s="245" t="s">
        <v>987</v>
      </c>
      <c r="B7" s="245"/>
      <c r="C7" s="245"/>
      <c r="D7" s="245"/>
      <c r="E7" s="245"/>
      <c r="F7" s="245"/>
    </row>
    <row r="8" spans="1:6" ht="13.5" customHeight="1">
      <c r="A8" s="246" t="s">
        <v>1265</v>
      </c>
      <c r="B8" s="247" t="s">
        <v>988</v>
      </c>
      <c r="C8" s="247"/>
      <c r="D8" s="147"/>
      <c r="E8" s="247" t="s">
        <v>989</v>
      </c>
      <c r="F8" s="247"/>
    </row>
    <row r="9" spans="1:6" ht="12.75">
      <c r="A9" s="246"/>
      <c r="B9" s="146" t="s">
        <v>990</v>
      </c>
      <c r="C9" s="146" t="s">
        <v>991</v>
      </c>
      <c r="D9" s="148"/>
      <c r="E9" s="146" t="s">
        <v>990</v>
      </c>
      <c r="F9" s="146" t="s">
        <v>991</v>
      </c>
    </row>
    <row r="10" spans="1:6" ht="12.75">
      <c r="A10" s="149" t="s">
        <v>992</v>
      </c>
      <c r="B10" s="149" t="s">
        <v>993</v>
      </c>
      <c r="C10" s="149" t="s">
        <v>994</v>
      </c>
      <c r="D10" s="148"/>
      <c r="E10" s="146"/>
      <c r="F10" s="146"/>
    </row>
    <row r="11" spans="1:6" ht="12.75">
      <c r="A11" s="150" t="s">
        <v>995</v>
      </c>
      <c r="B11" s="151" t="s">
        <v>993</v>
      </c>
      <c r="C11" s="149" t="s">
        <v>996</v>
      </c>
      <c r="D11" s="148"/>
      <c r="E11" s="146"/>
      <c r="F11" s="146"/>
    </row>
    <row r="12" spans="1:6" ht="12.75">
      <c r="A12" s="150" t="s">
        <v>997</v>
      </c>
      <c r="B12" s="151" t="s">
        <v>993</v>
      </c>
      <c r="C12" s="149" t="s">
        <v>998</v>
      </c>
      <c r="D12" s="148"/>
      <c r="E12" s="146"/>
      <c r="F12" s="146"/>
    </row>
    <row r="13" spans="1:6" ht="12.75">
      <c r="A13" s="150" t="s">
        <v>999</v>
      </c>
      <c r="B13" s="151" t="s">
        <v>993</v>
      </c>
      <c r="C13" s="149" t="s">
        <v>1000</v>
      </c>
      <c r="D13" s="148"/>
      <c r="E13" s="146"/>
      <c r="F13" s="146"/>
    </row>
    <row r="14" spans="1:6" ht="12.75">
      <c r="A14" s="150" t="s">
        <v>1001</v>
      </c>
      <c r="B14" s="151" t="s">
        <v>993</v>
      </c>
      <c r="C14" s="149" t="s">
        <v>1002</v>
      </c>
      <c r="D14" s="148"/>
      <c r="E14" s="146"/>
      <c r="F14" s="146"/>
    </row>
    <row r="15" spans="1:6" ht="12.75">
      <c r="A15" s="150" t="s">
        <v>1003</v>
      </c>
      <c r="B15" s="151" t="s">
        <v>1004</v>
      </c>
      <c r="C15" s="149" t="s">
        <v>1005</v>
      </c>
      <c r="D15" s="148"/>
      <c r="E15" s="146"/>
      <c r="F15" s="146"/>
    </row>
    <row r="16" spans="1:6" ht="12.75">
      <c r="A16" s="150" t="s">
        <v>1006</v>
      </c>
      <c r="B16" s="151" t="s">
        <v>1007</v>
      </c>
      <c r="C16" s="149" t="s">
        <v>1008</v>
      </c>
      <c r="D16" s="148"/>
      <c r="E16" s="146"/>
      <c r="F16" s="146"/>
    </row>
    <row r="17" spans="1:6" ht="12.75">
      <c r="A17" s="150" t="s">
        <v>1009</v>
      </c>
      <c r="B17" s="152" t="s">
        <v>993</v>
      </c>
      <c r="C17" s="153" t="s">
        <v>1010</v>
      </c>
      <c r="D17" s="148"/>
      <c r="E17" s="146"/>
      <c r="F17" s="146"/>
    </row>
    <row r="18" spans="1:6" ht="12.75">
      <c r="A18" s="150" t="s">
        <v>1011</v>
      </c>
      <c r="B18" s="152" t="s">
        <v>993</v>
      </c>
      <c r="C18" s="153" t="s">
        <v>1012</v>
      </c>
      <c r="D18" s="148"/>
      <c r="E18" s="146"/>
      <c r="F18" s="146"/>
    </row>
    <row r="19" spans="1:6" ht="33.75">
      <c r="A19" s="150" t="s">
        <v>1013</v>
      </c>
      <c r="B19" s="151" t="s">
        <v>1014</v>
      </c>
      <c r="C19" s="149" t="s">
        <v>1015</v>
      </c>
      <c r="D19" s="154"/>
      <c r="E19" s="155"/>
      <c r="F19" s="155"/>
    </row>
    <row r="20" spans="1:6" ht="33.75">
      <c r="A20" s="150" t="s">
        <v>1013</v>
      </c>
      <c r="B20" s="151" t="s">
        <v>1014</v>
      </c>
      <c r="C20" s="149" t="s">
        <v>1016</v>
      </c>
      <c r="D20" s="154"/>
      <c r="E20" s="155"/>
      <c r="F20" s="155"/>
    </row>
    <row r="21" spans="1:6" ht="12.75">
      <c r="A21" s="150" t="s">
        <v>1017</v>
      </c>
      <c r="B21" s="151" t="s">
        <v>1014</v>
      </c>
      <c r="C21" s="149" t="s">
        <v>1018</v>
      </c>
      <c r="D21" s="154"/>
      <c r="E21" s="155"/>
      <c r="F21" s="155"/>
    </row>
    <row r="22" spans="1:6" ht="22.5">
      <c r="A22" s="150" t="s">
        <v>1019</v>
      </c>
      <c r="B22" s="156" t="s">
        <v>1020</v>
      </c>
      <c r="C22" s="156" t="s">
        <v>1021</v>
      </c>
      <c r="D22" s="154"/>
      <c r="E22" s="155"/>
      <c r="F22" s="155"/>
    </row>
    <row r="23" spans="1:6" ht="12.75">
      <c r="A23" s="150" t="s">
        <v>1022</v>
      </c>
      <c r="B23" s="157" t="s">
        <v>1023</v>
      </c>
      <c r="C23" s="157" t="s">
        <v>1023</v>
      </c>
      <c r="D23" s="154"/>
      <c r="E23" s="155"/>
      <c r="F23" s="155"/>
    </row>
    <row r="24" spans="1:6" ht="12.75">
      <c r="A24" s="150" t="s">
        <v>1024</v>
      </c>
      <c r="B24" s="157" t="s">
        <v>1023</v>
      </c>
      <c r="C24" s="157" t="s">
        <v>1023</v>
      </c>
      <c r="D24" s="154"/>
      <c r="E24" s="155"/>
      <c r="F24" s="155"/>
    </row>
    <row r="25" spans="1:6" ht="12.75">
      <c r="A25" s="150" t="s">
        <v>1025</v>
      </c>
      <c r="B25" s="156" t="s">
        <v>1020</v>
      </c>
      <c r="C25" s="156" t="s">
        <v>1026</v>
      </c>
      <c r="D25" s="154"/>
      <c r="E25" s="155"/>
      <c r="F25" s="155"/>
    </row>
    <row r="26" spans="1:6" ht="22.5">
      <c r="A26" s="150" t="s">
        <v>1025</v>
      </c>
      <c r="B26" s="156" t="s">
        <v>1020</v>
      </c>
      <c r="C26" s="156" t="s">
        <v>1027</v>
      </c>
      <c r="D26" s="154"/>
      <c r="E26" s="155"/>
      <c r="F26" s="155"/>
    </row>
    <row r="27" spans="1:6" ht="22.5">
      <c r="A27" s="150" t="s">
        <v>1028</v>
      </c>
      <c r="B27" s="156" t="s">
        <v>1020</v>
      </c>
      <c r="C27" s="156" t="s">
        <v>1029</v>
      </c>
      <c r="D27" s="154"/>
      <c r="E27" s="155"/>
      <c r="F27" s="155"/>
    </row>
    <row r="28" spans="1:6" ht="12.75">
      <c r="A28" s="150" t="s">
        <v>1030</v>
      </c>
      <c r="B28" s="157" t="s">
        <v>1031</v>
      </c>
      <c r="C28" s="157" t="s">
        <v>1032</v>
      </c>
      <c r="D28" s="154"/>
      <c r="E28" s="155"/>
      <c r="F28" s="155"/>
    </row>
    <row r="29" spans="1:6" ht="22.5">
      <c r="A29" s="150" t="s">
        <v>1033</v>
      </c>
      <c r="B29" s="158" t="s">
        <v>1034</v>
      </c>
      <c r="C29" s="158" t="s">
        <v>1035</v>
      </c>
      <c r="D29" s="154"/>
      <c r="E29" s="155"/>
      <c r="F29" s="155"/>
    </row>
    <row r="30" spans="1:6" ht="12.75">
      <c r="A30" s="150" t="s">
        <v>1036</v>
      </c>
      <c r="B30" s="158" t="s">
        <v>1037</v>
      </c>
      <c r="C30" s="158" t="s">
        <v>1038</v>
      </c>
      <c r="D30" s="154"/>
      <c r="E30" s="155"/>
      <c r="F30" s="155"/>
    </row>
    <row r="31" spans="1:6" ht="22.5">
      <c r="A31" s="150" t="s">
        <v>1039</v>
      </c>
      <c r="B31" s="159" t="s">
        <v>1031</v>
      </c>
      <c r="C31" s="157" t="s">
        <v>1040</v>
      </c>
      <c r="D31" s="154"/>
      <c r="E31" s="155"/>
      <c r="F31" s="155"/>
    </row>
    <row r="32" spans="1:6" ht="12.75">
      <c r="A32" s="150" t="s">
        <v>1041</v>
      </c>
      <c r="B32" s="159" t="s">
        <v>1031</v>
      </c>
      <c r="C32" s="157" t="s">
        <v>1042</v>
      </c>
      <c r="D32" s="154"/>
      <c r="E32" s="155"/>
      <c r="F32" s="155"/>
    </row>
    <row r="33" spans="1:6" ht="78.75">
      <c r="A33" s="150" t="s">
        <v>1043</v>
      </c>
      <c r="B33" s="69" t="s">
        <v>1023</v>
      </c>
      <c r="C33" s="69" t="s">
        <v>1023</v>
      </c>
      <c r="D33" s="154"/>
      <c r="E33" s="155"/>
      <c r="F33" s="155"/>
    </row>
    <row r="34" spans="1:6" ht="67.5">
      <c r="A34" s="150" t="s">
        <v>1044</v>
      </c>
      <c r="B34" s="69" t="s">
        <v>1023</v>
      </c>
      <c r="C34" s="69" t="s">
        <v>1023</v>
      </c>
      <c r="D34" s="154"/>
      <c r="E34" s="155"/>
      <c r="F34" s="155"/>
    </row>
    <row r="35" spans="1:6" ht="90">
      <c r="A35" s="150" t="s">
        <v>1045</v>
      </c>
      <c r="B35" s="69" t="s">
        <v>1023</v>
      </c>
      <c r="C35" s="69" t="s">
        <v>1023</v>
      </c>
      <c r="D35" s="154"/>
      <c r="E35" s="155"/>
      <c r="F35" s="155"/>
    </row>
    <row r="36" spans="1:6" ht="12.75">
      <c r="A36" s="150" t="s">
        <v>1046</v>
      </c>
      <c r="B36" s="156" t="s">
        <v>1047</v>
      </c>
      <c r="C36" s="156" t="s">
        <v>1048</v>
      </c>
      <c r="D36" s="154"/>
      <c r="E36" s="155"/>
      <c r="F36" s="155"/>
    </row>
    <row r="37" spans="1:6" ht="12.75">
      <c r="A37" s="150" t="s">
        <v>1049</v>
      </c>
      <c r="B37" s="156" t="s">
        <v>1047</v>
      </c>
      <c r="C37" s="156" t="s">
        <v>1050</v>
      </c>
      <c r="D37" s="154"/>
      <c r="E37" s="155"/>
      <c r="F37" s="155"/>
    </row>
    <row r="38" spans="1:6" ht="12.75">
      <c r="A38" s="150" t="s">
        <v>1051</v>
      </c>
      <c r="B38" s="156" t="s">
        <v>1047</v>
      </c>
      <c r="C38" s="156" t="s">
        <v>1052</v>
      </c>
      <c r="D38" s="154"/>
      <c r="E38" s="155"/>
      <c r="F38" s="155"/>
    </row>
    <row r="39" spans="1:6" ht="12.75">
      <c r="A39" s="150" t="s">
        <v>1053</v>
      </c>
      <c r="B39" s="69" t="s">
        <v>1054</v>
      </c>
      <c r="C39" s="69" t="s">
        <v>1055</v>
      </c>
      <c r="D39" s="154"/>
      <c r="E39" s="155"/>
      <c r="F39" s="155"/>
    </row>
    <row r="40" spans="1:6" ht="22.5">
      <c r="A40" s="150" t="s">
        <v>1056</v>
      </c>
      <c r="B40" s="69" t="s">
        <v>1057</v>
      </c>
      <c r="C40" s="69" t="s">
        <v>1058</v>
      </c>
      <c r="D40" s="154"/>
      <c r="E40" s="155"/>
      <c r="F40" s="155"/>
    </row>
    <row r="41" spans="1:6" ht="12.75">
      <c r="A41" s="150" t="s">
        <v>1059</v>
      </c>
      <c r="B41" s="156" t="s">
        <v>1060</v>
      </c>
      <c r="C41" s="156" t="s">
        <v>1061</v>
      </c>
      <c r="D41" s="154"/>
      <c r="E41" s="155"/>
      <c r="F41" s="155"/>
    </row>
    <row r="42" spans="1:6" ht="22.5">
      <c r="A42" s="150" t="s">
        <v>1062</v>
      </c>
      <c r="B42" s="156" t="s">
        <v>1023</v>
      </c>
      <c r="C42" s="156" t="s">
        <v>1063</v>
      </c>
      <c r="D42" s="154"/>
      <c r="E42" s="155"/>
      <c r="F42" s="155"/>
    </row>
    <row r="43" spans="1:6" ht="12.75">
      <c r="A43" s="150" t="s">
        <v>1064</v>
      </c>
      <c r="B43" s="156" t="s">
        <v>1065</v>
      </c>
      <c r="C43" s="155"/>
      <c r="D43" s="154"/>
      <c r="E43" s="155"/>
      <c r="F43" s="155"/>
    </row>
    <row r="44" spans="1:6" ht="12.75">
      <c r="A44" s="150" t="s">
        <v>1066</v>
      </c>
      <c r="B44" s="156" t="s">
        <v>1067</v>
      </c>
      <c r="C44" s="156" t="s">
        <v>1068</v>
      </c>
      <c r="D44" s="154"/>
      <c r="E44" s="155"/>
      <c r="F44" s="155"/>
    </row>
    <row r="45" spans="1:6" ht="12.75">
      <c r="A45" s="150" t="s">
        <v>1069</v>
      </c>
      <c r="B45" s="156" t="s">
        <v>1067</v>
      </c>
      <c r="C45" s="156" t="s">
        <v>1070</v>
      </c>
      <c r="D45" s="154"/>
      <c r="E45" s="155"/>
      <c r="F45" s="155"/>
    </row>
    <row r="46" spans="1:6" ht="12.75">
      <c r="A46" s="150" t="s">
        <v>1071</v>
      </c>
      <c r="B46" s="156" t="s">
        <v>1067</v>
      </c>
      <c r="C46" s="156" t="s">
        <v>1072</v>
      </c>
      <c r="D46" s="154"/>
      <c r="E46" s="155"/>
      <c r="F46" s="155"/>
    </row>
    <row r="47" spans="1:6" ht="67.5">
      <c r="A47" s="150" t="s">
        <v>1073</v>
      </c>
      <c r="B47" s="157" t="s">
        <v>1074</v>
      </c>
      <c r="C47" s="157" t="s">
        <v>1075</v>
      </c>
      <c r="D47" s="154"/>
      <c r="E47" s="155"/>
      <c r="F47" s="155"/>
    </row>
    <row r="48" spans="1:6" ht="22.5">
      <c r="A48" s="150" t="s">
        <v>1076</v>
      </c>
      <c r="B48" s="157" t="s">
        <v>1077</v>
      </c>
      <c r="C48" s="157" t="s">
        <v>1078</v>
      </c>
      <c r="D48" s="154"/>
      <c r="E48" s="155"/>
      <c r="F48" s="155"/>
    </row>
    <row r="49" spans="1:6" ht="33.75">
      <c r="A49" s="150" t="s">
        <v>1079</v>
      </c>
      <c r="B49" s="157" t="s">
        <v>1080</v>
      </c>
      <c r="C49" s="157" t="s">
        <v>1081</v>
      </c>
      <c r="D49" s="154"/>
      <c r="E49" s="155"/>
      <c r="F49" s="155"/>
    </row>
    <row r="50" spans="1:6" ht="12.75">
      <c r="A50" s="150" t="s">
        <v>1082</v>
      </c>
      <c r="B50" s="157" t="s">
        <v>1083</v>
      </c>
      <c r="C50" s="157" t="s">
        <v>1023</v>
      </c>
      <c r="D50" s="154"/>
      <c r="E50" s="155"/>
      <c r="F50" s="155"/>
    </row>
    <row r="51" spans="1:6" ht="12.75">
      <c r="A51" s="150" t="s">
        <v>1084</v>
      </c>
      <c r="B51" s="157" t="s">
        <v>1085</v>
      </c>
      <c r="C51" s="157" t="s">
        <v>1086</v>
      </c>
      <c r="D51" s="154"/>
      <c r="E51" s="155"/>
      <c r="F51" s="155"/>
    </row>
    <row r="52" spans="1:6" ht="33.75">
      <c r="A52" s="150" t="s">
        <v>1087</v>
      </c>
      <c r="B52" s="157" t="s">
        <v>1088</v>
      </c>
      <c r="C52" s="160" t="s">
        <v>1089</v>
      </c>
      <c r="D52" s="154"/>
      <c r="E52" s="155"/>
      <c r="F52" s="155"/>
    </row>
    <row r="53" spans="1:6" ht="22.5">
      <c r="A53" s="150" t="s">
        <v>1087</v>
      </c>
      <c r="B53" s="157" t="s">
        <v>1090</v>
      </c>
      <c r="C53" s="160" t="s">
        <v>1091</v>
      </c>
      <c r="D53" s="154"/>
      <c r="E53" s="155"/>
      <c r="F53" s="155"/>
    </row>
    <row r="54" spans="1:6" ht="12.75">
      <c r="A54" s="150" t="s">
        <v>1092</v>
      </c>
      <c r="B54" s="157" t="s">
        <v>1065</v>
      </c>
      <c r="C54" s="157" t="s">
        <v>1093</v>
      </c>
      <c r="D54" s="154"/>
      <c r="E54" s="155"/>
      <c r="F54" s="155"/>
    </row>
    <row r="55" spans="1:6" ht="12.75">
      <c r="A55" s="150" t="s">
        <v>1094</v>
      </c>
      <c r="B55" s="156" t="s">
        <v>1095</v>
      </c>
      <c r="C55" s="161" t="s">
        <v>1096</v>
      </c>
      <c r="D55" s="154"/>
      <c r="E55" s="155"/>
      <c r="F55" s="155"/>
    </row>
    <row r="56" spans="1:6" ht="12.75">
      <c r="A56" s="150" t="s">
        <v>1097</v>
      </c>
      <c r="B56" s="161" t="s">
        <v>1098</v>
      </c>
      <c r="C56" s="156" t="s">
        <v>1099</v>
      </c>
      <c r="D56" s="154"/>
      <c r="E56" s="155"/>
      <c r="F56" s="155"/>
    </row>
    <row r="57" spans="1:6" ht="22.5">
      <c r="A57" s="150" t="s">
        <v>1100</v>
      </c>
      <c r="B57" s="161" t="s">
        <v>1093</v>
      </c>
      <c r="C57" s="161" t="s">
        <v>1093</v>
      </c>
      <c r="D57" s="154"/>
      <c r="E57" s="155"/>
      <c r="F57" s="155"/>
    </row>
    <row r="58" spans="1:6" ht="12.75">
      <c r="A58" s="150" t="s">
        <v>1101</v>
      </c>
      <c r="B58" s="161" t="s">
        <v>1102</v>
      </c>
      <c r="C58" s="161" t="s">
        <v>1103</v>
      </c>
      <c r="D58" s="154"/>
      <c r="E58" s="155"/>
      <c r="F58" s="155"/>
    </row>
    <row r="59" spans="1:6" ht="12.75">
      <c r="A59" s="150" t="s">
        <v>1104</v>
      </c>
      <c r="B59" s="161" t="s">
        <v>1105</v>
      </c>
      <c r="C59" s="161" t="s">
        <v>1103</v>
      </c>
      <c r="D59" s="154"/>
      <c r="E59" s="155"/>
      <c r="F59" s="155"/>
    </row>
    <row r="60" spans="1:6" ht="12.75">
      <c r="A60" s="150" t="s">
        <v>1106</v>
      </c>
      <c r="B60" s="161" t="s">
        <v>1107</v>
      </c>
      <c r="C60" s="161" t="s">
        <v>1108</v>
      </c>
      <c r="D60" s="154"/>
      <c r="E60" s="155"/>
      <c r="F60" s="155"/>
    </row>
    <row r="61" spans="1:6" ht="12.75">
      <c r="A61" s="150" t="s">
        <v>1109</v>
      </c>
      <c r="B61" s="161" t="s">
        <v>1110</v>
      </c>
      <c r="C61" s="161" t="s">
        <v>1111</v>
      </c>
      <c r="D61" s="154"/>
      <c r="E61" s="155"/>
      <c r="F61" s="155"/>
    </row>
    <row r="62" spans="1:6" ht="12.75">
      <c r="A62" s="150" t="s">
        <v>1112</v>
      </c>
      <c r="B62" s="161" t="s">
        <v>1113</v>
      </c>
      <c r="C62" s="161" t="s">
        <v>1114</v>
      </c>
      <c r="D62" s="154"/>
      <c r="E62" s="155"/>
      <c r="F62" s="155"/>
    </row>
    <row r="63" spans="1:6" ht="12.75">
      <c r="A63" s="150" t="s">
        <v>1115</v>
      </c>
      <c r="B63" s="161" t="s">
        <v>1116</v>
      </c>
      <c r="C63" s="161" t="s">
        <v>1117</v>
      </c>
      <c r="D63" s="154"/>
      <c r="E63" s="155"/>
      <c r="F63" s="155"/>
    </row>
    <row r="64" spans="1:6" ht="12.75">
      <c r="A64" s="150" t="s">
        <v>1104</v>
      </c>
      <c r="B64" s="161" t="s">
        <v>1105</v>
      </c>
      <c r="C64" s="161" t="s">
        <v>1103</v>
      </c>
      <c r="D64" s="154"/>
      <c r="E64" s="155"/>
      <c r="F64" s="155"/>
    </row>
    <row r="65" spans="1:6" ht="12.75">
      <c r="A65" s="150" t="s">
        <v>1101</v>
      </c>
      <c r="B65" s="161" t="s">
        <v>1102</v>
      </c>
      <c r="C65" s="161" t="s">
        <v>1103</v>
      </c>
      <c r="D65" s="154"/>
      <c r="E65" s="155"/>
      <c r="F65" s="155"/>
    </row>
    <row r="66" spans="1:6" ht="12.75">
      <c r="A66" s="150" t="s">
        <v>1115</v>
      </c>
      <c r="B66" s="161" t="s">
        <v>1118</v>
      </c>
      <c r="C66" s="161" t="s">
        <v>1119</v>
      </c>
      <c r="D66" s="162"/>
      <c r="E66" s="155"/>
      <c r="F66" s="155"/>
    </row>
  </sheetData>
  <sheetProtection/>
  <mergeCells count="10">
    <mergeCell ref="B5:E5"/>
    <mergeCell ref="B1:E1"/>
    <mergeCell ref="B2:E2"/>
    <mergeCell ref="B3:E3"/>
    <mergeCell ref="B4:E4"/>
    <mergeCell ref="B6:E6"/>
    <mergeCell ref="A7:F7"/>
    <mergeCell ref="A8:A9"/>
    <mergeCell ref="B8:C8"/>
    <mergeCell ref="E8:F8"/>
  </mergeCells>
  <printOptions/>
  <pageMargins left="0.7875" right="0.7875" top="1.05277777777778" bottom="1.05277777777778" header="0.7875" footer="0.7875"/>
  <pageSetup horizontalDpi="300" verticalDpi="300" orientation="portrait" paperSize="9" scale="79" r:id="rId1"/>
  <headerFooter alignWithMargins="0">
    <oddHeader>&amp;C&amp;"Times New Roman,Normal"&amp;12&amp;A</oddHeader>
    <oddFooter>&amp;C&amp;"Times New Roman,Normal"&amp;12Página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23"/>
  <sheetViews>
    <sheetView showOutlineSymbols="0" view="pageBreakPreview" zoomScale="85" zoomScaleSheetLayoutView="85" zoomScalePageLayoutView="140" workbookViewId="0" topLeftCell="A1">
      <selection activeCell="A1" sqref="A1"/>
    </sheetView>
  </sheetViews>
  <sheetFormatPr defaultColWidth="9.421875" defaultRowHeight="12.75"/>
  <cols>
    <col min="1" max="2" width="11.57421875" style="163" customWidth="1"/>
    <col min="3" max="3" width="65.00390625" style="163" customWidth="1"/>
    <col min="4" max="4" width="20.421875" style="163" customWidth="1"/>
    <col min="5" max="16384" width="9.421875" style="163" customWidth="1"/>
  </cols>
  <sheetData>
    <row r="1" spans="1:4" ht="22.5">
      <c r="A1" s="20" t="str">
        <f>'Orçamento Sintético'!$A$1:$A$2</f>
        <v>P. Execução:</v>
      </c>
      <c r="B1" s="104"/>
      <c r="C1" s="21" t="str">
        <f>'Orçamento Sintético'!D1</f>
        <v>Objeto: Impermeabilização, revitalização, construção de guaritas e depósitos no subsolo do Edifício Sede</v>
      </c>
      <c r="D1" s="22" t="str">
        <f>'Orçamento Sintético'!C1</f>
        <v>Licitação:</v>
      </c>
    </row>
    <row r="2" spans="1:4" ht="22.5" customHeight="1">
      <c r="A2" s="235" t="str">
        <f>'Orçamento Sintético'!A2:B2</f>
        <v>A</v>
      </c>
      <c r="B2" s="235"/>
      <c r="C2" s="24" t="str">
        <f>'Orçamento Sintético'!D2</f>
        <v>Local: Eixo Monumental, Praça do Buriti, Lote 2, Sede do MPDFT, Brasília-DF</v>
      </c>
      <c r="D2" s="45" t="str">
        <f>'Orçamento Sintético'!C2</f>
        <v>B</v>
      </c>
    </row>
    <row r="3" spans="1:4" ht="12" customHeight="1">
      <c r="A3" s="26" t="str">
        <f>'Orçamento Sintético'!A3:B3</f>
        <v>P. Validade:</v>
      </c>
      <c r="B3" s="104"/>
      <c r="C3" s="26" t="str">
        <f>'Orçamento Sintético'!C3:D3</f>
        <v>Razão Social:</v>
      </c>
      <c r="D3" s="22" t="str">
        <f>'Orçamento Sintético'!E1</f>
        <v>Data:</v>
      </c>
    </row>
    <row r="4" spans="1:4" ht="22.5" customHeight="1">
      <c r="A4" s="235" t="str">
        <f>'Orçamento Sintético'!$A$4:$B$4</f>
        <v>C</v>
      </c>
      <c r="B4" s="235"/>
      <c r="C4" s="23" t="str">
        <f>'Orçamento Sintético'!$C$4:$D$4</f>
        <v>D</v>
      </c>
      <c r="D4" s="105">
        <f>'Orçamento Sintético'!E2</f>
        <v>1</v>
      </c>
    </row>
    <row r="5" spans="1:4" ht="22.5" customHeight="1">
      <c r="A5" s="20" t="str">
        <f>'Orçamento Sintético'!A5</f>
        <v>P. Garantia:</v>
      </c>
      <c r="B5" s="104"/>
      <c r="C5" s="26" t="str">
        <f>'Orçamento Sintético'!C5</f>
        <v>CNPJ:</v>
      </c>
      <c r="D5" s="22" t="str">
        <f>'Orçamento Sintético'!E3</f>
        <v>Telefone:</v>
      </c>
    </row>
    <row r="6" spans="1:4" ht="22.5" customHeight="1">
      <c r="A6" s="235" t="str">
        <f>'Orçamento Sintético'!A6:B6</f>
        <v>F</v>
      </c>
      <c r="B6" s="235"/>
      <c r="C6" s="23" t="str">
        <f>'Orçamento Sintético'!C6:D6</f>
        <v>G</v>
      </c>
      <c r="D6" s="105" t="str">
        <f>'Orçamento Sintético'!E4</f>
        <v>E</v>
      </c>
    </row>
    <row r="7" spans="1:4" ht="15" customHeight="1">
      <c r="A7" s="256" t="s">
        <v>1120</v>
      </c>
      <c r="B7" s="256"/>
      <c r="C7" s="256"/>
      <c r="D7" s="256"/>
    </row>
    <row r="8" spans="1:4" ht="13.5" customHeight="1">
      <c r="A8" s="164" t="s">
        <v>1265</v>
      </c>
      <c r="B8" s="253" t="s">
        <v>1121</v>
      </c>
      <c r="C8" s="253"/>
      <c r="D8" s="164" t="s">
        <v>1122</v>
      </c>
    </row>
    <row r="9" spans="1:4" ht="13.5" customHeight="1">
      <c r="A9" s="165" t="s">
        <v>1123</v>
      </c>
      <c r="B9" s="254" t="s">
        <v>1124</v>
      </c>
      <c r="C9" s="254"/>
      <c r="D9" s="166"/>
    </row>
    <row r="10" spans="1:4" ht="13.5" customHeight="1">
      <c r="A10" s="167" t="s">
        <v>1222</v>
      </c>
      <c r="B10" s="255" t="s">
        <v>1125</v>
      </c>
      <c r="C10" s="255"/>
      <c r="D10" s="168">
        <f>ROUND(SUM(D11:D15),4)</f>
        <v>0.1574</v>
      </c>
    </row>
    <row r="11" spans="1:4" ht="13.5" customHeight="1">
      <c r="A11" s="169" t="s">
        <v>1126</v>
      </c>
      <c r="B11" s="170" t="s">
        <v>1127</v>
      </c>
      <c r="C11" s="171"/>
      <c r="D11" s="172">
        <v>0.04</v>
      </c>
    </row>
    <row r="12" spans="1:4" ht="13.5" customHeight="1">
      <c r="A12" s="169" t="s">
        <v>1128</v>
      </c>
      <c r="B12" s="170" t="s">
        <v>1129</v>
      </c>
      <c r="C12" s="171"/>
      <c r="D12" s="172">
        <v>0.008</v>
      </c>
    </row>
    <row r="13" spans="1:4" ht="13.5" customHeight="1">
      <c r="A13" s="169" t="s">
        <v>1130</v>
      </c>
      <c r="B13" s="170" t="s">
        <v>1131</v>
      </c>
      <c r="C13" s="171"/>
      <c r="D13" s="172">
        <v>0.0127</v>
      </c>
    </row>
    <row r="14" spans="1:4" ht="13.5" customHeight="1">
      <c r="A14" s="169" t="s">
        <v>1132</v>
      </c>
      <c r="B14" s="170" t="s">
        <v>1133</v>
      </c>
      <c r="C14" s="171"/>
      <c r="D14" s="172">
        <v>0.0123</v>
      </c>
    </row>
    <row r="15" spans="1:4" ht="13.5" customHeight="1">
      <c r="A15" s="169" t="s">
        <v>1134</v>
      </c>
      <c r="B15" s="170" t="s">
        <v>1135</v>
      </c>
      <c r="C15" s="171"/>
      <c r="D15" s="172">
        <v>0.0844</v>
      </c>
    </row>
    <row r="16" spans="1:4" ht="13.5" customHeight="1">
      <c r="A16" s="173"/>
      <c r="B16" s="170"/>
      <c r="C16" s="171"/>
      <c r="D16" s="172"/>
    </row>
    <row r="17" spans="1:4" ht="13.5" customHeight="1">
      <c r="A17" s="165" t="s">
        <v>1136</v>
      </c>
      <c r="B17" s="254" t="s">
        <v>1137</v>
      </c>
      <c r="C17" s="254"/>
      <c r="D17" s="166"/>
    </row>
    <row r="18" spans="1:4" ht="13.5" customHeight="1">
      <c r="A18" s="167" t="s">
        <v>1228</v>
      </c>
      <c r="B18" s="255" t="s">
        <v>1138</v>
      </c>
      <c r="C18" s="255"/>
      <c r="D18" s="168">
        <f>D19+D20+D21</f>
        <v>0.0465</v>
      </c>
    </row>
    <row r="19" spans="1:4" ht="13.5" customHeight="1">
      <c r="A19" s="169"/>
      <c r="B19" s="170" t="s">
        <v>1139</v>
      </c>
      <c r="C19" s="171"/>
      <c r="D19" s="172">
        <v>0.0065</v>
      </c>
    </row>
    <row r="20" spans="1:4" ht="13.5" customHeight="1">
      <c r="A20" s="169"/>
      <c r="B20" s="170" t="s">
        <v>1140</v>
      </c>
      <c r="C20" s="171"/>
      <c r="D20" s="172">
        <v>0.03</v>
      </c>
    </row>
    <row r="21" spans="1:4" ht="13.5" customHeight="1">
      <c r="A21" s="169"/>
      <c r="B21" s="170" t="s">
        <v>1141</v>
      </c>
      <c r="C21" s="171"/>
      <c r="D21" s="172">
        <f>2%*'Orçamento Sintético'!B275</f>
        <v>0.01</v>
      </c>
    </row>
    <row r="22" spans="1:4" ht="13.5" customHeight="1">
      <c r="A22" s="169"/>
      <c r="B22" s="170"/>
      <c r="C22" s="171"/>
      <c r="D22" s="172"/>
    </row>
    <row r="23" spans="1:4" ht="13.5" customHeight="1">
      <c r="A23" s="174" t="s">
        <v>1142</v>
      </c>
      <c r="B23" s="252" t="s">
        <v>1143</v>
      </c>
      <c r="C23" s="252"/>
      <c r="D23" s="175">
        <f>ROUND((((1+(D11+D12+D13))*(1+D14)*(1+D15))/(1-D18)-1),4)</f>
        <v>0.2212</v>
      </c>
    </row>
  </sheetData>
  <sheetProtection/>
  <mergeCells count="10">
    <mergeCell ref="A2:B2"/>
    <mergeCell ref="A4:B4"/>
    <mergeCell ref="A6:B6"/>
    <mergeCell ref="A7:D7"/>
    <mergeCell ref="B23:C23"/>
    <mergeCell ref="B8:C8"/>
    <mergeCell ref="B9:C9"/>
    <mergeCell ref="B10:C10"/>
    <mergeCell ref="B17:C17"/>
    <mergeCell ref="B18:C18"/>
  </mergeCells>
  <printOptions/>
  <pageMargins left="0.7875" right="0.7875" top="0.7875" bottom="0.7875" header="0.511805555555555" footer="0.511805555555555"/>
  <pageSetup fitToHeight="0" fitToWidth="1" horizontalDpi="300" verticalDpi="3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D44"/>
  <sheetViews>
    <sheetView showOutlineSymbols="0" view="pageBreakPreview" zoomScale="85" zoomScaleSheetLayoutView="85" zoomScalePageLayoutView="140" workbookViewId="0" topLeftCell="A1">
      <selection activeCell="A1" sqref="A1"/>
    </sheetView>
  </sheetViews>
  <sheetFormatPr defaultColWidth="9.421875" defaultRowHeight="12.75"/>
  <cols>
    <col min="1" max="2" width="11.57421875" style="163" customWidth="1"/>
    <col min="3" max="3" width="65.57421875" style="163" customWidth="1"/>
    <col min="4" max="4" width="20.421875" style="163" customWidth="1"/>
    <col min="5" max="16384" width="9.421875" style="163" customWidth="1"/>
  </cols>
  <sheetData>
    <row r="1" spans="1:4" ht="12" customHeight="1">
      <c r="A1" s="20" t="str">
        <f>'Orçamento Sintético'!$A$1:$A$2</f>
        <v>P. Execução:</v>
      </c>
      <c r="B1" s="104"/>
      <c r="C1" s="21" t="str">
        <f>'Orçamento Sintético'!D1</f>
        <v>Objeto: Impermeabilização, revitalização, construção de guaritas e depósitos no subsolo do Edifício Sede</v>
      </c>
      <c r="D1" s="22" t="str">
        <f>'Orçamento Sintético'!C1</f>
        <v>Licitação:</v>
      </c>
    </row>
    <row r="2" spans="1:4" ht="22.5" customHeight="1">
      <c r="A2" s="235" t="str">
        <f>'Orçamento Sintético'!A2:B2</f>
        <v>A</v>
      </c>
      <c r="B2" s="235"/>
      <c r="C2" s="24" t="str">
        <f>'Orçamento Sintético'!D2</f>
        <v>Local: Eixo Monumental, Praça do Buriti, Lote 2, Sede do MPDFT, Brasília-DF</v>
      </c>
      <c r="D2" s="45" t="str">
        <f>'Orçamento Sintético'!C2</f>
        <v>B</v>
      </c>
    </row>
    <row r="3" spans="1:4" ht="12" customHeight="1">
      <c r="A3" s="26" t="str">
        <f>'Orçamento Sintético'!A3:B3</f>
        <v>P. Validade:</v>
      </c>
      <c r="B3" s="104"/>
      <c r="C3" s="26" t="str">
        <f>'Orçamento Sintético'!C3:D3</f>
        <v>Razão Social:</v>
      </c>
      <c r="D3" s="22" t="str">
        <f>'Orçamento Sintético'!E1</f>
        <v>Data:</v>
      </c>
    </row>
    <row r="4" spans="1:4" ht="22.5" customHeight="1">
      <c r="A4" s="235" t="str">
        <f>'Orçamento Sintético'!$A$4:$B$4</f>
        <v>C</v>
      </c>
      <c r="B4" s="235"/>
      <c r="C4" s="23" t="str">
        <f>'Orçamento Sintético'!$C$4:$D$4</f>
        <v>D</v>
      </c>
      <c r="D4" s="105">
        <f>'Orçamento Sintético'!E2</f>
        <v>1</v>
      </c>
    </row>
    <row r="5" spans="1:4" ht="22.5" customHeight="1">
      <c r="A5" s="20" t="str">
        <f>'Orçamento Sintético'!A5</f>
        <v>P. Garantia:</v>
      </c>
      <c r="B5" s="104"/>
      <c r="C5" s="26" t="str">
        <f>'Orçamento Sintético'!C5</f>
        <v>CNPJ:</v>
      </c>
      <c r="D5" s="22" t="str">
        <f>'Orçamento Sintético'!E3</f>
        <v>Telefone:</v>
      </c>
    </row>
    <row r="6" spans="1:4" ht="22.5" customHeight="1">
      <c r="A6" s="235" t="str">
        <f>'Orçamento Sintético'!A6:B6</f>
        <v>F</v>
      </c>
      <c r="B6" s="235"/>
      <c r="C6" s="23" t="s">
        <v>1292</v>
      </c>
      <c r="D6" s="105" t="str">
        <f>'Orçamento Sintético'!E4</f>
        <v>E</v>
      </c>
    </row>
    <row r="7" spans="1:4" ht="15" customHeight="1">
      <c r="A7" s="259" t="s">
        <v>1144</v>
      </c>
      <c r="B7" s="259"/>
      <c r="C7" s="259"/>
      <c r="D7" s="259"/>
    </row>
    <row r="8" spans="1:4" ht="14.25">
      <c r="A8" s="164" t="s">
        <v>1265</v>
      </c>
      <c r="B8" s="253" t="s">
        <v>1121</v>
      </c>
      <c r="C8" s="253"/>
      <c r="D8" s="164" t="s">
        <v>1122</v>
      </c>
    </row>
    <row r="9" spans="1:4" ht="14.25" customHeight="1">
      <c r="A9" s="258" t="s">
        <v>1145</v>
      </c>
      <c r="B9" s="258"/>
      <c r="C9" s="258"/>
      <c r="D9" s="258"/>
    </row>
    <row r="10" spans="1:4" ht="14.25">
      <c r="A10" s="176" t="s">
        <v>1222</v>
      </c>
      <c r="B10" s="177" t="s">
        <v>1146</v>
      </c>
      <c r="C10" s="178"/>
      <c r="D10" s="179">
        <v>0.2</v>
      </c>
    </row>
    <row r="11" spans="1:4" ht="14.25">
      <c r="A11" s="176" t="s">
        <v>1224</v>
      </c>
      <c r="B11" s="177" t="s">
        <v>1147</v>
      </c>
      <c r="C11" s="178"/>
      <c r="D11" s="179">
        <v>0.015</v>
      </c>
    </row>
    <row r="12" spans="1:4" ht="14.25">
      <c r="A12" s="176" t="s">
        <v>1148</v>
      </c>
      <c r="B12" s="177" t="s">
        <v>1149</v>
      </c>
      <c r="C12" s="178"/>
      <c r="D12" s="179">
        <v>0.01</v>
      </c>
    </row>
    <row r="13" spans="1:4" ht="14.25">
      <c r="A13" s="176" t="s">
        <v>1150</v>
      </c>
      <c r="B13" s="177" t="s">
        <v>1151</v>
      </c>
      <c r="C13" s="178"/>
      <c r="D13" s="179">
        <v>0.002</v>
      </c>
    </row>
    <row r="14" spans="1:4" ht="14.25">
      <c r="A14" s="176" t="s">
        <v>1152</v>
      </c>
      <c r="B14" s="177" t="s">
        <v>1153</v>
      </c>
      <c r="C14" s="178"/>
      <c r="D14" s="179">
        <v>0.006</v>
      </c>
    </row>
    <row r="15" spans="1:4" ht="14.25">
      <c r="A15" s="176" t="s">
        <v>1154</v>
      </c>
      <c r="B15" s="177" t="s">
        <v>1155</v>
      </c>
      <c r="C15" s="178"/>
      <c r="D15" s="179">
        <v>0.025</v>
      </c>
    </row>
    <row r="16" spans="1:4" ht="14.25">
      <c r="A16" s="176" t="s">
        <v>1156</v>
      </c>
      <c r="B16" s="177" t="s">
        <v>1157</v>
      </c>
      <c r="C16" s="178"/>
      <c r="D16" s="179">
        <v>0.03</v>
      </c>
    </row>
    <row r="17" spans="1:4" ht="14.25">
      <c r="A17" s="176" t="s">
        <v>1158</v>
      </c>
      <c r="B17" s="177" t="s">
        <v>1159</v>
      </c>
      <c r="C17" s="178"/>
      <c r="D17" s="179">
        <v>0.08</v>
      </c>
    </row>
    <row r="18" spans="1:4" ht="14.25">
      <c r="A18" s="176" t="s">
        <v>1160</v>
      </c>
      <c r="B18" s="177" t="s">
        <v>1161</v>
      </c>
      <c r="C18" s="178"/>
      <c r="D18" s="179">
        <v>0.01</v>
      </c>
    </row>
    <row r="19" spans="1:4" ht="14.25">
      <c r="A19" s="180" t="s">
        <v>1220</v>
      </c>
      <c r="B19" s="181" t="s">
        <v>1162</v>
      </c>
      <c r="C19" s="182"/>
      <c r="D19" s="183">
        <f>SUM(D10:D18)</f>
        <v>0.37800000000000006</v>
      </c>
    </row>
    <row r="20" spans="1:4" ht="14.25" customHeight="1">
      <c r="A20" s="258" t="s">
        <v>1163</v>
      </c>
      <c r="B20" s="258"/>
      <c r="C20" s="258"/>
      <c r="D20" s="258"/>
    </row>
    <row r="21" spans="1:4" ht="14.25">
      <c r="A21" s="176" t="s">
        <v>1228</v>
      </c>
      <c r="B21" s="177" t="s">
        <v>1164</v>
      </c>
      <c r="C21" s="178"/>
      <c r="D21" s="179">
        <v>0.1775</v>
      </c>
    </row>
    <row r="22" spans="1:4" ht="14.25">
      <c r="A22" s="176" t="s">
        <v>1230</v>
      </c>
      <c r="B22" s="177" t="s">
        <v>1165</v>
      </c>
      <c r="C22" s="178"/>
      <c r="D22" s="179">
        <v>0.0341</v>
      </c>
    </row>
    <row r="23" spans="1:4" ht="14.25">
      <c r="A23" s="176" t="s">
        <v>1232</v>
      </c>
      <c r="B23" s="177" t="s">
        <v>1166</v>
      </c>
      <c r="C23" s="178"/>
      <c r="D23" s="179">
        <v>0.0084</v>
      </c>
    </row>
    <row r="24" spans="1:4" ht="14.25">
      <c r="A24" s="176" t="s">
        <v>1167</v>
      </c>
      <c r="B24" s="177" t="s">
        <v>1168</v>
      </c>
      <c r="C24" s="178"/>
      <c r="D24" s="179">
        <v>0.107</v>
      </c>
    </row>
    <row r="25" spans="1:4" ht="14.25">
      <c r="A25" s="176" t="s">
        <v>1169</v>
      </c>
      <c r="B25" s="177" t="s">
        <v>1170</v>
      </c>
      <c r="C25" s="178"/>
      <c r="D25" s="179">
        <v>0.0007</v>
      </c>
    </row>
    <row r="26" spans="1:4" ht="14.25">
      <c r="A26" s="176" t="s">
        <v>1171</v>
      </c>
      <c r="B26" s="177" t="s">
        <v>1172</v>
      </c>
      <c r="C26" s="178"/>
      <c r="D26" s="179">
        <v>0.0071</v>
      </c>
    </row>
    <row r="27" spans="1:4" ht="14.25">
      <c r="A27" s="176" t="s">
        <v>1173</v>
      </c>
      <c r="B27" s="177" t="s">
        <v>1174</v>
      </c>
      <c r="C27" s="178"/>
      <c r="D27" s="179">
        <v>0.0133</v>
      </c>
    </row>
    <row r="28" spans="1:4" ht="14.25">
      <c r="A28" s="176" t="s">
        <v>1175</v>
      </c>
      <c r="B28" s="177" t="s">
        <v>1176</v>
      </c>
      <c r="C28" s="178"/>
      <c r="D28" s="179">
        <v>0.001</v>
      </c>
    </row>
    <row r="29" spans="1:4" ht="14.25">
      <c r="A29" s="176" t="s">
        <v>1177</v>
      </c>
      <c r="B29" s="177" t="s">
        <v>1178</v>
      </c>
      <c r="C29" s="178"/>
      <c r="D29" s="179">
        <v>0.0802</v>
      </c>
    </row>
    <row r="30" spans="1:4" ht="14.25">
      <c r="A30" s="176" t="s">
        <v>1179</v>
      </c>
      <c r="B30" s="177" t="s">
        <v>1180</v>
      </c>
      <c r="C30" s="178"/>
      <c r="D30" s="179">
        <v>0.0003</v>
      </c>
    </row>
    <row r="31" spans="1:4" ht="14.25">
      <c r="A31" s="180" t="s">
        <v>1226</v>
      </c>
      <c r="B31" s="181" t="s">
        <v>1181</v>
      </c>
      <c r="C31" s="182"/>
      <c r="D31" s="183">
        <f>SUM(D21:D30)</f>
        <v>0.4295999999999999</v>
      </c>
    </row>
    <row r="32" spans="1:4" ht="14.25" customHeight="1">
      <c r="A32" s="258" t="s">
        <v>1182</v>
      </c>
      <c r="B32" s="258"/>
      <c r="C32" s="258"/>
      <c r="D32" s="258"/>
    </row>
    <row r="33" spans="1:4" ht="14.25">
      <c r="A33" s="176" t="s">
        <v>1236</v>
      </c>
      <c r="B33" s="177" t="s">
        <v>1183</v>
      </c>
      <c r="C33" s="178"/>
      <c r="D33" s="179">
        <v>0.0415</v>
      </c>
    </row>
    <row r="34" spans="1:4" ht="14.25">
      <c r="A34" s="176" t="s">
        <v>1238</v>
      </c>
      <c r="B34" s="177" t="s">
        <v>1184</v>
      </c>
      <c r="C34" s="178"/>
      <c r="D34" s="179">
        <v>0.001</v>
      </c>
    </row>
    <row r="35" spans="1:4" ht="14.25">
      <c r="A35" s="176" t="s">
        <v>1240</v>
      </c>
      <c r="B35" s="177" t="s">
        <v>1185</v>
      </c>
      <c r="C35" s="178"/>
      <c r="D35" s="179">
        <v>0.0494</v>
      </c>
    </row>
    <row r="36" spans="1:4" ht="14.25">
      <c r="A36" s="176" t="s">
        <v>1242</v>
      </c>
      <c r="B36" s="177" t="s">
        <v>1186</v>
      </c>
      <c r="C36" s="178"/>
      <c r="D36" s="179">
        <v>0.0323</v>
      </c>
    </row>
    <row r="37" spans="1:4" ht="14.25">
      <c r="A37" s="176" t="s">
        <v>1187</v>
      </c>
      <c r="B37" s="177" t="s">
        <v>1188</v>
      </c>
      <c r="C37" s="178"/>
      <c r="D37" s="179">
        <v>0.0035</v>
      </c>
    </row>
    <row r="38" spans="1:4" ht="14.25">
      <c r="A38" s="180" t="s">
        <v>1234</v>
      </c>
      <c r="B38" s="181" t="s">
        <v>1181</v>
      </c>
      <c r="C38" s="182"/>
      <c r="D38" s="183">
        <f>SUM(D33:D37)</f>
        <v>0.1277</v>
      </c>
    </row>
    <row r="39" spans="1:4" ht="14.25" customHeight="1">
      <c r="A39" s="258" t="s">
        <v>1189</v>
      </c>
      <c r="B39" s="258"/>
      <c r="C39" s="258"/>
      <c r="D39" s="258"/>
    </row>
    <row r="40" spans="1:4" ht="14.25">
      <c r="A40" s="176" t="s">
        <v>1246</v>
      </c>
      <c r="B40" s="177" t="s">
        <v>1190</v>
      </c>
      <c r="C40" s="178"/>
      <c r="D40" s="179">
        <f>ROUND(D19*D31,4)</f>
        <v>0.1624</v>
      </c>
    </row>
    <row r="41" spans="1:4" ht="14.25">
      <c r="A41" s="176" t="s">
        <v>1248</v>
      </c>
      <c r="B41" s="177" t="s">
        <v>1191</v>
      </c>
      <c r="C41" s="178"/>
      <c r="D41" s="179">
        <f>ROUND(D17*D33+D19*D34,4)</f>
        <v>0.0037</v>
      </c>
    </row>
    <row r="42" spans="1:4" ht="13.5" customHeight="1">
      <c r="A42" s="180" t="s">
        <v>1192</v>
      </c>
      <c r="B42" s="181" t="s">
        <v>1193</v>
      </c>
      <c r="C42" s="182"/>
      <c r="D42" s="183">
        <f>SUM(D40:D41)</f>
        <v>0.1661</v>
      </c>
    </row>
    <row r="43" spans="1:4" ht="14.25">
      <c r="A43" s="176"/>
      <c r="B43" s="177"/>
      <c r="C43" s="178"/>
      <c r="D43" s="179"/>
    </row>
    <row r="44" spans="1:4" ht="14.25" customHeight="1">
      <c r="A44" s="257" t="s">
        <v>1194</v>
      </c>
      <c r="B44" s="257"/>
      <c r="C44" s="257"/>
      <c r="D44" s="175">
        <f>D19+D31+D38+D42</f>
        <v>1.1014</v>
      </c>
    </row>
  </sheetData>
  <sheetProtection/>
  <mergeCells count="10">
    <mergeCell ref="A2:B2"/>
    <mergeCell ref="A4:B4"/>
    <mergeCell ref="A6:B6"/>
    <mergeCell ref="A7:D7"/>
    <mergeCell ref="A44:C44"/>
    <mergeCell ref="B8:C8"/>
    <mergeCell ref="A9:D9"/>
    <mergeCell ref="A20:D20"/>
    <mergeCell ref="A32:D32"/>
    <mergeCell ref="A39:D39"/>
  </mergeCells>
  <printOptions/>
  <pageMargins left="0.7875" right="0.7875" top="0.7875" bottom="0.7875" header="0.511805555555555" footer="0.511805555555555"/>
  <pageSetup fitToHeight="1" fitToWidth="1" horizontalDpi="300" verticalDpi="300" orientation="portrait" paperSize="9" scale="79" r:id="rId1"/>
</worksheet>
</file>

<file path=xl/worksheets/sheet9.xml><?xml version="1.0" encoding="utf-8"?>
<worksheet xmlns="http://schemas.openxmlformats.org/spreadsheetml/2006/main" xmlns:r="http://schemas.openxmlformats.org/officeDocument/2006/relationships">
  <sheetPr>
    <pageSetUpPr fitToPage="1"/>
  </sheetPr>
  <dimension ref="A1:G551"/>
  <sheetViews>
    <sheetView showOutlineSymbols="0" view="pageBreakPreview" zoomScale="70" zoomScaleSheetLayoutView="70" zoomScalePageLayoutView="140" workbookViewId="0" topLeftCell="A1">
      <selection activeCell="A1" sqref="A1"/>
    </sheetView>
  </sheetViews>
  <sheetFormatPr defaultColWidth="9.8515625" defaultRowHeight="12.75"/>
  <cols>
    <col min="1" max="1" width="22.00390625" style="19" customWidth="1"/>
    <col min="2" max="2" width="65.8515625" style="19" customWidth="1"/>
    <col min="3" max="3" width="22.00390625" style="184" customWidth="1"/>
    <col min="4" max="6" width="13.140625" style="184" customWidth="1"/>
    <col min="7" max="30" width="13.140625" style="19" customWidth="1"/>
    <col min="31" max="16384" width="9.8515625" style="19" customWidth="1"/>
  </cols>
  <sheetData>
    <row r="1" spans="1:7" ht="22.5">
      <c r="A1" s="185" t="str">
        <f>'Orçamento Sintético'!A1:A2</f>
        <v>P. Execução:</v>
      </c>
      <c r="B1" s="186" t="str">
        <f>'Orçamento Sintético'!D1</f>
        <v>Objeto: Impermeabilização, revitalização, construção de guaritas e depósitos no subsolo do Edifício Sede</v>
      </c>
      <c r="C1" s="185" t="str">
        <f>'Orçamento Sintético'!C1</f>
        <v>Licitação:</v>
      </c>
      <c r="D1" s="271"/>
      <c r="E1" s="271"/>
      <c r="F1" s="271"/>
      <c r="G1" s="187"/>
    </row>
    <row r="2" spans="1:7" ht="11.25">
      <c r="A2" s="188" t="str">
        <f>'Orçamento Sintético'!A2:B2</f>
        <v>A</v>
      </c>
      <c r="B2" s="189" t="str">
        <f>'Orçamento Sintético'!D2</f>
        <v>Local: Eixo Monumental, Praça do Buriti, Lote 2, Sede do MPDFT, Brasília-DF</v>
      </c>
      <c r="C2" s="190" t="str">
        <f>'Orçamento Sintético'!C2</f>
        <v>B</v>
      </c>
      <c r="D2" s="271"/>
      <c r="E2" s="271"/>
      <c r="F2" s="271"/>
      <c r="G2" s="187"/>
    </row>
    <row r="3" spans="1:6" ht="11.25">
      <c r="A3" s="191" t="str">
        <f>'Orçamento Sintético'!A3:B3</f>
        <v>P. Validade:</v>
      </c>
      <c r="B3" s="191" t="str">
        <f>'Orçamento Sintético'!C3</f>
        <v>Razão Social:</v>
      </c>
      <c r="C3" s="185" t="str">
        <f>'Orçamento Sintético'!E1</f>
        <v>Data:</v>
      </c>
      <c r="D3" s="271"/>
      <c r="E3" s="271"/>
      <c r="F3" s="271"/>
    </row>
    <row r="4" spans="1:6" ht="11.25">
      <c r="A4" s="188" t="str">
        <f>'Orçamento Sintético'!A4:B4</f>
        <v>C</v>
      </c>
      <c r="B4" s="192" t="str">
        <f>'Composição de BDI'!C4</f>
        <v>D</v>
      </c>
      <c r="C4" s="192">
        <f>'Orçamento Sintético'!E2</f>
        <v>1</v>
      </c>
      <c r="D4" s="271"/>
      <c r="E4" s="271"/>
      <c r="F4" s="271"/>
    </row>
    <row r="5" spans="1:6" ht="11.25">
      <c r="A5" s="185" t="str">
        <f>'Orçamento Sintético'!A5</f>
        <v>P. Garantia:</v>
      </c>
      <c r="B5" s="191" t="str">
        <f>'Orçamento Sintético'!C5</f>
        <v>CNPJ:</v>
      </c>
      <c r="C5" s="185" t="str">
        <f>'Orçamento Sintético'!E3</f>
        <v>Telefone:</v>
      </c>
      <c r="D5" s="193"/>
      <c r="E5" s="194"/>
      <c r="F5" s="195"/>
    </row>
    <row r="6" spans="1:6" ht="11.25">
      <c r="A6" s="188" t="str">
        <f>'Orçamento Sintético'!A6:B6</f>
        <v>F</v>
      </c>
      <c r="B6" s="192" t="str">
        <f>'Orçamento Sintético'!C6</f>
        <v>G</v>
      </c>
      <c r="C6" s="192" t="str">
        <f>'Orçamento Sintético'!E4</f>
        <v>E</v>
      </c>
      <c r="D6" s="196"/>
      <c r="E6" s="197"/>
      <c r="F6" s="198"/>
    </row>
    <row r="7" spans="1:7" ht="12.75" customHeight="1">
      <c r="A7" s="272" t="s">
        <v>1195</v>
      </c>
      <c r="B7" s="272"/>
      <c r="C7" s="272"/>
      <c r="D7" s="272"/>
      <c r="E7" s="272"/>
      <c r="F7" s="272"/>
      <c r="G7" s="199"/>
    </row>
    <row r="8" spans="1:6" ht="11.25">
      <c r="A8" s="200" t="s">
        <v>1265</v>
      </c>
      <c r="B8" s="200" t="s">
        <v>1266</v>
      </c>
      <c r="C8" s="201" t="s">
        <v>1196</v>
      </c>
      <c r="D8" s="201" t="s">
        <v>1197</v>
      </c>
      <c r="E8" s="201" t="s">
        <v>1198</v>
      </c>
      <c r="F8" s="201" t="s">
        <v>1199</v>
      </c>
    </row>
    <row r="9" spans="1:7" ht="12.75" customHeight="1">
      <c r="A9" s="267" t="s">
        <v>1269</v>
      </c>
      <c r="B9" s="268" t="str">
        <f>VLOOKUP($A9,'Orçamento Sintético'!$A:$H,4,0)</f>
        <v>SERVIÇOS TÉCNICO-PROFISSIONAIS</v>
      </c>
      <c r="C9" s="202">
        <f>ROUND(C10/$F$540,4)</f>
        <v>0.0006</v>
      </c>
      <c r="D9" s="203">
        <f>ROUND(D10/$C10,4)</f>
        <v>1</v>
      </c>
      <c r="E9" s="203">
        <f>ROUND(E10/$C10,4)</f>
        <v>0</v>
      </c>
      <c r="F9" s="203">
        <f>ROUND(F10/$C10,4)</f>
        <v>0</v>
      </c>
      <c r="G9" s="204"/>
    </row>
    <row r="10" spans="1:7" ht="11.25">
      <c r="A10" s="267"/>
      <c r="B10" s="268"/>
      <c r="C10" s="205">
        <f>VLOOKUP($A9,'Orçamento Sintético'!$A:$H,8,0)</f>
        <v>233.94</v>
      </c>
      <c r="D10" s="206">
        <f>D12</f>
        <v>233.94</v>
      </c>
      <c r="E10" s="206">
        <f>E12</f>
        <v>0</v>
      </c>
      <c r="F10" s="206">
        <f>F12</f>
        <v>0</v>
      </c>
      <c r="G10" s="204"/>
    </row>
    <row r="11" spans="1:7" ht="12.75" customHeight="1">
      <c r="A11" s="265" t="s">
        <v>1301</v>
      </c>
      <c r="B11" s="265" t="str">
        <f>VLOOKUP($A11,'Orçamento Sintético'!$A:$H,4,0)</f>
        <v>TAXAS E EMOLUMENTOS</v>
      </c>
      <c r="C11" s="207">
        <f>ROUND(C12/$F$540,4)</f>
        <v>0.0006</v>
      </c>
      <c r="D11" s="207">
        <f>ROUND(D12/$C12,4)</f>
        <v>1</v>
      </c>
      <c r="E11" s="208">
        <f>ROUND(E12/$C12,4)</f>
        <v>0</v>
      </c>
      <c r="F11" s="208">
        <f>ROUND(F12/$C12,4)</f>
        <v>0</v>
      </c>
      <c r="G11" s="209"/>
    </row>
    <row r="12" spans="1:7" ht="11.25">
      <c r="A12" s="265"/>
      <c r="B12" s="265"/>
      <c r="C12" s="210">
        <f>VLOOKUP($A11,'Orçamento Sintético'!$A:$H,8,0)</f>
        <v>233.94</v>
      </c>
      <c r="D12" s="210">
        <f>D14</f>
        <v>233.94</v>
      </c>
      <c r="E12" s="210">
        <f>E14</f>
        <v>0</v>
      </c>
      <c r="F12" s="210">
        <f>F14</f>
        <v>0</v>
      </c>
      <c r="G12" s="204"/>
    </row>
    <row r="13" spans="1:7" ht="12.75" customHeight="1">
      <c r="A13" s="262" t="s">
        <v>1303</v>
      </c>
      <c r="B13" s="262" t="str">
        <f>VLOOKUP($A13,'Orçamento Sintético'!$A:$H,4,0)</f>
        <v>Anotação de Responsabilidade Técnica (Faixa 3 - Tabela A - CONFEA)</v>
      </c>
      <c r="C13" s="211">
        <f>ROUND(C14/$F$540,4)</f>
        <v>0.0006</v>
      </c>
      <c r="D13" s="212">
        <v>1</v>
      </c>
      <c r="E13" s="211">
        <v>0</v>
      </c>
      <c r="F13" s="211">
        <v>0</v>
      </c>
      <c r="G13" s="204"/>
    </row>
    <row r="14" spans="1:7" ht="11.25">
      <c r="A14" s="262"/>
      <c r="B14" s="262"/>
      <c r="C14" s="213">
        <f>VLOOKUP($A13,'Orçamento Sintético'!$A:$H,8,0)</f>
        <v>233.94</v>
      </c>
      <c r="D14" s="214">
        <f>ROUND($C14*D13,2)</f>
        <v>233.94</v>
      </c>
      <c r="E14" s="213">
        <f>ROUND($C14*E13,2)</f>
        <v>0</v>
      </c>
      <c r="F14" s="213">
        <f>ROUND($C14*F13,2)</f>
        <v>0</v>
      </c>
      <c r="G14" s="204"/>
    </row>
    <row r="15" spans="1:7" ht="12.75" customHeight="1">
      <c r="A15" s="267" t="s">
        <v>1270</v>
      </c>
      <c r="B15" s="268" t="str">
        <f>VLOOKUP($A15,'Orçamento Sintético'!$A:$H,4,0)</f>
        <v>SERVIÇOS PRELIMINARES</v>
      </c>
      <c r="C15" s="202">
        <f>ROUND(C16/$F$540,4)</f>
        <v>0.0545</v>
      </c>
      <c r="D15" s="203">
        <f>ROUND(D16/$C16,4)</f>
        <v>0.7051</v>
      </c>
      <c r="E15" s="203">
        <f>ROUND(E16/$C16,4)</f>
        <v>0.2312</v>
      </c>
      <c r="F15" s="203">
        <f>ROUND(F16/$C16,4)</f>
        <v>0.0637</v>
      </c>
      <c r="G15" s="204"/>
    </row>
    <row r="16" spans="1:7" ht="11.25">
      <c r="A16" s="267"/>
      <c r="B16" s="268"/>
      <c r="C16" s="205">
        <f>VLOOKUP($A15,'Orçamento Sintético'!$A:$H,8,0)</f>
        <v>21433.090000000004</v>
      </c>
      <c r="D16" s="206">
        <f>D18+D32+D84</f>
        <v>15112.470000000001</v>
      </c>
      <c r="E16" s="206">
        <f>E18+E32+E84</f>
        <v>4954.63</v>
      </c>
      <c r="F16" s="206">
        <f>F18+F32+F84</f>
        <v>1366.01</v>
      </c>
      <c r="G16" s="209"/>
    </row>
    <row r="17" spans="1:7" ht="12.75" customHeight="1">
      <c r="A17" s="265" t="s">
        <v>1309</v>
      </c>
      <c r="B17" s="265" t="str">
        <f>VLOOKUP($A17,'Orçamento Sintético'!$A:$H,4,0)</f>
        <v>CANTEIRO DE OBRA: IMPLANTAÇÃO, OPERAÇÃO E MANUTENÇÃO</v>
      </c>
      <c r="C17" s="207">
        <f>ROUND(C18/$F$540,4)</f>
        <v>0.0099</v>
      </c>
      <c r="D17" s="207">
        <f>ROUND(D18/$C18,4)</f>
        <v>0.5741</v>
      </c>
      <c r="E17" s="208">
        <f>ROUND(E18/$C18,4)</f>
        <v>0.3862</v>
      </c>
      <c r="F17" s="208">
        <f>ROUND(F18/$C18,4)</f>
        <v>0.0397</v>
      </c>
      <c r="G17" s="209"/>
    </row>
    <row r="18" spans="1:7" ht="11.25">
      <c r="A18" s="265"/>
      <c r="B18" s="265"/>
      <c r="C18" s="210">
        <f>VLOOKUP($A17,'Orçamento Sintético'!$A:$H,8,0)</f>
        <v>3880.36</v>
      </c>
      <c r="D18" s="210">
        <f>D20</f>
        <v>2227.8199999999997</v>
      </c>
      <c r="E18" s="210">
        <f>E20</f>
        <v>1498.58</v>
      </c>
      <c r="F18" s="210">
        <f>F20</f>
        <v>153.96</v>
      </c>
      <c r="G18" s="204"/>
    </row>
    <row r="19" spans="1:7" ht="12.75" customHeight="1">
      <c r="A19" s="266" t="s">
        <v>1311</v>
      </c>
      <c r="B19" s="266" t="str">
        <f>VLOOKUP($A19,'Orçamento Sintético'!$A:$H,4,0)</f>
        <v>PROTEÇÃO E SINALIZAÇÃO</v>
      </c>
      <c r="C19" s="215">
        <f>ROUND(C20/$F$540,4)</f>
        <v>0.0099</v>
      </c>
      <c r="D19" s="215">
        <f>ROUND(D20/$C20,4)</f>
        <v>0.5741</v>
      </c>
      <c r="E19" s="215">
        <f>ROUND(E20/$C20,4)</f>
        <v>0.3862</v>
      </c>
      <c r="F19" s="215">
        <f>ROUND(F20/$C20,4)</f>
        <v>0.0397</v>
      </c>
      <c r="G19" s="209"/>
    </row>
    <row r="20" spans="1:7" ht="11.25">
      <c r="A20" s="266"/>
      <c r="B20" s="266"/>
      <c r="C20" s="216">
        <f>VLOOKUP($A19,'Orçamento Sintético'!$A:$H,8,0)</f>
        <v>3880.36</v>
      </c>
      <c r="D20" s="216">
        <f>D22+D24+D26+D28+D30</f>
        <v>2227.8199999999997</v>
      </c>
      <c r="E20" s="216">
        <f>E22+E24+E26+E28+E30</f>
        <v>1498.58</v>
      </c>
      <c r="F20" s="216">
        <f>F22+F24+F26+F28+F30</f>
        <v>153.96</v>
      </c>
      <c r="G20" s="209"/>
    </row>
    <row r="21" spans="1:7" ht="12.75" customHeight="1">
      <c r="A21" s="262" t="s">
        <v>1313</v>
      </c>
      <c r="B21" s="262" t="str">
        <f>VLOOKUP($A21,'Orçamento Sintético'!$A:$H,4,0)</f>
        <v>Cópia da FDE (13.80.013) - Proteção / isolamento de superfícies com lona plástica preta</v>
      </c>
      <c r="C21" s="211">
        <f>ROUND(C22/$F$540,4)</f>
        <v>0.0012</v>
      </c>
      <c r="D21" s="212"/>
      <c r="E21" s="211">
        <v>1</v>
      </c>
      <c r="F21" s="211">
        <v>0</v>
      </c>
      <c r="G21" s="209"/>
    </row>
    <row r="22" spans="1:7" ht="11.25">
      <c r="A22" s="262"/>
      <c r="B22" s="262" t="e">
        <f>VLOOKUP($A22,'Orçamento Sintético'!$A:$H,4,0)</f>
        <v>#N/A</v>
      </c>
      <c r="C22" s="213">
        <f>VLOOKUP($A21,'Orçamento Sintético'!$A:$H,8,0)</f>
        <v>472.8</v>
      </c>
      <c r="D22" s="214">
        <f>ROUND($C22*D21,2)</f>
        <v>0</v>
      </c>
      <c r="E22" s="213">
        <f>ROUND($C22*E21,2)</f>
        <v>472.8</v>
      </c>
      <c r="F22" s="213">
        <f>ROUND($C22*F21,2)</f>
        <v>0</v>
      </c>
      <c r="G22" s="209"/>
    </row>
    <row r="23" spans="1:7" ht="12.75" customHeight="1">
      <c r="A23" s="262" t="s">
        <v>1317</v>
      </c>
      <c r="B23" s="262" t="str">
        <f>VLOOKUP($A23,'Orçamento Sintético'!$A:$H,4,0)</f>
        <v>Cópia da Sudecap (01.04.11) - Fita plástica zebrada para demarcação de áreas, fixada em estrutura, largura = 7 cm, sem adesivo</v>
      </c>
      <c r="C23" s="211">
        <f>ROUND(C24/$F$540,4)</f>
        <v>0.0015</v>
      </c>
      <c r="D23" s="212">
        <v>1</v>
      </c>
      <c r="E23" s="211"/>
      <c r="F23" s="211">
        <v>0</v>
      </c>
      <c r="G23" s="209"/>
    </row>
    <row r="24" spans="1:7" ht="11.25">
      <c r="A24" s="262"/>
      <c r="B24" s="262"/>
      <c r="C24" s="213">
        <f>VLOOKUP($A23,'Orçamento Sintético'!$A:$H,8,0)</f>
        <v>586.18</v>
      </c>
      <c r="D24" s="214">
        <f>ROUND($C24*D23,2)</f>
        <v>586.18</v>
      </c>
      <c r="E24" s="213">
        <f>ROUND($C24*E23,2)</f>
        <v>0</v>
      </c>
      <c r="F24" s="213">
        <f>ROUND($C24*F23,2)</f>
        <v>0</v>
      </c>
      <c r="G24" s="209"/>
    </row>
    <row r="25" spans="1:7" ht="12.75" customHeight="1">
      <c r="A25" s="262" t="s">
        <v>1321</v>
      </c>
      <c r="B25" s="262" t="str">
        <f>VLOOKUP($A25,'Orçamento Sintético'!$A:$H,4,0)</f>
        <v>LOCACAO DE ANDAIME SUSPENSO OU BALANCIM MANUAL, CAPACIDADE DE CARGA TOTAL DE APROXIMADAMENTE 250 KG/M2, PLATAFORMA DE 1,50 M X 0,80 M (C X L), CABO DE 45 M</v>
      </c>
      <c r="C25" s="211">
        <f>ROUND(C26/$F$540,4)</f>
        <v>0.0031</v>
      </c>
      <c r="D25" s="212">
        <v>0.5</v>
      </c>
      <c r="E25" s="211">
        <v>0.5</v>
      </c>
      <c r="F25" s="211">
        <v>0</v>
      </c>
      <c r="G25" s="209"/>
    </row>
    <row r="26" spans="1:7" ht="11.25">
      <c r="A26" s="262"/>
      <c r="B26" s="262"/>
      <c r="C26" s="213">
        <f>VLOOKUP($A25,'Orçamento Sintético'!$A:$H,8,0)</f>
        <v>1200</v>
      </c>
      <c r="D26" s="214">
        <f>ROUND($C26*D25,2)</f>
        <v>600</v>
      </c>
      <c r="E26" s="213">
        <f>ROUND($C26*E25,2)</f>
        <v>600</v>
      </c>
      <c r="F26" s="213">
        <f>ROUND($C26*F25,2)</f>
        <v>0</v>
      </c>
      <c r="G26" s="209"/>
    </row>
    <row r="27" spans="1:7" ht="12.75" customHeight="1">
      <c r="A27" s="262" t="s">
        <v>1323</v>
      </c>
      <c r="B27" s="262" t="str">
        <f>VLOOKUP($A27,'Orçamento Sintético'!$A:$H,4,0)</f>
        <v>LOCACAO DE CONTAINER 2,30 X 6,00 M, ALT. 2,50 M, PARA ESCRITORIO, SEM DIVISORIAS INTERNAS E SEM SANITARIO (NAO INCLUI MOBILIZACAO/DESMOBILIZACAO)</v>
      </c>
      <c r="C27" s="211">
        <f>ROUND(C28/$F$540,4)</f>
        <v>0.0022</v>
      </c>
      <c r="D27" s="212">
        <v>0.5</v>
      </c>
      <c r="E27" s="211">
        <v>0.5</v>
      </c>
      <c r="F27" s="211"/>
      <c r="G27" s="204"/>
    </row>
    <row r="28" spans="1:7" ht="11.25">
      <c r="A28" s="262"/>
      <c r="B28" s="262"/>
      <c r="C28" s="213">
        <f>VLOOKUP($A27,'Orçamento Sintético'!$A:$H,8,0)</f>
        <v>851.56</v>
      </c>
      <c r="D28" s="214">
        <f>ROUND($C28*D27,2)</f>
        <v>425.78</v>
      </c>
      <c r="E28" s="213">
        <f>ROUND($C28*E27,2)</f>
        <v>425.78</v>
      </c>
      <c r="F28" s="213">
        <f>ROUND($C28*F27,2)</f>
        <v>0</v>
      </c>
      <c r="G28" s="204"/>
    </row>
    <row r="29" spans="1:7" ht="12.75" customHeight="1">
      <c r="A29" s="262" t="s">
        <v>1325</v>
      </c>
      <c r="B29" s="262" t="str">
        <f>VLOOKUP($A29,'Orçamento Sintético'!$A:$H,4,0)</f>
        <v>Transporte, carga e descarga de container</v>
      </c>
      <c r="C29" s="211">
        <f>ROUND(C30/$F$540,4)</f>
        <v>0.002</v>
      </c>
      <c r="D29" s="212">
        <v>0.8</v>
      </c>
      <c r="E29" s="211"/>
      <c r="F29" s="211">
        <v>0.2</v>
      </c>
      <c r="G29" s="204"/>
    </row>
    <row r="30" spans="1:7" ht="11.25">
      <c r="A30" s="262"/>
      <c r="B30" s="262"/>
      <c r="C30" s="213">
        <f>VLOOKUP($A29,'Orçamento Sintético'!$A:$H,8,0)</f>
        <v>769.82</v>
      </c>
      <c r="D30" s="214">
        <f>ROUND($C30*D29,2)</f>
        <v>615.86</v>
      </c>
      <c r="E30" s="213">
        <f>ROUND($C30*E29,2)</f>
        <v>0</v>
      </c>
      <c r="F30" s="213">
        <f>ROUND($C30*F29,2)</f>
        <v>153.96</v>
      </c>
      <c r="G30" s="209"/>
    </row>
    <row r="31" spans="1:7" ht="12.75" customHeight="1">
      <c r="A31" s="265" t="s">
        <v>1329</v>
      </c>
      <c r="B31" s="265" t="str">
        <f>VLOOKUP($A31,'Orçamento Sintético'!$A:$H,4,0)</f>
        <v>DEMOLIÇÃO E REMOÇÃO</v>
      </c>
      <c r="C31" s="207">
        <f>ROUND(C32/$F$540,4)</f>
        <v>0.035</v>
      </c>
      <c r="D31" s="207">
        <f>ROUND(D32/$C32,4)</f>
        <v>0.7974</v>
      </c>
      <c r="E31" s="208">
        <f>ROUND(E32/$C32,4)</f>
        <v>0.1509</v>
      </c>
      <c r="F31" s="208">
        <f>ROUND(F32/$C32,4)</f>
        <v>0.0516</v>
      </c>
      <c r="G31" s="204"/>
    </row>
    <row r="32" spans="1:7" ht="11.25">
      <c r="A32" s="265"/>
      <c r="B32" s="265"/>
      <c r="C32" s="210">
        <f>VLOOKUP($A31,'Orçamento Sintético'!$A:$H,8,0)</f>
        <v>13780.830000000002</v>
      </c>
      <c r="D32" s="210">
        <f>D34+D46</f>
        <v>10989.45</v>
      </c>
      <c r="E32" s="210">
        <f>E34+E46</f>
        <v>2079.65</v>
      </c>
      <c r="F32" s="210">
        <f>F34+F46</f>
        <v>711.75</v>
      </c>
      <c r="G32" s="204"/>
    </row>
    <row r="33" spans="1:7" ht="12.75" customHeight="1">
      <c r="A33" s="266" t="s">
        <v>1331</v>
      </c>
      <c r="B33" s="266" t="str">
        <f>VLOOKUP($A33,'Orçamento Sintético'!$A:$H,4,0)</f>
        <v>DEMOLIÇÃO CONVENCIONAL</v>
      </c>
      <c r="C33" s="215">
        <f>ROUND(C34/$F$540,4)</f>
        <v>0.0113</v>
      </c>
      <c r="D33" s="215">
        <f>ROUND(D34/$C34,4)</f>
        <v>1</v>
      </c>
      <c r="E33" s="215">
        <f>ROUND(E34/$C34,4)</f>
        <v>0</v>
      </c>
      <c r="F33" s="215">
        <f>ROUND(F34/$C34,4)</f>
        <v>0</v>
      </c>
      <c r="G33" s="204"/>
    </row>
    <row r="34" spans="1:7" ht="11.25">
      <c r="A34" s="266"/>
      <c r="B34" s="266"/>
      <c r="C34" s="216">
        <f>VLOOKUP($A33,'Orçamento Sintético'!$A:$H,8,0)</f>
        <v>4441.500000000001</v>
      </c>
      <c r="D34" s="216">
        <f>D36+D38+D40+D42+D44</f>
        <v>4441.500000000001</v>
      </c>
      <c r="E34" s="216">
        <f>E36+E38+E40+E42+E44</f>
        <v>0</v>
      </c>
      <c r="F34" s="216">
        <f>F36+F38+F40+F42+F44</f>
        <v>0</v>
      </c>
      <c r="G34" s="204"/>
    </row>
    <row r="35" spans="1:7" ht="12.75" customHeight="1">
      <c r="A35" s="262" t="s">
        <v>1333</v>
      </c>
      <c r="B35" s="262" t="str">
        <f>VLOOKUP($A35,'Orçamento Sintético'!$A:$H,4,0)</f>
        <v>DEMOLIÇÃO DE ALVENARIA DE BLOCO FURADO, DE FORMA MANUAL, SEM REAPROVEITAMENTO. AF_12/2017</v>
      </c>
      <c r="C35" s="211">
        <f>ROUND(C36/$F$540,4)</f>
        <v>0.0001</v>
      </c>
      <c r="D35" s="212">
        <v>1</v>
      </c>
      <c r="E35" s="211"/>
      <c r="F35" s="211">
        <v>0</v>
      </c>
      <c r="G35" s="209"/>
    </row>
    <row r="36" spans="1:7" ht="11.25">
      <c r="A36" s="262"/>
      <c r="B36" s="262"/>
      <c r="C36" s="213">
        <f>VLOOKUP($A35,'Orçamento Sintético'!$A:$H,8,0)</f>
        <v>50.96</v>
      </c>
      <c r="D36" s="214">
        <f>ROUND($C36*D35,2)</f>
        <v>50.96</v>
      </c>
      <c r="E36" s="213">
        <f>ROUND($C36*E35,2)</f>
        <v>0</v>
      </c>
      <c r="F36" s="213">
        <f>ROUND($C36*F35,2)</f>
        <v>0</v>
      </c>
      <c r="G36" s="204"/>
    </row>
    <row r="37" spans="1:7" ht="12.75" customHeight="1">
      <c r="A37" s="262" t="s">
        <v>1335</v>
      </c>
      <c r="B37" s="262" t="str">
        <f>VLOOKUP($A37,'Orçamento Sintético'!$A:$H,4,0)</f>
        <v>FURO EM ALVENARIA PARA DIÂMETROS MAIORES QUE 40 MM E MENORES OU IGUAIS A 75 MM. AF_05/2015</v>
      </c>
      <c r="C37" s="211">
        <f>ROUND(C38/$F$540,4)</f>
        <v>0.0003</v>
      </c>
      <c r="D37" s="212">
        <v>1</v>
      </c>
      <c r="E37" s="211"/>
      <c r="F37" s="211">
        <v>0</v>
      </c>
      <c r="G37" s="209"/>
    </row>
    <row r="38" spans="1:7" ht="11.25">
      <c r="A38" s="262"/>
      <c r="B38" s="262"/>
      <c r="C38" s="213">
        <f>VLOOKUP($A37,'Orçamento Sintético'!$A:$H,8,0)</f>
        <v>103.32</v>
      </c>
      <c r="D38" s="214">
        <f>ROUND($C38*D37,2)</f>
        <v>103.32</v>
      </c>
      <c r="E38" s="213">
        <f>ROUND($C38*E37,2)</f>
        <v>0</v>
      </c>
      <c r="F38" s="213">
        <f>ROUND($C38*F37,2)</f>
        <v>0</v>
      </c>
      <c r="G38" s="209"/>
    </row>
    <row r="39" spans="1:7" ht="12.75" customHeight="1">
      <c r="A39" s="262" t="s">
        <v>1337</v>
      </c>
      <c r="B39" s="262" t="str">
        <f>VLOOKUP($A39,'Orçamento Sintético'!$A:$H,4,0)</f>
        <v>Copia da SEINFRA (C1049) - DEMOLIÇÃO DE CONCRETO SIMPLES</v>
      </c>
      <c r="C39" s="211">
        <f>ROUND(C40/$F$540,4)</f>
        <v>0.0007</v>
      </c>
      <c r="D39" s="212">
        <v>1</v>
      </c>
      <c r="E39" s="211">
        <v>0</v>
      </c>
      <c r="F39" s="211">
        <v>0</v>
      </c>
      <c r="G39" s="204"/>
    </row>
    <row r="40" spans="1:7" ht="11.25">
      <c r="A40" s="262"/>
      <c r="B40" s="262"/>
      <c r="C40" s="213">
        <f>VLOOKUP($A39,'Orçamento Sintético'!$A:$H,8,0)</f>
        <v>286.13</v>
      </c>
      <c r="D40" s="214">
        <f>ROUND($C40*D39,2)</f>
        <v>286.13</v>
      </c>
      <c r="E40" s="213">
        <f>ROUND($C40*E39,2)</f>
        <v>0</v>
      </c>
      <c r="F40" s="213">
        <f>ROUND($C40*F39,2)</f>
        <v>0</v>
      </c>
      <c r="G40" s="209"/>
    </row>
    <row r="41" spans="1:7" ht="12.75" customHeight="1">
      <c r="A41" s="262" t="s">
        <v>2</v>
      </c>
      <c r="B41" s="262" t="str">
        <f>VLOOKUP($A41,'Orçamento Sintético'!$A:$H,4,0)</f>
        <v>Demolição de camada de proteção mecânica, impermeabilização e regularização de base</v>
      </c>
      <c r="C41" s="211">
        <f>ROUND(C42/$F$540,4)</f>
        <v>0.0098</v>
      </c>
      <c r="D41" s="212">
        <v>1</v>
      </c>
      <c r="E41" s="211"/>
      <c r="F41" s="211">
        <v>0</v>
      </c>
      <c r="G41" s="209"/>
    </row>
    <row r="42" spans="1:7" ht="11.25">
      <c r="A42" s="262" t="s">
        <v>2</v>
      </c>
      <c r="B42" s="262"/>
      <c r="C42" s="213">
        <f>VLOOKUP($A41,'Orçamento Sintético'!$A:$H,8,0)</f>
        <v>3842.78</v>
      </c>
      <c r="D42" s="214">
        <f>ROUND($C42*D41,2)</f>
        <v>3842.78</v>
      </c>
      <c r="E42" s="213">
        <f>ROUND($C42*E41,2)</f>
        <v>0</v>
      </c>
      <c r="F42" s="213">
        <f>ROUND($C42*F41,2)</f>
        <v>0</v>
      </c>
      <c r="G42" s="204"/>
    </row>
    <row r="43" spans="1:7" ht="12.75" customHeight="1">
      <c r="A43" s="270" t="s">
        <v>5</v>
      </c>
      <c r="B43" s="262" t="str">
        <f>VLOOKUP($A43,'Orçamento Sintético'!$A:$H,4,0)</f>
        <v>DEMOLIÇÃO PARCIAL DE PAVIMENTO ASFÁLTICO, DE FORMA MECANIZADA, SEM REAPROVEITAMENTO. AF_12/2017</v>
      </c>
      <c r="C43" s="211">
        <f>ROUND(C44/$F$538,4)</f>
        <v>0.0009</v>
      </c>
      <c r="D43" s="212">
        <v>1</v>
      </c>
      <c r="E43" s="211"/>
      <c r="F43" s="211">
        <v>0</v>
      </c>
      <c r="G43" s="204"/>
    </row>
    <row r="44" spans="1:7" ht="11.25">
      <c r="A44" s="270"/>
      <c r="B44" s="262"/>
      <c r="C44" s="213">
        <f>VLOOKUP($A43,'Orçamento Sintético'!$A:$H,8,0)</f>
        <v>158.31</v>
      </c>
      <c r="D44" s="214">
        <f>ROUND($C44*D43,2)</f>
        <v>158.31</v>
      </c>
      <c r="E44" s="213">
        <f>ROUND($C44*E43,2)</f>
        <v>0</v>
      </c>
      <c r="F44" s="213">
        <f>ROUND($C44*F43,2)</f>
        <v>0</v>
      </c>
      <c r="G44" s="204"/>
    </row>
    <row r="45" spans="1:7" ht="12.75" customHeight="1">
      <c r="A45" s="266" t="s">
        <v>7</v>
      </c>
      <c r="B45" s="266" t="str">
        <f>VLOOKUP($A45,'Orçamento Sintético'!$A:$H,4,0)</f>
        <v>REMOÇÃO</v>
      </c>
      <c r="C45" s="215">
        <f>ROUND(C46/$F$540,4)</f>
        <v>0.0237</v>
      </c>
      <c r="D45" s="215">
        <f>ROUND(D46/$C46,4)</f>
        <v>0.7011</v>
      </c>
      <c r="E45" s="215">
        <f>ROUND(E46/$C46,4)</f>
        <v>0.2227</v>
      </c>
      <c r="F45" s="215">
        <f>ROUND(F46/$C46,4)</f>
        <v>0.0762</v>
      </c>
      <c r="G45" s="209"/>
    </row>
    <row r="46" spans="1:7" ht="11.25">
      <c r="A46" s="266"/>
      <c r="B46" s="266"/>
      <c r="C46" s="216">
        <f>VLOOKUP($A45,'Orçamento Sintético'!$A:$H,8,0)</f>
        <v>9339.33</v>
      </c>
      <c r="D46" s="216">
        <f>D48+D50+D52+D54+D56+D58+D60+D62+D64+D66+D68+D70+D72+D74+D76+D78+D80+D82</f>
        <v>6547.95</v>
      </c>
      <c r="E46" s="216">
        <f>E48+E50+E52+E54+E56+E58+E60+E62+E64+E66+E68+E70+E72+E74+E76+E78+E80+E82</f>
        <v>2079.65</v>
      </c>
      <c r="F46" s="216">
        <f>F48+F50+F52+F54+F56+F58+F60+F62+F64+F66+F68+F70+F72+F74+F76+F78+F80+F82</f>
        <v>711.75</v>
      </c>
      <c r="G46" s="209"/>
    </row>
    <row r="47" spans="1:7" ht="12.75" customHeight="1">
      <c r="A47" s="262" t="s">
        <v>9</v>
      </c>
      <c r="B47" s="262" t="str">
        <f>VLOOKUP($A47,'Orçamento Sintético'!$A:$H,4,0)</f>
        <v>REMOÇÃO DE LUMINÁRIAS, DE FORMA MANUAL, SEM REAPROVEITAMENTO. AF_12/2017</v>
      </c>
      <c r="C47" s="211">
        <f>ROUND(C48/$F$540,4)</f>
        <v>0</v>
      </c>
      <c r="D47" s="212">
        <v>1</v>
      </c>
      <c r="E47" s="211">
        <v>0</v>
      </c>
      <c r="F47" s="211">
        <v>0</v>
      </c>
      <c r="G47" s="209"/>
    </row>
    <row r="48" spans="1:7" ht="11.25">
      <c r="A48" s="262"/>
      <c r="B48" s="262"/>
      <c r="C48" s="213">
        <f>VLOOKUP($A47,'Orçamento Sintético'!$A:$H,8,0)</f>
        <v>12.87</v>
      </c>
      <c r="D48" s="214">
        <f>ROUND($C48*D47,2)</f>
        <v>12.87</v>
      </c>
      <c r="E48" s="213">
        <f>ROUND($C48*E47,2)</f>
        <v>0</v>
      </c>
      <c r="F48" s="213">
        <f>ROUND($C48*F47,2)</f>
        <v>0</v>
      </c>
      <c r="G48" s="204"/>
    </row>
    <row r="49" spans="1:7" ht="12.75" customHeight="1">
      <c r="A49" s="262" t="s">
        <v>11</v>
      </c>
      <c r="B49" s="262" t="str">
        <f>VLOOKUP($A49,'Orçamento Sintético'!$A:$H,4,0)</f>
        <v>REMOÇÃO DE FORRO DE GESSO, DE FORMA MANUAL, SEM REAPROVEITAMENTO. AF_12/2017</v>
      </c>
      <c r="C49" s="211">
        <f>ROUND(C50/$F$540,4)</f>
        <v>0.0003</v>
      </c>
      <c r="D49" s="212">
        <v>0.15</v>
      </c>
      <c r="E49" s="211">
        <v>0.85</v>
      </c>
      <c r="F49" s="211">
        <v>0</v>
      </c>
      <c r="G49" s="204"/>
    </row>
    <row r="50" spans="1:7" ht="11.25">
      <c r="A50" s="262"/>
      <c r="B50" s="262"/>
      <c r="C50" s="213">
        <f>VLOOKUP($A49,'Orçamento Sintético'!$A:$H,8,0)</f>
        <v>132.24</v>
      </c>
      <c r="D50" s="214">
        <f>ROUND($C50*D49,2)</f>
        <v>19.84</v>
      </c>
      <c r="E50" s="213">
        <f>ROUND($C50*E49,2)</f>
        <v>112.4</v>
      </c>
      <c r="F50" s="213">
        <f>ROUND($C50*F49,2)</f>
        <v>0</v>
      </c>
      <c r="G50" s="209"/>
    </row>
    <row r="51" spans="1:7" ht="12.75" customHeight="1">
      <c r="A51" s="262" t="s">
        <v>13</v>
      </c>
      <c r="B51" s="262" t="str">
        <f>VLOOKUP($A51,'Orçamento Sintético'!$A:$H,4,0)</f>
        <v>Copia da CPOS (04.30.060) - Remoção de tubulação hidráulica em geral, incluindo conexões, caixas e ralos</v>
      </c>
      <c r="C51" s="211">
        <f>ROUND(C52/$F$540,4)</f>
        <v>0</v>
      </c>
      <c r="D51" s="212"/>
      <c r="E51" s="211">
        <v>1</v>
      </c>
      <c r="F51" s="211">
        <v>0</v>
      </c>
      <c r="G51" s="204"/>
    </row>
    <row r="52" spans="1:7" ht="11.25">
      <c r="A52" s="262"/>
      <c r="B52" s="262"/>
      <c r="C52" s="213">
        <f>VLOOKUP($A51,'Orçamento Sintético'!$A:$H,8,0)</f>
        <v>15.5</v>
      </c>
      <c r="D52" s="214">
        <f>ROUND($C52*D51,2)</f>
        <v>0</v>
      </c>
      <c r="E52" s="213">
        <f>ROUND($C52*E51,2)</f>
        <v>15.5</v>
      </c>
      <c r="F52" s="213">
        <f>ROUND($C52*F51,2)</f>
        <v>0</v>
      </c>
      <c r="G52" s="204"/>
    </row>
    <row r="53" spans="1:7" ht="12.75" customHeight="1">
      <c r="A53" s="262" t="s">
        <v>16</v>
      </c>
      <c r="B53" s="262" t="str">
        <f>VLOOKUP($A53,'Orçamento Sintético'!$A:$H,4,0)</f>
        <v>Remoção de cancela automática e ponto eletrônico</v>
      </c>
      <c r="C53" s="211">
        <f>ROUND(C54/$F$540,4)</f>
        <v>0.0001</v>
      </c>
      <c r="D53" s="212">
        <v>1</v>
      </c>
      <c r="E53" s="211">
        <v>0</v>
      </c>
      <c r="F53" s="211">
        <v>0</v>
      </c>
      <c r="G53" s="204"/>
    </row>
    <row r="54" spans="1:7" ht="11.25">
      <c r="A54" s="262"/>
      <c r="B54" s="262"/>
      <c r="C54" s="213">
        <f>VLOOKUP($A53,'Orçamento Sintético'!$A:$H,8,0)</f>
        <v>40.5</v>
      </c>
      <c r="D54" s="214">
        <f>ROUND($C54*D53,2)</f>
        <v>40.5</v>
      </c>
      <c r="E54" s="213">
        <f>ROUND($C54*E53,2)</f>
        <v>0</v>
      </c>
      <c r="F54" s="213">
        <f>ROUND($C54*F53,2)</f>
        <v>0</v>
      </c>
      <c r="G54" s="209"/>
    </row>
    <row r="55" spans="1:7" ht="12.75" customHeight="1">
      <c r="A55" s="262" t="s">
        <v>19</v>
      </c>
      <c r="B55" s="262" t="str">
        <f>VLOOKUP($A55,'Orçamento Sintético'!$A:$H,4,0)</f>
        <v>Cópia da SBC (022183) - Retirada de rufos metálicos</v>
      </c>
      <c r="C55" s="211">
        <f>ROUND(C56/$F$540,4)</f>
        <v>0.002</v>
      </c>
      <c r="D55" s="212">
        <v>1</v>
      </c>
      <c r="E55" s="211">
        <v>0</v>
      </c>
      <c r="F55" s="211">
        <v>0</v>
      </c>
      <c r="G55" s="204"/>
    </row>
    <row r="56" spans="1:7" ht="11.25">
      <c r="A56" s="262"/>
      <c r="B56" s="262"/>
      <c r="C56" s="213">
        <f>VLOOKUP($A55,'Orçamento Sintético'!$A:$H,8,0)</f>
        <v>777.86</v>
      </c>
      <c r="D56" s="214">
        <f>ROUND($C56*D55,2)</f>
        <v>777.86</v>
      </c>
      <c r="E56" s="213">
        <f>ROUND($C56*E55,2)</f>
        <v>0</v>
      </c>
      <c r="F56" s="213">
        <f>ROUND($C56*F55,2)</f>
        <v>0</v>
      </c>
      <c r="G56" s="209"/>
    </row>
    <row r="57" spans="1:7" ht="12.75" customHeight="1">
      <c r="A57" s="262" t="s">
        <v>22</v>
      </c>
      <c r="B57" s="262" t="str">
        <f>VLOOKUP($A57,'Orçamento Sintético'!$A:$H,4,0)</f>
        <v>Cópia da SBC (121160) - Remoção de painel de alumínio, poliuretano, Alucobond, Reybond em parede</v>
      </c>
      <c r="C57" s="211">
        <f>ROUND(C58/$F$540,4)</f>
        <v>0.0032</v>
      </c>
      <c r="D57" s="212">
        <v>1</v>
      </c>
      <c r="E57" s="211">
        <v>0</v>
      </c>
      <c r="F57" s="211">
        <v>0</v>
      </c>
      <c r="G57" s="204"/>
    </row>
    <row r="58" spans="1:7" ht="11.25">
      <c r="A58" s="262"/>
      <c r="B58" s="262"/>
      <c r="C58" s="213">
        <f>VLOOKUP($A57,'Orçamento Sintético'!$A:$H,8,0)</f>
        <v>1250.23</v>
      </c>
      <c r="D58" s="214">
        <f>ROUND($C58*D57,2)</f>
        <v>1250.23</v>
      </c>
      <c r="E58" s="213">
        <f>ROUND($C58*E57,2)</f>
        <v>0</v>
      </c>
      <c r="F58" s="213">
        <f>ROUND($C58*F57,2)</f>
        <v>0</v>
      </c>
      <c r="G58" s="209"/>
    </row>
    <row r="59" spans="1:7" ht="12.75" customHeight="1">
      <c r="A59" s="262" t="s">
        <v>25</v>
      </c>
      <c r="B59" s="262" t="str">
        <f>VLOOKUP($A59,'Orçamento Sintético'!$A:$H,4,0)</f>
        <v>REMOÇÃO DE PORTAS, DE FORMA MANUAL, SEM REAPROVEITAMENTO. AF_12/2017</v>
      </c>
      <c r="C59" s="211">
        <f>ROUND(C60/$F$540,4)</f>
        <v>0</v>
      </c>
      <c r="D59" s="212">
        <v>1</v>
      </c>
      <c r="E59" s="211"/>
      <c r="F59" s="211">
        <v>0</v>
      </c>
      <c r="G59" s="204"/>
    </row>
    <row r="60" spans="1:7" ht="11.25">
      <c r="A60" s="262"/>
      <c r="B60" s="262"/>
      <c r="C60" s="213">
        <f>VLOOKUP($A59,'Orçamento Sintético'!$A:$H,8,0)</f>
        <v>16.88</v>
      </c>
      <c r="D60" s="214">
        <f>ROUND($C60*D59,2)</f>
        <v>16.88</v>
      </c>
      <c r="E60" s="213">
        <f>ROUND($C60*E59,2)</f>
        <v>0</v>
      </c>
      <c r="F60" s="213">
        <f>ROUND($C60*F59,2)</f>
        <v>0</v>
      </c>
      <c r="G60" s="209"/>
    </row>
    <row r="61" spans="1:7" ht="12.75" customHeight="1">
      <c r="A61" s="262" t="s">
        <v>27</v>
      </c>
      <c r="B61" s="262" t="str">
        <f>VLOOKUP($A61,'Orçamento Sintético'!$A:$H,4,0)</f>
        <v>TRANSPORTE HORIZONTAL COM CARRINHO DE MÃO, DE SACOS DE 50 KG (UNIDADE: KGXKM). AF_07/2019</v>
      </c>
      <c r="C61" s="211">
        <f>ROUND(C62/$F$540,4)</f>
        <v>0.0013</v>
      </c>
      <c r="D61" s="212">
        <v>0.6</v>
      </c>
      <c r="E61" s="211">
        <v>0.2</v>
      </c>
      <c r="F61" s="211">
        <v>0.2</v>
      </c>
      <c r="G61" s="209"/>
    </row>
    <row r="62" spans="1:7" ht="11.25">
      <c r="A62" s="262"/>
      <c r="B62" s="262"/>
      <c r="C62" s="213">
        <f>VLOOKUP($A61,'Orçamento Sintético'!$A:$H,8,0)</f>
        <v>524.88</v>
      </c>
      <c r="D62" s="214">
        <f>ROUND($C62*D61,2)</f>
        <v>314.93</v>
      </c>
      <c r="E62" s="213">
        <f>ROUND($C62*E61,2)</f>
        <v>104.98</v>
      </c>
      <c r="F62" s="213">
        <f>ROUND($C62*F61,2)</f>
        <v>104.98</v>
      </c>
      <c r="G62" s="204"/>
    </row>
    <row r="63" spans="1:7" ht="12.75" customHeight="1">
      <c r="A63" s="262" t="s">
        <v>29</v>
      </c>
      <c r="B63" s="262" t="str">
        <f>VLOOKUP($A63,'Orçamento Sintético'!$A:$H,4,0)</f>
        <v>Transporte de material – bota-fora, D.M.T = 60,0 km - carga manual</v>
      </c>
      <c r="C63" s="211">
        <f>ROUND(C64/$F$540,4)</f>
        <v>0.0076</v>
      </c>
      <c r="D63" s="212">
        <v>0.6</v>
      </c>
      <c r="E63" s="211">
        <v>0.2</v>
      </c>
      <c r="F63" s="211">
        <v>0.2</v>
      </c>
      <c r="G63" s="209"/>
    </row>
    <row r="64" spans="1:7" ht="11.25">
      <c r="A64" s="262"/>
      <c r="B64" s="262"/>
      <c r="C64" s="213">
        <f>VLOOKUP($A63,'Orçamento Sintético'!$A:$H,8,0)</f>
        <v>2976.96</v>
      </c>
      <c r="D64" s="214">
        <f>ROUND($C64*D63,2)</f>
        <v>1786.18</v>
      </c>
      <c r="E64" s="213">
        <f>ROUND($C64*E63,2)</f>
        <v>595.39</v>
      </c>
      <c r="F64" s="213">
        <f>ROUND($C64*F63,2)</f>
        <v>595.39</v>
      </c>
      <c r="G64" s="209"/>
    </row>
    <row r="65" spans="1:7" ht="12.75" customHeight="1">
      <c r="A65" s="262" t="s">
        <v>32</v>
      </c>
      <c r="B65" s="262" t="str">
        <f>VLOOKUP($A65,'Orçamento Sintético'!$A:$H,4,0)</f>
        <v>Ensacamento e transporte de entulho em sacos de 50 kg (KGxKM)</v>
      </c>
      <c r="C65" s="211">
        <f>ROUND(C66/$F$540,4)</f>
        <v>0.0001</v>
      </c>
      <c r="D65" s="212">
        <v>0.6</v>
      </c>
      <c r="E65" s="211">
        <v>0.2</v>
      </c>
      <c r="F65" s="211">
        <v>0.2</v>
      </c>
      <c r="G65" s="209"/>
    </row>
    <row r="66" spans="1:7" ht="11.25">
      <c r="A66" s="262"/>
      <c r="B66" s="262"/>
      <c r="C66" s="213">
        <f>VLOOKUP($A65,'Orçamento Sintético'!$A:$H,8,0)</f>
        <v>56.88</v>
      </c>
      <c r="D66" s="214">
        <f>ROUND($C66*D65,2)</f>
        <v>34.13</v>
      </c>
      <c r="E66" s="213">
        <f>ROUND($C66*E65,2)</f>
        <v>11.38</v>
      </c>
      <c r="F66" s="213">
        <f>ROUND($C66*F65,2)</f>
        <v>11.38</v>
      </c>
      <c r="G66" s="209"/>
    </row>
    <row r="67" spans="1:7" ht="12.75" customHeight="1">
      <c r="A67" s="270" t="s">
        <v>36</v>
      </c>
      <c r="B67" s="262" t="str">
        <f>VLOOKUP($A67,'Orçamento Sintético'!$A:$H,4,0)</f>
        <v>Copia da SBC (022087) - RETIRADA E REMOCAO DE EQUIPAMENTOS DE AR CONDICIONADO</v>
      </c>
      <c r="C67" s="211">
        <f>ROUND(C68/$F$540,4)</f>
        <v>0.0001</v>
      </c>
      <c r="D67" s="212">
        <v>1</v>
      </c>
      <c r="E67" s="211"/>
      <c r="F67" s="211">
        <v>0</v>
      </c>
      <c r="G67" s="209"/>
    </row>
    <row r="68" spans="1:7" ht="11.25">
      <c r="A68" s="270"/>
      <c r="B68" s="270"/>
      <c r="C68" s="213">
        <f>VLOOKUP($A67,'Orçamento Sintético'!$A:$H,8,0)</f>
        <v>57.28</v>
      </c>
      <c r="D68" s="214">
        <f>ROUND($C68*D67,2)</f>
        <v>57.28</v>
      </c>
      <c r="E68" s="213">
        <f>ROUND($C68*E67,2)</f>
        <v>0</v>
      </c>
      <c r="F68" s="213">
        <f>ROUND($C68*F67,2)</f>
        <v>0</v>
      </c>
      <c r="G68" s="209"/>
    </row>
    <row r="69" spans="1:7" ht="12.75" customHeight="1">
      <c r="A69" s="270" t="s">
        <v>40</v>
      </c>
      <c r="B69" s="262" t="str">
        <f>VLOOKUP($A69,'Orçamento Sintético'!$A:$H,4,0)</f>
        <v>REMOÇÃO DE CABOS ELÉTRICOS, DE FORMA MANUAL, SEM REAPROVEITAMENTO. AF_12/2017</v>
      </c>
      <c r="C69" s="211">
        <f>ROUND(C70/$F$540,4)</f>
        <v>0</v>
      </c>
      <c r="D69" s="212">
        <v>1</v>
      </c>
      <c r="E69" s="211"/>
      <c r="F69" s="211">
        <v>0</v>
      </c>
      <c r="G69" s="209"/>
    </row>
    <row r="70" spans="1:7" ht="11.25">
      <c r="A70" s="270"/>
      <c r="B70" s="270"/>
      <c r="C70" s="213">
        <f>VLOOKUP($A69,'Orçamento Sintético'!$A:$H,8,0)</f>
        <v>5.49</v>
      </c>
      <c r="D70" s="214">
        <f>ROUND($C70*D69,2)</f>
        <v>5.49</v>
      </c>
      <c r="E70" s="213">
        <f>ROUND($C70*E69,2)</f>
        <v>0</v>
      </c>
      <c r="F70" s="213">
        <f>ROUND($C70*F69,2)</f>
        <v>0</v>
      </c>
      <c r="G70" s="209"/>
    </row>
    <row r="71" spans="1:7" ht="12.75" customHeight="1">
      <c r="A71" s="270" t="s">
        <v>42</v>
      </c>
      <c r="B71" s="262" t="str">
        <f>VLOOKUP($A71,'Orçamento Sintético'!$A:$H,4,0)</f>
        <v>Copia da SINAPI (98504) - REMOÇÃO DE GRAMA EM PLACAS COM REAPROVEITAMENTO.</v>
      </c>
      <c r="C71" s="211">
        <f>ROUND(C72/$F$540,4)</f>
        <v>0.0001</v>
      </c>
      <c r="D71" s="212">
        <v>1</v>
      </c>
      <c r="E71" s="211"/>
      <c r="F71" s="211">
        <v>0</v>
      </c>
      <c r="G71" s="209"/>
    </row>
    <row r="72" spans="1:7" ht="11.25">
      <c r="A72" s="270"/>
      <c r="B72" s="270"/>
      <c r="C72" s="213">
        <f>VLOOKUP($A71,'Orçamento Sintético'!$A:$H,8,0)</f>
        <v>34.47</v>
      </c>
      <c r="D72" s="214">
        <f>ROUND($C72*D71,2)</f>
        <v>34.47</v>
      </c>
      <c r="E72" s="213">
        <f>ROUND($C72*E71,2)</f>
        <v>0</v>
      </c>
      <c r="F72" s="213">
        <f>ROUND($C72*F71,2)</f>
        <v>0</v>
      </c>
      <c r="G72" s="209"/>
    </row>
    <row r="73" spans="1:7" ht="12.75" customHeight="1">
      <c r="A73" s="270" t="s">
        <v>45</v>
      </c>
      <c r="B73" s="262" t="str">
        <f>VLOOKUP($A73,'Orçamento Sintético'!$A:$H,4,0)</f>
        <v>Remoção, com reaproveitamento, de escadas metálicas e antena</v>
      </c>
      <c r="C73" s="211">
        <f>ROUND(C74/$F$540,4)</f>
        <v>0.0009</v>
      </c>
      <c r="D73" s="212">
        <v>1</v>
      </c>
      <c r="E73" s="211"/>
      <c r="F73" s="211">
        <v>0</v>
      </c>
      <c r="G73" s="209"/>
    </row>
    <row r="74" spans="1:7" ht="11.25">
      <c r="A74" s="270"/>
      <c r="B74" s="270"/>
      <c r="C74" s="213">
        <f>VLOOKUP($A73,'Orçamento Sintético'!$A:$H,8,0)</f>
        <v>341.88</v>
      </c>
      <c r="D74" s="214">
        <f>ROUND($C74*D73,2)</f>
        <v>341.88</v>
      </c>
      <c r="E74" s="213">
        <f>ROUND($C74*E73,2)</f>
        <v>0</v>
      </c>
      <c r="F74" s="213">
        <f>ROUND($C74*F73,2)</f>
        <v>0</v>
      </c>
      <c r="G74" s="209"/>
    </row>
    <row r="75" spans="1:7" ht="12.75" customHeight="1">
      <c r="A75" s="270" t="s">
        <v>48</v>
      </c>
      <c r="B75" s="262" t="str">
        <f>VLOOKUP($A75,'Orçamento Sintético'!$A:$H,4,0)</f>
        <v>Remoção, com reaproveitamento, do sistema de proteção contra descargas atmosféricas</v>
      </c>
      <c r="C75" s="211">
        <f>ROUND(C76/$F$540,4)</f>
        <v>0.0046</v>
      </c>
      <c r="D75" s="212">
        <v>1</v>
      </c>
      <c r="E75" s="211"/>
      <c r="F75" s="211">
        <v>0</v>
      </c>
      <c r="G75" s="209"/>
    </row>
    <row r="76" spans="1:7" ht="11.25">
      <c r="A76" s="270"/>
      <c r="B76" s="270"/>
      <c r="C76" s="213">
        <f>VLOOKUP($A75,'Orçamento Sintético'!$A:$H,8,0)</f>
        <v>1817.91</v>
      </c>
      <c r="D76" s="214">
        <f>ROUND($C76*D75,2)</f>
        <v>1817.91</v>
      </c>
      <c r="E76" s="213">
        <f>ROUND($C76*E75,2)</f>
        <v>0</v>
      </c>
      <c r="F76" s="213">
        <f>ROUND($C76*F75,2)</f>
        <v>0</v>
      </c>
      <c r="G76" s="209"/>
    </row>
    <row r="77" spans="1:7" ht="12.75" customHeight="1">
      <c r="A77" s="270" t="s">
        <v>51</v>
      </c>
      <c r="B77" s="262" t="str">
        <f>VLOOKUP($A77,'Orçamento Sintético'!$A:$H,4,0)</f>
        <v>Copia da SBC (022412) - Remoção de pintura textura em paredes internas e externas</v>
      </c>
      <c r="C77" s="211">
        <f>ROUND(C78/$F$540,4)</f>
        <v>0.0032</v>
      </c>
      <c r="D77" s="212"/>
      <c r="E77" s="211">
        <v>1</v>
      </c>
      <c r="F77" s="211">
        <v>0</v>
      </c>
      <c r="G77" s="209"/>
    </row>
    <row r="78" spans="1:7" ht="11.25">
      <c r="A78" s="270"/>
      <c r="B78" s="270"/>
      <c r="C78" s="213">
        <f>VLOOKUP($A77,'Orçamento Sintético'!$A:$H,8,0)</f>
        <v>1240</v>
      </c>
      <c r="D78" s="214">
        <f>ROUND($C78*D77,2)</f>
        <v>0</v>
      </c>
      <c r="E78" s="213">
        <f>ROUND($C78*E77,2)</f>
        <v>1240</v>
      </c>
      <c r="F78" s="213">
        <f>ROUND($C78*F77,2)</f>
        <v>0</v>
      </c>
      <c r="G78" s="209"/>
    </row>
    <row r="79" spans="1:7" ht="12.75" customHeight="1">
      <c r="A79" s="270" t="s">
        <v>54</v>
      </c>
      <c r="B79" s="262" t="str">
        <f>VLOOKUP($A79,'Orçamento Sintético'!$A:$H,4,0)</f>
        <v>Copia da SINAPI (97662) - REMOÇÃO DE TUBULAÇÕES DE REDE FRIGORIGENA (LINHA DE SUCÇÃO, LINHA DE LÍQUIDO E TUBULAÇÃO DE DRENO), DE FORMA MANUAL, SEM REAPROVEITAMENTO.</v>
      </c>
      <c r="C79" s="211">
        <f>ROUND(C80/$F$540,4)</f>
        <v>0</v>
      </c>
      <c r="D79" s="212">
        <v>1</v>
      </c>
      <c r="E79" s="211"/>
      <c r="F79" s="211">
        <v>0</v>
      </c>
      <c r="G79" s="209"/>
    </row>
    <row r="80" spans="1:7" ht="11.25">
      <c r="A80" s="270"/>
      <c r="B80" s="270"/>
      <c r="C80" s="213">
        <f>VLOOKUP($A79,'Orçamento Sintético'!$A:$H,8,0)</f>
        <v>4.5</v>
      </c>
      <c r="D80" s="214">
        <f>ROUND($C80*D79,2)</f>
        <v>4.5</v>
      </c>
      <c r="E80" s="213">
        <f>ROUND($C80*E79,2)</f>
        <v>0</v>
      </c>
      <c r="F80" s="213">
        <f>ROUND($C80*F79,2)</f>
        <v>0</v>
      </c>
      <c r="G80" s="209"/>
    </row>
    <row r="81" spans="1:7" ht="12.75" customHeight="1">
      <c r="A81" s="270" t="s">
        <v>58</v>
      </c>
      <c r="B81" s="262" t="str">
        <f>VLOOKUP($A81,'Orçamento Sintético'!$A:$H,4,0)</f>
        <v>Copia da SETOP (DEM-MFC-005) - REMOÇÃO DE MEIO-FIO PRÉ-MOLDADO DE CONCRETO INCLUSIVE CARGA</v>
      </c>
      <c r="C81" s="211">
        <f>ROUND(C82/$F$540,4)</f>
        <v>0.0001</v>
      </c>
      <c r="D81" s="212">
        <v>1</v>
      </c>
      <c r="E81" s="211"/>
      <c r="F81" s="211">
        <v>0</v>
      </c>
      <c r="G81" s="209"/>
    </row>
    <row r="82" spans="1:7" ht="11.25">
      <c r="A82" s="270"/>
      <c r="B82" s="270"/>
      <c r="C82" s="213">
        <f>VLOOKUP($A81,'Orçamento Sintético'!$A:$H,8,0)</f>
        <v>33</v>
      </c>
      <c r="D82" s="214">
        <f>ROUND($C82*D81,2)</f>
        <v>33</v>
      </c>
      <c r="E82" s="213">
        <f>ROUND($C82*E81,2)</f>
        <v>0</v>
      </c>
      <c r="F82" s="213">
        <f>ROUND($C82*F81,2)</f>
        <v>0</v>
      </c>
      <c r="G82" s="209"/>
    </row>
    <row r="83" spans="1:7" ht="12.75" customHeight="1">
      <c r="A83" s="265" t="s">
        <v>61</v>
      </c>
      <c r="B83" s="265" t="str">
        <f>VLOOKUP($A83,'Orçamento Sintético'!$A:$H,4,0)</f>
        <v>Terraplanagem, movimentação de terra e escavações</v>
      </c>
      <c r="C83" s="207">
        <f>ROUND(C84/$F$540,4)</f>
        <v>0.0096</v>
      </c>
      <c r="D83" s="207">
        <f>ROUND(D84/$C84,4)</f>
        <v>0.5025</v>
      </c>
      <c r="E83" s="208">
        <f>ROUND(E84/$C84,4)</f>
        <v>0.3649</v>
      </c>
      <c r="F83" s="208">
        <f>ROUND(F84/$C84,4)</f>
        <v>0.1326</v>
      </c>
      <c r="G83" s="209"/>
    </row>
    <row r="84" spans="1:7" ht="11.25">
      <c r="A84" s="265"/>
      <c r="B84" s="265"/>
      <c r="C84" s="210">
        <f>VLOOKUP($A83,'Orçamento Sintético'!$A:$H,8,0)</f>
        <v>3771.9</v>
      </c>
      <c r="D84" s="210">
        <f>D86+D92</f>
        <v>1895.2</v>
      </c>
      <c r="E84" s="210">
        <f>E86+E92</f>
        <v>1376.4</v>
      </c>
      <c r="F84" s="210">
        <f>F86+F92</f>
        <v>500.3</v>
      </c>
      <c r="G84" s="209"/>
    </row>
    <row r="85" spans="1:7" ht="12.75" customHeight="1">
      <c r="A85" s="266" t="s">
        <v>63</v>
      </c>
      <c r="B85" s="266" t="str">
        <f>VLOOKUP($A85,'Orçamento Sintético'!$A:$H,4,0)</f>
        <v>Limpeza e Preparo da Área</v>
      </c>
      <c r="C85" s="215">
        <f>ROUND(C86/$F$540,4)</f>
        <v>0.0052</v>
      </c>
      <c r="D85" s="215">
        <f>ROUND(D86/$C86,4)</f>
        <v>0.9239</v>
      </c>
      <c r="E85" s="215">
        <f>ROUND(E86/$C86,4)</f>
        <v>0</v>
      </c>
      <c r="F85" s="215">
        <f>ROUND(F86/$C86,4)</f>
        <v>0.0761</v>
      </c>
      <c r="G85" s="209"/>
    </row>
    <row r="86" spans="1:7" ht="11.25">
      <c r="A86" s="266"/>
      <c r="B86" s="266"/>
      <c r="C86" s="216">
        <f>VLOOKUP($A85,'Orçamento Sintético'!$A:$H,8,0)</f>
        <v>2051.4</v>
      </c>
      <c r="D86" s="216">
        <f>D88+D90</f>
        <v>1895.2</v>
      </c>
      <c r="E86" s="216">
        <f>E88+E90</f>
        <v>0</v>
      </c>
      <c r="F86" s="216">
        <f>F88+F90</f>
        <v>156.2</v>
      </c>
      <c r="G86" s="209"/>
    </row>
    <row r="87" spans="1:7" ht="12.75" customHeight="1">
      <c r="A87" s="270" t="s">
        <v>65</v>
      </c>
      <c r="B87" s="262" t="str">
        <f>VLOOKUP($A87,'Orçamento Sintético'!$A:$H,4,0)</f>
        <v>ESCAVAÇÃO MANUAL DE VALA PARA VIGA BALDRAME (INCLUINDO ESCAVAÇÃO PARA COLOCAÇÃO DE FÔRMAS). AF_06/2017</v>
      </c>
      <c r="C87" s="211">
        <f>ROUND(C88/$F$540,4)</f>
        <v>0.0048</v>
      </c>
      <c r="D87" s="212">
        <v>1</v>
      </c>
      <c r="E87" s="211"/>
      <c r="F87" s="211">
        <v>0</v>
      </c>
      <c r="G87" s="209"/>
    </row>
    <row r="88" spans="1:7" ht="11.25">
      <c r="A88" s="270"/>
      <c r="B88" s="270"/>
      <c r="C88" s="213">
        <f>VLOOKUP($A87,'Orçamento Sintético'!$A:$H,8,0)</f>
        <v>1895.2</v>
      </c>
      <c r="D88" s="214">
        <f>ROUND($C88*D87,2)</f>
        <v>1895.2</v>
      </c>
      <c r="E88" s="213">
        <f>ROUND($C88*E87,2)</f>
        <v>0</v>
      </c>
      <c r="F88" s="213">
        <f>ROUND($C88*F87,2)</f>
        <v>0</v>
      </c>
      <c r="G88" s="209"/>
    </row>
    <row r="89" spans="1:7" ht="18" customHeight="1">
      <c r="A89" s="270" t="s">
        <v>67</v>
      </c>
      <c r="B89" s="262" t="str">
        <f>VLOOKUP($A89,'Orçamento Sintético'!$A:$H,4,0)</f>
        <v>ESCAVAÇÃO MECANIZADA DE VALA COM PROF. MAIOR QUE 1,5 M ATÉ 3,0 M (MÉDIA MONTANTE E JUSANTE/UMA COMPOSIÇÃO POR TRECHO), RETROESCAV. (0,26 M3), LARG. DE 0,8 M A 1,5 M, EM SOLO DE 2A CATEGORIA, EM LOCAIS COM BAIXO NÍVEL DE INTERFERÊNCIA. AF_02/2021</v>
      </c>
      <c r="C89" s="211">
        <f>ROUND(C90/$F$540,4)</f>
        <v>0.0004</v>
      </c>
      <c r="D89" s="212"/>
      <c r="E89" s="211"/>
      <c r="F89" s="211">
        <v>1</v>
      </c>
      <c r="G89" s="209"/>
    </row>
    <row r="90" spans="1:7" ht="19.5" customHeight="1">
      <c r="A90" s="270"/>
      <c r="B90" s="270"/>
      <c r="C90" s="213">
        <f>VLOOKUP($A89,'Orçamento Sintético'!$A:$H,8,0)</f>
        <v>156.2</v>
      </c>
      <c r="D90" s="214">
        <f>ROUND($C90*D89,2)</f>
        <v>0</v>
      </c>
      <c r="E90" s="213">
        <f>ROUND($C90*E89,2)</f>
        <v>0</v>
      </c>
      <c r="F90" s="213">
        <f>ROUND($C90*F89,2)</f>
        <v>156.2</v>
      </c>
      <c r="G90" s="209"/>
    </row>
    <row r="91" spans="1:7" ht="12.75" customHeight="1">
      <c r="A91" s="266" t="s">
        <v>69</v>
      </c>
      <c r="B91" s="266" t="str">
        <f>VLOOKUP($A91,'Orçamento Sintético'!$A:$H,4,0)</f>
        <v>Aterro compactado</v>
      </c>
      <c r="C91" s="215">
        <f>ROUND(C92/$F$540,4)</f>
        <v>0.0044</v>
      </c>
      <c r="D91" s="215">
        <f>ROUND(D92/$C92,4)</f>
        <v>0</v>
      </c>
      <c r="E91" s="215">
        <f>ROUND(E92/$C92,4)</f>
        <v>0.8</v>
      </c>
      <c r="F91" s="215">
        <f>ROUND(F92/$C92,4)</f>
        <v>0.2</v>
      </c>
      <c r="G91" s="209"/>
    </row>
    <row r="92" spans="1:7" ht="11.25">
      <c r="A92" s="266"/>
      <c r="B92" s="266"/>
      <c r="C92" s="216">
        <f>VLOOKUP($A91,'Orçamento Sintético'!$A:$H,8,0)</f>
        <v>1720.5</v>
      </c>
      <c r="D92" s="216">
        <f>D94</f>
        <v>0</v>
      </c>
      <c r="E92" s="216">
        <f>E94</f>
        <v>1376.4</v>
      </c>
      <c r="F92" s="216">
        <f>F94</f>
        <v>344.1</v>
      </c>
      <c r="G92" s="209"/>
    </row>
    <row r="93" spans="1:7" ht="17.25" customHeight="1">
      <c r="A93" s="270" t="s">
        <v>71</v>
      </c>
      <c r="B93" s="262" t="str">
        <f>VLOOKUP($A93,'Orçamento Sintético'!$A:$H,4,0)</f>
        <v>REATERRO MANUAL APILOADO COM SOQUETE. AF_10/2017</v>
      </c>
      <c r="C93" s="211">
        <f>ROUND(C94/$F$540,4)</f>
        <v>0.0044</v>
      </c>
      <c r="D93" s="212"/>
      <c r="E93" s="211">
        <v>0.8</v>
      </c>
      <c r="F93" s="211">
        <v>0.2</v>
      </c>
      <c r="G93" s="209"/>
    </row>
    <row r="94" spans="1:7" ht="18.75" customHeight="1">
      <c r="A94" s="270"/>
      <c r="B94" s="270"/>
      <c r="C94" s="213">
        <f>VLOOKUP($A93,'Orçamento Sintético'!$A:$H,8,0)</f>
        <v>1720.5</v>
      </c>
      <c r="D94" s="214">
        <f>ROUND($C94*D93,2)</f>
        <v>0</v>
      </c>
      <c r="E94" s="213">
        <f>ROUND($C94*E93,2)</f>
        <v>1376.4</v>
      </c>
      <c r="F94" s="213">
        <f>ROUND($C94*F93,2)</f>
        <v>344.1</v>
      </c>
      <c r="G94" s="209"/>
    </row>
    <row r="95" spans="1:7" ht="12.75" customHeight="1">
      <c r="A95" s="267" t="s">
        <v>1271</v>
      </c>
      <c r="B95" s="268" t="str">
        <f>VLOOKUP($A95,'Orçamento Sintético'!$A:$H,4,0)</f>
        <v>SERVIÇOS AUXILIARES E ADMINISTRATIVOS</v>
      </c>
      <c r="C95" s="202">
        <f>ROUND(C96/$F$540,4)</f>
        <v>0.0633</v>
      </c>
      <c r="D95" s="203">
        <f>ROUND(D96/$C96,4)</f>
        <v>0.2979</v>
      </c>
      <c r="E95" s="203">
        <f>ROUND(E96/$C96,4)</f>
        <v>0.3529</v>
      </c>
      <c r="F95" s="203">
        <f>ROUND(F96/$C96,4)</f>
        <v>0.3492</v>
      </c>
      <c r="G95" s="209"/>
    </row>
    <row r="96" spans="1:7" ht="11.25">
      <c r="A96" s="267"/>
      <c r="B96" s="268"/>
      <c r="C96" s="205">
        <f>VLOOKUP($A95,'Orçamento Sintético'!$A:$H,8,0)</f>
        <v>24889.47</v>
      </c>
      <c r="D96" s="206">
        <f>D98</f>
        <v>7413.9</v>
      </c>
      <c r="E96" s="206">
        <f>E98</f>
        <v>8784.68</v>
      </c>
      <c r="F96" s="206">
        <f>F98</f>
        <v>8690.89</v>
      </c>
      <c r="G96" s="204"/>
    </row>
    <row r="97" spans="1:7" ht="12.75" customHeight="1">
      <c r="A97" s="265" t="s">
        <v>74</v>
      </c>
      <c r="B97" s="265" t="str">
        <f>VLOOKUP($A97,'Orçamento Sintético'!$A:$H,4,0)</f>
        <v>PESSOAL</v>
      </c>
      <c r="C97" s="207">
        <f>ROUND(C98/$F$540,4)</f>
        <v>0.0633</v>
      </c>
      <c r="D97" s="207">
        <f>ROUND(D98/$C98,4)</f>
        <v>0.2979</v>
      </c>
      <c r="E97" s="208">
        <f>ROUND(E98/$C98,4)</f>
        <v>0.3529</v>
      </c>
      <c r="F97" s="208">
        <f>ROUND(F98/$C98,4)</f>
        <v>0.3492</v>
      </c>
      <c r="G97" s="209"/>
    </row>
    <row r="98" spans="1:7" ht="11.25">
      <c r="A98" s="265"/>
      <c r="B98" s="265"/>
      <c r="C98" s="210">
        <f>VLOOKUP($A97,'Orçamento Sintético'!$A:$H,8,0)</f>
        <v>24889.47</v>
      </c>
      <c r="D98" s="210">
        <f>D100</f>
        <v>7413.9</v>
      </c>
      <c r="E98" s="210">
        <f>E100</f>
        <v>8784.68</v>
      </c>
      <c r="F98" s="210">
        <f>F100</f>
        <v>8690.89</v>
      </c>
      <c r="G98" s="204"/>
    </row>
    <row r="99" spans="1:7" ht="12.75" customHeight="1">
      <c r="A99" s="266" t="s">
        <v>76</v>
      </c>
      <c r="B99" s="266" t="str">
        <f>VLOOKUP($A99,'Orçamento Sintético'!$A:$H,4,0)</f>
        <v>MÃO-DE-OBRA</v>
      </c>
      <c r="C99" s="215">
        <f>ROUND(C100/$F$540,4)</f>
        <v>0.0633</v>
      </c>
      <c r="D99" s="215">
        <f>ROUND(D100/$C100,4)</f>
        <v>0.2979</v>
      </c>
      <c r="E99" s="215">
        <f>ROUND(E100/$C100,4)</f>
        <v>0.3529</v>
      </c>
      <c r="F99" s="215">
        <f>ROUND(F100/$C100,4)</f>
        <v>0.3492</v>
      </c>
      <c r="G99" s="209"/>
    </row>
    <row r="100" spans="1:7" ht="11.25">
      <c r="A100" s="266"/>
      <c r="B100" s="266"/>
      <c r="C100" s="216">
        <f>VLOOKUP($A99,'Orçamento Sintético'!$A:$H,8,0)</f>
        <v>24889.47</v>
      </c>
      <c r="D100" s="216">
        <f>D102+D104</f>
        <v>7413.9</v>
      </c>
      <c r="E100" s="216">
        <f>E102+E104</f>
        <v>8784.68</v>
      </c>
      <c r="F100" s="216">
        <f>F102+F104</f>
        <v>8690.89</v>
      </c>
      <c r="G100" s="209"/>
    </row>
    <row r="101" spans="1:7" ht="12.75" customHeight="1">
      <c r="A101" s="262" t="s">
        <v>78</v>
      </c>
      <c r="B101" s="262" t="str">
        <f>VLOOKUP($A101,'Orçamento Sintético'!$A:$H,4,0)</f>
        <v>ENCARREGADO GERAL DE OBRAS COM ENCARGOS COMPLEMENTARES</v>
      </c>
      <c r="C101" s="211">
        <f>ROUND(C102/$F$540,4)</f>
        <v>0.029</v>
      </c>
      <c r="D101" s="211">
        <v>0.26</v>
      </c>
      <c r="E101" s="211">
        <v>0.38</v>
      </c>
      <c r="F101" s="211">
        <v>0.36</v>
      </c>
      <c r="G101" s="209"/>
    </row>
    <row r="102" spans="1:7" ht="11.25">
      <c r="A102" s="262"/>
      <c r="B102" s="262"/>
      <c r="C102" s="213">
        <f>VLOOKUP($A101,'Orçamento Sintético'!$A:$H,8,0)</f>
        <v>11423.16</v>
      </c>
      <c r="D102" s="214">
        <f>ROUND($C102*D101,2)</f>
        <v>2970.02</v>
      </c>
      <c r="E102" s="213">
        <f>ROUND($C102*E101,2)</f>
        <v>4340.8</v>
      </c>
      <c r="F102" s="213">
        <f>ROUND($C102*F101,2)</f>
        <v>4112.34</v>
      </c>
      <c r="G102" s="209"/>
    </row>
    <row r="103" spans="1:7" ht="12.75" customHeight="1">
      <c r="A103" s="262" t="s">
        <v>80</v>
      </c>
      <c r="B103" s="262" t="str">
        <f>VLOOKUP($A103,'Orçamento Sintético'!$A:$H,4,0)</f>
        <v>ENGENHEIRO CIVIL DE OBRA PLENO COM ENCARGOS COMPLEMENTARES</v>
      </c>
      <c r="C103" s="211">
        <f>ROUND(C104/$F$540,4)</f>
        <v>0.0342</v>
      </c>
      <c r="D103" s="212">
        <v>0.33</v>
      </c>
      <c r="E103" s="211">
        <v>0.33</v>
      </c>
      <c r="F103" s="211">
        <v>0.34</v>
      </c>
      <c r="G103" s="209"/>
    </row>
    <row r="104" spans="1:7" ht="11.25">
      <c r="A104" s="262"/>
      <c r="B104" s="262"/>
      <c r="C104" s="213">
        <f>VLOOKUP($A103,'Orçamento Sintético'!$A:$H,8,0)</f>
        <v>13466.31</v>
      </c>
      <c r="D104" s="214">
        <f>ROUND($C104*D103,2)</f>
        <v>4443.88</v>
      </c>
      <c r="E104" s="213">
        <f>ROUND($C104*E103,2)</f>
        <v>4443.88</v>
      </c>
      <c r="F104" s="213">
        <f>ROUND($C104*F103,2)</f>
        <v>4578.55</v>
      </c>
      <c r="G104" s="204"/>
    </row>
    <row r="105" spans="1:7" ht="12.75" customHeight="1">
      <c r="A105" s="267" t="s">
        <v>1272</v>
      </c>
      <c r="B105" s="268" t="str">
        <f>VLOOKUP($A105,'Orçamento Sintético'!$A:$H,4,0)</f>
        <v>ARQUITETURA</v>
      </c>
      <c r="C105" s="202">
        <f>ROUND(C106/$F$540,4)</f>
        <v>0.7346</v>
      </c>
      <c r="D105" s="203">
        <f>ROUND(D106/$C106,4)</f>
        <v>0.263</v>
      </c>
      <c r="E105" s="203">
        <f>ROUND(E106/$C106,4)</f>
        <v>0.3584</v>
      </c>
      <c r="F105" s="203">
        <f>ROUND(F106/$C106,4)</f>
        <v>0.3786</v>
      </c>
      <c r="G105" s="209"/>
    </row>
    <row r="106" spans="1:7" ht="11.25">
      <c r="A106" s="267"/>
      <c r="B106" s="268"/>
      <c r="C106" s="205">
        <f>VLOOKUP($A105,'Orçamento Sintético'!$A:$H,8,0)</f>
        <v>288883.11</v>
      </c>
      <c r="D106" s="206">
        <f>D108+D156+D194+D214+D276+D320+D330</f>
        <v>75980.38</v>
      </c>
      <c r="E106" s="206">
        <f>E108+E156+E194+E214+E276+E320+E330</f>
        <v>103541.69</v>
      </c>
      <c r="F106" s="206">
        <f>F108+F156+F194+F214+F276+F320+F330</f>
        <v>109361.04999999999</v>
      </c>
      <c r="G106" s="209"/>
    </row>
    <row r="107" spans="1:7" ht="12.75" customHeight="1">
      <c r="A107" s="265" t="s">
        <v>83</v>
      </c>
      <c r="B107" s="265" t="str">
        <f>VLOOKUP($A107,'Orçamento Sintético'!$A:$H,4,0)</f>
        <v>PAREDES E ELEMENTOS DE VEDAÇÃO</v>
      </c>
      <c r="C107" s="207">
        <f>ROUND(C108/$F$540,4)</f>
        <v>0.1323</v>
      </c>
      <c r="D107" s="207">
        <f>ROUND(D108/$C108,4)</f>
        <v>0.1485</v>
      </c>
      <c r="E107" s="208">
        <f>ROUND(E108/$C108,4)</f>
        <v>0.5881</v>
      </c>
      <c r="F107" s="208">
        <f>ROUND(F108/$C108,4)</f>
        <v>0.2635</v>
      </c>
      <c r="G107" s="209"/>
    </row>
    <row r="108" spans="1:7" ht="11.25">
      <c r="A108" s="265"/>
      <c r="B108" s="265"/>
      <c r="C108" s="210">
        <f>VLOOKUP($A107,'Orçamento Sintético'!$A:$H,8,0)</f>
        <v>52028.42999999999</v>
      </c>
      <c r="D108" s="210">
        <f>D110+D144</f>
        <v>7724.39</v>
      </c>
      <c r="E108" s="210">
        <f>E110+E144</f>
        <v>30595.489999999998</v>
      </c>
      <c r="F108" s="210">
        <f>F110+F144</f>
        <v>13708.55</v>
      </c>
      <c r="G108" s="204"/>
    </row>
    <row r="109" spans="1:7" ht="12.75" customHeight="1">
      <c r="A109" s="266" t="s">
        <v>85</v>
      </c>
      <c r="B109" s="266" t="str">
        <f>VLOOKUP($A109,'Orçamento Sintético'!$A:$H,4,0)</f>
        <v>ALVENARIAS</v>
      </c>
      <c r="C109" s="215">
        <f>ROUND(C110/$F$540,4)</f>
        <v>0.0452</v>
      </c>
      <c r="D109" s="215">
        <f>ROUND(D110/$C110,4)</f>
        <v>0.435</v>
      </c>
      <c r="E109" s="215">
        <f>ROUND(E110/$C110,4)</f>
        <v>0.565</v>
      </c>
      <c r="F109" s="215">
        <f>ROUND(F110/$C110,4)</f>
        <v>0</v>
      </c>
      <c r="G109" s="209"/>
    </row>
    <row r="110" spans="1:7" ht="11.25">
      <c r="A110" s="266"/>
      <c r="B110" s="266"/>
      <c r="C110" s="216">
        <f>VLOOKUP($A109,'Orçamento Sintético'!$A:$H,8,0)</f>
        <v>17757.059999999998</v>
      </c>
      <c r="D110" s="216">
        <f>D112</f>
        <v>7724.39</v>
      </c>
      <c r="E110" s="216">
        <f>E112</f>
        <v>10032.669999999998</v>
      </c>
      <c r="F110" s="216">
        <f>F112</f>
        <v>0</v>
      </c>
      <c r="G110" s="209"/>
    </row>
    <row r="111" spans="1:7" ht="12.75" customHeight="1">
      <c r="A111" s="269" t="s">
        <v>87</v>
      </c>
      <c r="B111" s="269" t="str">
        <f>VLOOKUP($A111,'Orçamento Sintético'!$A:$H,4,0)</f>
        <v>ALVENARIA DE BLOCOS DE CONCRETO</v>
      </c>
      <c r="C111" s="217">
        <f>ROUND(C112/$F$540,4)</f>
        <v>0.0452</v>
      </c>
      <c r="D111" s="218">
        <f>ROUND(D112/$C112,4)</f>
        <v>0.435</v>
      </c>
      <c r="E111" s="218">
        <f>ROUND(E112/$C112,4)</f>
        <v>0.565</v>
      </c>
      <c r="F111" s="218">
        <f>ROUND(F112/$C112,4)</f>
        <v>0</v>
      </c>
      <c r="G111" s="209"/>
    </row>
    <row r="112" spans="1:6" ht="11.25">
      <c r="A112" s="269"/>
      <c r="B112" s="269"/>
      <c r="C112" s="219">
        <f>VLOOKUP($A111,'Orçamento Sintético'!$A:$H,8,0)</f>
        <v>17757.059999999998</v>
      </c>
      <c r="D112" s="220">
        <f>D114+D116+D118+D120+D122+D124+D126+D128+D130+D132+D134+D136+D138+D140+D142</f>
        <v>7724.39</v>
      </c>
      <c r="E112" s="220">
        <f>E114+E116+E118+E120+E122+E124+E126+E128+E130+E132+E134+E136+E138+E140+E142</f>
        <v>10032.669999999998</v>
      </c>
      <c r="F112" s="220">
        <f>F114+F116+F118+F120+F122+F124+F126+F128+F130+F132+F134+F136+F138+F140+F142</f>
        <v>0</v>
      </c>
    </row>
    <row r="113" spans="1:6" ht="15.75" customHeight="1">
      <c r="A113" s="262" t="s">
        <v>89</v>
      </c>
      <c r="B113" s="262" t="str">
        <f>VLOOKUP($A113,'Orçamento Sintético'!$A:$H,4,0)</f>
        <v>ALVENARIA DE VEDAÇÃO DE BLOCOS VAZADOS DE CONCRETO DE 9X19X39 CM (ESPESSURA 9 CM) E ARGAMASSA DE ASSENTAMENTO COM PREPARO EM BETONEIRA. AF_12/2021</v>
      </c>
      <c r="C113" s="211">
        <f>ROUND(C114/$F$540,4)</f>
        <v>0.0208</v>
      </c>
      <c r="D113" s="212">
        <v>0.4</v>
      </c>
      <c r="E113" s="211">
        <v>0.6</v>
      </c>
      <c r="F113" s="211"/>
    </row>
    <row r="114" spans="1:6" ht="14.25" customHeight="1">
      <c r="A114" s="262"/>
      <c r="B114" s="262"/>
      <c r="C114" s="213">
        <f>VLOOKUP($A113,'Orçamento Sintético'!$A:$H,8,0)</f>
        <v>8173.8</v>
      </c>
      <c r="D114" s="214">
        <f>ROUND($C114*D113,2)</f>
        <v>3269.52</v>
      </c>
      <c r="E114" s="213">
        <f>ROUND($C114*E113,2)</f>
        <v>4904.28</v>
      </c>
      <c r="F114" s="213">
        <f>ROUND($C114*F113,2)</f>
        <v>0</v>
      </c>
    </row>
    <row r="115" spans="1:6" ht="12.75" customHeight="1">
      <c r="A115" s="262" t="s">
        <v>91</v>
      </c>
      <c r="B115" s="262" t="str">
        <f>VLOOKUP($A115,'Orçamento Sintético'!$A:$H,4,0)</f>
        <v>ALVENARIA DE VEDAÇÃO DE BLOCOS CERÂMICOS MACIÇOS DE 5X10X20CM (ESPESSURA 10CM) E ARGAMASSA DE ASSENTAMENTO COM PREPARO EM BETONEIRA. AF_05/2020</v>
      </c>
      <c r="C115" s="211">
        <f>ROUND(C116/$F$540,4)</f>
        <v>0.0014</v>
      </c>
      <c r="D115" s="212">
        <v>1</v>
      </c>
      <c r="E115" s="211"/>
      <c r="F115" s="211"/>
    </row>
    <row r="116" spans="1:6" ht="11.25">
      <c r="A116" s="262"/>
      <c r="B116" s="262"/>
      <c r="C116" s="213">
        <f>VLOOKUP($A115,'Orçamento Sintético'!$A:$H,8,0)</f>
        <v>562</v>
      </c>
      <c r="D116" s="214">
        <f>ROUND($C116*D115,2)</f>
        <v>562</v>
      </c>
      <c r="E116" s="213">
        <f>ROUND($C116*E115,2)</f>
        <v>0</v>
      </c>
      <c r="F116" s="213">
        <f>ROUND($C116*F115,2)</f>
        <v>0</v>
      </c>
    </row>
    <row r="117" spans="1:6" ht="12.75" customHeight="1">
      <c r="A117" s="262" t="s">
        <v>93</v>
      </c>
      <c r="B117" s="262" t="str">
        <f>VLOOKUP($A117,'Orçamento Sintético'!$A:$H,4,0)</f>
        <v>FIXAÇÃO (ENCUNHAMENTO) DE ALVENARIA DE VEDAÇÃO COM ESPUMA DE POLIURETANO EXPANSIVA. AF_03/2016</v>
      </c>
      <c r="C117" s="211">
        <f>ROUND(C118/$F$540,4)</f>
        <v>0.0014</v>
      </c>
      <c r="D117" s="212">
        <v>0.4</v>
      </c>
      <c r="E117" s="211">
        <v>0.6</v>
      </c>
      <c r="F117" s="211"/>
    </row>
    <row r="118" spans="1:6" ht="11.25">
      <c r="A118" s="262"/>
      <c r="B118" s="262"/>
      <c r="C118" s="213">
        <f>VLOOKUP($A117,'Orçamento Sintético'!$A:$H,8,0)</f>
        <v>554.75</v>
      </c>
      <c r="D118" s="214">
        <f>ROUND($C118*D117,2)</f>
        <v>221.9</v>
      </c>
      <c r="E118" s="213">
        <f>ROUND($C118*E117,2)</f>
        <v>332.85</v>
      </c>
      <c r="F118" s="213">
        <f>ROUND($C118*F117,2)</f>
        <v>0</v>
      </c>
    </row>
    <row r="119" spans="1:6" ht="12.75" customHeight="1">
      <c r="A119" s="262" t="s">
        <v>95</v>
      </c>
      <c r="B119" s="262" t="str">
        <f>VLOOKUP($A119,'Orçamento Sintético'!$A:$H,4,0)</f>
        <v>CONTRAVERGA PRÉ-MOLDADA PARA VÃOS DE MAIS DE 1,5 M DE COMPRIMENTO. AF_03/2016</v>
      </c>
      <c r="C119" s="211">
        <f>ROUND(C120/$F$540,4)</f>
        <v>0.0018</v>
      </c>
      <c r="D119" s="212">
        <v>0.4</v>
      </c>
      <c r="E119" s="211">
        <v>0.6</v>
      </c>
      <c r="F119" s="211"/>
    </row>
    <row r="120" spans="1:6" ht="11.25">
      <c r="A120" s="262"/>
      <c r="B120" s="262"/>
      <c r="C120" s="213">
        <f>VLOOKUP($A119,'Orçamento Sintético'!$A:$H,8,0)</f>
        <v>722.81</v>
      </c>
      <c r="D120" s="214">
        <f>ROUND($C120*D119,2)</f>
        <v>289.12</v>
      </c>
      <c r="E120" s="213">
        <f>ROUND($C120*E119,2)</f>
        <v>433.69</v>
      </c>
      <c r="F120" s="213">
        <f>ROUND($C120*F119,2)</f>
        <v>0</v>
      </c>
    </row>
    <row r="121" spans="1:6" ht="12.75" customHeight="1">
      <c r="A121" s="262" t="s">
        <v>97</v>
      </c>
      <c r="B121" s="262" t="str">
        <f>VLOOKUP($A121,'Orçamento Sintético'!$A:$H,4,0)</f>
        <v>CONTRAVERGA PRÉ-MOLDADA PARA VÃOS DE ATÉ 1,5 M DE COMPRIMENTO. AF_03/2016</v>
      </c>
      <c r="C121" s="211">
        <f>ROUND(C122/$F$540,4)</f>
        <v>0.0003</v>
      </c>
      <c r="D121" s="212">
        <v>0.4</v>
      </c>
      <c r="E121" s="211">
        <v>0.6</v>
      </c>
      <c r="F121" s="211"/>
    </row>
    <row r="122" spans="1:6" ht="11.25">
      <c r="A122" s="262"/>
      <c r="B122" s="262"/>
      <c r="C122" s="213">
        <f>VLOOKUP($A121,'Orçamento Sintético'!$A:$H,8,0)</f>
        <v>107.5</v>
      </c>
      <c r="D122" s="214">
        <f>ROUND($C122*D121,2)</f>
        <v>43</v>
      </c>
      <c r="E122" s="213">
        <f>ROUND($C122*E121,2)</f>
        <v>64.5</v>
      </c>
      <c r="F122" s="213">
        <f>ROUND($C122*F121,2)</f>
        <v>0</v>
      </c>
    </row>
    <row r="123" spans="1:6" ht="12.75" customHeight="1">
      <c r="A123" s="262" t="s">
        <v>99</v>
      </c>
      <c r="B123" s="262" t="str">
        <f>VLOOKUP($A123,'Orçamento Sintético'!$A:$H,4,0)</f>
        <v>VERGA PRÉ-MOLDADA PARA PORTAS COM ATÉ 1,5 M DE VÃO. AF_03/2016</v>
      </c>
      <c r="C123" s="211">
        <f>ROUND(C124/$F$540,4)</f>
        <v>0.0003</v>
      </c>
      <c r="D123" s="212">
        <v>0.4</v>
      </c>
      <c r="E123" s="211">
        <v>0.6</v>
      </c>
      <c r="F123" s="211"/>
    </row>
    <row r="124" spans="1:6" ht="11.25">
      <c r="A124" s="262"/>
      <c r="B124" s="262"/>
      <c r="C124" s="213">
        <f>VLOOKUP($A123,'Orçamento Sintético'!$A:$H,8,0)</f>
        <v>121.35</v>
      </c>
      <c r="D124" s="214">
        <f>ROUND($C124*D123,2)</f>
        <v>48.54</v>
      </c>
      <c r="E124" s="213">
        <f>ROUND($C124*E123,2)</f>
        <v>72.81</v>
      </c>
      <c r="F124" s="213">
        <f>ROUND($C124*F123,2)</f>
        <v>0</v>
      </c>
    </row>
    <row r="125" spans="1:6" ht="12.75" customHeight="1">
      <c r="A125" s="262" t="s">
        <v>101</v>
      </c>
      <c r="B125" s="262" t="str">
        <f>VLOOKUP($A125,'Orçamento Sintético'!$A:$H,4,0)</f>
        <v>VERGA PRÉ-MOLDADA PARA JANELAS COM MAIS DE 1,5 M DE VÃO. AF_03/2016</v>
      </c>
      <c r="C125" s="211">
        <f>ROUND(C126/$F$540,4)</f>
        <v>0.002</v>
      </c>
      <c r="D125" s="212">
        <v>0.4</v>
      </c>
      <c r="E125" s="211">
        <v>0.6</v>
      </c>
      <c r="F125" s="211"/>
    </row>
    <row r="126" spans="1:6" ht="11.25">
      <c r="A126" s="262"/>
      <c r="B126" s="262"/>
      <c r="C126" s="213">
        <f>VLOOKUP($A125,'Orçamento Sintético'!$A:$H,8,0)</f>
        <v>774.29</v>
      </c>
      <c r="D126" s="214">
        <f>ROUND($C126*D125,2)</f>
        <v>309.72</v>
      </c>
      <c r="E126" s="213">
        <f>ROUND($C126*E125,2)</f>
        <v>464.57</v>
      </c>
      <c r="F126" s="213">
        <f>ROUND($C126*F125,2)</f>
        <v>0</v>
      </c>
    </row>
    <row r="127" spans="1:6" ht="12.75" customHeight="1">
      <c r="A127" s="262" t="s">
        <v>103</v>
      </c>
      <c r="B127" s="262" t="str">
        <f>VLOOKUP($A127,'Orçamento Sintético'!$A:$H,4,0)</f>
        <v>Copia da CPOS (14.40.080) - Tela galvanizada para fixação de alvenaria com dimensão de 10,5x50cm</v>
      </c>
      <c r="C127" s="211">
        <f>ROUND(C128/$F$540,4)</f>
        <v>0.0016</v>
      </c>
      <c r="D127" s="212">
        <v>0.4</v>
      </c>
      <c r="E127" s="211">
        <v>0.6</v>
      </c>
      <c r="F127" s="211"/>
    </row>
    <row r="128" spans="1:6" ht="11.25">
      <c r="A128" s="262"/>
      <c r="B128" s="262"/>
      <c r="C128" s="213">
        <f>VLOOKUP($A127,'Orçamento Sintético'!$A:$H,8,0)</f>
        <v>624.44</v>
      </c>
      <c r="D128" s="214">
        <f>ROUND($C128*D127,2)</f>
        <v>249.78</v>
      </c>
      <c r="E128" s="213">
        <f>ROUND($C128*E127,2)</f>
        <v>374.66</v>
      </c>
      <c r="F128" s="213">
        <f>ROUND($C128*F127,2)</f>
        <v>0</v>
      </c>
    </row>
    <row r="129" spans="1:6" ht="12.75" customHeight="1">
      <c r="A129" s="262" t="s">
        <v>106</v>
      </c>
      <c r="B129" s="262" t="str">
        <f>VLOOKUP($A129,'Orçamento Sintético'!$A:$H,4,0)</f>
        <v>Copia da SINAPI (103669) - CONCRETAGEM DE PILARES, FCK = 30 MPA,  COM USO DE BALDES - LANÇAMENTO, ADENSAMENTO E ACABAMENTO. AF_02/2022</v>
      </c>
      <c r="C129" s="211">
        <f>ROUND(C130/$F$540,4)</f>
        <v>0.0023</v>
      </c>
      <c r="D129" s="212">
        <v>0.4</v>
      </c>
      <c r="E129" s="211">
        <v>0.6</v>
      </c>
      <c r="F129" s="211"/>
    </row>
    <row r="130" spans="1:6" ht="11.25">
      <c r="A130" s="262"/>
      <c r="B130" s="262"/>
      <c r="C130" s="213">
        <f>VLOOKUP($A129,'Orçamento Sintético'!$A:$H,8,0)</f>
        <v>903.15</v>
      </c>
      <c r="D130" s="214">
        <f>ROUND($C130*D129,2)</f>
        <v>361.26</v>
      </c>
      <c r="E130" s="213">
        <f>ROUND($C130*E129,2)</f>
        <v>541.89</v>
      </c>
      <c r="F130" s="213">
        <f>ROUND($C130*F129,2)</f>
        <v>0</v>
      </c>
    </row>
    <row r="131" spans="1:6" ht="12.75" customHeight="1">
      <c r="A131" s="262" t="s">
        <v>109</v>
      </c>
      <c r="B131" s="262" t="str">
        <f>VLOOKUP($A131,'Orçamento Sintético'!$A:$H,4,0)</f>
        <v>Copia da SINAPI (103682) - CONCRETAGEM DE VIGAS E LAJES, FCK=30 MPA, PARA QUALQUER TIPO DE LAJE COM BALDES EM EDIFICAÇÃO TÉRREA - LANÇAMENTO, ADENSAMENTO E ACABAMENTO. AF_02/2022</v>
      </c>
      <c r="C131" s="211">
        <f>ROUND(C132/$F$540,4)</f>
        <v>0.0023</v>
      </c>
      <c r="D131" s="212">
        <v>0.4</v>
      </c>
      <c r="E131" s="211">
        <v>0.6</v>
      </c>
      <c r="F131" s="211"/>
    </row>
    <row r="132" spans="1:6" ht="11.25">
      <c r="A132" s="262"/>
      <c r="B132" s="262"/>
      <c r="C132" s="213">
        <f>VLOOKUP($A131,'Orçamento Sintético'!$A:$H,8,0)</f>
        <v>918.56</v>
      </c>
      <c r="D132" s="214">
        <f>ROUND($C132*D131,2)</f>
        <v>367.42</v>
      </c>
      <c r="E132" s="213">
        <f>ROUND($C132*E131,2)</f>
        <v>551.14</v>
      </c>
      <c r="F132" s="213">
        <f>ROUND($C132*F131,2)</f>
        <v>0</v>
      </c>
    </row>
    <row r="133" spans="1:6" ht="12.75" customHeight="1">
      <c r="A133" s="262" t="s">
        <v>112</v>
      </c>
      <c r="B133" s="262" t="str">
        <f>VLOOKUP($A133,'Orçamento Sintético'!$A:$H,4,0)</f>
        <v>ARMAÇÃO DE PILAR OU VIGA DE ESTRUTURA CONVENCIONAL DE CONCRETO ARMADO UTILIZANDO AÇO CA-50 DE 8,0 MM - MONTAGEM. AF_06/2022</v>
      </c>
      <c r="C133" s="211">
        <f>ROUND(C134/$F$540,4)</f>
        <v>0.0016</v>
      </c>
      <c r="D133" s="212">
        <v>0.4</v>
      </c>
      <c r="E133" s="211">
        <v>0.6</v>
      </c>
      <c r="F133" s="211"/>
    </row>
    <row r="134" spans="1:6" ht="11.25">
      <c r="A134" s="262"/>
      <c r="B134" s="262"/>
      <c r="C134" s="213">
        <f>VLOOKUP($A133,'Orçamento Sintético'!$A:$H,8,0)</f>
        <v>611.6</v>
      </c>
      <c r="D134" s="214">
        <f>ROUND($C134*D133,2)</f>
        <v>244.64</v>
      </c>
      <c r="E134" s="213">
        <f>ROUND($C134*E133,2)</f>
        <v>366.96</v>
      </c>
      <c r="F134" s="213">
        <f>ROUND($C134*F133,2)</f>
        <v>0</v>
      </c>
    </row>
    <row r="135" spans="1:6" ht="12.75" customHeight="1">
      <c r="A135" s="262" t="s">
        <v>114</v>
      </c>
      <c r="B135" s="262" t="str">
        <f>VLOOKUP($A135,'Orçamento Sintético'!$A:$H,4,0)</f>
        <v>ARMAÇÃO DE PILAR OU VIGA DE ESTRUTURA CONVENCIONAL DE CONCRETO ARMADO UTILIZANDO AÇO CA-60 DE 5,0 MM - MONTAGEM. AF_06/2022</v>
      </c>
      <c r="C135" s="211">
        <f>ROUND(C136/$F$540,4)</f>
        <v>0.0007</v>
      </c>
      <c r="D135" s="212">
        <v>0.4</v>
      </c>
      <c r="E135" s="211">
        <v>0.6</v>
      </c>
      <c r="F135" s="211"/>
    </row>
    <row r="136" spans="1:6" ht="11.25">
      <c r="A136" s="262"/>
      <c r="B136" s="262"/>
      <c r="C136" s="213">
        <f>VLOOKUP($A135,'Orçamento Sintético'!$A:$H,8,0)</f>
        <v>261.6</v>
      </c>
      <c r="D136" s="214">
        <f>ROUND($C136*D135,2)</f>
        <v>104.64</v>
      </c>
      <c r="E136" s="213">
        <f>ROUND($C136*E135,2)</f>
        <v>156.96</v>
      </c>
      <c r="F136" s="213">
        <f>ROUND($C136*F135,2)</f>
        <v>0</v>
      </c>
    </row>
    <row r="137" spans="1:6" ht="12.75" customHeight="1">
      <c r="A137" s="262" t="s">
        <v>116</v>
      </c>
      <c r="B137" s="262" t="str">
        <f>VLOOKUP($A137,'Orçamento Sintético'!$A:$H,4,0)</f>
        <v>MONTAGEM E DESMONTAGEM DE FÔRMA DE PILARES RETANGULARES E ESTRUTURAS SIMILARES, PÉ-DIREITO SIMPLES, EM CHAPA DE MADEIRA COMPENSADA RESINADA, 2 UTILIZAÇÕES. AF_09/2020</v>
      </c>
      <c r="C137" s="211">
        <f>ROUND(C138/$F$540,4)</f>
        <v>0.0025</v>
      </c>
      <c r="D137" s="212">
        <v>0.4</v>
      </c>
      <c r="E137" s="211">
        <v>0.6</v>
      </c>
      <c r="F137" s="211"/>
    </row>
    <row r="138" spans="1:6" ht="11.25">
      <c r="A138" s="262"/>
      <c r="B138" s="262"/>
      <c r="C138" s="213">
        <f>VLOOKUP($A137,'Orçamento Sintético'!$A:$H,8,0)</f>
        <v>982.17</v>
      </c>
      <c r="D138" s="214">
        <f>ROUND($C138*D137,2)</f>
        <v>392.87</v>
      </c>
      <c r="E138" s="213">
        <f>ROUND($C138*E137,2)</f>
        <v>589.3</v>
      </c>
      <c r="F138" s="213">
        <f>ROUND($C138*F137,2)</f>
        <v>0</v>
      </c>
    </row>
    <row r="139" spans="1:6" ht="12.75" customHeight="1">
      <c r="A139" s="262" t="s">
        <v>118</v>
      </c>
      <c r="B139" s="262" t="str">
        <f>VLOOKUP($A139,'Orçamento Sintético'!$A:$H,4,0)</f>
        <v>MONTAGEM E DESMONTAGEM DE FÔRMA DE VIGA, ESCORAMENTO COM GARFO DE MADEIRA, PÉ-DIREITO SIMPLES, EM CHAPA DE MADEIRA RESINADA, 2 UTILIZAÇÕES. AF_09/2020</v>
      </c>
      <c r="C139" s="211">
        <f>ROUND(C140/$F$540,4)</f>
        <v>0.005</v>
      </c>
      <c r="D139" s="212">
        <v>0.4</v>
      </c>
      <c r="E139" s="211">
        <v>0.6</v>
      </c>
      <c r="F139" s="211"/>
    </row>
    <row r="140" spans="1:6" ht="11.25">
      <c r="A140" s="262"/>
      <c r="B140" s="262"/>
      <c r="C140" s="213">
        <f>VLOOKUP($A139,'Orçamento Sintético'!$A:$H,8,0)</f>
        <v>1965.1</v>
      </c>
      <c r="D140" s="214">
        <f>ROUND($C140*D139,2)</f>
        <v>786.04</v>
      </c>
      <c r="E140" s="213">
        <f>ROUND($C140*E139,2)</f>
        <v>1179.06</v>
      </c>
      <c r="F140" s="213">
        <f>ROUND($C140*F139,2)</f>
        <v>0</v>
      </c>
    </row>
    <row r="141" spans="1:6" ht="12.75" customHeight="1">
      <c r="A141" s="262" t="s">
        <v>120</v>
      </c>
      <c r="B141" s="262" t="str">
        <f>VLOOKUP($A141,'Orçamento Sintético'!$A:$H,4,0)</f>
        <v>CONCRETO MAGRO PARA LASTRO, TRAÇO 1:4,5:4,5 (EM MASSA SECA DE CIMENTO/ AREIA MÉDIA/ BRITA 1) - PREPARO MECÂNICO COM BETONEIRA 400 L. AF_05/2021</v>
      </c>
      <c r="C141" s="211">
        <f>ROUND(C142/$F$540,4)</f>
        <v>0.0012</v>
      </c>
      <c r="D141" s="212">
        <v>1</v>
      </c>
      <c r="E141" s="211"/>
      <c r="F141" s="211"/>
    </row>
    <row r="142" spans="1:6" ht="11.25">
      <c r="A142" s="262"/>
      <c r="B142" s="262"/>
      <c r="C142" s="213">
        <f>VLOOKUP($A141,'Orçamento Sintético'!$A:$H,8,0)</f>
        <v>473.94</v>
      </c>
      <c r="D142" s="214">
        <f>ROUND($C142*D141,2)</f>
        <v>473.94</v>
      </c>
      <c r="E142" s="213">
        <f>ROUND($C142*E141,2)</f>
        <v>0</v>
      </c>
      <c r="F142" s="213">
        <f>ROUND($C142*F141,2)</f>
        <v>0</v>
      </c>
    </row>
    <row r="143" spans="1:7" ht="12.75" customHeight="1">
      <c r="A143" s="266" t="s">
        <v>122</v>
      </c>
      <c r="B143" s="266" t="str">
        <f>VLOOKUP($A143,'Orçamento Sintético'!$A:$H,4,0)</f>
        <v>DIVISÓRIAS</v>
      </c>
      <c r="C143" s="215">
        <f>ROUND(C144/$F$540,4)</f>
        <v>0.0871</v>
      </c>
      <c r="D143" s="215">
        <f>ROUND(D144/$C144,4)</f>
        <v>0</v>
      </c>
      <c r="E143" s="215">
        <f>ROUND(E144/$C144,4)</f>
        <v>0.6</v>
      </c>
      <c r="F143" s="215">
        <f>ROUND(F144/$C144,4)</f>
        <v>0.4</v>
      </c>
      <c r="G143" s="204"/>
    </row>
    <row r="144" spans="1:7" ht="11.25">
      <c r="A144" s="266"/>
      <c r="B144" s="266"/>
      <c r="C144" s="216">
        <f>VLOOKUP($A143,'Orçamento Sintético'!$A:$H,8,0)</f>
        <v>34271.369999999995</v>
      </c>
      <c r="D144" s="216">
        <f>D146</f>
        <v>0</v>
      </c>
      <c r="E144" s="216">
        <f>E146</f>
        <v>20562.82</v>
      </c>
      <c r="F144" s="216">
        <f>F146</f>
        <v>13708.55</v>
      </c>
      <c r="G144" s="204"/>
    </row>
    <row r="145" spans="1:7" ht="12.75" customHeight="1">
      <c r="A145" s="269" t="s">
        <v>124</v>
      </c>
      <c r="B145" s="269" t="str">
        <f>VLOOKUP($A145,'Orçamento Sintético'!$A:$H,4,0)</f>
        <v>DIVISÓRIA DE GESSO ACARTONADO</v>
      </c>
      <c r="C145" s="217">
        <f>ROUND(C146/$F$540,4)</f>
        <v>0.0871</v>
      </c>
      <c r="D145" s="218">
        <f>ROUND(D146/$C146,4)</f>
        <v>0</v>
      </c>
      <c r="E145" s="218">
        <f>ROUND(E146/$C146,4)</f>
        <v>0.6</v>
      </c>
      <c r="F145" s="218">
        <f>ROUND(F146/$C146,4)</f>
        <v>0.4</v>
      </c>
      <c r="G145" s="204"/>
    </row>
    <row r="146" spans="1:7" ht="11.25">
      <c r="A146" s="269"/>
      <c r="B146" s="269"/>
      <c r="C146" s="219">
        <f>VLOOKUP($A145,'Orçamento Sintético'!$A:$H,8,0)</f>
        <v>34271.369999999995</v>
      </c>
      <c r="D146" s="220">
        <f>D148+D150+D152+D154</f>
        <v>0</v>
      </c>
      <c r="E146" s="220">
        <f>E148+E150+E152+E154</f>
        <v>20562.82</v>
      </c>
      <c r="F146" s="220">
        <f>F148+F150+F152+F154</f>
        <v>13708.55</v>
      </c>
      <c r="G146" s="204"/>
    </row>
    <row r="147" spans="1:7" ht="12.75" customHeight="1">
      <c r="A147" s="270" t="s">
        <v>126</v>
      </c>
      <c r="B147" s="262" t="str">
        <f>VLOOKUP($A147,'Orçamento Sintético'!$A:$H,4,0)</f>
        <v>Copia da SINAPI (96359) - Parede com placas de gesso acartonado (drywall) resistente a umidade (RU), para uso interno, com duas faces simples e estrutura metálica com guias simples, com vãos</v>
      </c>
      <c r="C147" s="211">
        <f>ROUND(C148/$F$540,4)</f>
        <v>0.0171</v>
      </c>
      <c r="D147" s="212"/>
      <c r="E147" s="211">
        <v>0.6</v>
      </c>
      <c r="F147" s="211">
        <v>0.4</v>
      </c>
      <c r="G147" s="209"/>
    </row>
    <row r="148" spans="1:7" ht="11.25">
      <c r="A148" s="270"/>
      <c r="B148" s="262"/>
      <c r="C148" s="213">
        <f>VLOOKUP($A147,'Orçamento Sintético'!$A:$H,8,0)</f>
        <v>6717.32</v>
      </c>
      <c r="D148" s="214">
        <f>ROUND($C148*D147,2)</f>
        <v>0</v>
      </c>
      <c r="E148" s="213">
        <f>ROUND($C148*E147,2)</f>
        <v>4030.39</v>
      </c>
      <c r="F148" s="213">
        <f>ROUND($C148*F147,2)</f>
        <v>2686.93</v>
      </c>
      <c r="G148" s="204"/>
    </row>
    <row r="149" spans="1:7" ht="12.75" customHeight="1">
      <c r="A149" s="270" t="s">
        <v>129</v>
      </c>
      <c r="B149" s="262" t="str">
        <f>VLOOKUP($A149,'Orçamento Sintético'!$A:$H,4,0)</f>
        <v>Copia da SINAPI (96369) - Parede com placas de gesso acartonado (drywall) resistente a umidade (RU), para uso interno, com duas faces duplas e estrutura metálica com guias duplas, com vãos</v>
      </c>
      <c r="C149" s="211">
        <f>ROUND(C150/$F$540,4)</f>
        <v>0.0152</v>
      </c>
      <c r="D149" s="212"/>
      <c r="E149" s="211">
        <v>0.6</v>
      </c>
      <c r="F149" s="211">
        <v>0.4</v>
      </c>
      <c r="G149" s="209"/>
    </row>
    <row r="150" spans="1:7" ht="11.25">
      <c r="A150" s="270"/>
      <c r="B150" s="270"/>
      <c r="C150" s="213">
        <f>VLOOKUP($A149,'Orçamento Sintético'!$A:$H,8,0)</f>
        <v>5979.4</v>
      </c>
      <c r="D150" s="214">
        <f>ROUND($C150*D149,2)</f>
        <v>0</v>
      </c>
      <c r="E150" s="213">
        <f>ROUND($C150*E149,2)</f>
        <v>3587.64</v>
      </c>
      <c r="F150" s="213">
        <f>ROUND($C150*F149,2)</f>
        <v>2391.76</v>
      </c>
      <c r="G150" s="209"/>
    </row>
    <row r="151" spans="1:7" ht="12.75" customHeight="1">
      <c r="A151" s="270" t="s">
        <v>132</v>
      </c>
      <c r="B151" s="262" t="str">
        <f>VLOOKUP($A151,'Orçamento Sintético'!$A:$H,4,0)</f>
        <v>PAREDE COM PLACAS DE GESSO ACARTONADO (DRYWALL), PARA USO INTERNO, COM DUAS FACES SIMPLES E ESTRUTURA METÁLICA COM GUIAS SIMPLES, COM VÃOS AF_06/2017_P</v>
      </c>
      <c r="C151" s="211">
        <f>ROUND(C152/$F$540,4)</f>
        <v>0.0236</v>
      </c>
      <c r="D151" s="212"/>
      <c r="E151" s="211">
        <v>0.6</v>
      </c>
      <c r="F151" s="211">
        <v>0.4</v>
      </c>
      <c r="G151" s="209"/>
    </row>
    <row r="152" spans="1:7" ht="11.25">
      <c r="A152" s="270"/>
      <c r="B152" s="270"/>
      <c r="C152" s="213">
        <f>VLOOKUP($A151,'Orçamento Sintético'!$A:$H,8,0)</f>
        <v>9292.9</v>
      </c>
      <c r="D152" s="214">
        <f>ROUND($C152*D151,2)</f>
        <v>0</v>
      </c>
      <c r="E152" s="213">
        <f>ROUND($C152*E151,2)</f>
        <v>5575.74</v>
      </c>
      <c r="F152" s="213">
        <f>ROUND($C152*F151,2)</f>
        <v>3717.16</v>
      </c>
      <c r="G152" s="209"/>
    </row>
    <row r="153" spans="1:7" ht="12.75" customHeight="1">
      <c r="A153" s="270" t="s">
        <v>134</v>
      </c>
      <c r="B153" s="262" t="str">
        <f>VLOOKUP($A153,'Orçamento Sintético'!$A:$H,4,0)</f>
        <v>PAREDE COM PLACAS DE GESSO ACARTONADO (DRYWALL), PARA USO INTERNO, COM DUAS FACES DUPLAS E ESTRUTURA METÁLICA COM GUIAS DUPLAS, COM VÃOS. AF_06/2017_P</v>
      </c>
      <c r="C153" s="211">
        <f>ROUND(C154/$F$540,4)</f>
        <v>0.0312</v>
      </c>
      <c r="D153" s="212"/>
      <c r="E153" s="211">
        <v>0.6</v>
      </c>
      <c r="F153" s="211">
        <v>0.4</v>
      </c>
      <c r="G153" s="209"/>
    </row>
    <row r="154" spans="1:7" ht="11.25">
      <c r="A154" s="270"/>
      <c r="B154" s="270"/>
      <c r="C154" s="213">
        <f>VLOOKUP($A153,'Orçamento Sintético'!$A:$H,8,0)</f>
        <v>12281.75</v>
      </c>
      <c r="D154" s="214">
        <f>ROUND($C154*D153,2)</f>
        <v>0</v>
      </c>
      <c r="E154" s="213">
        <f>ROUND($C154*E153,2)</f>
        <v>7369.05</v>
      </c>
      <c r="F154" s="213">
        <f>ROUND($C154*F153,2)</f>
        <v>4912.7</v>
      </c>
      <c r="G154" s="209"/>
    </row>
    <row r="155" spans="1:7" ht="12.75" customHeight="1">
      <c r="A155" s="265" t="s">
        <v>136</v>
      </c>
      <c r="B155" s="265" t="str">
        <f>VLOOKUP($A155,'Orçamento Sintético'!$A:$H,4,0)</f>
        <v>ESQUADRIAS, PORTAS, COMPONENTES E ACESSÓRIOS</v>
      </c>
      <c r="C155" s="207">
        <f>ROUND(C156/$F$540,4)</f>
        <v>0.091</v>
      </c>
      <c r="D155" s="207">
        <f>ROUND(D156/$C156,4)</f>
        <v>0.0966</v>
      </c>
      <c r="E155" s="208">
        <f>ROUND(E156/$C156,4)</f>
        <v>0.0986</v>
      </c>
      <c r="F155" s="208">
        <f>ROUND(F156/$C156,4)</f>
        <v>0.8047</v>
      </c>
      <c r="G155" s="204"/>
    </row>
    <row r="156" spans="1:7" ht="11.25">
      <c r="A156" s="265"/>
      <c r="B156" s="265"/>
      <c r="C156" s="210">
        <f>VLOOKUP($A155,'Orçamento Sintético'!$A:$H,8,0)</f>
        <v>35777.39</v>
      </c>
      <c r="D156" s="210">
        <f>D158+D168+D184</f>
        <v>3457.51</v>
      </c>
      <c r="E156" s="210">
        <f>E158+E168+E184</f>
        <v>3529.22</v>
      </c>
      <c r="F156" s="210">
        <f>F158+F168+F184</f>
        <v>28790.659999999996</v>
      </c>
      <c r="G156" s="209"/>
    </row>
    <row r="157" spans="1:7" ht="12.75" customHeight="1">
      <c r="A157" s="266" t="s">
        <v>138</v>
      </c>
      <c r="B157" s="266" t="str">
        <f>VLOOKUP($A157,'Orçamento Sintético'!$A:$H,4,0)</f>
        <v>ESQUADRIAS</v>
      </c>
      <c r="C157" s="215">
        <f>ROUND(C158/$F$540,4)</f>
        <v>0.0176</v>
      </c>
      <c r="D157" s="215">
        <f>ROUND(D158/$C158,4)</f>
        <v>0.4997</v>
      </c>
      <c r="E157" s="215">
        <f>ROUND(E158/$C158,4)</f>
        <v>0</v>
      </c>
      <c r="F157" s="215">
        <f>ROUND(F158/$C158,4)</f>
        <v>0.5003</v>
      </c>
      <c r="G157" s="209"/>
    </row>
    <row r="158" spans="1:7" ht="11.25">
      <c r="A158" s="266"/>
      <c r="B158" s="266"/>
      <c r="C158" s="216">
        <f>VLOOKUP($A157,'Orçamento Sintético'!$A:$H,8,0)</f>
        <v>6918.790000000001</v>
      </c>
      <c r="D158" s="216">
        <f>D160+D164</f>
        <v>3457.51</v>
      </c>
      <c r="E158" s="216">
        <f>E160+E164</f>
        <v>0</v>
      </c>
      <c r="F158" s="216">
        <f>F160+F164</f>
        <v>3461.28</v>
      </c>
      <c r="G158" s="204"/>
    </row>
    <row r="159" spans="1:7" ht="12.75" customHeight="1">
      <c r="A159" s="269" t="s">
        <v>140</v>
      </c>
      <c r="B159" s="269" t="str">
        <f>VLOOKUP($A159,'Orçamento Sintético'!$A:$H,4,0)</f>
        <v>Esquadria de ferro/aço</v>
      </c>
      <c r="C159" s="217">
        <f>ROUND(C160/$F$540,4)</f>
        <v>0.0088</v>
      </c>
      <c r="D159" s="218">
        <f>ROUND(D160/$C160,4)</f>
        <v>1</v>
      </c>
      <c r="E159" s="218">
        <f>ROUND(E160/$C160,4)</f>
        <v>0</v>
      </c>
      <c r="F159" s="218">
        <f>ROUND(F160/$C160,4)</f>
        <v>0</v>
      </c>
      <c r="G159" s="204"/>
    </row>
    <row r="160" spans="1:7" ht="11.25">
      <c r="A160" s="269"/>
      <c r="B160" s="269"/>
      <c r="C160" s="219">
        <f>VLOOKUP($A159,'Orçamento Sintético'!$A:$H,8,0)</f>
        <v>3457.51</v>
      </c>
      <c r="D160" s="220">
        <f>D162</f>
        <v>3457.51</v>
      </c>
      <c r="E160" s="220">
        <f>E162</f>
        <v>0</v>
      </c>
      <c r="F160" s="220">
        <f>F162</f>
        <v>0</v>
      </c>
      <c r="G160" s="204"/>
    </row>
    <row r="161" spans="1:7" ht="12.75" customHeight="1">
      <c r="A161" s="262" t="s">
        <v>142</v>
      </c>
      <c r="B161" s="262" t="str">
        <f>VLOOKUP($A161,'Orçamento Sintético'!$A:$H,4,0)</f>
        <v>Baseado na SINAPI (99861) - Gradil metálico composto por perfil tipo cantoneira, perfil U enrijecido e tela metálica 5x5, em módulo, incluso porta articulada e pintura esmalte</v>
      </c>
      <c r="C161" s="211">
        <f>ROUND(C162/$F$540,4)</f>
        <v>0.0088</v>
      </c>
      <c r="D161" s="212">
        <v>1</v>
      </c>
      <c r="E161" s="211"/>
      <c r="F161" s="211"/>
      <c r="G161" s="209"/>
    </row>
    <row r="162" spans="1:7" ht="11.25">
      <c r="A162" s="262"/>
      <c r="B162" s="262"/>
      <c r="C162" s="213">
        <f>VLOOKUP($A161,'Orçamento Sintético'!$A:$H,8,0)</f>
        <v>3457.51</v>
      </c>
      <c r="D162" s="214">
        <f>ROUND($C162*D161,2)</f>
        <v>3457.51</v>
      </c>
      <c r="E162" s="213">
        <f>ROUND($C162*E161,2)</f>
        <v>0</v>
      </c>
      <c r="F162" s="213">
        <f>ROUND($C162*F161,2)</f>
        <v>0</v>
      </c>
      <c r="G162" s="209"/>
    </row>
    <row r="163" spans="1:7" ht="12.75" customHeight="1">
      <c r="A163" s="269" t="s">
        <v>145</v>
      </c>
      <c r="B163" s="269" t="str">
        <f>VLOOKUP($A163,'Orçamento Sintético'!$A:$H,4,0)</f>
        <v>ESQUADRIA DE ALUMÍNIO</v>
      </c>
      <c r="C163" s="217">
        <f>ROUND(C164/$F$540,4)</f>
        <v>0.0088</v>
      </c>
      <c r="D163" s="218">
        <f>ROUND(D164/$C164,4)</f>
        <v>0</v>
      </c>
      <c r="E163" s="218">
        <f>ROUND(E164/$C164,4)</f>
        <v>0</v>
      </c>
      <c r="F163" s="218">
        <f>ROUND(F164/$C164,4)</f>
        <v>1</v>
      </c>
      <c r="G163" s="209"/>
    </row>
    <row r="164" spans="1:7" ht="11.25">
      <c r="A164" s="269"/>
      <c r="B164" s="269"/>
      <c r="C164" s="219">
        <f>VLOOKUP($A163,'Orçamento Sintético'!$A:$H,8,0)</f>
        <v>3461.28</v>
      </c>
      <c r="D164" s="220">
        <f>D166</f>
        <v>0</v>
      </c>
      <c r="E164" s="220">
        <f>E166</f>
        <v>0</v>
      </c>
      <c r="F164" s="220">
        <f>F166</f>
        <v>3461.28</v>
      </c>
      <c r="G164" s="209"/>
    </row>
    <row r="165" spans="1:7" ht="12.75" customHeight="1">
      <c r="A165" s="262" t="s">
        <v>147</v>
      </c>
      <c r="B165" s="262" t="str">
        <f>VLOOKUP($A165,'Orçamento Sintético'!$A:$H,4,0)</f>
        <v>Copia da SINAPI (94570) - JANELA DE CORRER EM ALUMÍNIO ANODIZADO PRETO, COM VIDROS DE 6MM - FORNECIMENTO E INSTALAÇÃO.</v>
      </c>
      <c r="C165" s="211">
        <f>ROUND(C166/$F$540,4)</f>
        <v>0.0088</v>
      </c>
      <c r="D165" s="212"/>
      <c r="E165" s="211"/>
      <c r="F165" s="211">
        <v>1</v>
      </c>
      <c r="G165" s="209"/>
    </row>
    <row r="166" spans="1:7" ht="11.25">
      <c r="A166" s="262"/>
      <c r="B166" s="262"/>
      <c r="C166" s="213">
        <f>VLOOKUP($A165,'Orçamento Sintético'!$A:$H,8,0)</f>
        <v>3461.28</v>
      </c>
      <c r="D166" s="214">
        <f>ROUND($C166*D165,2)</f>
        <v>0</v>
      </c>
      <c r="E166" s="213">
        <f>ROUND($C166*E165,2)</f>
        <v>0</v>
      </c>
      <c r="F166" s="213">
        <f>ROUND($C166*F165,2)</f>
        <v>3461.28</v>
      </c>
      <c r="G166" s="209"/>
    </row>
    <row r="167" spans="1:7" ht="12.75" customHeight="1">
      <c r="A167" s="266" t="s">
        <v>150</v>
      </c>
      <c r="B167" s="266" t="str">
        <f>VLOOKUP($A167,'Orçamento Sintético'!$A:$H,4,0)</f>
        <v>PORTAS</v>
      </c>
      <c r="C167" s="215">
        <f>ROUND(C168/$F$540,4)</f>
        <v>0.0644</v>
      </c>
      <c r="D167" s="215">
        <f>ROUND(D168/$C168,4)</f>
        <v>0</v>
      </c>
      <c r="E167" s="215">
        <f>ROUND(E168/$C168,4)</f>
        <v>0</v>
      </c>
      <c r="F167" s="215">
        <f>ROUND(F168/$C168,4)</f>
        <v>1</v>
      </c>
      <c r="G167" s="209"/>
    </row>
    <row r="168" spans="1:7" ht="11.25">
      <c r="A168" s="266"/>
      <c r="B168" s="266"/>
      <c r="C168" s="216">
        <f>VLOOKUP($A167,'Orçamento Sintético'!$A:$H,8,0)</f>
        <v>25329.379999999997</v>
      </c>
      <c r="D168" s="216">
        <f>D170+D174</f>
        <v>0</v>
      </c>
      <c r="E168" s="216">
        <f>E170+E174</f>
        <v>0</v>
      </c>
      <c r="F168" s="216">
        <f>F170+F174</f>
        <v>25329.379999999997</v>
      </c>
      <c r="G168" s="209"/>
    </row>
    <row r="169" spans="1:7" ht="12.75" customHeight="1">
      <c r="A169" s="269" t="s">
        <v>152</v>
      </c>
      <c r="B169" s="269" t="str">
        <f>VLOOKUP($A169,'Orçamento Sintético'!$A:$H,4,0)</f>
        <v>PORTA DE ALUMÍNIO</v>
      </c>
      <c r="C169" s="217">
        <f>ROUND(C170/$F$540,4)</f>
        <v>0.0095</v>
      </c>
      <c r="D169" s="218">
        <f>ROUND(D170/$C170,4)</f>
        <v>0</v>
      </c>
      <c r="E169" s="218">
        <f>ROUND(E170/$C170,4)</f>
        <v>0</v>
      </c>
      <c r="F169" s="218">
        <f>ROUND(F170/$C170,4)</f>
        <v>1</v>
      </c>
      <c r="G169" s="209"/>
    </row>
    <row r="170" spans="1:7" ht="11.25">
      <c r="A170" s="269"/>
      <c r="B170" s="269"/>
      <c r="C170" s="219">
        <f>VLOOKUP($A169,'Orçamento Sintético'!$A:$H,8,0)</f>
        <v>3755.28</v>
      </c>
      <c r="D170" s="220">
        <f>D172</f>
        <v>0</v>
      </c>
      <c r="E170" s="220">
        <f>E172</f>
        <v>0</v>
      </c>
      <c r="F170" s="220">
        <f>F172</f>
        <v>3755.28</v>
      </c>
      <c r="G170" s="209"/>
    </row>
    <row r="171" spans="1:7" ht="12.75" customHeight="1">
      <c r="A171" s="262" t="s">
        <v>154</v>
      </c>
      <c r="B171" s="262" t="str">
        <f>VLOOKUP($A171,'Orçamento Sintético'!$A:$H,4,0)</f>
        <v>PORTA EM ALUMÍNIO DE ABRIR TIPO VENEZIANA COM GUARNIÇÃO, FIXAÇÃO COM PARAFUSOS - FORNECIMENTO E INSTALAÇÃO. AF_12/2019</v>
      </c>
      <c r="C171" s="211">
        <f>ROUND(C172/$F$540,4)</f>
        <v>0.0095</v>
      </c>
      <c r="D171" s="212"/>
      <c r="E171" s="211"/>
      <c r="F171" s="211">
        <v>1</v>
      </c>
      <c r="G171" s="209"/>
    </row>
    <row r="172" spans="1:7" ht="11.25">
      <c r="A172" s="262"/>
      <c r="B172" s="262"/>
      <c r="C172" s="213">
        <f>VLOOKUP($A171,'Orçamento Sintético'!$A:$H,8,0)</f>
        <v>3755.28</v>
      </c>
      <c r="D172" s="214">
        <f>ROUND($C172*D171,2)</f>
        <v>0</v>
      </c>
      <c r="E172" s="213">
        <f>ROUND($C172*E171,2)</f>
        <v>0</v>
      </c>
      <c r="F172" s="213">
        <f>ROUND($C172*F171,2)</f>
        <v>3755.28</v>
      </c>
      <c r="G172" s="209"/>
    </row>
    <row r="173" spans="1:7" ht="12.75" customHeight="1">
      <c r="A173" s="269" t="s">
        <v>156</v>
      </c>
      <c r="B173" s="269" t="str">
        <f>VLOOKUP($A173,'Orçamento Sintético'!$A:$H,4,0)</f>
        <v>PORTA DE MADEIRA</v>
      </c>
      <c r="C173" s="217">
        <f>ROUND(C174/$F$540,4)</f>
        <v>0.0549</v>
      </c>
      <c r="D173" s="218">
        <f>ROUND(D174/$C174,4)</f>
        <v>0</v>
      </c>
      <c r="E173" s="218">
        <f>ROUND(E174/$C174,4)</f>
        <v>0</v>
      </c>
      <c r="F173" s="218">
        <f>ROUND(F174/$C174,4)</f>
        <v>1</v>
      </c>
      <c r="G173" s="209"/>
    </row>
    <row r="174" spans="1:7" ht="11.25">
      <c r="A174" s="269"/>
      <c r="B174" s="269"/>
      <c r="C174" s="219">
        <f>VLOOKUP($A173,'Orçamento Sintético'!$A:$H,8,0)</f>
        <v>21574.1</v>
      </c>
      <c r="D174" s="220">
        <f>D176+D178+D180+D182</f>
        <v>0</v>
      </c>
      <c r="E174" s="220">
        <f>E176+E178+E180+E182</f>
        <v>0</v>
      </c>
      <c r="F174" s="220">
        <f>F176+F178+F180+F182</f>
        <v>21574.1</v>
      </c>
      <c r="G174" s="209"/>
    </row>
    <row r="175" spans="1:7" ht="12.75" customHeight="1">
      <c r="A175" s="262" t="s">
        <v>158</v>
      </c>
      <c r="B175" s="262" t="str">
        <f>VLOOKUP($A175,'Orçamento Sintético'!$A:$H,4,0)</f>
        <v>Porta de madeira (PM), DM 0,80 x 2,10 m, acabamento em laminado melamínico texturizado, inclusive dobradiça, fechadura</v>
      </c>
      <c r="C175" s="211">
        <f>ROUND(C176/$F$540,4)</f>
        <v>0.0041</v>
      </c>
      <c r="D175" s="212"/>
      <c r="E175" s="211"/>
      <c r="F175" s="211">
        <v>1</v>
      </c>
      <c r="G175" s="209"/>
    </row>
    <row r="176" spans="1:7" ht="11.25">
      <c r="A176" s="262"/>
      <c r="B176" s="262"/>
      <c r="C176" s="213">
        <f>VLOOKUP($A175,'Orçamento Sintético'!$A:$H,8,0)</f>
        <v>1629.38</v>
      </c>
      <c r="D176" s="214">
        <f>ROUND($C176*D175,2)</f>
        <v>0</v>
      </c>
      <c r="E176" s="213">
        <f>ROUND($C176*E175,2)</f>
        <v>0</v>
      </c>
      <c r="F176" s="213">
        <f>ROUND($C176*F175,2)</f>
        <v>1629.38</v>
      </c>
      <c r="G176" s="209"/>
    </row>
    <row r="177" spans="1:7" ht="12.75" customHeight="1">
      <c r="A177" s="262" t="s">
        <v>161</v>
      </c>
      <c r="B177" s="262" t="str">
        <f>VLOOKUP($A177,'Orçamento Sintético'!$A:$H,4,0)</f>
        <v>Porta de madeira (PM), DM 0,90 x 2,10 m, acabamento em laminado melamínico texturizado, inclusive dobradiça, fechadura.</v>
      </c>
      <c r="C177" s="211">
        <f>ROUND(C178/$F$540,4)</f>
        <v>0.0164</v>
      </c>
      <c r="D177" s="212"/>
      <c r="E177" s="211"/>
      <c r="F177" s="211">
        <v>1</v>
      </c>
      <c r="G177" s="209"/>
    </row>
    <row r="178" spans="1:7" ht="11.25">
      <c r="A178" s="262"/>
      <c r="B178" s="262"/>
      <c r="C178" s="213">
        <f>VLOOKUP($A177,'Orçamento Sintético'!$A:$H,8,0)</f>
        <v>6456.64</v>
      </c>
      <c r="D178" s="214">
        <f>ROUND($C178*D177,2)</f>
        <v>0</v>
      </c>
      <c r="E178" s="213">
        <f>ROUND($C178*E177,2)</f>
        <v>0</v>
      </c>
      <c r="F178" s="213">
        <f>ROUND($C178*F177,2)</f>
        <v>6456.64</v>
      </c>
      <c r="G178" s="209"/>
    </row>
    <row r="179" spans="1:7" ht="12.75" customHeight="1">
      <c r="A179" s="262" t="s">
        <v>164</v>
      </c>
      <c r="B179" s="262" t="str">
        <f>VLOOKUP($A179,'Orçamento Sintético'!$A:$H,4,0)</f>
        <v>Porta de madeira (PM1A), DM 0,80 x 2,10 m, acabamento em laminado melamínico texturizado, inclusive dobradiça, fechadura, grelha e mola aérea</v>
      </c>
      <c r="C179" s="211">
        <f>ROUND(C180/$F$540,4)</f>
        <v>0.0113</v>
      </c>
      <c r="D179" s="212"/>
      <c r="E179" s="211"/>
      <c r="F179" s="211">
        <v>1</v>
      </c>
      <c r="G179" s="209"/>
    </row>
    <row r="180" spans="1:7" ht="11.25">
      <c r="A180" s="262"/>
      <c r="B180" s="262"/>
      <c r="C180" s="213">
        <f>VLOOKUP($A179,'Orçamento Sintético'!$A:$H,8,0)</f>
        <v>4436.66</v>
      </c>
      <c r="D180" s="214">
        <f>ROUND($C180*D179,2)</f>
        <v>0</v>
      </c>
      <c r="E180" s="213">
        <f>ROUND($C180*E179,2)</f>
        <v>0</v>
      </c>
      <c r="F180" s="213">
        <f>ROUND($C180*F179,2)</f>
        <v>4436.66</v>
      </c>
      <c r="G180" s="209"/>
    </row>
    <row r="181" spans="1:7" ht="12.75" customHeight="1">
      <c r="A181" s="262" t="s">
        <v>167</v>
      </c>
      <c r="B181" s="262" t="str">
        <f>VLOOKUP($A181,'Orçamento Sintético'!$A:$H,4,0)</f>
        <v>Porta de madeira (PM1), DM 1,60 x 2,10 m, acabamento em laminado melamínico texturizado, inclusive dobradiça e fechadura</v>
      </c>
      <c r="C181" s="211">
        <f>ROUND(C182/$F$540,4)</f>
        <v>0.023</v>
      </c>
      <c r="D181" s="212"/>
      <c r="E181" s="211"/>
      <c r="F181" s="211">
        <v>1</v>
      </c>
      <c r="G181" s="209"/>
    </row>
    <row r="182" spans="1:7" ht="11.25">
      <c r="A182" s="262"/>
      <c r="B182" s="262"/>
      <c r="C182" s="213">
        <f>VLOOKUP($A181,'Orçamento Sintético'!$A:$H,8,0)</f>
        <v>9051.42</v>
      </c>
      <c r="D182" s="214">
        <f>ROUND($C182*D181,2)</f>
        <v>0</v>
      </c>
      <c r="E182" s="213">
        <f>ROUND($C182*E181,2)</f>
        <v>0</v>
      </c>
      <c r="F182" s="213">
        <f>ROUND($C182*F181,2)</f>
        <v>9051.42</v>
      </c>
      <c r="G182" s="209"/>
    </row>
    <row r="183" spans="1:7" ht="12.75" customHeight="1">
      <c r="A183" s="266" t="s">
        <v>170</v>
      </c>
      <c r="B183" s="266" t="str">
        <f>VLOOKUP($A183,'Orçamento Sintético'!$A:$H,4,0)</f>
        <v>COMPONENTES E ACESSÓRIOS DE ESQUADRIAS E PORTAS</v>
      </c>
      <c r="C183" s="215">
        <f>ROUND(C184/$F$540,4)</f>
        <v>0.009</v>
      </c>
      <c r="D183" s="215">
        <f>ROUND(D184/$C184,4)</f>
        <v>0</v>
      </c>
      <c r="E183" s="215">
        <f>ROUND(E184/$C184,4)</f>
        <v>1</v>
      </c>
      <c r="F183" s="215">
        <f>ROUND(F184/$C184,4)</f>
        <v>0</v>
      </c>
      <c r="G183" s="209"/>
    </row>
    <row r="184" spans="1:7" ht="11.25">
      <c r="A184" s="266"/>
      <c r="B184" s="266"/>
      <c r="C184" s="216">
        <f>VLOOKUP($A183,'Orçamento Sintético'!$A:$H,8,0)</f>
        <v>3529.22</v>
      </c>
      <c r="D184" s="216">
        <f>D186</f>
        <v>0</v>
      </c>
      <c r="E184" s="216">
        <f>E186</f>
        <v>3529.22</v>
      </c>
      <c r="F184" s="216">
        <f>F186</f>
        <v>0</v>
      </c>
      <c r="G184" s="209"/>
    </row>
    <row r="185" spans="1:7" ht="12.75" customHeight="1">
      <c r="A185" s="269" t="s">
        <v>172</v>
      </c>
      <c r="B185" s="269" t="str">
        <f>VLOOKUP($A185,'Orçamento Sintético'!$A:$H,4,0)</f>
        <v>PORTAIS</v>
      </c>
      <c r="C185" s="217">
        <f>ROUND(C186/$F$540,4)</f>
        <v>0.009</v>
      </c>
      <c r="D185" s="218">
        <f>ROUND(D186/$C186,4)</f>
        <v>0</v>
      </c>
      <c r="E185" s="218">
        <f>ROUND(E186/$C186,4)</f>
        <v>1</v>
      </c>
      <c r="F185" s="218">
        <f>ROUND(F186/$C186,4)</f>
        <v>0</v>
      </c>
      <c r="G185" s="209"/>
    </row>
    <row r="186" spans="1:7" ht="11.25">
      <c r="A186" s="269"/>
      <c r="B186" s="269"/>
      <c r="C186" s="219">
        <f>VLOOKUP($A185,'Orçamento Sintético'!$A:$H,8,0)</f>
        <v>3529.22</v>
      </c>
      <c r="D186" s="220">
        <f>D188+D190+D192</f>
        <v>0</v>
      </c>
      <c r="E186" s="220">
        <f>E188+E190+E192</f>
        <v>3529.22</v>
      </c>
      <c r="F186" s="220">
        <f>F188+F190+F192</f>
        <v>0</v>
      </c>
      <c r="G186" s="209"/>
    </row>
    <row r="187" spans="1:7" ht="12.75" customHeight="1">
      <c r="A187" s="262" t="s">
        <v>174</v>
      </c>
      <c r="B187" s="262" t="str">
        <f>VLOOKUP($A187,'Orçamento Sintético'!$A:$H,4,0)</f>
        <v>Portal / batente em chapa de aço carbono, l=9cm, desenvolvimento =26cm, SAE 1006/1010, nº 16, dobrada, para parede de gesso acartonado,conforme projeto, incluso tratamento com anticorrosivo e  pintura esmalte, Largura até 90cm</v>
      </c>
      <c r="C187" s="211">
        <f>ROUND(C188/$F$540,4)</f>
        <v>0.0041</v>
      </c>
      <c r="D187" s="212"/>
      <c r="E187" s="211">
        <v>1</v>
      </c>
      <c r="F187" s="211"/>
      <c r="G187" s="209"/>
    </row>
    <row r="188" spans="1:7" ht="11.25">
      <c r="A188" s="262"/>
      <c r="B188" s="262"/>
      <c r="C188" s="213">
        <f>VLOOKUP($A187,'Orçamento Sintético'!$A:$H,8,0)</f>
        <v>1618.65</v>
      </c>
      <c r="D188" s="214">
        <f>ROUND($C188*D187,2)</f>
        <v>0</v>
      </c>
      <c r="E188" s="213">
        <f>ROUND($C188*E187,2)</f>
        <v>1618.65</v>
      </c>
      <c r="F188" s="213">
        <f>ROUND($C188*F187,2)</f>
        <v>0</v>
      </c>
      <c r="G188" s="209"/>
    </row>
    <row r="189" spans="1:7" ht="12.75" customHeight="1">
      <c r="A189" s="262" t="s">
        <v>177</v>
      </c>
      <c r="B189" s="262" t="str">
        <f>VLOOKUP($A189,'Orçamento Sintético'!$A:$H,4,0)</f>
        <v>Portal / batente em chapa de aço carbono SAE 1006/1010, nº 16, dobrada conforme projeto, incluso tratamento com anticorrosivo e  pintura esmalte, Largura até 90cm</v>
      </c>
      <c r="C189" s="211">
        <f>ROUND(C190/$F$540,4)</f>
        <v>0.0019</v>
      </c>
      <c r="D189" s="212"/>
      <c r="E189" s="211">
        <v>1</v>
      </c>
      <c r="F189" s="211"/>
      <c r="G189" s="209"/>
    </row>
    <row r="190" spans="1:7" ht="11.25">
      <c r="A190" s="262"/>
      <c r="B190" s="262"/>
      <c r="C190" s="213">
        <f>VLOOKUP($A189,'Orçamento Sintético'!$A:$H,8,0)</f>
        <v>745.76</v>
      </c>
      <c r="D190" s="214">
        <f>ROUND($C190*D189,2)</f>
        <v>0</v>
      </c>
      <c r="E190" s="213">
        <f>ROUND($C190*E189,2)</f>
        <v>745.76</v>
      </c>
      <c r="F190" s="213">
        <f>ROUND($C190*F189,2)</f>
        <v>0</v>
      </c>
      <c r="G190" s="209"/>
    </row>
    <row r="191" spans="1:7" ht="12.75" customHeight="1">
      <c r="A191" s="262" t="s">
        <v>180</v>
      </c>
      <c r="B191" s="262" t="str">
        <f>VLOOKUP($A191,'Orçamento Sintético'!$A:$H,4,0)</f>
        <v>Portal / batente em chapa de aço carbono, l=9cm, desenvolvimento =26cm, SAE 1006/1010, nº 16, dobrada, para parede de gesso acartonado,conforme projeto, incluso tratamento com anticorrosivo e  pintura esmalte, Largura 160cm</v>
      </c>
      <c r="C191" s="211">
        <f>ROUND(C192/$F$540,4)</f>
        <v>0.003</v>
      </c>
      <c r="D191" s="212"/>
      <c r="E191" s="211">
        <v>1</v>
      </c>
      <c r="F191" s="211"/>
      <c r="G191" s="209"/>
    </row>
    <row r="192" spans="1:7" ht="11.25">
      <c r="A192" s="262"/>
      <c r="B192" s="262"/>
      <c r="C192" s="213">
        <f>VLOOKUP($A191,'Orçamento Sintético'!$A:$H,8,0)</f>
        <v>1164.81</v>
      </c>
      <c r="D192" s="214">
        <f>ROUND($C192*D191,2)</f>
        <v>0</v>
      </c>
      <c r="E192" s="213">
        <f>ROUND($C192*E191,2)</f>
        <v>1164.81</v>
      </c>
      <c r="F192" s="213">
        <f>ROUND($C192*F191,2)</f>
        <v>0</v>
      </c>
      <c r="G192" s="209"/>
    </row>
    <row r="193" spans="1:7" ht="12.75" customHeight="1">
      <c r="A193" s="265" t="s">
        <v>183</v>
      </c>
      <c r="B193" s="265" t="str">
        <f>VLOOKUP($A193,'Orçamento Sintético'!$A:$H,4,0)</f>
        <v>PAVIMENTAÇÃO E PISOS DE CONCRETO</v>
      </c>
      <c r="C193" s="207">
        <f>ROUND(C194/$F$540,4)</f>
        <v>0.0055</v>
      </c>
      <c r="D193" s="207">
        <f>ROUND(D194/$C194,4)</f>
        <v>0.0956</v>
      </c>
      <c r="E193" s="208">
        <f>ROUND(E194/$C194,4)</f>
        <v>0.0956</v>
      </c>
      <c r="F193" s="208">
        <f>ROUND(F194/$C194,4)</f>
        <v>0.8088</v>
      </c>
      <c r="G193" s="204"/>
    </row>
    <row r="194" spans="1:6" ht="11.25">
      <c r="A194" s="265"/>
      <c r="B194" s="265"/>
      <c r="C194" s="210">
        <f>VLOOKUP($A193,'Orçamento Sintético'!$A:$H,8,0)</f>
        <v>2145.4</v>
      </c>
      <c r="D194" s="210">
        <f>D196+D202</f>
        <v>205.11</v>
      </c>
      <c r="E194" s="210">
        <f>E196+E202</f>
        <v>205.11</v>
      </c>
      <c r="F194" s="210">
        <f>F196+F202</f>
        <v>1735.18</v>
      </c>
    </row>
    <row r="195" spans="1:6" ht="12.75" customHeight="1">
      <c r="A195" s="266" t="s">
        <v>185</v>
      </c>
      <c r="B195" s="266" t="str">
        <f>VLOOKUP($A195,'Orçamento Sintético'!$A:$H,4,0)</f>
        <v>Serviços preliminares e preparação para pavimentação</v>
      </c>
      <c r="C195" s="215">
        <f>ROUND(C196/$F$540,4)</f>
        <v>0.0011</v>
      </c>
      <c r="D195" s="215">
        <f>ROUND(D196/$C196,4)</f>
        <v>0.4882</v>
      </c>
      <c r="E195" s="215">
        <f>ROUND(E196/$C196,4)</f>
        <v>0.4882</v>
      </c>
      <c r="F195" s="215">
        <f>ROUND(F196/$C196,4)</f>
        <v>0.0236</v>
      </c>
    </row>
    <row r="196" spans="1:6" ht="11.25">
      <c r="A196" s="266"/>
      <c r="B196" s="266"/>
      <c r="C196" s="216">
        <f>VLOOKUP($A195,'Orçamento Sintético'!$A:$H,8,0)</f>
        <v>420.12</v>
      </c>
      <c r="D196" s="216">
        <f>D198+D200</f>
        <v>205.11</v>
      </c>
      <c r="E196" s="216">
        <f>E198+E200</f>
        <v>205.11</v>
      </c>
      <c r="F196" s="216">
        <f>F198+F200</f>
        <v>9.9</v>
      </c>
    </row>
    <row r="197" spans="1:7" ht="12.75" customHeight="1">
      <c r="A197" s="262" t="s">
        <v>187</v>
      </c>
      <c r="B197" s="262" t="str">
        <f>VLOOKUP($A197,'Orçamento Sintético'!$A:$H,4,0)</f>
        <v>REGULARIZAÇÃO E COMPACTAÇÃO DE SUBLEITO DE SOLO PREDOMINANTEMENTE ARENOSO. AF_11/2019</v>
      </c>
      <c r="C197" s="211">
        <f>ROUND(C198/$F$540,4)</f>
        <v>0</v>
      </c>
      <c r="D197" s="212"/>
      <c r="E197" s="211"/>
      <c r="F197" s="211">
        <v>1</v>
      </c>
      <c r="G197" s="204"/>
    </row>
    <row r="198" spans="1:7" ht="11.25">
      <c r="A198" s="262"/>
      <c r="B198" s="262"/>
      <c r="C198" s="213">
        <f>VLOOKUP($A197,'Orçamento Sintético'!$A:$H,8,0)</f>
        <v>9.9</v>
      </c>
      <c r="D198" s="214">
        <f>ROUND($C198*D197,2)</f>
        <v>0</v>
      </c>
      <c r="E198" s="213">
        <f>ROUND($C198*E197,2)</f>
        <v>0</v>
      </c>
      <c r="F198" s="213">
        <f>ROUND($C198*F197,2)</f>
        <v>9.9</v>
      </c>
      <c r="G198" s="209"/>
    </row>
    <row r="199" spans="1:7" ht="12.75" customHeight="1">
      <c r="A199" s="262" t="s">
        <v>189</v>
      </c>
      <c r="B199" s="262" t="str">
        <f>VLOOKUP($A199,'Orçamento Sintético'!$A:$H,4,0)</f>
        <v>Baseado em CPOS (11.20.050) - Junta de dilatação / corte em concreto para pisos com discos diamantados, utilizando cortadora manual</v>
      </c>
      <c r="C199" s="211">
        <f>ROUND(C200/$F$540,4)</f>
        <v>0.001</v>
      </c>
      <c r="D199" s="212">
        <v>0.5</v>
      </c>
      <c r="E199" s="211">
        <v>0.5</v>
      </c>
      <c r="F199" s="211"/>
      <c r="G199" s="209"/>
    </row>
    <row r="200" spans="1:7" ht="11.25">
      <c r="A200" s="262"/>
      <c r="B200" s="262"/>
      <c r="C200" s="213">
        <f>VLOOKUP($A199,'Orçamento Sintético'!$A:$H,8,0)</f>
        <v>410.22</v>
      </c>
      <c r="D200" s="214">
        <f>ROUND($C200*D199,2)</f>
        <v>205.11</v>
      </c>
      <c r="E200" s="213">
        <f>ROUND($C200*E199,2)</f>
        <v>205.11</v>
      </c>
      <c r="F200" s="213">
        <f>ROUND($C200*F199,2)</f>
        <v>0</v>
      </c>
      <c r="G200" s="209"/>
    </row>
    <row r="201" spans="1:7" ht="12.75" customHeight="1">
      <c r="A201" s="266" t="s">
        <v>192</v>
      </c>
      <c r="B201" s="266" t="str">
        <f>VLOOKUP($A201,'Orçamento Sintético'!$A:$H,4,0)</f>
        <v>REVESTIMENTOS</v>
      </c>
      <c r="C201" s="215">
        <f>ROUND(C202/$F$540,4)</f>
        <v>0.0044</v>
      </c>
      <c r="D201" s="215">
        <f>ROUND(D202/$C202,4)</f>
        <v>0</v>
      </c>
      <c r="E201" s="215">
        <f>ROUND(E202/$C202,4)</f>
        <v>0</v>
      </c>
      <c r="F201" s="215">
        <f>ROUND(F202/$C202,4)</f>
        <v>1</v>
      </c>
      <c r="G201" s="209"/>
    </row>
    <row r="202" spans="1:7" ht="11.25">
      <c r="A202" s="266"/>
      <c r="B202" s="266"/>
      <c r="C202" s="216">
        <f>VLOOKUP($A201,'Orçamento Sintético'!$A:$H,8,0)</f>
        <v>1725.28</v>
      </c>
      <c r="D202" s="216">
        <f>D204+D208</f>
        <v>0</v>
      </c>
      <c r="E202" s="216">
        <f>E204+E208</f>
        <v>0</v>
      </c>
      <c r="F202" s="216">
        <f>F204+F208</f>
        <v>1725.28</v>
      </c>
      <c r="G202" s="209"/>
    </row>
    <row r="203" spans="1:7" ht="12.75" customHeight="1">
      <c r="A203" s="269" t="s">
        <v>194</v>
      </c>
      <c r="B203" s="269" t="str">
        <f>VLOOKUP($A203,'Orçamento Sintético'!$A:$H,4,0)</f>
        <v>Revestimento asfáltico</v>
      </c>
      <c r="C203" s="217">
        <f>ROUND(C204/$F$540,4)</f>
        <v>0.0006</v>
      </c>
      <c r="D203" s="218">
        <f>ROUND(D204/$C204,4)</f>
        <v>0</v>
      </c>
      <c r="E203" s="218">
        <f>ROUND(E204/$C204,4)</f>
        <v>0</v>
      </c>
      <c r="F203" s="218">
        <f>ROUND(F204/$C204,4)</f>
        <v>1</v>
      </c>
      <c r="G203" s="209"/>
    </row>
    <row r="204" spans="1:7" ht="11.25">
      <c r="A204" s="269"/>
      <c r="B204" s="269"/>
      <c r="C204" s="219">
        <f>VLOOKUP($A203,'Orçamento Sintético'!$A:$H,8,0)</f>
        <v>222.84</v>
      </c>
      <c r="D204" s="220">
        <f>D206</f>
        <v>0</v>
      </c>
      <c r="E204" s="220">
        <f>E206</f>
        <v>0</v>
      </c>
      <c r="F204" s="220">
        <f>F206</f>
        <v>222.84</v>
      </c>
      <c r="G204" s="209"/>
    </row>
    <row r="205" spans="1:7" ht="12.75" customHeight="1">
      <c r="A205" s="262" t="s">
        <v>196</v>
      </c>
      <c r="B205" s="262" t="str">
        <f>VLOOKUP($A205,'Orçamento Sintético'!$A:$H,4,0)</f>
        <v>PAVIMENTO COM TRATAMENTO SUPERFICIAL DUPLO, COM EMULSÃO ASFÁLTICA RR-2C, COM BANHO DILUÍDO. AF_01/2020</v>
      </c>
      <c r="C205" s="211">
        <f>ROUND(C206/$F$540,4)</f>
        <v>0.0006</v>
      </c>
      <c r="D205" s="212"/>
      <c r="E205" s="211"/>
      <c r="F205" s="211">
        <v>1</v>
      </c>
      <c r="G205" s="209"/>
    </row>
    <row r="206" spans="1:7" ht="11.25">
      <c r="A206" s="262"/>
      <c r="B206" s="262"/>
      <c r="C206" s="213">
        <f>VLOOKUP($A205,'Orçamento Sintético'!$A:$H,8,0)</f>
        <v>222.84</v>
      </c>
      <c r="D206" s="214">
        <f>ROUND($C206*D205,2)</f>
        <v>0</v>
      </c>
      <c r="E206" s="213">
        <f>ROUND($C206*E205,2)</f>
        <v>0</v>
      </c>
      <c r="F206" s="213">
        <f>ROUND($C206*F205,2)</f>
        <v>222.84</v>
      </c>
      <c r="G206" s="209"/>
    </row>
    <row r="207" spans="1:7" ht="12.75" customHeight="1">
      <c r="A207" s="269" t="s">
        <v>198</v>
      </c>
      <c r="B207" s="269" t="str">
        <f>VLOOKUP($A207,'Orçamento Sintético'!$A:$H,4,0)</f>
        <v>PISOS DE CONCRETO</v>
      </c>
      <c r="C207" s="217">
        <f>ROUND(C208/$F$540,4)</f>
        <v>0.0038</v>
      </c>
      <c r="D207" s="218">
        <f>ROUND(D208/$C208,4)</f>
        <v>0</v>
      </c>
      <c r="E207" s="218">
        <f>ROUND(E208/$C208,4)</f>
        <v>0</v>
      </c>
      <c r="F207" s="218">
        <f>ROUND(F208/$C208,4)</f>
        <v>1</v>
      </c>
      <c r="G207" s="209"/>
    </row>
    <row r="208" spans="1:7" ht="11.25">
      <c r="A208" s="269"/>
      <c r="B208" s="269"/>
      <c r="C208" s="219">
        <f>VLOOKUP($A207,'Orçamento Sintético'!$A:$H,8,0)</f>
        <v>1502.44</v>
      </c>
      <c r="D208" s="220">
        <f>D210+D212</f>
        <v>0</v>
      </c>
      <c r="E208" s="220">
        <f>E210+E212</f>
        <v>0</v>
      </c>
      <c r="F208" s="220">
        <f>F210+F212</f>
        <v>1502.44</v>
      </c>
      <c r="G208" s="209"/>
    </row>
    <row r="209" spans="1:7" ht="12.75" customHeight="1">
      <c r="A209" s="262" t="s">
        <v>200</v>
      </c>
      <c r="B209" s="262" t="str">
        <f>VLOOKUP($A209,'Orçamento Sintético'!$A:$H,4,0)</f>
        <v>EXECUÇÃO DE PASSEIO (CALÇADA) OU PISO DE CONCRETO COM CONCRETO MOLDADO IN LOCO, FEITO EM OBRA, ACABAMENTO CONVENCIONAL, NÃO ARMADO. AF_07/2016</v>
      </c>
      <c r="C209" s="211">
        <f>ROUND(C210/$F$540,4)</f>
        <v>0.0023</v>
      </c>
      <c r="D209" s="212"/>
      <c r="E209" s="211"/>
      <c r="F209" s="211">
        <v>1</v>
      </c>
      <c r="G209" s="209"/>
    </row>
    <row r="210" spans="1:7" ht="11.25">
      <c r="A210" s="262"/>
      <c r="B210" s="262"/>
      <c r="C210" s="213">
        <f>VLOOKUP($A209,'Orçamento Sintético'!$A:$H,8,0)</f>
        <v>885.18</v>
      </c>
      <c r="D210" s="214">
        <f>ROUND($C210*D209,2)</f>
        <v>0</v>
      </c>
      <c r="E210" s="213">
        <f>ROUND($C210*E209,2)</f>
        <v>0</v>
      </c>
      <c r="F210" s="213">
        <f>ROUND($C210*F209,2)</f>
        <v>885.18</v>
      </c>
      <c r="G210" s="209"/>
    </row>
    <row r="211" spans="1:7" ht="18.75" customHeight="1">
      <c r="A211" s="262" t="s">
        <v>202</v>
      </c>
      <c r="B211" s="262" t="str">
        <f>VLOOKUP($A211,'Orçamento Sintético'!$A:$H,4,0)</f>
        <v>(COMPOSIÇÃO REPRESENTATIVA) DO SERVIÇO DE CONTRAPISO EM ARGAMASSA TRAÇO 1:4 (CIM E AREIA), EM BETONEIRA 400 L, ESPESSURA 3 CM ÁREAS SECAS E 3 CM ÁREAS MOLHADAS, PARA EDIFICAÇÃO HABITACIONAL MULTIFAMILIAR (PRÉDIO). AF_11/2014</v>
      </c>
      <c r="C211" s="211">
        <f>ROUND(C212/$F$540,4)</f>
        <v>0.0016</v>
      </c>
      <c r="D211" s="212"/>
      <c r="E211" s="211"/>
      <c r="F211" s="211">
        <v>1</v>
      </c>
      <c r="G211" s="209"/>
    </row>
    <row r="212" spans="1:7" ht="21" customHeight="1">
      <c r="A212" s="262"/>
      <c r="B212" s="262"/>
      <c r="C212" s="213">
        <f>VLOOKUP($A211,'Orçamento Sintético'!$A:$H,8,0)</f>
        <v>617.26</v>
      </c>
      <c r="D212" s="214">
        <f>ROUND($C212*D211,2)</f>
        <v>0</v>
      </c>
      <c r="E212" s="213">
        <f>ROUND($C212*E211,2)</f>
        <v>0</v>
      </c>
      <c r="F212" s="213">
        <f>ROUND($C212*F211,2)</f>
        <v>617.26</v>
      </c>
      <c r="G212" s="209"/>
    </row>
    <row r="213" spans="1:7" ht="12.75" customHeight="1">
      <c r="A213" s="265" t="s">
        <v>204</v>
      </c>
      <c r="B213" s="265" t="str">
        <f>VLOOKUP($A213,'Orçamento Sintético'!$A:$H,4,0)</f>
        <v>REVESTIMENTOS</v>
      </c>
      <c r="C213" s="207">
        <f>ROUND(C214/$F$540,4)</f>
        <v>0.208</v>
      </c>
      <c r="D213" s="207">
        <f>ROUND(D214/$C214,4)</f>
        <v>0.0253</v>
      </c>
      <c r="E213" s="208">
        <f>ROUND(E214/$C214,4)</f>
        <v>0.3247</v>
      </c>
      <c r="F213" s="208">
        <f>ROUND(F214/$C214,4)</f>
        <v>0.65</v>
      </c>
      <c r="G213" s="204"/>
    </row>
    <row r="214" spans="1:7" ht="11.25">
      <c r="A214" s="265"/>
      <c r="B214" s="265"/>
      <c r="C214" s="210">
        <f>VLOOKUP($A213,'Orçamento Sintético'!$A:$H,8,0)</f>
        <v>81801.81</v>
      </c>
      <c r="D214" s="210">
        <f>D216+D242+D252</f>
        <v>2067.77</v>
      </c>
      <c r="E214" s="210">
        <f>E216+E242+E252</f>
        <v>26562.589999999997</v>
      </c>
      <c r="F214" s="210">
        <f>F216+F242+F252</f>
        <v>53171.45</v>
      </c>
      <c r="G214" s="209"/>
    </row>
    <row r="215" spans="1:7" ht="12.75" customHeight="1">
      <c r="A215" s="266" t="s">
        <v>205</v>
      </c>
      <c r="B215" s="266" t="str">
        <f>VLOOKUP($A215,'Orçamento Sintético'!$A:$H,4,0)</f>
        <v>ELEMENTOS E COMPONENTES DE REVESTIMENTOS</v>
      </c>
      <c r="C215" s="215">
        <f>ROUND(C216/$F$540,4)</f>
        <v>0.0921</v>
      </c>
      <c r="D215" s="215">
        <f>ROUND(D216/$C216,4)</f>
        <v>0.0571</v>
      </c>
      <c r="E215" s="215">
        <f>ROUND(E216/$C216,4)</f>
        <v>0.423</v>
      </c>
      <c r="F215" s="215">
        <f>ROUND(F216/$C216,4)</f>
        <v>0.5199</v>
      </c>
      <c r="G215" s="209"/>
    </row>
    <row r="216" spans="1:7" ht="11.25">
      <c r="A216" s="266"/>
      <c r="B216" s="266"/>
      <c r="C216" s="216">
        <f>VLOOKUP($A215,'Orçamento Sintético'!$A:$H,8,0)</f>
        <v>36205.83</v>
      </c>
      <c r="D216" s="216">
        <f>D218+D222+D226+D230+D236</f>
        <v>2067.77</v>
      </c>
      <c r="E216" s="216">
        <f>E218+E222+E226+E230+E236</f>
        <v>15315.89</v>
      </c>
      <c r="F216" s="216">
        <f>F218+F222+F226+F230+F236</f>
        <v>18822.170000000002</v>
      </c>
      <c r="G216" s="204"/>
    </row>
    <row r="217" spans="1:7" ht="12.75" customHeight="1">
      <c r="A217" s="269" t="s">
        <v>207</v>
      </c>
      <c r="B217" s="269" t="str">
        <f>VLOOKUP($A217,'Orçamento Sintético'!$A:$H,4,0)</f>
        <v>MEIO FIO DE CONCRETO</v>
      </c>
      <c r="C217" s="217">
        <f>ROUND(C218/$F$540,4)</f>
        <v>0.0004</v>
      </c>
      <c r="D217" s="218">
        <f>ROUND(D218/$C218,4)</f>
        <v>0</v>
      </c>
      <c r="E217" s="218">
        <f>ROUND(E218/$C218,4)</f>
        <v>0</v>
      </c>
      <c r="F217" s="218">
        <f>ROUND(F218/$C218,4)</f>
        <v>1</v>
      </c>
      <c r="G217" s="209"/>
    </row>
    <row r="218" spans="1:7" ht="11.25">
      <c r="A218" s="269"/>
      <c r="B218" s="269"/>
      <c r="C218" s="219">
        <f>VLOOKUP($A217,'Orçamento Sintético'!$A:$H,8,0)</f>
        <v>161.61</v>
      </c>
      <c r="D218" s="220">
        <f>D220</f>
        <v>0</v>
      </c>
      <c r="E218" s="220">
        <f>E220</f>
        <v>0</v>
      </c>
      <c r="F218" s="220">
        <f>F220</f>
        <v>161.61</v>
      </c>
      <c r="G218" s="209"/>
    </row>
    <row r="219" spans="1:7" ht="20.25" customHeight="1">
      <c r="A219" s="262" t="s">
        <v>209</v>
      </c>
      <c r="B219" s="262" t="str">
        <f>VLOOKUP($A219,'Orçamento Sintético'!$A:$H,4,0)</f>
        <v>ASSENTAMENTO DE GUIA (MEIO-FIO) EM TRECHO RETO, CONFECCIONADA EM CONCRETO PRÉ-FABRICADO, DIMENSÕES 100X15X13X30 CM (COMPRIMENTO X BASE INFERIOR X BASE SUPERIOR X ALTURA), PARA VIAS URBANAS (USO VIÁRIO). AF_06/2016</v>
      </c>
      <c r="C219" s="211">
        <f>ROUND(C220/$F$540,4)</f>
        <v>0.0004</v>
      </c>
      <c r="D219" s="212"/>
      <c r="E219" s="211"/>
      <c r="F219" s="211">
        <v>1</v>
      </c>
      <c r="G219" s="209"/>
    </row>
    <row r="220" spans="1:7" ht="18" customHeight="1">
      <c r="A220" s="262"/>
      <c r="B220" s="262"/>
      <c r="C220" s="213">
        <f>VLOOKUP($A219,'Orçamento Sintético'!$A:$H,8,0)</f>
        <v>161.61</v>
      </c>
      <c r="D220" s="214">
        <f>ROUND($C220*D219,2)</f>
        <v>0</v>
      </c>
      <c r="E220" s="213">
        <f>ROUND($C220*E219,2)</f>
        <v>0</v>
      </c>
      <c r="F220" s="213">
        <f>ROUND($C220*F219,2)</f>
        <v>161.61</v>
      </c>
      <c r="G220" s="204"/>
    </row>
    <row r="221" spans="1:7" ht="12.75" customHeight="1">
      <c r="A221" s="269" t="s">
        <v>211</v>
      </c>
      <c r="B221" s="269" t="str">
        <f>VLOOKUP($A221,'Orçamento Sintético'!$A:$H,4,0)</f>
        <v>CHAPISCO</v>
      </c>
      <c r="C221" s="217">
        <f>ROUND(C222/$F$540,4)</f>
        <v>0.0024</v>
      </c>
      <c r="D221" s="218">
        <f>ROUND(D222/$C222,4)</f>
        <v>0.4</v>
      </c>
      <c r="E221" s="218">
        <f>ROUND(E222/$C222,4)</f>
        <v>0.6</v>
      </c>
      <c r="F221" s="218">
        <f>ROUND(F222/$C222,4)</f>
        <v>0</v>
      </c>
      <c r="G221" s="209"/>
    </row>
    <row r="222" spans="1:7" ht="11.25">
      <c r="A222" s="269"/>
      <c r="B222" s="269"/>
      <c r="C222" s="219">
        <f>VLOOKUP($A221,'Orçamento Sintético'!$A:$H,8,0)</f>
        <v>952.6</v>
      </c>
      <c r="D222" s="220">
        <f>D224</f>
        <v>381.04</v>
      </c>
      <c r="E222" s="220">
        <f>E224</f>
        <v>571.56</v>
      </c>
      <c r="F222" s="220">
        <f>F224</f>
        <v>0</v>
      </c>
      <c r="G222" s="209"/>
    </row>
    <row r="223" spans="1:7" ht="12.75" customHeight="1">
      <c r="A223" s="262" t="s">
        <v>213</v>
      </c>
      <c r="B223" s="262" t="str">
        <f>VLOOKUP($A223,'Orçamento Sintético'!$A:$H,4,0)</f>
        <v>CHAPISCO APLICADO EM ALVENARIAS E ESTRUTURAS DE CONCRETO INTERNAS, COM COLHER DE PEDREIRO.  ARGAMASSA TRAÇO 1:3 COM PREPARO EM BETONEIRA 400L. AF_06/2014</v>
      </c>
      <c r="C223" s="211">
        <f>ROUND(C224/$F$540,4)</f>
        <v>0.0024</v>
      </c>
      <c r="D223" s="212">
        <v>0.4</v>
      </c>
      <c r="E223" s="211">
        <v>0.6</v>
      </c>
      <c r="F223" s="211"/>
      <c r="G223" s="209"/>
    </row>
    <row r="224" spans="1:6" ht="11.25">
      <c r="A224" s="262"/>
      <c r="B224" s="262"/>
      <c r="C224" s="213">
        <f>VLOOKUP($A223,'Orçamento Sintético'!$A:$H,8,0)</f>
        <v>952.6</v>
      </c>
      <c r="D224" s="214">
        <f>ROUND($C224*D223,2)</f>
        <v>381.04</v>
      </c>
      <c r="E224" s="213">
        <f>ROUND($C224*E223,2)</f>
        <v>571.56</v>
      </c>
      <c r="F224" s="213">
        <f>ROUND($C224*F223,2)</f>
        <v>0</v>
      </c>
    </row>
    <row r="225" spans="1:7" ht="12.75" customHeight="1">
      <c r="A225" s="269" t="s">
        <v>215</v>
      </c>
      <c r="B225" s="269" t="str">
        <f>VLOOKUP($A225,'Orçamento Sintético'!$A:$H,4,0)</f>
        <v>MASSA ÚNICA (EMBOÇO PAULISTA: EMBOÇO + REBOCO)</v>
      </c>
      <c r="C225" s="217">
        <f>ROUND(C226/$F$540,4)</f>
        <v>0.0214</v>
      </c>
      <c r="D225" s="218">
        <f>ROUND(D226/$C226,4)</f>
        <v>0.2</v>
      </c>
      <c r="E225" s="218">
        <f>ROUND(E226/$C226,4)</f>
        <v>0.8</v>
      </c>
      <c r="F225" s="218">
        <f>ROUND(F226/$C226,4)</f>
        <v>0</v>
      </c>
      <c r="G225" s="204"/>
    </row>
    <row r="226" spans="1:7" ht="11.25">
      <c r="A226" s="269"/>
      <c r="B226" s="269"/>
      <c r="C226" s="219">
        <f>VLOOKUP($A225,'Orçamento Sintético'!$A:$H,8,0)</f>
        <v>8433.67</v>
      </c>
      <c r="D226" s="220">
        <f>D228</f>
        <v>1686.73</v>
      </c>
      <c r="E226" s="220">
        <f>E228</f>
        <v>6746.94</v>
      </c>
      <c r="F226" s="220">
        <f>F228</f>
        <v>0</v>
      </c>
      <c r="G226" s="204"/>
    </row>
    <row r="227" spans="1:7" ht="16.5" customHeight="1">
      <c r="A227" s="262" t="s">
        <v>217</v>
      </c>
      <c r="B227" s="262" t="str">
        <f>VLOOKUP($A227,'Orçamento Sintético'!$A:$H,4,0)</f>
        <v>(COMPOSIÇÃO REPRESENTATIVA) DO SERVIÇO DE EMBOÇO/MASSA ÚNICA, APLICADO MANUALMENTE, TRAÇO 1:2:8, EM BETONEIRA DE 400L, PAREDES INTERNAS, COM EXECUÇÃO DE TALISCAS, EDIFICAÇÃO HABITACIONAL UNIFAMILIAR (CASAS) E EDIFICAÇÃO PÚBLICA PADRÃO. AF_12/2014</v>
      </c>
      <c r="C227" s="211">
        <f>ROUND(C228/$F$540,4)</f>
        <v>0.0214</v>
      </c>
      <c r="D227" s="212">
        <v>0.2</v>
      </c>
      <c r="E227" s="211">
        <v>0.8</v>
      </c>
      <c r="F227" s="211"/>
      <c r="G227" s="209"/>
    </row>
    <row r="228" spans="1:7" ht="21" customHeight="1">
      <c r="A228" s="262"/>
      <c r="B228" s="262"/>
      <c r="C228" s="213">
        <f>VLOOKUP($A227,'Orçamento Sintético'!$A:$H,8,0)</f>
        <v>8433.67</v>
      </c>
      <c r="D228" s="214">
        <f>ROUND($C228*D227,2)</f>
        <v>1686.73</v>
      </c>
      <c r="E228" s="213">
        <f>ROUND($C228*E227,2)</f>
        <v>6746.94</v>
      </c>
      <c r="F228" s="213">
        <f>ROUND($C228*F227,2)</f>
        <v>0</v>
      </c>
      <c r="G228" s="209"/>
    </row>
    <row r="229" spans="1:7" ht="12.75" customHeight="1">
      <c r="A229" s="269" t="s">
        <v>219</v>
      </c>
      <c r="B229" s="269" t="str">
        <f>VLOOKUP($A229,'Orçamento Sintético'!$A:$H,4,0)</f>
        <v>SELADOR</v>
      </c>
      <c r="C229" s="217">
        <f>ROUND(C230/$F$540,4)</f>
        <v>0.0074</v>
      </c>
      <c r="D229" s="218">
        <f>ROUND(D230/$C230,4)</f>
        <v>0</v>
      </c>
      <c r="E229" s="218">
        <f>ROUND(E230/$C230,4)</f>
        <v>0.3</v>
      </c>
      <c r="F229" s="218">
        <f>ROUND(F230/$C230,4)</f>
        <v>0.7</v>
      </c>
      <c r="G229" s="209"/>
    </row>
    <row r="230" spans="1:7" ht="11.25">
      <c r="A230" s="269"/>
      <c r="B230" s="269"/>
      <c r="C230" s="219">
        <f>VLOOKUP($A229,'Orçamento Sintético'!$A:$H,8,0)</f>
        <v>2901.23</v>
      </c>
      <c r="D230" s="220">
        <f>D232+D234</f>
        <v>0</v>
      </c>
      <c r="E230" s="220">
        <f>E232+E234</f>
        <v>870.37</v>
      </c>
      <c r="F230" s="220">
        <f>F232+F234</f>
        <v>2030.8600000000001</v>
      </c>
      <c r="G230" s="209"/>
    </row>
    <row r="231" spans="1:7" ht="12.75" customHeight="1">
      <c r="A231" s="262" t="s">
        <v>221</v>
      </c>
      <c r="B231" s="262" t="str">
        <f>VLOOKUP($A231,'Orçamento Sintético'!$A:$H,4,0)</f>
        <v>APLICAÇÃO DE FUNDO SELADOR ACRÍLICO EM TETO, UMA DEMÃO. AF_06/2014</v>
      </c>
      <c r="C231" s="211">
        <f>ROUND(C232/$F$540,4)</f>
        <v>0.0015</v>
      </c>
      <c r="D231" s="212"/>
      <c r="E231" s="211">
        <v>0.3</v>
      </c>
      <c r="F231" s="211">
        <v>0.7</v>
      </c>
      <c r="G231" s="209"/>
    </row>
    <row r="232" spans="1:7" ht="11.25">
      <c r="A232" s="262"/>
      <c r="B232" s="262"/>
      <c r="C232" s="213">
        <f>VLOOKUP($A231,'Orçamento Sintético'!$A:$H,8,0)</f>
        <v>572.81</v>
      </c>
      <c r="D232" s="214">
        <f>ROUND($C232*D231,2)</f>
        <v>0</v>
      </c>
      <c r="E232" s="213">
        <f>ROUND($C232*E231,2)</f>
        <v>171.84</v>
      </c>
      <c r="F232" s="213">
        <f>ROUND($C232*F231,2)</f>
        <v>400.97</v>
      </c>
      <c r="G232" s="209"/>
    </row>
    <row r="233" spans="1:7" ht="12.75" customHeight="1">
      <c r="A233" s="262" t="s">
        <v>223</v>
      </c>
      <c r="B233" s="262" t="str">
        <f>VLOOKUP($A233,'Orçamento Sintético'!$A:$H,4,0)</f>
        <v>APLICAÇÃO DE FUNDO SELADOR ACRÍLICO EM PAREDES, UMA DEMÃO. AF_06/2014</v>
      </c>
      <c r="C233" s="211">
        <f>ROUND(C234/$F$540,4)</f>
        <v>0.0059</v>
      </c>
      <c r="D233" s="212"/>
      <c r="E233" s="211">
        <v>0.3</v>
      </c>
      <c r="F233" s="211">
        <v>0.7</v>
      </c>
      <c r="G233" s="209"/>
    </row>
    <row r="234" spans="1:7" ht="11.25">
      <c r="A234" s="262"/>
      <c r="B234" s="262"/>
      <c r="C234" s="213">
        <f>VLOOKUP($A233,'Orçamento Sintético'!$A:$H,8,0)</f>
        <v>2328.42</v>
      </c>
      <c r="D234" s="214">
        <f>ROUND($C234*D233,2)</f>
        <v>0</v>
      </c>
      <c r="E234" s="213">
        <f>ROUND($C234*E233,2)</f>
        <v>698.53</v>
      </c>
      <c r="F234" s="213">
        <f>ROUND($C234*F233,2)</f>
        <v>1629.89</v>
      </c>
      <c r="G234" s="209"/>
    </row>
    <row r="235" spans="1:7" ht="12.75" customHeight="1">
      <c r="A235" s="269" t="s">
        <v>225</v>
      </c>
      <c r="B235" s="269" t="str">
        <f>VLOOKUP($A235,'Orçamento Sintético'!$A:$H,4,0)</f>
        <v>EMASSAMENTO (MASSA CORRIDA)</v>
      </c>
      <c r="C235" s="217">
        <f>ROUND(C236/$F$540,4)</f>
        <v>0.0604</v>
      </c>
      <c r="D235" s="218">
        <f>ROUND(D236/$C236,4)</f>
        <v>0</v>
      </c>
      <c r="E235" s="218">
        <f>ROUND(E236/$C236,4)</f>
        <v>0.3</v>
      </c>
      <c r="F235" s="218">
        <f>ROUND(F236/$C236,4)</f>
        <v>0.7</v>
      </c>
      <c r="G235" s="204"/>
    </row>
    <row r="236" spans="1:7" ht="11.25">
      <c r="A236" s="269"/>
      <c r="B236" s="269"/>
      <c r="C236" s="219">
        <f>VLOOKUP($A235,'Orçamento Sintético'!$A:$H,8,0)</f>
        <v>23756.72</v>
      </c>
      <c r="D236" s="220">
        <f>D238+D240</f>
        <v>0</v>
      </c>
      <c r="E236" s="220">
        <f>E238+E240</f>
        <v>7127.02</v>
      </c>
      <c r="F236" s="220">
        <f>F238+F240</f>
        <v>16629.7</v>
      </c>
      <c r="G236" s="209"/>
    </row>
    <row r="237" spans="1:7" ht="12.75" customHeight="1">
      <c r="A237" s="262" t="s">
        <v>227</v>
      </c>
      <c r="B237" s="262" t="str">
        <f>VLOOKUP($A237,'Orçamento Sintético'!$A:$H,4,0)</f>
        <v>APLICAÇÃO MANUAL DE MASSA ACRÍLICA EM PANOS DE FACHADA COM PRESENÇA DE VÃOS, DE EDIFÍCIOS DE MÚLTIPLOS PAVIMENTOS, DUAS DEMÃOS. AF_05/2017</v>
      </c>
      <c r="C237" s="211">
        <f>ROUND(C238/$F$540,4)</f>
        <v>0.0418</v>
      </c>
      <c r="D237" s="212"/>
      <c r="E237" s="211">
        <v>0.3</v>
      </c>
      <c r="F237" s="211">
        <v>0.7</v>
      </c>
      <c r="G237" s="209"/>
    </row>
    <row r="238" spans="1:7" ht="11.25">
      <c r="A238" s="262"/>
      <c r="B238" s="262"/>
      <c r="C238" s="213">
        <f>VLOOKUP($A237,'Orçamento Sintético'!$A:$H,8,0)</f>
        <v>16448.8</v>
      </c>
      <c r="D238" s="214">
        <f>ROUND($C238*D237,2)</f>
        <v>0</v>
      </c>
      <c r="E238" s="213">
        <f>ROUND($C238*E237,2)</f>
        <v>4934.64</v>
      </c>
      <c r="F238" s="213">
        <f>ROUND($C238*F237,2)</f>
        <v>11514.16</v>
      </c>
      <c r="G238" s="209"/>
    </row>
    <row r="239" spans="1:7" ht="12.75" customHeight="1">
      <c r="A239" s="262" t="s">
        <v>229</v>
      </c>
      <c r="B239" s="262" t="str">
        <f>VLOOKUP($A239,'Orçamento Sintético'!$A:$H,4,0)</f>
        <v>APLICAÇÃO MANUAL DE MASSA ACRÍLICA EM SUPERFÍCIES INTERNAS DE SACADA DE EDIFÍCIOS DE MÚLTIPLOS PAVIMENTOS, DUAS DEMÃOS. AF_05/2017</v>
      </c>
      <c r="C239" s="211">
        <f>ROUND(C240/$F$540,4)</f>
        <v>0.0186</v>
      </c>
      <c r="D239" s="212"/>
      <c r="E239" s="211">
        <v>0.3</v>
      </c>
      <c r="F239" s="211">
        <v>0.7</v>
      </c>
      <c r="G239" s="209"/>
    </row>
    <row r="240" spans="1:7" ht="11.25">
      <c r="A240" s="262"/>
      <c r="B240" s="262"/>
      <c r="C240" s="213">
        <f>VLOOKUP($A239,'Orçamento Sintético'!$A:$H,8,0)</f>
        <v>7307.92</v>
      </c>
      <c r="D240" s="214">
        <f>ROUND($C240*D239,2)</f>
        <v>0</v>
      </c>
      <c r="E240" s="213">
        <f>ROUND($C240*E239,2)</f>
        <v>2192.38</v>
      </c>
      <c r="F240" s="213">
        <f>ROUND($C240*F239,2)</f>
        <v>5115.54</v>
      </c>
      <c r="G240" s="209"/>
    </row>
    <row r="241" spans="1:7" ht="12.75" customHeight="1">
      <c r="A241" s="266" t="s">
        <v>231</v>
      </c>
      <c r="B241" s="266" t="str">
        <f>VLOOKUP($A241,'Orçamento Sintético'!$A:$H,4,0)</f>
        <v>REVESTIMENTOS DE FORRO/TETO</v>
      </c>
      <c r="C241" s="215">
        <f>ROUND(C242/$F$540,4)</f>
        <v>0.0392</v>
      </c>
      <c r="D241" s="215">
        <f>ROUND(D242/$C242,4)</f>
        <v>0</v>
      </c>
      <c r="E241" s="215">
        <f>ROUND(E242/$C242,4)</f>
        <v>0.6</v>
      </c>
      <c r="F241" s="215">
        <f>ROUND(F242/$C242,4)</f>
        <v>0.4</v>
      </c>
      <c r="G241" s="209"/>
    </row>
    <row r="242" spans="1:7" ht="11.25">
      <c r="A242" s="266"/>
      <c r="B242" s="266"/>
      <c r="C242" s="216">
        <f>VLOOKUP($A241,'Orçamento Sintético'!$A:$H,8,0)</f>
        <v>15425.929999999998</v>
      </c>
      <c r="D242" s="216">
        <f>D244</f>
        <v>0</v>
      </c>
      <c r="E242" s="216">
        <f>E244</f>
        <v>9255.56</v>
      </c>
      <c r="F242" s="216">
        <f>F244</f>
        <v>6170.370000000001</v>
      </c>
      <c r="G242" s="209"/>
    </row>
    <row r="243" spans="1:7" ht="12.75" customHeight="1">
      <c r="A243" s="269" t="s">
        <v>233</v>
      </c>
      <c r="B243" s="269" t="str">
        <f>VLOOKUP($A243,'Orçamento Sintético'!$A:$H,4,0)</f>
        <v>PLACAS DE GESSO ACARTONADO</v>
      </c>
      <c r="C243" s="217">
        <f>ROUND(C244/$F$540,4)</f>
        <v>0.0392</v>
      </c>
      <c r="D243" s="218">
        <f>ROUND(D244/$C244,4)</f>
        <v>0</v>
      </c>
      <c r="E243" s="218">
        <f>ROUND(E244/$C244,4)</f>
        <v>0.6</v>
      </c>
      <c r="F243" s="218">
        <f>ROUND(F244/$C244,4)</f>
        <v>0.4</v>
      </c>
      <c r="G243" s="209"/>
    </row>
    <row r="244" spans="1:7" ht="11.25">
      <c r="A244" s="269"/>
      <c r="B244" s="269"/>
      <c r="C244" s="219">
        <f>VLOOKUP($A243,'Orçamento Sintético'!$A:$H,8,0)</f>
        <v>15425.929999999998</v>
      </c>
      <c r="D244" s="220">
        <f>D246+D248+D250</f>
        <v>0</v>
      </c>
      <c r="E244" s="220">
        <f>E246+E248+E250</f>
        <v>9255.56</v>
      </c>
      <c r="F244" s="220">
        <f>F246+F248+F250</f>
        <v>6170.370000000001</v>
      </c>
      <c r="G244" s="209"/>
    </row>
    <row r="245" spans="1:7" ht="12.75" customHeight="1">
      <c r="A245" s="262" t="s">
        <v>235</v>
      </c>
      <c r="B245" s="262" t="str">
        <f>VLOOKUP($A245,'Orçamento Sintético'!$A:$H,4,0)</f>
        <v>FORRO EM DRYWALL, PARA AMBIENTES COMERCIAIS, INCLUSIVE ESTRUTURA DE FIXAÇÃO. AF_05/2017_P</v>
      </c>
      <c r="C245" s="211">
        <f>ROUND(C246/$F$540,4)</f>
        <v>0.0289</v>
      </c>
      <c r="D245" s="212"/>
      <c r="E245" s="211">
        <v>0.6</v>
      </c>
      <c r="F245" s="211">
        <v>0.4</v>
      </c>
      <c r="G245" s="209"/>
    </row>
    <row r="246" spans="1:7" ht="11.25">
      <c r="A246" s="262"/>
      <c r="B246" s="262"/>
      <c r="C246" s="213">
        <f>VLOOKUP($A245,'Orçamento Sintético'!$A:$H,8,0)</f>
        <v>11375.98</v>
      </c>
      <c r="D246" s="214">
        <f>ROUND($C246*D245,2)</f>
        <v>0</v>
      </c>
      <c r="E246" s="213">
        <f>ROUND($C246*E245,2)</f>
        <v>6825.59</v>
      </c>
      <c r="F246" s="213">
        <f>ROUND($C246*F245,2)</f>
        <v>4550.39</v>
      </c>
      <c r="G246" s="204"/>
    </row>
    <row r="247" spans="1:7" ht="12.75" customHeight="1">
      <c r="A247" s="262" t="s">
        <v>237</v>
      </c>
      <c r="B247" s="262" t="str">
        <f>VLOOKUP($A247,'Orçamento Sintético'!$A:$H,4,0)</f>
        <v>Tabica metálica pré pintada, para forro em gesso acartonado</v>
      </c>
      <c r="C247" s="211">
        <f>ROUND(C248/$F$540,4)</f>
        <v>0.0064</v>
      </c>
      <c r="D247" s="212"/>
      <c r="E247" s="211">
        <v>0.6</v>
      </c>
      <c r="F247" s="211">
        <v>0.4</v>
      </c>
      <c r="G247" s="209"/>
    </row>
    <row r="248" spans="1:7" ht="11.25">
      <c r="A248" s="262"/>
      <c r="B248" s="262"/>
      <c r="C248" s="213">
        <f>VLOOKUP($A247,'Orçamento Sintético'!$A:$H,8,0)</f>
        <v>2523.15</v>
      </c>
      <c r="D248" s="214">
        <f>ROUND($C248*D247,2)</f>
        <v>0</v>
      </c>
      <c r="E248" s="213">
        <f>ROUND($C248*E247,2)</f>
        <v>1513.89</v>
      </c>
      <c r="F248" s="213">
        <f>ROUND($C248*F247,2)</f>
        <v>1009.26</v>
      </c>
      <c r="G248" s="209"/>
    </row>
    <row r="249" spans="1:7" ht="12.75" customHeight="1">
      <c r="A249" s="262" t="s">
        <v>240</v>
      </c>
      <c r="B249" s="262" t="str">
        <f>VLOOKUP($A249,'Orçamento Sintético'!$A:$H,4,0)</f>
        <v>Copia da SBC (023361) - Execução de visita em forro de gesso, DM 60 x 60cm, inclusive acabamento em perfis de alumínio na cor branca</v>
      </c>
      <c r="C249" s="211">
        <f>ROUND(C250/$F$540,4)</f>
        <v>0.0039</v>
      </c>
      <c r="D249" s="212"/>
      <c r="E249" s="211">
        <v>0.6</v>
      </c>
      <c r="F249" s="211">
        <v>0.4</v>
      </c>
      <c r="G249" s="209"/>
    </row>
    <row r="250" spans="1:7" ht="11.25">
      <c r="A250" s="262"/>
      <c r="B250" s="262"/>
      <c r="C250" s="213">
        <f>VLOOKUP($A249,'Orçamento Sintético'!$A:$H,8,0)</f>
        <v>1526.8</v>
      </c>
      <c r="D250" s="214">
        <f>ROUND($C250*D249,2)</f>
        <v>0</v>
      </c>
      <c r="E250" s="213">
        <f>ROUND($C250*E249,2)</f>
        <v>916.08</v>
      </c>
      <c r="F250" s="213">
        <f>ROUND($C250*F249,2)</f>
        <v>610.72</v>
      </c>
      <c r="G250" s="209"/>
    </row>
    <row r="251" spans="1:7" ht="12.75" customHeight="1">
      <c r="A251" s="266" t="s">
        <v>243</v>
      </c>
      <c r="B251" s="266" t="str">
        <f>VLOOKUP($A251,'Orçamento Sintético'!$A:$H,4,0)</f>
        <v>PINTURAS</v>
      </c>
      <c r="C251" s="215">
        <f>ROUND(C252/$F$540,4)</f>
        <v>0.0767</v>
      </c>
      <c r="D251" s="215">
        <f>ROUND(D252/$C252,4)</f>
        <v>0</v>
      </c>
      <c r="E251" s="215">
        <f>ROUND(E252/$C252,4)</f>
        <v>0.066</v>
      </c>
      <c r="F251" s="215">
        <f>ROUND(F252/$C252,4)</f>
        <v>0.934</v>
      </c>
      <c r="G251" s="209"/>
    </row>
    <row r="252" spans="1:7" ht="11.25">
      <c r="A252" s="266"/>
      <c r="B252" s="266"/>
      <c r="C252" s="216">
        <f>VLOOKUP($A251,'Orçamento Sintético'!$A:$H,8,0)</f>
        <v>30170.05</v>
      </c>
      <c r="D252" s="216">
        <f>D254+D260+D266+D272</f>
        <v>0</v>
      </c>
      <c r="E252" s="216">
        <f>E254+E260+E266+E272</f>
        <v>1991.1399999999999</v>
      </c>
      <c r="F252" s="216">
        <f>F254+F260+F266+F272</f>
        <v>28178.91</v>
      </c>
      <c r="G252" s="204"/>
    </row>
    <row r="253" spans="1:7" ht="12.75" customHeight="1">
      <c r="A253" s="269" t="s">
        <v>245</v>
      </c>
      <c r="B253" s="269" t="str">
        <f>VLOOKUP($A253,'Orçamento Sintético'!$A:$H,4,0)</f>
        <v>TINTA ACRÍLICA</v>
      </c>
      <c r="C253" s="217">
        <f>ROUND(C254/$F$540,4)</f>
        <v>0.0422</v>
      </c>
      <c r="D253" s="218">
        <f>ROUND(D254/$C254,4)</f>
        <v>0</v>
      </c>
      <c r="E253" s="218">
        <f>ROUND(E254/$C254,4)</f>
        <v>0</v>
      </c>
      <c r="F253" s="218">
        <f>ROUND(F254/$C254,4)</f>
        <v>1</v>
      </c>
      <c r="G253" s="204"/>
    </row>
    <row r="254" spans="1:7" ht="11.25">
      <c r="A254" s="269"/>
      <c r="B254" s="269"/>
      <c r="C254" s="219">
        <f>VLOOKUP($A253,'Orçamento Sintético'!$A:$H,8,0)</f>
        <v>16581.83</v>
      </c>
      <c r="D254" s="220">
        <f>D256+D258</f>
        <v>0</v>
      </c>
      <c r="E254" s="220">
        <f>E256+E258</f>
        <v>0</v>
      </c>
      <c r="F254" s="220">
        <f>F256+F258</f>
        <v>16581.83</v>
      </c>
      <c r="G254" s="204"/>
    </row>
    <row r="255" spans="1:7" ht="12.75" customHeight="1">
      <c r="A255" s="262" t="s">
        <v>247</v>
      </c>
      <c r="B255" s="262" t="str">
        <f>VLOOKUP($A255,'Orçamento Sintético'!$A:$H,4,0)</f>
        <v>APLICAÇÃO MANUAL DE PINTURA COM TINTA LÁTEX ACRÍLICA EM PAREDES, DUAS DEMÃOS. AF_06/2014</v>
      </c>
      <c r="C255" s="211">
        <f>ROUND(C256/$F$540,4)</f>
        <v>0.0343</v>
      </c>
      <c r="D255" s="212"/>
      <c r="E255" s="211"/>
      <c r="F255" s="211">
        <v>1</v>
      </c>
      <c r="G255" s="204"/>
    </row>
    <row r="256" spans="1:7" ht="11.25">
      <c r="A256" s="262"/>
      <c r="B256" s="262"/>
      <c r="C256" s="213">
        <f>VLOOKUP($A255,'Orçamento Sintético'!$A:$H,8,0)</f>
        <v>13494.33</v>
      </c>
      <c r="D256" s="214">
        <f>ROUND($C256*D255,2)</f>
        <v>0</v>
      </c>
      <c r="E256" s="213">
        <f>ROUND($C256*E255,2)</f>
        <v>0</v>
      </c>
      <c r="F256" s="213">
        <f>ROUND($C256*F255,2)</f>
        <v>13494.33</v>
      </c>
      <c r="G256" s="209"/>
    </row>
    <row r="257" spans="1:7" ht="12.75" customHeight="1">
      <c r="A257" s="262" t="s">
        <v>249</v>
      </c>
      <c r="B257" s="262" t="str">
        <f>VLOOKUP($A257,'Orçamento Sintético'!$A:$H,4,0)</f>
        <v>APLICAÇÃO MANUAL DE PINTURA COM TINTA LÁTEX ACRÍLICA EM TETO, DUAS DEMÃOS. AF_06/2014</v>
      </c>
      <c r="C257" s="211">
        <f>ROUND(C258/$F$540,4)</f>
        <v>0.0079</v>
      </c>
      <c r="D257" s="212"/>
      <c r="E257" s="211"/>
      <c r="F257" s="211">
        <v>1</v>
      </c>
      <c r="G257" s="209"/>
    </row>
    <row r="258" spans="1:7" ht="11.25">
      <c r="A258" s="262"/>
      <c r="B258" s="262"/>
      <c r="C258" s="213">
        <f>VLOOKUP($A257,'Orçamento Sintético'!$A:$H,8,0)</f>
        <v>3087.5</v>
      </c>
      <c r="D258" s="214">
        <f>ROUND($C258*D257,2)</f>
        <v>0</v>
      </c>
      <c r="E258" s="213">
        <f>ROUND($C258*E257,2)</f>
        <v>0</v>
      </c>
      <c r="F258" s="213">
        <f>ROUND($C258*F257,2)</f>
        <v>3087.5</v>
      </c>
      <c r="G258" s="209"/>
    </row>
    <row r="259" spans="1:7" ht="12.75" customHeight="1">
      <c r="A259" s="269" t="s">
        <v>251</v>
      </c>
      <c r="B259" s="269" t="str">
        <f>VLOOKUP($A259,'Orçamento Sintético'!$A:$H,4,0)</f>
        <v>TINTA ACRÍLICA PARA PISO NOVACOR</v>
      </c>
      <c r="C259" s="217">
        <f>ROUND(C260/$F$540,4)</f>
        <v>0.0159</v>
      </c>
      <c r="D259" s="218">
        <f>ROUND(D260/$C260,4)</f>
        <v>0</v>
      </c>
      <c r="E259" s="218">
        <f>ROUND(E260/$C260,4)</f>
        <v>0</v>
      </c>
      <c r="F259" s="218">
        <f>ROUND(F260/$C260,4)</f>
        <v>1</v>
      </c>
      <c r="G259" s="209"/>
    </row>
    <row r="260" spans="1:7" ht="11.25">
      <c r="A260" s="269"/>
      <c r="B260" s="269"/>
      <c r="C260" s="219">
        <f>VLOOKUP($A259,'Orçamento Sintético'!$A:$H,8,0)</f>
        <v>6269.94</v>
      </c>
      <c r="D260" s="220">
        <f>D262+D264</f>
        <v>0</v>
      </c>
      <c r="E260" s="220">
        <f>E262+E264</f>
        <v>0</v>
      </c>
      <c r="F260" s="220">
        <f>F262+F264</f>
        <v>6269.94</v>
      </c>
      <c r="G260" s="209"/>
    </row>
    <row r="261" spans="1:7" ht="12.75" customHeight="1">
      <c r="A261" s="262" t="s">
        <v>253</v>
      </c>
      <c r="B261" s="262" t="str">
        <f>VLOOKUP($A261,'Orçamento Sintético'!$A:$H,4,0)</f>
        <v>PINTURA DE PISO COM TINTA ACRÍLICA, APLICAÇÃO MANUAL, 2 DEMÃOS, INCLUSO FUNDO PREPARADOR. AF_05/2021</v>
      </c>
      <c r="C261" s="211">
        <f>ROUND(C262/$F$540,4)</f>
        <v>0.0159</v>
      </c>
      <c r="D261" s="212"/>
      <c r="E261" s="211"/>
      <c r="F261" s="211">
        <v>1</v>
      </c>
      <c r="G261" s="209"/>
    </row>
    <row r="262" spans="1:7" ht="11.25">
      <c r="A262" s="262"/>
      <c r="B262" s="262"/>
      <c r="C262" s="213">
        <f>VLOOKUP($A261,'Orçamento Sintético'!$A:$H,8,0)</f>
        <v>6265.44</v>
      </c>
      <c r="D262" s="214">
        <f>ROUND($C262*D261,2)</f>
        <v>0</v>
      </c>
      <c r="E262" s="213">
        <f>ROUND($C262*E261,2)</f>
        <v>0</v>
      </c>
      <c r="F262" s="213">
        <f>ROUND($C262*F261,2)</f>
        <v>6265.44</v>
      </c>
      <c r="G262" s="209"/>
    </row>
    <row r="263" spans="1:7" ht="12.75" customHeight="1">
      <c r="A263" s="262" t="s">
        <v>255</v>
      </c>
      <c r="B263" s="262" t="str">
        <f>VLOOKUP($A263,'Orçamento Sintético'!$A:$H,4,0)</f>
        <v>PINTURA DE MEIO-FIO COM TINTA BRANCA A BASE DE CAL (CAIAÇÃO). AF_05/2021</v>
      </c>
      <c r="C263" s="211">
        <f>ROUND(C264/$F$540,4)</f>
        <v>0</v>
      </c>
      <c r="D263" s="212"/>
      <c r="E263" s="211"/>
      <c r="F263" s="211">
        <v>1</v>
      </c>
      <c r="G263" s="209"/>
    </row>
    <row r="264" spans="1:7" ht="11.25">
      <c r="A264" s="262"/>
      <c r="B264" s="262"/>
      <c r="C264" s="213">
        <f>VLOOKUP($A263,'Orçamento Sintético'!$A:$H,8,0)</f>
        <v>4.5</v>
      </c>
      <c r="D264" s="214">
        <f>ROUND($C264*D263,2)</f>
        <v>0</v>
      </c>
      <c r="E264" s="213">
        <f>ROUND($C264*E263,2)</f>
        <v>0</v>
      </c>
      <c r="F264" s="213">
        <f>ROUND($C264*F263,2)</f>
        <v>4.5</v>
      </c>
      <c r="G264" s="209"/>
    </row>
    <row r="265" spans="1:7" ht="12.75" customHeight="1">
      <c r="A265" s="269" t="s">
        <v>257</v>
      </c>
      <c r="B265" s="269" t="str">
        <f>VLOOKUP($A265,'Orçamento Sintético'!$A:$H,4,0)</f>
        <v>Tinta esmalte</v>
      </c>
      <c r="C265" s="217">
        <f>ROUND(C266/$F$540,4)</f>
        <v>0.0101</v>
      </c>
      <c r="D265" s="218">
        <f>ROUND(D266/$C266,4)</f>
        <v>0</v>
      </c>
      <c r="E265" s="218">
        <f>ROUND(E266/$C266,4)</f>
        <v>0.5</v>
      </c>
      <c r="F265" s="218">
        <f>ROUND(F266/$C266,4)</f>
        <v>0.5</v>
      </c>
      <c r="G265" s="209"/>
    </row>
    <row r="266" spans="1:7" ht="11.25">
      <c r="A266" s="269"/>
      <c r="B266" s="269"/>
      <c r="C266" s="219">
        <f>VLOOKUP($A265,'Orçamento Sintético'!$A:$H,8,0)</f>
        <v>3982.2799999999997</v>
      </c>
      <c r="D266" s="220">
        <f>D268+D270</f>
        <v>0</v>
      </c>
      <c r="E266" s="220">
        <f>E268+E270</f>
        <v>1991.1399999999999</v>
      </c>
      <c r="F266" s="220">
        <f>F268+F270</f>
        <v>1991.1399999999999</v>
      </c>
      <c r="G266" s="209"/>
    </row>
    <row r="267" spans="1:7" ht="12.75" customHeight="1">
      <c r="A267" s="262" t="s">
        <v>259</v>
      </c>
      <c r="B267" s="262" t="str">
        <f>VLOOKUP($A267,'Orçamento Sintético'!$A:$H,4,0)</f>
        <v>PINTURA COM TINTA ALQUÍDICA DE ACABAMENTO (ESMALTE SINTÉTICO ACETINADO) APLICADA A ROLO OU PINCEL SOBRE SUPERFÍCIES METÁLICAS (EXCETO PERFIL) EXECUTADO EM OBRA (02 DEMÃOS). AF_01/2020</v>
      </c>
      <c r="C267" s="211">
        <f>ROUND(C268/$F$540,4)</f>
        <v>0.0097</v>
      </c>
      <c r="D267" s="212"/>
      <c r="E267" s="211">
        <v>0.5</v>
      </c>
      <c r="F267" s="211">
        <v>0.5</v>
      </c>
      <c r="G267" s="209"/>
    </row>
    <row r="268" spans="1:7" ht="11.25">
      <c r="A268" s="262"/>
      <c r="B268" s="262"/>
      <c r="C268" s="213">
        <f>VLOOKUP($A267,'Orçamento Sintético'!$A:$H,8,0)</f>
        <v>3833.6</v>
      </c>
      <c r="D268" s="214">
        <f>ROUND($C268*D267,2)</f>
        <v>0</v>
      </c>
      <c r="E268" s="213">
        <f>ROUND($C268*E267,2)</f>
        <v>1916.8</v>
      </c>
      <c r="F268" s="213">
        <f>ROUND($C268*F267,2)</f>
        <v>1916.8</v>
      </c>
      <c r="G268" s="209"/>
    </row>
    <row r="269" spans="1:7" ht="12.75" customHeight="1">
      <c r="A269" s="262" t="s">
        <v>261</v>
      </c>
      <c r="B269" s="262" t="str">
        <f>VLOOKUP($A269,'Orçamento Sintético'!$A:$H,4,0)</f>
        <v>Copia da SINAPI (100722) - PINTURA COM FUNDO PREPARADOR SUPER GALVITE, APLICADA A ROLO OU PINCEL SOBRE SUPERFÍCIES METÁLICAS, EXECUTADO EM OBRA (POR DEMÃO)</v>
      </c>
      <c r="C269" s="211">
        <f>ROUND(C270/$F$540,4)</f>
        <v>0.0004</v>
      </c>
      <c r="D269" s="212"/>
      <c r="E269" s="211">
        <v>0.5</v>
      </c>
      <c r="F269" s="211">
        <v>0.5</v>
      </c>
      <c r="G269" s="209"/>
    </row>
    <row r="270" spans="1:7" ht="11.25">
      <c r="A270" s="262"/>
      <c r="B270" s="262"/>
      <c r="C270" s="213">
        <f>VLOOKUP($A269,'Orçamento Sintético'!$A:$H,8,0)</f>
        <v>148.68</v>
      </c>
      <c r="D270" s="214">
        <f>ROUND($C270*D269,2)</f>
        <v>0</v>
      </c>
      <c r="E270" s="213">
        <f>ROUND($C270*E269,2)</f>
        <v>74.34</v>
      </c>
      <c r="F270" s="213">
        <f>ROUND($C270*F269,2)</f>
        <v>74.34</v>
      </c>
      <c r="G270" s="209"/>
    </row>
    <row r="271" spans="1:7" ht="12.75" customHeight="1">
      <c r="A271" s="269" t="s">
        <v>264</v>
      </c>
      <c r="B271" s="269" t="str">
        <f>VLOOKUP($A271,'Orçamento Sintético'!$A:$H,4,0)</f>
        <v>Textura acrílica</v>
      </c>
      <c r="C271" s="217">
        <f>ROUND(C272/$F$540,4)</f>
        <v>0.0085</v>
      </c>
      <c r="D271" s="218">
        <f>ROUND(D272/$C272,4)</f>
        <v>0</v>
      </c>
      <c r="E271" s="218">
        <f>ROUND(E272/$C272,4)</f>
        <v>0</v>
      </c>
      <c r="F271" s="218">
        <f>ROUND(F272/$C272,4)</f>
        <v>1</v>
      </c>
      <c r="G271" s="209"/>
    </row>
    <row r="272" spans="1:7" ht="11.25">
      <c r="A272" s="269"/>
      <c r="B272" s="269"/>
      <c r="C272" s="219">
        <f>VLOOKUP($A271,'Orçamento Sintético'!$A:$H,8,0)</f>
        <v>3336</v>
      </c>
      <c r="D272" s="220">
        <f>D274</f>
        <v>0</v>
      </c>
      <c r="E272" s="220">
        <f>E274</f>
        <v>0</v>
      </c>
      <c r="F272" s="220">
        <f>F274</f>
        <v>3336</v>
      </c>
      <c r="G272" s="209"/>
    </row>
    <row r="273" spans="1:7" ht="12.75" customHeight="1">
      <c r="A273" s="262" t="s">
        <v>266</v>
      </c>
      <c r="B273" s="262" t="str">
        <f>VLOOKUP($A273,'Orçamento Sintético'!$A:$H,4,0)</f>
        <v>APLICAÇÃO MANUAL DE PINTURA COM TINTA TEXTURIZADA ACRÍLICA EM PAREDES EXTERNAS DE CASAS, UMA COR. AF_06/2014</v>
      </c>
      <c r="C273" s="211">
        <f>ROUND(C274/$F$540,4)</f>
        <v>0.0085</v>
      </c>
      <c r="D273" s="212"/>
      <c r="E273" s="211"/>
      <c r="F273" s="211">
        <v>1</v>
      </c>
      <c r="G273" s="209"/>
    </row>
    <row r="274" spans="1:7" ht="11.25">
      <c r="A274" s="262"/>
      <c r="B274" s="262"/>
      <c r="C274" s="213">
        <f>VLOOKUP($A273,'Orçamento Sintético'!$A:$H,8,0)</f>
        <v>3336</v>
      </c>
      <c r="D274" s="214">
        <f>ROUND($C274*D273,2)</f>
        <v>0</v>
      </c>
      <c r="E274" s="213">
        <f>ROUND($C274*E273,2)</f>
        <v>0</v>
      </c>
      <c r="F274" s="213">
        <f>ROUND($C274*F273,2)</f>
        <v>3336</v>
      </c>
      <c r="G274" s="209"/>
    </row>
    <row r="275" spans="1:7" ht="12.75" customHeight="1">
      <c r="A275" s="265" t="s">
        <v>267</v>
      </c>
      <c r="B275" s="265" t="str">
        <f>VLOOKUP($A275,'Orçamento Sintético'!$A:$H,4,0)</f>
        <v>IMPERMEABILIZAÇÕES E TRATAMENTOS</v>
      </c>
      <c r="C275" s="207">
        <f>ROUND(C276/$F$540,4)</f>
        <v>0.2136</v>
      </c>
      <c r="D275" s="207">
        <f>ROUND(D276/$C276,4)</f>
        <v>0.5142</v>
      </c>
      <c r="E275" s="208">
        <f>ROUND(E276/$C276,4)</f>
        <v>0.4741</v>
      </c>
      <c r="F275" s="208">
        <f>ROUND(F276/$C276,4)</f>
        <v>0.0116</v>
      </c>
      <c r="G275" s="204"/>
    </row>
    <row r="276" spans="1:7" ht="11.25">
      <c r="A276" s="265"/>
      <c r="B276" s="265"/>
      <c r="C276" s="210">
        <f>VLOOKUP($A275,'Orçamento Sintético'!$A:$H,8,0)</f>
        <v>83983.82</v>
      </c>
      <c r="D276" s="210">
        <f>D278+D288+D300+D312</f>
        <v>43187.53</v>
      </c>
      <c r="E276" s="210">
        <f>E278+E288+E300+E312</f>
        <v>39819.44</v>
      </c>
      <c r="F276" s="210">
        <f>F278+F288+F300+F312</f>
        <v>976.8600000000001</v>
      </c>
      <c r="G276" s="204"/>
    </row>
    <row r="277" spans="1:7" ht="12.75" customHeight="1">
      <c r="A277" s="266" t="s">
        <v>269</v>
      </c>
      <c r="B277" s="266" t="str">
        <f>VLOOKUP($A277,'Orçamento Sintético'!$A:$H,4,0)</f>
        <v>Manta asfáltica 4mm</v>
      </c>
      <c r="C277" s="215">
        <f>ROUND(C278/$F$540,4)</f>
        <v>0.0584</v>
      </c>
      <c r="D277" s="215">
        <f>ROUND(D278/$C278,4)</f>
        <v>0.6075</v>
      </c>
      <c r="E277" s="215">
        <f>ROUND(E278/$C278,4)</f>
        <v>0.3925</v>
      </c>
      <c r="F277" s="215">
        <f>ROUND(F278/$C278,4)</f>
        <v>0</v>
      </c>
      <c r="G277" s="204"/>
    </row>
    <row r="278" spans="1:7" ht="11.25">
      <c r="A278" s="266"/>
      <c r="B278" s="266"/>
      <c r="C278" s="216">
        <f>VLOOKUP($A277,'Orçamento Sintético'!$A:$H,8,0)</f>
        <v>22963.11</v>
      </c>
      <c r="D278" s="216">
        <f>D280+D282+D284+D286</f>
        <v>13951.05</v>
      </c>
      <c r="E278" s="216">
        <f>E280+E282+E284+E286</f>
        <v>9012.06</v>
      </c>
      <c r="F278" s="216">
        <f>F280+F282+F284+F286</f>
        <v>0</v>
      </c>
      <c r="G278" s="204"/>
    </row>
    <row r="279" spans="1:7" ht="12.75" customHeight="1">
      <c r="A279" s="262" t="s">
        <v>271</v>
      </c>
      <c r="B279" s="262" t="str">
        <f>VLOOKUP($A279,'Orçamento Sintético'!$A:$H,4,0)</f>
        <v>Copia da SINAPI (98546) - Impermeabilização de superfície com manta asfáltica (com polímeros elastoméricos), e=4mm, ref. Torodin Extra, colada com asfalto derretido</v>
      </c>
      <c r="C279" s="211">
        <f>ROUND(C280/$F$540,4)</f>
        <v>0.0324</v>
      </c>
      <c r="D279" s="212">
        <v>0.6</v>
      </c>
      <c r="E279" s="211">
        <v>0.4</v>
      </c>
      <c r="F279" s="211"/>
      <c r="G279" s="209"/>
    </row>
    <row r="280" spans="1:7" ht="11.25">
      <c r="A280" s="262"/>
      <c r="B280" s="262"/>
      <c r="C280" s="213">
        <f>VLOOKUP($A279,'Orçamento Sintético'!$A:$H,8,0)</f>
        <v>12758.61</v>
      </c>
      <c r="D280" s="214">
        <f>ROUND($C280*D279,2)</f>
        <v>7655.17</v>
      </c>
      <c r="E280" s="213">
        <f>ROUND($C280*E279,2)</f>
        <v>5103.44</v>
      </c>
      <c r="F280" s="213">
        <f>ROUND($C280*F279,2)</f>
        <v>0</v>
      </c>
      <c r="G280" s="209"/>
    </row>
    <row r="281" spans="1:7" ht="12.75" customHeight="1">
      <c r="A281" s="262" t="s">
        <v>274</v>
      </c>
      <c r="B281" s="262" t="str">
        <f>VLOOKUP($A281,'Orçamento Sintético'!$A:$H,4,0)</f>
        <v>Cópia da Orse (10029) - Impermeabilização c/ manta asfáltica aluminizada 3mm, estruturada com não-tecido de poliéster, inclusive aplicação de 1 demão de primer</v>
      </c>
      <c r="C281" s="211">
        <f>ROUND(C282/$F$540,4)</f>
        <v>0.0044</v>
      </c>
      <c r="D281" s="212">
        <v>0.6</v>
      </c>
      <c r="E281" s="211">
        <v>0.4</v>
      </c>
      <c r="F281" s="211"/>
      <c r="G281" s="209"/>
    </row>
    <row r="282" spans="1:7" ht="11.25">
      <c r="A282" s="262"/>
      <c r="B282" s="262"/>
      <c r="C282" s="213">
        <f>VLOOKUP($A281,'Orçamento Sintético'!$A:$H,8,0)</f>
        <v>1727.04</v>
      </c>
      <c r="D282" s="214">
        <f>ROUND($C282*D281,2)</f>
        <v>1036.22</v>
      </c>
      <c r="E282" s="213">
        <f>ROUND($C282*E281,2)</f>
        <v>690.82</v>
      </c>
      <c r="F282" s="213">
        <f>ROUND($C282*F281,2)</f>
        <v>0</v>
      </c>
      <c r="G282" s="209"/>
    </row>
    <row r="283" spans="1:7" ht="12.75" customHeight="1">
      <c r="A283" s="262" t="s">
        <v>277</v>
      </c>
      <c r="B283" s="262" t="str">
        <f>VLOOKUP($A283,'Orçamento Sintético'!$A:$H,4,0)</f>
        <v>Copia da SINAPI (98547) - Impermeabilização de superfície com manta asfáltica, três camadas no sistema sanfona, inclusive aplicação de primer asfáltico, e=4mm</v>
      </c>
      <c r="C283" s="211">
        <f>ROUND(C284/$F$540,4)</f>
        <v>0.0205</v>
      </c>
      <c r="D283" s="212">
        <v>0.6</v>
      </c>
      <c r="E283" s="211">
        <v>0.4</v>
      </c>
      <c r="F283" s="211"/>
      <c r="G283" s="209"/>
    </row>
    <row r="284" spans="1:7" ht="11.25">
      <c r="A284" s="262"/>
      <c r="B284" s="262"/>
      <c r="C284" s="213">
        <f>VLOOKUP($A283,'Orçamento Sintético'!$A:$H,8,0)</f>
        <v>8044.5</v>
      </c>
      <c r="D284" s="214">
        <f>ROUND($C284*D283,2)</f>
        <v>4826.7</v>
      </c>
      <c r="E284" s="213">
        <f>ROUND($C284*E283,2)</f>
        <v>3217.8</v>
      </c>
      <c r="F284" s="213">
        <f>ROUND($C284*F283,2)</f>
        <v>0</v>
      </c>
      <c r="G284" s="209"/>
    </row>
    <row r="285" spans="1:7" ht="12.75" customHeight="1">
      <c r="A285" s="262" t="s">
        <v>280</v>
      </c>
      <c r="B285" s="262" t="str">
        <f>VLOOKUP($A285,'Orçamento Sintético'!$A:$H,4,0)</f>
        <v>LIMPEZA DE SUPERFÍCIE COM JATO DE ALTA PRESSÃO. AF_04/2019</v>
      </c>
      <c r="C285" s="211">
        <f>ROUND(C286/$F$540,4)</f>
        <v>0.0011</v>
      </c>
      <c r="D285" s="212">
        <v>1</v>
      </c>
      <c r="E285" s="211"/>
      <c r="F285" s="211"/>
      <c r="G285" s="209"/>
    </row>
    <row r="286" spans="1:7" ht="11.25">
      <c r="A286" s="262"/>
      <c r="B286" s="262"/>
      <c r="C286" s="213">
        <f>VLOOKUP($A285,'Orçamento Sintético'!$A:$H,8,0)</f>
        <v>432.96</v>
      </c>
      <c r="D286" s="214">
        <f>ROUND($C286*D285,2)</f>
        <v>432.96</v>
      </c>
      <c r="E286" s="213">
        <f>ROUND($C286*E285,2)</f>
        <v>0</v>
      </c>
      <c r="F286" s="213">
        <f>ROUND($C286*F285,2)</f>
        <v>0</v>
      </c>
      <c r="G286" s="209"/>
    </row>
    <row r="287" spans="1:7" ht="12.75" customHeight="1">
      <c r="A287" s="266" t="s">
        <v>282</v>
      </c>
      <c r="B287" s="266" t="str">
        <f>VLOOKUP($A287,'Orçamento Sintético'!$A:$H,4,0)</f>
        <v>Proteção mecânica</v>
      </c>
      <c r="C287" s="215">
        <f>ROUND(C288/$F$540,4)</f>
        <v>0.097</v>
      </c>
      <c r="D287" s="215">
        <f>ROUND(D288/$C288,4)</f>
        <v>0.4588</v>
      </c>
      <c r="E287" s="215">
        <f>ROUND(E288/$C288,4)</f>
        <v>0.5412</v>
      </c>
      <c r="F287" s="215">
        <f>ROUND(F288/$C288,4)</f>
        <v>0</v>
      </c>
      <c r="G287" s="209"/>
    </row>
    <row r="288" spans="1:7" ht="11.25">
      <c r="A288" s="266"/>
      <c r="B288" s="266"/>
      <c r="C288" s="216">
        <f>VLOOKUP($A287,'Orçamento Sintético'!$A:$H,8,0)</f>
        <v>38129.05</v>
      </c>
      <c r="D288" s="216">
        <f>D290+D292+D294+D296+D298</f>
        <v>17492.82</v>
      </c>
      <c r="E288" s="216">
        <f>E290+E292+E294+E296+E298</f>
        <v>20636.23</v>
      </c>
      <c r="F288" s="216">
        <f>F290+F292+F294+F296+F298</f>
        <v>0</v>
      </c>
      <c r="G288" s="209"/>
    </row>
    <row r="289" spans="1:7" ht="17.25" customHeight="1">
      <c r="A289" s="262" t="s">
        <v>284</v>
      </c>
      <c r="B289" s="262" t="str">
        <f>VLOOKUP($A289,'Orçamento Sintético'!$A:$H,4,0)</f>
        <v>Copia da SINAPI (98565) - Proteção mecânica horizontal com argamassa traço 1:4 (cimento e areia), preparo mecânico, espessura 3cm, incluso camada separadora geotextil e junta de dilatação com asfalto modificado</v>
      </c>
      <c r="C289" s="211">
        <f>ROUND(C290/$F$540,4)</f>
        <v>0.0273</v>
      </c>
      <c r="D289" s="212"/>
      <c r="E289" s="211">
        <v>1</v>
      </c>
      <c r="F289" s="211"/>
      <c r="G289" s="209"/>
    </row>
    <row r="290" spans="1:7" ht="18" customHeight="1">
      <c r="A290" s="262"/>
      <c r="B290" s="262"/>
      <c r="C290" s="213">
        <f>VLOOKUP($A289,'Orçamento Sintético'!$A:$H,8,0)</f>
        <v>10731.51</v>
      </c>
      <c r="D290" s="214">
        <f>ROUND($C290*D289,2)</f>
        <v>0</v>
      </c>
      <c r="E290" s="213">
        <f>ROUND($C290*E289,2)</f>
        <v>10731.51</v>
      </c>
      <c r="F290" s="213">
        <f>ROUND($C290*F289,2)</f>
        <v>0</v>
      </c>
      <c r="G290" s="209"/>
    </row>
    <row r="291" spans="1:7" ht="18" customHeight="1">
      <c r="A291" s="262" t="s">
        <v>287</v>
      </c>
      <c r="B291" s="262" t="str">
        <f>VLOOKUP($A291,'Orçamento Sintético'!$A:$H,4,0)</f>
        <v>Copia da SINAPI (98565) - Proteção mecânica vertical , preparo mecânico, espessura 3cm, incluso camada separadora geotextil e junta de dilatação com asfalto modificado - MPDFT0029</v>
      </c>
      <c r="C291" s="211">
        <f>ROUND(C292/$F$540,4)</f>
        <v>0.0252</v>
      </c>
      <c r="D291" s="212"/>
      <c r="E291" s="211">
        <v>1</v>
      </c>
      <c r="F291" s="211"/>
      <c r="G291" s="209"/>
    </row>
    <row r="292" spans="1:7" ht="16.5" customHeight="1">
      <c r="A292" s="262"/>
      <c r="B292" s="262"/>
      <c r="C292" s="213">
        <f>VLOOKUP($A291,'Orçamento Sintético'!$A:$H,8,0)</f>
        <v>9904.72</v>
      </c>
      <c r="D292" s="214">
        <f>ROUND($C292*D291,2)</f>
        <v>0</v>
      </c>
      <c r="E292" s="213">
        <f>ROUND($C292*E291,2)</f>
        <v>9904.72</v>
      </c>
      <c r="F292" s="213">
        <f>ROUND($C292*F291,2)</f>
        <v>0</v>
      </c>
      <c r="G292" s="209"/>
    </row>
    <row r="293" spans="1:7" ht="21.75" customHeight="1">
      <c r="A293" s="262" t="s">
        <v>290</v>
      </c>
      <c r="B293" s="262" t="str">
        <f>VLOOKUP($A293,'Orçamento Sintético'!$A:$H,4,0)</f>
        <v>Cópia da Sinapi (87747) - Regularização / preparação de superfície com argamassa, e = 3cm, traço 1:3 (cimento e areia), com adição de de emulsão adesiva a base de resinas especiais de alto desempenho</v>
      </c>
      <c r="C293" s="211">
        <f>ROUND(C294/$F$540,4)</f>
        <v>0.0281</v>
      </c>
      <c r="D293" s="212">
        <v>1</v>
      </c>
      <c r="E293" s="211"/>
      <c r="F293" s="211"/>
      <c r="G293" s="209"/>
    </row>
    <row r="294" spans="1:7" ht="11.25">
      <c r="A294" s="262"/>
      <c r="B294" s="262"/>
      <c r="C294" s="213">
        <f>VLOOKUP($A293,'Orçamento Sintético'!$A:$H,8,0)</f>
        <v>11037.6</v>
      </c>
      <c r="D294" s="214">
        <f>ROUND($C294*D293,2)</f>
        <v>11037.6</v>
      </c>
      <c r="E294" s="213">
        <f>ROUND($C294*E293,2)</f>
        <v>0</v>
      </c>
      <c r="F294" s="213">
        <f>ROUND($C294*F293,2)</f>
        <v>0</v>
      </c>
      <c r="G294" s="209"/>
    </row>
    <row r="295" spans="1:7" ht="20.25" customHeight="1">
      <c r="A295" s="262" t="s">
        <v>293</v>
      </c>
      <c r="B295" s="262" t="str">
        <f>VLOOKUP($A295,'Orçamento Sintético'!$A:$H,4,0)</f>
        <v>Cópia da Sinapi (87747+87779) - Regularização / preparação de superfície vertical com argamassa, e = 3cm, traço 1:4 (cimento e areia), com adição de de emulsão adesiva a base de resinas especiais de alto desempenho</v>
      </c>
      <c r="C295" s="211">
        <f>ROUND(C296/$F$540,4)</f>
        <v>0.0163</v>
      </c>
      <c r="D295" s="212">
        <v>1</v>
      </c>
      <c r="E295" s="211"/>
      <c r="F295" s="211"/>
      <c r="G295" s="209"/>
    </row>
    <row r="296" spans="1:7" ht="21.75" customHeight="1">
      <c r="A296" s="262"/>
      <c r="B296" s="262"/>
      <c r="C296" s="213">
        <f>VLOOKUP($A295,'Orçamento Sintético'!$A:$H,8,0)</f>
        <v>6413.32</v>
      </c>
      <c r="D296" s="214">
        <f>ROUND($C296*D295,2)</f>
        <v>6413.32</v>
      </c>
      <c r="E296" s="213">
        <f>ROUND($C296*E295,2)</f>
        <v>0</v>
      </c>
      <c r="F296" s="213">
        <f>ROUND($C296*F295,2)</f>
        <v>0</v>
      </c>
      <c r="G296" s="209"/>
    </row>
    <row r="297" spans="1:7" ht="15.75" customHeight="1">
      <c r="A297" s="262" t="s">
        <v>296</v>
      </c>
      <c r="B297" s="262" t="str">
        <f>VLOOKUP($A297,'Orçamento Sintético'!$A:$H,4,0)</f>
        <v>Copia da SINAPI (98546) - Impermeabilização de ralos ou ponto emergente com manta asfáltica (com polímeros elastoméricos), e=4mm, ref. Torodin Extra, colada com asfalto derretido</v>
      </c>
      <c r="C297" s="211">
        <f>ROUND(C298/$F$540,4)</f>
        <v>0.0001</v>
      </c>
      <c r="D297" s="212">
        <v>1</v>
      </c>
      <c r="E297" s="211"/>
      <c r="F297" s="211"/>
      <c r="G297" s="209"/>
    </row>
    <row r="298" spans="1:7" ht="18" customHeight="1">
      <c r="A298" s="262"/>
      <c r="B298" s="262"/>
      <c r="C298" s="213">
        <f>VLOOKUP($A297,'Orçamento Sintético'!$A:$H,8,0)</f>
        <v>41.9</v>
      </c>
      <c r="D298" s="214">
        <f>ROUND($C298*D297,2)</f>
        <v>41.9</v>
      </c>
      <c r="E298" s="213">
        <f>ROUND($C298*E297,2)</f>
        <v>0</v>
      </c>
      <c r="F298" s="213">
        <f>ROUND($C298*F297,2)</f>
        <v>0</v>
      </c>
      <c r="G298" s="209"/>
    </row>
    <row r="299" spans="1:7" ht="12.75" customHeight="1">
      <c r="A299" s="266" t="s">
        <v>299</v>
      </c>
      <c r="B299" s="266" t="str">
        <f>VLOOKUP($A299,'Orçamento Sintético'!$A:$H,4,0)</f>
        <v>Impermeabilização semiflexível e flexível</v>
      </c>
      <c r="C299" s="215">
        <f>ROUND(C300/$F$540,4)</f>
        <v>0.0545</v>
      </c>
      <c r="D299" s="215">
        <f>ROUND(D300/$C300,4)</f>
        <v>0.4801</v>
      </c>
      <c r="E299" s="215">
        <f>ROUND(E300/$C300,4)</f>
        <v>0.4743</v>
      </c>
      <c r="F299" s="215">
        <f>ROUND(F300/$C300,4)</f>
        <v>0.0456</v>
      </c>
      <c r="G299" s="209"/>
    </row>
    <row r="300" spans="1:7" ht="11.25">
      <c r="A300" s="266"/>
      <c r="B300" s="266"/>
      <c r="C300" s="216">
        <f>VLOOKUP($A299,'Orçamento Sintético'!$A:$H,8,0)</f>
        <v>21443.969999999998</v>
      </c>
      <c r="D300" s="216">
        <f>D302+D304+D306+D308+D310</f>
        <v>10295.97</v>
      </c>
      <c r="E300" s="216">
        <f>E302+E304+E306+E308+E310</f>
        <v>10171.15</v>
      </c>
      <c r="F300" s="216">
        <f>F302+F304+F306+F308+F310</f>
        <v>976.8600000000001</v>
      </c>
      <c r="G300" s="209"/>
    </row>
    <row r="301" spans="1:7" ht="18.75" customHeight="1">
      <c r="A301" s="262" t="s">
        <v>301</v>
      </c>
      <c r="B301" s="262" t="str">
        <f>VLOOKUP($A301,'Orçamento Sintético'!$A:$H,4,0)</f>
        <v>Copia da SINAPI (98556) - Impermeabilização de superfície com argamassa polimérica bicomponete, composta por 2 demaõs semi-flexível e 4 demãos flexivel, reforçado com véu de poliéster</v>
      </c>
      <c r="C301" s="211">
        <f>ROUND(C302/$F$540,4)</f>
        <v>0.0494</v>
      </c>
      <c r="D301" s="212">
        <v>0.5</v>
      </c>
      <c r="E301" s="211">
        <v>0.5</v>
      </c>
      <c r="F301" s="211"/>
      <c r="G301" s="209"/>
    </row>
    <row r="302" spans="1:7" ht="19.5" customHeight="1">
      <c r="A302" s="262"/>
      <c r="B302" s="262"/>
      <c r="C302" s="213">
        <f>VLOOKUP($A301,'Orçamento Sintético'!$A:$H,8,0)</f>
        <v>19415.55</v>
      </c>
      <c r="D302" s="214">
        <f>ROUND($C302*D301,2)</f>
        <v>9707.78</v>
      </c>
      <c r="E302" s="213">
        <f>ROUND($C302*E301,2)</f>
        <v>9707.78</v>
      </c>
      <c r="F302" s="213">
        <f>ROUND($C302*F301,2)</f>
        <v>0</v>
      </c>
      <c r="G302" s="209"/>
    </row>
    <row r="303" spans="1:7" ht="12.75" customHeight="1">
      <c r="A303" s="262" t="s">
        <v>304</v>
      </c>
      <c r="B303" s="262" t="str">
        <f>VLOOKUP($A303,'Orçamento Sintético'!$A:$H,4,0)</f>
        <v>Baseado na Sinapi (98556) - Impermeabilização de superfície com impermeabilizante semi-flexível, 1 demão</v>
      </c>
      <c r="C303" s="211">
        <f>ROUND(C304/$F$540,4)</f>
        <v>0.0011</v>
      </c>
      <c r="D303" s="212">
        <v>0.5</v>
      </c>
      <c r="E303" s="211">
        <v>0.5</v>
      </c>
      <c r="F303" s="211"/>
      <c r="G303" s="209"/>
    </row>
    <row r="304" spans="1:7" ht="11.25">
      <c r="A304" s="262"/>
      <c r="B304" s="262"/>
      <c r="C304" s="213">
        <f>VLOOKUP($A303,'Orçamento Sintético'!$A:$H,8,0)</f>
        <v>427.44</v>
      </c>
      <c r="D304" s="214">
        <f>ROUND($C304*D303,2)</f>
        <v>213.72</v>
      </c>
      <c r="E304" s="213">
        <f>ROUND($C304*E303,2)</f>
        <v>213.72</v>
      </c>
      <c r="F304" s="213">
        <f>ROUND($C304*F303,2)</f>
        <v>0</v>
      </c>
      <c r="G304" s="209"/>
    </row>
    <row r="305" spans="1:7" ht="12.75" customHeight="1">
      <c r="A305" s="262" t="s">
        <v>307</v>
      </c>
      <c r="B305" s="262" t="str">
        <f>VLOOKUP($A305,'Orçamento Sintético'!$A:$H,4,0)</f>
        <v>Cópia SINAPI (98556) - Impermeabilização com revestimento impermeabilizante semi-flexível e tela de poliéster com malha 2x2mm, ref. Viaplus 1000 (2 demãos)</v>
      </c>
      <c r="C305" s="211">
        <f>ROUND(C306/$F$540,4)</f>
        <v>0.0016</v>
      </c>
      <c r="D305" s="212">
        <v>0.6</v>
      </c>
      <c r="E305" s="211">
        <v>0.4</v>
      </c>
      <c r="F305" s="211"/>
      <c r="G305" s="209"/>
    </row>
    <row r="306" spans="1:7" ht="11.25">
      <c r="A306" s="262"/>
      <c r="B306" s="262"/>
      <c r="C306" s="213">
        <f>VLOOKUP($A305,'Orçamento Sintético'!$A:$H,8,0)</f>
        <v>624.12</v>
      </c>
      <c r="D306" s="214">
        <f>ROUND($C306*D305,2)</f>
        <v>374.47</v>
      </c>
      <c r="E306" s="213">
        <f>ROUND($C306*E305,2)</f>
        <v>249.65</v>
      </c>
      <c r="F306" s="213">
        <f>ROUND($C306*F305,2)</f>
        <v>0</v>
      </c>
      <c r="G306" s="209"/>
    </row>
    <row r="307" spans="1:7" ht="12.75" customHeight="1">
      <c r="A307" s="262" t="s">
        <v>310</v>
      </c>
      <c r="B307" s="262" t="str">
        <f>VLOOKUP($A307,'Orçamento Sintético'!$A:$H,4,0)</f>
        <v>Copia da ORSE (10027) - Impermeabilização com solução elastomérica e tela de poliéster com malha 2x2mm, ref. Vitlastic 50/70</v>
      </c>
      <c r="C307" s="211">
        <f>ROUND(C308/$F$540,4)</f>
        <v>0.0018</v>
      </c>
      <c r="D307" s="212"/>
      <c r="E307" s="211"/>
      <c r="F307" s="211">
        <v>1</v>
      </c>
      <c r="G307" s="209"/>
    </row>
    <row r="308" spans="1:7" ht="11.25">
      <c r="A308" s="262"/>
      <c r="B308" s="262"/>
      <c r="C308" s="213">
        <f>VLOOKUP($A307,'Orçamento Sintético'!$A:$H,8,0)</f>
        <v>712.2</v>
      </c>
      <c r="D308" s="214">
        <f>ROUND($C308*D307,2)</f>
        <v>0</v>
      </c>
      <c r="E308" s="213">
        <f>ROUND($C308*E307,2)</f>
        <v>0</v>
      </c>
      <c r="F308" s="213">
        <f>ROUND($C308*F307,2)</f>
        <v>712.2</v>
      </c>
      <c r="G308" s="209"/>
    </row>
    <row r="309" spans="1:7" ht="12.75" customHeight="1">
      <c r="A309" s="262" t="s">
        <v>313</v>
      </c>
      <c r="B309" s="262" t="str">
        <f>VLOOKUP($A309,'Orçamento Sintético'!$A:$H,4,0)</f>
        <v>IMPERMEABILIZAÇÃO DE SUPERFÍCIE COM EMULSÃO ASFÁLTICA, 2 DEMÃOS AF_06/2018</v>
      </c>
      <c r="C309" s="211">
        <f>ROUND(C310/$F$540,4)</f>
        <v>0.0007</v>
      </c>
      <c r="D309" s="212"/>
      <c r="E309" s="211"/>
      <c r="F309" s="211">
        <v>1</v>
      </c>
      <c r="G309" s="209"/>
    </row>
    <row r="310" spans="1:7" ht="11.25">
      <c r="A310" s="262"/>
      <c r="B310" s="262"/>
      <c r="C310" s="213">
        <f>VLOOKUP($A309,'Orçamento Sintético'!$A:$H,8,0)</f>
        <v>264.66</v>
      </c>
      <c r="D310" s="214">
        <f>ROUND($C310*D309,2)</f>
        <v>0</v>
      </c>
      <c r="E310" s="213">
        <f>ROUND($C310*E309,2)</f>
        <v>0</v>
      </c>
      <c r="F310" s="213">
        <f>ROUND($C310*F309,2)</f>
        <v>264.66</v>
      </c>
      <c r="G310" s="209"/>
    </row>
    <row r="311" spans="1:7" ht="12.75" customHeight="1">
      <c r="A311" s="266" t="s">
        <v>315</v>
      </c>
      <c r="B311" s="266" t="str">
        <f>VLOOKUP($A311,'Orçamento Sintético'!$A:$H,4,0)</f>
        <v>Selante elástico à base de poliuretano</v>
      </c>
      <c r="C311" s="215">
        <f>ROUND(C312/$F$540,4)</f>
        <v>0.0037</v>
      </c>
      <c r="D311" s="215">
        <f>ROUND(D312/$C312,4)</f>
        <v>1</v>
      </c>
      <c r="E311" s="215">
        <f>ROUND(E312/$C312,4)</f>
        <v>0</v>
      </c>
      <c r="F311" s="215">
        <f>ROUND(F312/$C312,4)</f>
        <v>0</v>
      </c>
      <c r="G311" s="209"/>
    </row>
    <row r="312" spans="1:7" ht="11.25">
      <c r="A312" s="266"/>
      <c r="B312" s="266"/>
      <c r="C312" s="216">
        <f>VLOOKUP($A311,'Orçamento Sintético'!$A:$H,8,0)</f>
        <v>1447.69</v>
      </c>
      <c r="D312" s="216">
        <f>D314+D316+D318</f>
        <v>1447.69</v>
      </c>
      <c r="E312" s="216">
        <f>E314+E316+E318</f>
        <v>0</v>
      </c>
      <c r="F312" s="216">
        <f>F314+F316+F318</f>
        <v>0</v>
      </c>
      <c r="G312" s="209"/>
    </row>
    <row r="313" spans="1:7" ht="12.75" customHeight="1">
      <c r="A313" s="262" t="s">
        <v>317</v>
      </c>
      <c r="B313" s="262" t="str">
        <f>VLOOKUP($A313,'Orçamento Sintético'!$A:$H,4,0)</f>
        <v>Cópia da Seinfra (C4571) - Preenchimento de junta de dilatação ou trica com resina de vedação temporária Sika Injection-150 VEDA</v>
      </c>
      <c r="C313" s="211">
        <f>ROUND(C314/$F$540,4)</f>
        <v>0.0008</v>
      </c>
      <c r="D313" s="212">
        <v>1</v>
      </c>
      <c r="E313" s="211"/>
      <c r="F313" s="211"/>
      <c r="G313" s="209"/>
    </row>
    <row r="314" spans="1:7" ht="11.25">
      <c r="A314" s="262"/>
      <c r="B314" s="262"/>
      <c r="C314" s="213">
        <f>VLOOKUP($A313,'Orçamento Sintético'!$A:$H,8,0)</f>
        <v>299.6</v>
      </c>
      <c r="D314" s="214">
        <f>ROUND($C314*D313,2)</f>
        <v>299.6</v>
      </c>
      <c r="E314" s="213">
        <f>ROUND($C314*E313,2)</f>
        <v>0</v>
      </c>
      <c r="F314" s="213">
        <f>ROUND($C314*F313,2)</f>
        <v>0</v>
      </c>
      <c r="G314" s="209"/>
    </row>
    <row r="315" spans="1:7" ht="12.75" customHeight="1">
      <c r="A315" s="262" t="s">
        <v>320</v>
      </c>
      <c r="B315" s="262" t="str">
        <f>VLOOKUP($A315,'Orçamento Sintético'!$A:$H,4,0)</f>
        <v>Cópia da Seinfra (C4571)  - Preenchimento de junta de dilatação ou trica com resina de vedação permanente Sika Injection-250 VEDA</v>
      </c>
      <c r="C315" s="211">
        <f>ROUND(C316/$F$540,4)</f>
        <v>0.0022</v>
      </c>
      <c r="D315" s="212">
        <v>1</v>
      </c>
      <c r="E315" s="211"/>
      <c r="F315" s="211"/>
      <c r="G315" s="209"/>
    </row>
    <row r="316" spans="1:7" ht="11.25">
      <c r="A316" s="262"/>
      <c r="B316" s="262"/>
      <c r="C316" s="213">
        <f>VLOOKUP($A315,'Orçamento Sintético'!$A:$H,8,0)</f>
        <v>878.64</v>
      </c>
      <c r="D316" s="214">
        <f>ROUND($C316*D315,2)</f>
        <v>878.64</v>
      </c>
      <c r="E316" s="213">
        <f>ROUND($C316*E315,2)</f>
        <v>0</v>
      </c>
      <c r="F316" s="213">
        <f>ROUND($C316*F315,2)</f>
        <v>0</v>
      </c>
      <c r="G316" s="209"/>
    </row>
    <row r="317" spans="1:7" ht="12.75" customHeight="1">
      <c r="A317" s="262" t="s">
        <v>323</v>
      </c>
      <c r="B317" s="262" t="str">
        <f>VLOOKUP($A317,'Orçamento Sintético'!$A:$H,4,0)</f>
        <v>Tratamento de junta com espuma de poliuretano expansiva</v>
      </c>
      <c r="C317" s="211">
        <f>ROUND(C318/$F$540,4)</f>
        <v>0.0007</v>
      </c>
      <c r="D317" s="212">
        <v>1</v>
      </c>
      <c r="E317" s="211"/>
      <c r="F317" s="211"/>
      <c r="G317" s="209"/>
    </row>
    <row r="318" spans="1:7" ht="11.25">
      <c r="A318" s="262"/>
      <c r="B318" s="262"/>
      <c r="C318" s="213">
        <f>VLOOKUP($A317,'Orçamento Sintético'!$A:$H,8,0)</f>
        <v>269.45</v>
      </c>
      <c r="D318" s="214">
        <f>ROUND($C318*D317,2)</f>
        <v>269.45</v>
      </c>
      <c r="E318" s="213">
        <f>ROUND($C318*E317,2)</f>
        <v>0</v>
      </c>
      <c r="F318" s="213">
        <f>ROUND($C318*F317,2)</f>
        <v>0</v>
      </c>
      <c r="G318" s="209"/>
    </row>
    <row r="319" spans="1:7" ht="12.75" customHeight="1">
      <c r="A319" s="265" t="s">
        <v>326</v>
      </c>
      <c r="B319" s="265" t="str">
        <f>VLOOKUP($A319,'Orçamento Sintético'!$A:$H,4,0)</f>
        <v>ACABAMENTOS E ARREMATES</v>
      </c>
      <c r="C319" s="207">
        <f>ROUND(C320/$F$540,4)</f>
        <v>0.0516</v>
      </c>
      <c r="D319" s="207">
        <f>ROUND(D320/$C320,4)</f>
        <v>0.7211</v>
      </c>
      <c r="E319" s="208">
        <f>ROUND(E320/$C320,4)</f>
        <v>0.1394</v>
      </c>
      <c r="F319" s="208">
        <f>ROUND(F320/$C320,4)</f>
        <v>0.1394</v>
      </c>
      <c r="G319" s="209"/>
    </row>
    <row r="320" spans="1:7" ht="11.25">
      <c r="A320" s="265"/>
      <c r="B320" s="265"/>
      <c r="C320" s="210">
        <f>VLOOKUP($A319,'Orçamento Sintético'!$A:$H,8,0)</f>
        <v>20294.870000000003</v>
      </c>
      <c r="D320" s="210">
        <f>D322+D326</f>
        <v>14635.19</v>
      </c>
      <c r="E320" s="210">
        <f>E322+E326</f>
        <v>2829.84</v>
      </c>
      <c r="F320" s="210">
        <f>F322+F326</f>
        <v>2829.84</v>
      </c>
      <c r="G320" s="209"/>
    </row>
    <row r="321" spans="1:7" ht="12.75" customHeight="1">
      <c r="A321" s="266" t="s">
        <v>328</v>
      </c>
      <c r="B321" s="266" t="str">
        <f>VLOOKUP($A321,'Orçamento Sintético'!$A:$H,4,0)</f>
        <v>Rufos</v>
      </c>
      <c r="C321" s="215">
        <f>ROUND(C322/$F$540,4)</f>
        <v>0.0144</v>
      </c>
      <c r="D321" s="215">
        <f>ROUND(D322/$C322,4)</f>
        <v>0</v>
      </c>
      <c r="E321" s="215">
        <f>ROUND(E322/$C322,4)</f>
        <v>0.5</v>
      </c>
      <c r="F321" s="215">
        <f>ROUND(F322/$C322,4)</f>
        <v>0.5</v>
      </c>
      <c r="G321" s="209"/>
    </row>
    <row r="322" spans="1:7" ht="11.25">
      <c r="A322" s="266"/>
      <c r="B322" s="266"/>
      <c r="C322" s="216">
        <f>VLOOKUP($A321,'Orçamento Sintético'!$A:$H,8,0)</f>
        <v>5659.68</v>
      </c>
      <c r="D322" s="216">
        <f>D324</f>
        <v>0</v>
      </c>
      <c r="E322" s="216">
        <f>E324</f>
        <v>2829.84</v>
      </c>
      <c r="F322" s="216">
        <f>F324</f>
        <v>2829.84</v>
      </c>
      <c r="G322" s="209"/>
    </row>
    <row r="323" spans="1:6" ht="12.75" customHeight="1">
      <c r="A323" s="262" t="s">
        <v>330</v>
      </c>
      <c r="B323" s="262" t="str">
        <f>VLOOKUP($A323,'Orçamento Sintético'!$A:$H,4,0)</f>
        <v>Cópia SINAPI (94231) - Rufo metálico em chapa de aço galvanizado # 24 desenvolvimento 50cm</v>
      </c>
      <c r="C323" s="211">
        <f>ROUND(C324/$F$540,4)</f>
        <v>0.0144</v>
      </c>
      <c r="D323" s="212"/>
      <c r="E323" s="211">
        <v>0.5</v>
      </c>
      <c r="F323" s="211">
        <v>0.5</v>
      </c>
    </row>
    <row r="324" spans="1:6" ht="11.25">
      <c r="A324" s="262"/>
      <c r="B324" s="262"/>
      <c r="C324" s="213">
        <f>VLOOKUP($A323,'Orçamento Sintético'!$A:$H,8,0)</f>
        <v>5659.68</v>
      </c>
      <c r="D324" s="214">
        <f>ROUND($C324*D323,2)</f>
        <v>0</v>
      </c>
      <c r="E324" s="213">
        <f>ROUND($C324*E323,2)</f>
        <v>2829.84</v>
      </c>
      <c r="F324" s="213">
        <f>ROUND($C324*F323,2)</f>
        <v>2829.84</v>
      </c>
    </row>
    <row r="325" spans="1:6" ht="12.75" customHeight="1">
      <c r="A325" s="266" t="s">
        <v>333</v>
      </c>
      <c r="B325" s="266" t="str">
        <f>VLOOKUP($A325,'Orçamento Sintético'!$A:$H,4,0)</f>
        <v>Calhas</v>
      </c>
      <c r="C325" s="215">
        <f>ROUND(C326/$F$540,4)</f>
        <v>0.0372</v>
      </c>
      <c r="D325" s="215">
        <f>ROUND(D326/$C326,4)</f>
        <v>1</v>
      </c>
      <c r="E325" s="215">
        <f>ROUND(E326/$C326,4)</f>
        <v>0</v>
      </c>
      <c r="F325" s="215">
        <f>ROUND(F326/$C326,4)</f>
        <v>0</v>
      </c>
    </row>
    <row r="326" spans="1:6" ht="11.25">
      <c r="A326" s="266"/>
      <c r="B326" s="266"/>
      <c r="C326" s="216">
        <f>VLOOKUP($A325,'Orçamento Sintético'!$A:$H,8,0)</f>
        <v>14635.19</v>
      </c>
      <c r="D326" s="216">
        <f>D328</f>
        <v>14635.19</v>
      </c>
      <c r="E326" s="216">
        <f>E328</f>
        <v>0</v>
      </c>
      <c r="F326" s="216">
        <f>F328</f>
        <v>0</v>
      </c>
    </row>
    <row r="327" spans="1:6" ht="12.75" customHeight="1">
      <c r="A327" s="262" t="s">
        <v>335</v>
      </c>
      <c r="B327" s="262" t="str">
        <f>VLOOKUP($A327,'Orçamento Sintético'!$A:$H,4,0)</f>
        <v>Calha formato em “U” de concreto armado, moldada in-loco</v>
      </c>
      <c r="C327" s="211">
        <f>ROUND(C328/$F$540,4)</f>
        <v>0.0372</v>
      </c>
      <c r="D327" s="212">
        <v>1</v>
      </c>
      <c r="E327" s="211"/>
      <c r="F327" s="211"/>
    </row>
    <row r="328" spans="1:6" ht="11.25">
      <c r="A328" s="262"/>
      <c r="B328" s="262"/>
      <c r="C328" s="213">
        <f>VLOOKUP($A327,'Orçamento Sintético'!$A:$H,8,0)</f>
        <v>14635.19</v>
      </c>
      <c r="D328" s="214">
        <f>ROUND($C328*D327,2)</f>
        <v>14635.19</v>
      </c>
      <c r="E328" s="213">
        <f>ROUND($C328*E327,2)</f>
        <v>0</v>
      </c>
      <c r="F328" s="213">
        <f>ROUND($C328*F327,2)</f>
        <v>0</v>
      </c>
    </row>
    <row r="329" spans="1:7" ht="12.75" customHeight="1">
      <c r="A329" s="265" t="s">
        <v>338</v>
      </c>
      <c r="B329" s="265" t="str">
        <f>VLOOKUP($A329,'Orçamento Sintético'!$A:$H,4,0)</f>
        <v>EQUIPAMENTOS E ACESSÓRIOS</v>
      </c>
      <c r="C329" s="207">
        <f>ROUND(C330/$F$540,4)</f>
        <v>0.0327</v>
      </c>
      <c r="D329" s="207">
        <f>ROUND(D330/$C330,4)</f>
        <v>0.3659</v>
      </c>
      <c r="E329" s="208">
        <f>ROUND(E330/$C330,4)</f>
        <v>0</v>
      </c>
      <c r="F329" s="208">
        <f>ROUND(F330/$C330,4)</f>
        <v>0.6341</v>
      </c>
      <c r="G329" s="204"/>
    </row>
    <row r="330" spans="1:7" ht="11.25">
      <c r="A330" s="265"/>
      <c r="B330" s="265"/>
      <c r="C330" s="210">
        <f>VLOOKUP($A329,'Orçamento Sintético'!$A:$H,8,0)</f>
        <v>12851.39</v>
      </c>
      <c r="D330" s="210">
        <f>D332+D342</f>
        <v>4702.88</v>
      </c>
      <c r="E330" s="210">
        <f>E332+E342</f>
        <v>0</v>
      </c>
      <c r="F330" s="210">
        <f>F332+F342</f>
        <v>8148.51</v>
      </c>
      <c r="G330" s="209"/>
    </row>
    <row r="331" spans="1:6" ht="12.75" customHeight="1">
      <c r="A331" s="266" t="s">
        <v>340</v>
      </c>
      <c r="B331" s="266" t="str">
        <f>VLOOKUP($A331,'Orçamento Sintético'!$A:$H,4,0)</f>
        <v>CANCELAS</v>
      </c>
      <c r="C331" s="215">
        <f>ROUND(C332/$F$540,4)</f>
        <v>0.0207</v>
      </c>
      <c r="D331" s="215">
        <f>ROUND(D332/$C332,4)</f>
        <v>0</v>
      </c>
      <c r="E331" s="215">
        <f>ROUND(E332/$C332,4)</f>
        <v>0</v>
      </c>
      <c r="F331" s="215">
        <f>ROUND(F332/$C332,4)</f>
        <v>1</v>
      </c>
    </row>
    <row r="332" spans="1:6" ht="11.25">
      <c r="A332" s="266"/>
      <c r="B332" s="266"/>
      <c r="C332" s="216">
        <f>VLOOKUP($A331,'Orçamento Sintético'!$A:$H,8,0)</f>
        <v>8148.51</v>
      </c>
      <c r="D332" s="216">
        <f>D334+D336+D338+D340</f>
        <v>0</v>
      </c>
      <c r="E332" s="216">
        <f>E334+E336+E338+E340</f>
        <v>0</v>
      </c>
      <c r="F332" s="216">
        <f>F334+F336+F338+F340</f>
        <v>8148.51</v>
      </c>
    </row>
    <row r="333" spans="1:6" ht="12.75" customHeight="1">
      <c r="A333" s="262" t="s">
        <v>342</v>
      </c>
      <c r="B333" s="262" t="str">
        <f>VLOOKUP($A333,'Orçamento Sintético'!$A:$H,4,0)</f>
        <v>Reinstalação de cancela automática e ponto eletrônico</v>
      </c>
      <c r="C333" s="211">
        <f>ROUND(C334/$F$540,4)</f>
        <v>0.0002</v>
      </c>
      <c r="D333" s="212"/>
      <c r="E333" s="211"/>
      <c r="F333" s="211">
        <v>1</v>
      </c>
    </row>
    <row r="334" spans="1:6" ht="11.25">
      <c r="A334" s="262"/>
      <c r="B334" s="262"/>
      <c r="C334" s="213">
        <f>VLOOKUP($A333,'Orçamento Sintético'!$A:$H,8,0)</f>
        <v>81.01</v>
      </c>
      <c r="D334" s="214">
        <f>ROUND($C334*D333,2)</f>
        <v>0</v>
      </c>
      <c r="E334" s="213">
        <f>ROUND($C334*E333,2)</f>
        <v>0</v>
      </c>
      <c r="F334" s="213">
        <f>ROUND($C334*F333,2)</f>
        <v>81.01</v>
      </c>
    </row>
    <row r="335" spans="1:6" ht="12.75" customHeight="1">
      <c r="A335" s="262" t="s">
        <v>345</v>
      </c>
      <c r="B335" s="262" t="str">
        <f>VLOOKUP($A335,'Orçamento Sintético'!$A:$H,4,0)</f>
        <v>Reparo em estrutura de metal (passarela, escada) inclusive lixamento, pintura e reforço</v>
      </c>
      <c r="C335" s="211">
        <f>ROUND(C336/$F$540,4)</f>
        <v>0.0059</v>
      </c>
      <c r="D335" s="212"/>
      <c r="E335" s="211"/>
      <c r="F335" s="211">
        <v>1</v>
      </c>
    </row>
    <row r="336" spans="1:6" ht="11.25">
      <c r="A336" s="262"/>
      <c r="B336" s="262"/>
      <c r="C336" s="213">
        <f>VLOOKUP($A335,'Orçamento Sintético'!$A:$H,8,0)</f>
        <v>2317.68</v>
      </c>
      <c r="D336" s="214">
        <f>ROUND($C336*D335,2)</f>
        <v>0</v>
      </c>
      <c r="E336" s="213">
        <f>ROUND($C336*E335,2)</f>
        <v>0</v>
      </c>
      <c r="F336" s="213">
        <f>ROUND($C336*F335,2)</f>
        <v>2317.68</v>
      </c>
    </row>
    <row r="337" spans="1:6" ht="12.75" customHeight="1">
      <c r="A337" s="262" t="s">
        <v>348</v>
      </c>
      <c r="B337" s="262" t="str">
        <f>VLOOKUP($A337,'Orçamento Sintético'!$A:$H,4,0)</f>
        <v>Reinstalação de escadas metálicas e antena</v>
      </c>
      <c r="C337" s="211">
        <f>ROUND(C338/$F$540,4)</f>
        <v>0.0016</v>
      </c>
      <c r="D337" s="212"/>
      <c r="E337" s="211"/>
      <c r="F337" s="211">
        <v>1</v>
      </c>
    </row>
    <row r="338" spans="1:6" ht="11.25">
      <c r="A338" s="262"/>
      <c r="B338" s="262"/>
      <c r="C338" s="213">
        <f>VLOOKUP($A337,'Orçamento Sintético'!$A:$H,8,0)</f>
        <v>623.16</v>
      </c>
      <c r="D338" s="214">
        <f>ROUND($C338*D337,2)</f>
        <v>0</v>
      </c>
      <c r="E338" s="213">
        <f>ROUND($C338*E337,2)</f>
        <v>0</v>
      </c>
      <c r="F338" s="213">
        <f>ROUND($C338*F337,2)</f>
        <v>623.16</v>
      </c>
    </row>
    <row r="339" spans="1:6" ht="12.75" customHeight="1">
      <c r="A339" s="262" t="s">
        <v>351</v>
      </c>
      <c r="B339" s="262" t="str">
        <f>VLOOKUP($A339,'Orçamento Sintético'!$A:$H,4,0)</f>
        <v>Copia da SETOP (SPDA-CAB-025) - Reinstalação de cordoalha do SPDA, utilizando as mesmas fixações e isoladores</v>
      </c>
      <c r="C339" s="211">
        <f>ROUND(C340/$F$540,4)</f>
        <v>0.013</v>
      </c>
      <c r="D339" s="212"/>
      <c r="E339" s="211"/>
      <c r="F339" s="211">
        <v>1</v>
      </c>
    </row>
    <row r="340" spans="1:6" ht="11.25">
      <c r="A340" s="262"/>
      <c r="B340" s="262"/>
      <c r="C340" s="213">
        <f>VLOOKUP($A339,'Orçamento Sintético'!$A:$H,8,0)</f>
        <v>5126.66</v>
      </c>
      <c r="D340" s="214">
        <f>ROUND($C340*D339,2)</f>
        <v>0</v>
      </c>
      <c r="E340" s="213">
        <f>ROUND($C340*E339,2)</f>
        <v>0</v>
      </c>
      <c r="F340" s="213">
        <f>ROUND($C340*F339,2)</f>
        <v>5126.66</v>
      </c>
    </row>
    <row r="341" spans="1:6" ht="12.75" customHeight="1">
      <c r="A341" s="266" t="s">
        <v>354</v>
      </c>
      <c r="B341" s="266" t="str">
        <f>VLOOKUP($A341,'Orçamento Sintético'!$A:$H,4,0)</f>
        <v>Grelhas de piso</v>
      </c>
      <c r="C341" s="215">
        <f>ROUND(C342/$F$540,4)</f>
        <v>0.012</v>
      </c>
      <c r="D341" s="215">
        <f>ROUND(D342/$C342,4)</f>
        <v>1</v>
      </c>
      <c r="E341" s="215">
        <f>ROUND(E342/$C342,4)</f>
        <v>0</v>
      </c>
      <c r="F341" s="215">
        <f>ROUND(F342/$C342,4)</f>
        <v>0</v>
      </c>
    </row>
    <row r="342" spans="1:6" ht="11.25">
      <c r="A342" s="266"/>
      <c r="B342" s="266"/>
      <c r="C342" s="216">
        <f>VLOOKUP($A341,'Orçamento Sintético'!$A:$H,8,0)</f>
        <v>4702.88</v>
      </c>
      <c r="D342" s="216">
        <f>D344</f>
        <v>4702.88</v>
      </c>
      <c r="E342" s="216">
        <f>E344</f>
        <v>0</v>
      </c>
      <c r="F342" s="216">
        <f>F344</f>
        <v>0</v>
      </c>
    </row>
    <row r="343" spans="1:6" ht="12.75" customHeight="1">
      <c r="A343" s="262" t="s">
        <v>356</v>
      </c>
      <c r="B343" s="262" t="str">
        <f>VLOOKUP($A343,'Orçamento Sintético'!$A:$H,4,0)</f>
        <v>Copia da ORSE (3199) - Grelha metálica em ferro fundido</v>
      </c>
      <c r="C343" s="211">
        <f>ROUND(C344/$F$540,4)</f>
        <v>0.012</v>
      </c>
      <c r="D343" s="212">
        <v>1</v>
      </c>
      <c r="E343" s="211"/>
      <c r="F343" s="211"/>
    </row>
    <row r="344" spans="1:6" ht="11.25">
      <c r="A344" s="262"/>
      <c r="B344" s="262"/>
      <c r="C344" s="213">
        <f>VLOOKUP($A343,'Orçamento Sintético'!$A:$H,8,0)</f>
        <v>4702.88</v>
      </c>
      <c r="D344" s="214">
        <f>ROUND($C344*D343,2)</f>
        <v>4702.88</v>
      </c>
      <c r="E344" s="213">
        <f>ROUND($C344*E343,2)</f>
        <v>0</v>
      </c>
      <c r="F344" s="213">
        <f>ROUND($C344*F343,2)</f>
        <v>0</v>
      </c>
    </row>
    <row r="345" spans="1:6" ht="12.75" customHeight="1">
      <c r="A345" s="267" t="s">
        <v>1273</v>
      </c>
      <c r="B345" s="268" t="str">
        <f>VLOOKUP($A345,'Orçamento Sintético'!$A:$H,4,0)</f>
        <v>SERVIÇOS COMPLEMENTARES</v>
      </c>
      <c r="C345" s="202">
        <f>ROUND(C346/$F$540,4)</f>
        <v>0.007</v>
      </c>
      <c r="D345" s="203">
        <f>ROUND(D346/$C346,4)</f>
        <v>0.2209</v>
      </c>
      <c r="E345" s="203">
        <f>ROUND(E346/$C346,4)</f>
        <v>0.0631</v>
      </c>
      <c r="F345" s="203">
        <f>ROUND(F346/$C346,4)</f>
        <v>0.7159</v>
      </c>
    </row>
    <row r="346" spans="1:6" ht="11.25">
      <c r="A346" s="267"/>
      <c r="B346" s="268"/>
      <c r="C346" s="205">
        <f>VLOOKUP($A345,'Orçamento Sintético'!$A:$H,8,0)</f>
        <v>2738.9700000000003</v>
      </c>
      <c r="D346" s="206">
        <f>D348</f>
        <v>605.14</v>
      </c>
      <c r="E346" s="206">
        <f>E348</f>
        <v>172.89</v>
      </c>
      <c r="F346" s="206">
        <f>F348</f>
        <v>1960.92</v>
      </c>
    </row>
    <row r="347" spans="1:7" ht="12.75" customHeight="1">
      <c r="A347" s="265" t="s">
        <v>360</v>
      </c>
      <c r="B347" s="265" t="str">
        <f>VLOOKUP($A347,'Orçamento Sintético'!$A:$H,4,0)</f>
        <v>LIMPEZA DA OBRA</v>
      </c>
      <c r="C347" s="207">
        <f>ROUND(C348/$F$540,4)</f>
        <v>0.007</v>
      </c>
      <c r="D347" s="207">
        <f>ROUND(D348/$C348,4)</f>
        <v>0.2209</v>
      </c>
      <c r="E347" s="208">
        <f>ROUND(E348/$C348,4)</f>
        <v>0.0631</v>
      </c>
      <c r="F347" s="208">
        <f>ROUND(F348/$C348,4)</f>
        <v>0.7159</v>
      </c>
      <c r="G347" s="204"/>
    </row>
    <row r="348" spans="1:7" ht="11.25">
      <c r="A348" s="265"/>
      <c r="B348" s="265"/>
      <c r="C348" s="210">
        <f>VLOOKUP($A347,'Orçamento Sintético'!$A:$H,8,0)</f>
        <v>2738.9700000000003</v>
      </c>
      <c r="D348" s="210">
        <f>D350+D352+D354+D356+D358</f>
        <v>605.14</v>
      </c>
      <c r="E348" s="210">
        <f>E350+E352+E354+E356+E358</f>
        <v>172.89</v>
      </c>
      <c r="F348" s="210">
        <f>F350+F352+F354+F356+F358</f>
        <v>1960.92</v>
      </c>
      <c r="G348" s="204"/>
    </row>
    <row r="349" spans="1:7" ht="12.75" customHeight="1">
      <c r="A349" s="262" t="s">
        <v>362</v>
      </c>
      <c r="B349" s="262" t="str">
        <f>VLOOKUP($A349,'Orçamento Sintético'!$A:$H,4,0)</f>
        <v>LIMPEZA DE CONTRAPISO COM VASSOURA A SECO. AF_04/2019</v>
      </c>
      <c r="C349" s="211">
        <f>ROUND(C350/$F$540,4)</f>
        <v>0.0022</v>
      </c>
      <c r="D349" s="212">
        <v>0.7</v>
      </c>
      <c r="E349" s="211">
        <v>0.2</v>
      </c>
      <c r="F349" s="211">
        <v>0.1</v>
      </c>
      <c r="G349" s="209"/>
    </row>
    <row r="350" spans="1:7" ht="11.25">
      <c r="A350" s="262"/>
      <c r="B350" s="262"/>
      <c r="C350" s="213">
        <f>VLOOKUP($A349,'Orçamento Sintético'!$A:$H,8,0)</f>
        <v>864.49</v>
      </c>
      <c r="D350" s="214">
        <f>TRUNC($C350*D349,2)</f>
        <v>605.14</v>
      </c>
      <c r="E350" s="213">
        <f>TRUNC($C350*E349,2)</f>
        <v>172.89</v>
      </c>
      <c r="F350" s="213">
        <f>TRUNC($C350*F349,2)</f>
        <v>86.44</v>
      </c>
      <c r="G350" s="209"/>
    </row>
    <row r="351" spans="1:7" ht="12.75" customHeight="1">
      <c r="A351" s="262" t="s">
        <v>364</v>
      </c>
      <c r="B351" s="262" t="str">
        <f>VLOOKUP($A351,'Orçamento Sintético'!$A:$H,4,0)</f>
        <v>LIMPEZA DE JANELA DE VIDRO COM CAIXILHO EM AÇO/ALUMÍNIO/PVC. AF_04/2019</v>
      </c>
      <c r="C351" s="211">
        <f>ROUND(C352/$F$540,4)</f>
        <v>0.0001</v>
      </c>
      <c r="D351" s="212"/>
      <c r="E351" s="211"/>
      <c r="F351" s="211">
        <v>1</v>
      </c>
      <c r="G351" s="209"/>
    </row>
    <row r="352" spans="1:7" ht="11.25">
      <c r="A352" s="262"/>
      <c r="B352" s="262"/>
      <c r="C352" s="213">
        <f>VLOOKUP($A351,'Orçamento Sintético'!$A:$H,8,0)</f>
        <v>21.84</v>
      </c>
      <c r="D352" s="214">
        <f>ROUND($C352*D351,2)</f>
        <v>0</v>
      </c>
      <c r="E352" s="213">
        <f>ROUND($C352*E351,2)</f>
        <v>0</v>
      </c>
      <c r="F352" s="213">
        <f>ROUND($C352*F351,2)</f>
        <v>21.84</v>
      </c>
      <c r="G352" s="209"/>
    </row>
    <row r="353" spans="1:7" ht="12.75" customHeight="1">
      <c r="A353" s="262" t="s">
        <v>366</v>
      </c>
      <c r="B353" s="262" t="str">
        <f>VLOOKUP($A353,'Orçamento Sintético'!$A:$H,4,0)</f>
        <v>LIMPEZA DE PORTA EM AÇO/ALUMÍNIO. AF_04/2019</v>
      </c>
      <c r="C353" s="211">
        <f>ROUND(C354/$F$540,4)</f>
        <v>0</v>
      </c>
      <c r="D353" s="212"/>
      <c r="E353" s="211"/>
      <c r="F353" s="211">
        <v>1</v>
      </c>
      <c r="G353" s="209"/>
    </row>
    <row r="354" spans="1:7" ht="11.25">
      <c r="A354" s="262"/>
      <c r="B354" s="262"/>
      <c r="C354" s="213">
        <f>VLOOKUP($A353,'Orçamento Sintético'!$A:$H,8,0)</f>
        <v>13.62</v>
      </c>
      <c r="D354" s="214">
        <f>ROUND($C354*D353,2)</f>
        <v>0</v>
      </c>
      <c r="E354" s="213">
        <f>ROUND($C354*E353,2)</f>
        <v>0</v>
      </c>
      <c r="F354" s="213">
        <f>ROUND($C354*F353,2)</f>
        <v>13.62</v>
      </c>
      <c r="G354" s="209"/>
    </row>
    <row r="355" spans="1:7" ht="12.75" customHeight="1">
      <c r="A355" s="262" t="s">
        <v>368</v>
      </c>
      <c r="B355" s="262" t="str">
        <f>VLOOKUP($A355,'Orçamento Sintético'!$A:$H,4,0)</f>
        <v>Copia da SINAPI (99803) - LIMPEZA DE PISO COM PANO ÚMIDO. AF_04/2019</v>
      </c>
      <c r="C355" s="211">
        <f>ROUND(C356/$F$540,4)</f>
        <v>0.0021</v>
      </c>
      <c r="D355" s="212"/>
      <c r="E355" s="211"/>
      <c r="F355" s="211">
        <v>1</v>
      </c>
      <c r="G355" s="204"/>
    </row>
    <row r="356" spans="1:7" ht="11.25">
      <c r="A356" s="262"/>
      <c r="B356" s="262"/>
      <c r="C356" s="213">
        <f>VLOOKUP($A355,'Orçamento Sintético'!$A:$H,8,0)</f>
        <v>806.52</v>
      </c>
      <c r="D356" s="214">
        <f>ROUND($C356*D355,2)</f>
        <v>0</v>
      </c>
      <c r="E356" s="213">
        <f>ROUND($C356*E355,2)</f>
        <v>0</v>
      </c>
      <c r="F356" s="213">
        <f>ROUND($C356*F355,2)</f>
        <v>806.52</v>
      </c>
      <c r="G356" s="204"/>
    </row>
    <row r="357" spans="1:7" ht="12.75" customHeight="1">
      <c r="A357" s="262" t="s">
        <v>371</v>
      </c>
      <c r="B357" s="262" t="str">
        <f>VLOOKUP($A357,'Orçamento Sintético'!$A:$H,4,0)</f>
        <v>Copia da SBC (210022) - LIMPEZA REVESTIMENTOS EM GERAL</v>
      </c>
      <c r="C357" s="211">
        <f>ROUND(C358/$F$540,4)</f>
        <v>0.0026</v>
      </c>
      <c r="D357" s="212"/>
      <c r="E357" s="211"/>
      <c r="F357" s="211">
        <v>1</v>
      </c>
      <c r="G357" s="204"/>
    </row>
    <row r="358" spans="1:7" ht="11.25">
      <c r="A358" s="262"/>
      <c r="B358" s="262"/>
      <c r="C358" s="213">
        <f>VLOOKUP($A357,'Orçamento Sintético'!$A:$H,8,0)</f>
        <v>1032.5</v>
      </c>
      <c r="D358" s="214">
        <f>ROUND($C358*D357,2)</f>
        <v>0</v>
      </c>
      <c r="E358" s="213">
        <f>ROUND($C358*E357,2)</f>
        <v>0</v>
      </c>
      <c r="F358" s="213">
        <f>ROUND($C358*F357,2)</f>
        <v>1032.5</v>
      </c>
      <c r="G358" s="204"/>
    </row>
    <row r="359" spans="1:7" ht="12.75" customHeight="1">
      <c r="A359" s="267" t="s">
        <v>1274</v>
      </c>
      <c r="B359" s="268" t="str">
        <f>VLOOKUP($A359,'Orçamento Sintético'!$A:$H,4,0)</f>
        <v>FUNDAÇÕES E ESTRUTURAS</v>
      </c>
      <c r="C359" s="202">
        <f>ROUND(C360/$F$540,4)</f>
        <v>0.0027</v>
      </c>
      <c r="D359" s="203">
        <f>ROUND(D360/$C360,4)</f>
        <v>1</v>
      </c>
      <c r="E359" s="203">
        <f>ROUND(E360/$C360,4)</f>
        <v>0</v>
      </c>
      <c r="F359" s="203">
        <f>ROUND(F360/$C360,4)</f>
        <v>0</v>
      </c>
      <c r="G359" s="204"/>
    </row>
    <row r="360" spans="1:7" ht="11.25">
      <c r="A360" s="267"/>
      <c r="B360" s="268"/>
      <c r="C360" s="205">
        <f>VLOOKUP($A359,'Orçamento Sintético'!$A:$H,8,0)</f>
        <v>1073.28</v>
      </c>
      <c r="D360" s="206">
        <f>D362</f>
        <v>1073.28</v>
      </c>
      <c r="E360" s="206">
        <f>E362</f>
        <v>0</v>
      </c>
      <c r="F360" s="206">
        <f>F362</f>
        <v>0</v>
      </c>
      <c r="G360" s="204"/>
    </row>
    <row r="361" spans="1:7" ht="12.75" customHeight="1">
      <c r="A361" s="265" t="s">
        <v>375</v>
      </c>
      <c r="B361" s="265" t="str">
        <f>VLOOKUP($A361,'Orçamento Sintético'!$A:$H,4,0)</f>
        <v>FUNDAÇÃO</v>
      </c>
      <c r="C361" s="207">
        <f>ROUND(C362/$F$540,4)</f>
        <v>0.0027</v>
      </c>
      <c r="D361" s="207">
        <f>ROUND(D362/$C362,4)</f>
        <v>1</v>
      </c>
      <c r="E361" s="208">
        <f>ROUND(E362/$C362,4)</f>
        <v>0</v>
      </c>
      <c r="F361" s="208">
        <f>ROUND(F362/$C362,4)</f>
        <v>0</v>
      </c>
      <c r="G361" s="204"/>
    </row>
    <row r="362" spans="1:7" ht="11.25">
      <c r="A362" s="265"/>
      <c r="B362" s="265"/>
      <c r="C362" s="210">
        <f>VLOOKUP($A361,'Orçamento Sintético'!$A:$H,8,0)</f>
        <v>1073.28</v>
      </c>
      <c r="D362" s="210">
        <f>D364</f>
        <v>1073.28</v>
      </c>
      <c r="E362" s="210">
        <f>E364</f>
        <v>0</v>
      </c>
      <c r="F362" s="210">
        <f>F364</f>
        <v>0</v>
      </c>
      <c r="G362" s="204"/>
    </row>
    <row r="363" spans="1:7" ht="12.75" customHeight="1">
      <c r="A363" s="262" t="s">
        <v>377</v>
      </c>
      <c r="B363" s="262" t="str">
        <f>VLOOKUP($A363,'Orçamento Sintético'!$A:$H,4,0)</f>
        <v>ESTACA BROCA DE CONCRETO, DIÂMETRO DE 25CM, ESCAVAÇÃO MANUAL COM TRADO CONCHA, COM ARMADURA DE ARRANQUE. AF_05/2020</v>
      </c>
      <c r="C363" s="211">
        <f>ROUND(C364/$F$540,4)</f>
        <v>0.0027</v>
      </c>
      <c r="D363" s="212">
        <v>1</v>
      </c>
      <c r="E363" s="211"/>
      <c r="F363" s="211"/>
      <c r="G363" s="204"/>
    </row>
    <row r="364" spans="1:7" ht="11.25">
      <c r="A364" s="262"/>
      <c r="B364" s="262"/>
      <c r="C364" s="213">
        <f>VLOOKUP($A363,'Orçamento Sintético'!$A:$H,8,0)</f>
        <v>1073.28</v>
      </c>
      <c r="D364" s="214">
        <f>ROUND($C364*D363,2)</f>
        <v>1073.28</v>
      </c>
      <c r="E364" s="213">
        <f>ROUND($C364*E363,2)</f>
        <v>0</v>
      </c>
      <c r="F364" s="213">
        <f>ROUND($C364*F363,2)</f>
        <v>0</v>
      </c>
      <c r="G364" s="204"/>
    </row>
    <row r="365" spans="1:7" ht="12.75" customHeight="1">
      <c r="A365" s="267" t="s">
        <v>1275</v>
      </c>
      <c r="B365" s="268" t="str">
        <f>VLOOKUP($A365,'Orçamento Sintético'!$A:$H,4,0)</f>
        <v>INSTALAÇÕES HIDRÁULICAS E SANITÁRIAS</v>
      </c>
      <c r="C365" s="202">
        <f>ROUND(C366/$F$540,4)</f>
        <v>0.0413</v>
      </c>
      <c r="D365" s="203">
        <f>ROUND(D366/$C366,4)</f>
        <v>0</v>
      </c>
      <c r="E365" s="203">
        <f>ROUND(E366/$C366,4)</f>
        <v>0.5953</v>
      </c>
      <c r="F365" s="203">
        <f>ROUND(F366/$C366,4)</f>
        <v>0.4047</v>
      </c>
      <c r="G365" s="209"/>
    </row>
    <row r="366" spans="1:7" ht="11.25">
      <c r="A366" s="267"/>
      <c r="B366" s="268"/>
      <c r="C366" s="205">
        <f>VLOOKUP($A365,'Orçamento Sintético'!$A:$H,8,0)</f>
        <v>16236.210000000001</v>
      </c>
      <c r="D366" s="206">
        <f>D368+D376+D428</f>
        <v>0</v>
      </c>
      <c r="E366" s="206">
        <f>E368+E376+E428</f>
        <v>9665.41</v>
      </c>
      <c r="F366" s="206">
        <f>F368+F376+F428</f>
        <v>6570.8</v>
      </c>
      <c r="G366" s="209"/>
    </row>
    <row r="367" spans="1:7" ht="12.75" customHeight="1">
      <c r="A367" s="265" t="s">
        <v>380</v>
      </c>
      <c r="B367" s="265" t="str">
        <f>VLOOKUP($A367,'Orçamento Sintético'!$A:$H,4,0)</f>
        <v>ÁGUA FRIA</v>
      </c>
      <c r="C367" s="207">
        <f>ROUND(C368/$F$540,4)</f>
        <v>0.0064</v>
      </c>
      <c r="D367" s="207">
        <f>ROUND(D368/$C368,4)</f>
        <v>0</v>
      </c>
      <c r="E367" s="208">
        <f>ROUND(E368/$C368,4)</f>
        <v>1</v>
      </c>
      <c r="F367" s="208">
        <f>ROUND(F368/$C368,4)</f>
        <v>0</v>
      </c>
      <c r="G367" s="209"/>
    </row>
    <row r="368" spans="1:7" ht="11.25">
      <c r="A368" s="265"/>
      <c r="B368" s="265"/>
      <c r="C368" s="210">
        <f>VLOOKUP($A367,'Orçamento Sintético'!$A:$H,8,0)</f>
        <v>2526.81</v>
      </c>
      <c r="D368" s="210">
        <f>D370+D372+D374</f>
        <v>0</v>
      </c>
      <c r="E368" s="210">
        <f>E370+E372+E374</f>
        <v>2526.81</v>
      </c>
      <c r="F368" s="210">
        <f>F370+F372+F374</f>
        <v>0</v>
      </c>
      <c r="G368" s="209"/>
    </row>
    <row r="369" spans="1:7" ht="12.75" customHeight="1">
      <c r="A369" s="262" t="s">
        <v>384</v>
      </c>
      <c r="B369" s="262" t="str">
        <f>VLOOKUP($A369,'Orçamento Sintético'!$A:$H,4,0)</f>
        <v>TUBO, PVC, SOLDÁVEL, DN 25MM, INSTALADO EM DRENO DE AR-CONDICIONADO - FORNECIMENTO E INSTALAÇÃO. AF_12/2014</v>
      </c>
      <c r="C369" s="211">
        <f>ROUND(C370/$F$540,4)</f>
        <v>0.0003</v>
      </c>
      <c r="D369" s="212"/>
      <c r="E369" s="211">
        <v>1</v>
      </c>
      <c r="F369" s="211"/>
      <c r="G369" s="209"/>
    </row>
    <row r="370" spans="1:7" ht="11.25">
      <c r="A370" s="262"/>
      <c r="B370" s="262"/>
      <c r="C370" s="213">
        <f>VLOOKUP($A369,'Orçamento Sintético'!$A:$H,8,0)</f>
        <v>124.02</v>
      </c>
      <c r="D370" s="214">
        <f>ROUND($C370*D369,2)</f>
        <v>0</v>
      </c>
      <c r="E370" s="213">
        <f>ROUND($C370*E369,2)</f>
        <v>124.02</v>
      </c>
      <c r="F370" s="213">
        <f>ROUND($C370*F369,2)</f>
        <v>0</v>
      </c>
      <c r="G370" s="209"/>
    </row>
    <row r="371" spans="1:7" ht="12.75" customHeight="1">
      <c r="A371" s="262" t="s">
        <v>386</v>
      </c>
      <c r="B371" s="262" t="str">
        <f>VLOOKUP($A371,'Orçamento Sintético'!$A:$H,4,0)</f>
        <v>JOELHO 45 GRAUS, PVC, SERIE R, ÁGUA PLUVIAL, DN 150 MM, JUNTA ELÁSTICA, FORNECIDO E INSTALADO EM CONDUTORES VERTICAIS DE ÁGUAS PLUVIAIS. AF_06/2022</v>
      </c>
      <c r="C371" s="211">
        <f>ROUND(C372/$F$540,4)</f>
        <v>0.0011</v>
      </c>
      <c r="D371" s="212"/>
      <c r="E371" s="211">
        <v>1</v>
      </c>
      <c r="F371" s="211"/>
      <c r="G371" s="209"/>
    </row>
    <row r="372" spans="1:7" ht="15.75" customHeight="1">
      <c r="A372" s="262"/>
      <c r="B372" s="262"/>
      <c r="C372" s="213">
        <f>VLOOKUP($A371,'Orçamento Sintético'!$A:$H,8,0)</f>
        <v>429.84</v>
      </c>
      <c r="D372" s="214">
        <f>ROUND($C372*D371,2)</f>
        <v>0</v>
      </c>
      <c r="E372" s="213">
        <f>ROUND($C372*E371,2)</f>
        <v>429.84</v>
      </c>
      <c r="F372" s="213">
        <f>ROUND($C372*F371,2)</f>
        <v>0</v>
      </c>
      <c r="G372" s="209"/>
    </row>
    <row r="373" spans="1:7" ht="12.75" customHeight="1">
      <c r="A373" s="262" t="s">
        <v>388</v>
      </c>
      <c r="B373" s="262" t="str">
        <f>VLOOKUP($A373,'Orçamento Sintético'!$A:$H,4,0)</f>
        <v>TUBO PVC, SÉRIE R, ÁGUA PLUVIAL, DN 150 MM, FORNECIDO E INSTALADO EM CONDUTORES VERTICAIS DE ÁGUAS PLUVIAIS. AF_06/2022</v>
      </c>
      <c r="C373" s="211">
        <f>ROUND(C374/$F$540,4)</f>
        <v>0.005</v>
      </c>
      <c r="D373" s="212"/>
      <c r="E373" s="211">
        <v>1</v>
      </c>
      <c r="F373" s="211"/>
      <c r="G373" s="209"/>
    </row>
    <row r="374" spans="1:7" ht="11.25">
      <c r="A374" s="262"/>
      <c r="B374" s="262"/>
      <c r="C374" s="213">
        <f>VLOOKUP($A373,'Orçamento Sintético'!$A:$H,8,0)</f>
        <v>1972.95</v>
      </c>
      <c r="D374" s="214">
        <f>ROUND($C374*D373,2)</f>
        <v>0</v>
      </c>
      <c r="E374" s="213">
        <f>ROUND($C374*E373,2)</f>
        <v>1972.95</v>
      </c>
      <c r="F374" s="213">
        <f>ROUND($C374*F373,2)</f>
        <v>0</v>
      </c>
      <c r="G374" s="209"/>
    </row>
    <row r="375" spans="1:7" ht="12.75" customHeight="1">
      <c r="A375" s="265" t="s">
        <v>390</v>
      </c>
      <c r="B375" s="265" t="str">
        <f>VLOOKUP($A375,'Orçamento Sintético'!$A:$H,4,0)</f>
        <v>ESGOTO SANITÁRIO</v>
      </c>
      <c r="C375" s="207">
        <f>ROUND(C376/$F$540,4)</f>
        <v>0.0336</v>
      </c>
      <c r="D375" s="207">
        <f>ROUND(D376/$C376,4)</f>
        <v>0</v>
      </c>
      <c r="E375" s="208">
        <f>ROUND(E376/$C376,4)</f>
        <v>0.5409</v>
      </c>
      <c r="F375" s="208">
        <f>ROUND(F376/$C376,4)</f>
        <v>0.4591</v>
      </c>
      <c r="G375" s="209"/>
    </row>
    <row r="376" spans="1:7" ht="11.25">
      <c r="A376" s="265"/>
      <c r="B376" s="265"/>
      <c r="C376" s="210">
        <f>VLOOKUP($A375,'Orçamento Sintético'!$A:$H,8,0)</f>
        <v>13198.640000000001</v>
      </c>
      <c r="D376" s="210">
        <f>D378+D412+D416</f>
        <v>0</v>
      </c>
      <c r="E376" s="210">
        <f>E378+E412+E416</f>
        <v>7138.6</v>
      </c>
      <c r="F376" s="210">
        <f>F378+F412+F416</f>
        <v>6060.04</v>
      </c>
      <c r="G376" s="209"/>
    </row>
    <row r="377" spans="1:7" ht="12.75" customHeight="1">
      <c r="A377" s="266" t="s">
        <v>392</v>
      </c>
      <c r="B377" s="266" t="str">
        <f>VLOOKUP($A377,'Orçamento Sintético'!$A:$H,4,0)</f>
        <v>TUBOS E CONEXÕES EM POLIPROPILENO PRETO DE ULTRA RESISTÊNCIA</v>
      </c>
      <c r="C377" s="215">
        <f>ROUND(C378/$F$540,4)</f>
        <v>0.0168</v>
      </c>
      <c r="D377" s="215">
        <f>ROUND(D378/$C378,4)</f>
        <v>0</v>
      </c>
      <c r="E377" s="215">
        <f>ROUND(E378/$C378,4)</f>
        <v>1</v>
      </c>
      <c r="F377" s="215">
        <f>ROUND(F378/$C378,4)</f>
        <v>0</v>
      </c>
      <c r="G377" s="209"/>
    </row>
    <row r="378" spans="1:7" ht="11.25">
      <c r="A378" s="266"/>
      <c r="B378" s="266"/>
      <c r="C378" s="216">
        <f>VLOOKUP($A377,'Orçamento Sintético'!$A:$H,8,0)</f>
        <v>6605.64</v>
      </c>
      <c r="D378" s="216">
        <f>D380+D390+D394+D400+D408</f>
        <v>0</v>
      </c>
      <c r="E378" s="216">
        <f>E380+E390+E394+E400+E408</f>
        <v>6605.64</v>
      </c>
      <c r="F378" s="216">
        <f>F380+F390+F394+F400+F408</f>
        <v>0</v>
      </c>
      <c r="G378" s="209"/>
    </row>
    <row r="379" spans="1:7" ht="12.75" customHeight="1">
      <c r="A379" s="269" t="s">
        <v>394</v>
      </c>
      <c r="B379" s="269" t="str">
        <f>VLOOKUP($A379,'Orçamento Sintético'!$A:$H,4,0)</f>
        <v>TUBO</v>
      </c>
      <c r="C379" s="217">
        <f>ROUND(C380/$F$540,4)</f>
        <v>0.0133</v>
      </c>
      <c r="D379" s="218">
        <f>ROUND(D380/$C380,4)</f>
        <v>0</v>
      </c>
      <c r="E379" s="218">
        <f>ROUND(E380/$C380,4)</f>
        <v>1</v>
      </c>
      <c r="F379" s="218">
        <f>ROUND(F380/$C380,4)</f>
        <v>0</v>
      </c>
      <c r="G379" s="209"/>
    </row>
    <row r="380" spans="1:7" ht="11.25">
      <c r="A380" s="269"/>
      <c r="B380" s="269"/>
      <c r="C380" s="219">
        <f>VLOOKUP($A379,'Orçamento Sintético'!$A:$H,8,0)</f>
        <v>5221.68</v>
      </c>
      <c r="D380" s="220">
        <f>D382+D384+D386+D388</f>
        <v>0</v>
      </c>
      <c r="E380" s="220">
        <f>E382+E384+E386+E388</f>
        <v>5221.68</v>
      </c>
      <c r="F380" s="220">
        <f>F382+F384+F386+F388</f>
        <v>0</v>
      </c>
      <c r="G380" s="209"/>
    </row>
    <row r="381" spans="1:7" ht="12.75" customHeight="1">
      <c r="A381" s="262" t="s">
        <v>396</v>
      </c>
      <c r="B381" s="262" t="str">
        <f>VLOOKUP($A381,'Orçamento Sintético'!$A:$H,4,0)</f>
        <v>Copia da CPOS (46.33.003) - Tubo de 58mm em polipropileno preto de ultra resistência, ref. Tecnofluidos, linha Duratop XR</v>
      </c>
      <c r="C381" s="211">
        <f>ROUND(C382/$F$540,4)</f>
        <v>0.0003</v>
      </c>
      <c r="D381" s="212"/>
      <c r="E381" s="211">
        <v>1</v>
      </c>
      <c r="F381" s="211"/>
      <c r="G381" s="209"/>
    </row>
    <row r="382" spans="1:7" ht="11.25">
      <c r="A382" s="262"/>
      <c r="B382" s="262"/>
      <c r="C382" s="213">
        <f>VLOOKUP($A381,'Orçamento Sintético'!$A:$H,8,0)</f>
        <v>128.58</v>
      </c>
      <c r="D382" s="214">
        <f>ROUND($C382*D381,2)</f>
        <v>0</v>
      </c>
      <c r="E382" s="213">
        <f>ROUND($C382*E381,2)</f>
        <v>128.58</v>
      </c>
      <c r="F382" s="213">
        <f>ROUND($C382*F381,2)</f>
        <v>0</v>
      </c>
      <c r="G382" s="209"/>
    </row>
    <row r="383" spans="1:7" ht="12.75" customHeight="1">
      <c r="A383" s="262" t="s">
        <v>399</v>
      </c>
      <c r="B383" s="262" t="str">
        <f>VLOOKUP($A383,'Orçamento Sintético'!$A:$H,4,0)</f>
        <v>Copia da CPOS (46.33.003) - Tubo de 63mm em polipropileno preto de ultra resistência, ref. Tecnofluidos, linha Duratop XR</v>
      </c>
      <c r="C383" s="211">
        <f>ROUND(C384/$F$540,4)</f>
        <v>0.0022</v>
      </c>
      <c r="D383" s="212"/>
      <c r="E383" s="211">
        <v>1</v>
      </c>
      <c r="F383" s="211"/>
      <c r="G383" s="209"/>
    </row>
    <row r="384" spans="1:7" ht="11.25">
      <c r="A384" s="262"/>
      <c r="B384" s="262"/>
      <c r="C384" s="213">
        <f>VLOOKUP($A383,'Orçamento Sintético'!$A:$H,8,0)</f>
        <v>851.76</v>
      </c>
      <c r="D384" s="214">
        <f>ROUND($C384*D383,2)</f>
        <v>0</v>
      </c>
      <c r="E384" s="213">
        <f>ROUND($C384*E383,2)</f>
        <v>851.76</v>
      </c>
      <c r="F384" s="213">
        <f>ROUND($C384*F383,2)</f>
        <v>0</v>
      </c>
      <c r="G384" s="209"/>
    </row>
    <row r="385" spans="1:7" ht="12.75" customHeight="1">
      <c r="A385" s="262" t="s">
        <v>402</v>
      </c>
      <c r="B385" s="262" t="str">
        <f>VLOOKUP($A385,'Orçamento Sintético'!$A:$H,4,0)</f>
        <v>Copia da CPOS (46.33.004) - Tubo de 78mm em polipropileno preto de ultra resistência, ref. Tecnofluidos, linha Duratop XR</v>
      </c>
      <c r="C385" s="211">
        <f>ROUND(C386/$F$540,4)</f>
        <v>0.0013</v>
      </c>
      <c r="D385" s="212"/>
      <c r="E385" s="211">
        <v>1</v>
      </c>
      <c r="F385" s="211"/>
      <c r="G385" s="209"/>
    </row>
    <row r="386" spans="1:7" ht="11.25">
      <c r="A386" s="262"/>
      <c r="B386" s="262"/>
      <c r="C386" s="213">
        <f>VLOOKUP($A385,'Orçamento Sintético'!$A:$H,8,0)</f>
        <v>529.74</v>
      </c>
      <c r="D386" s="214">
        <f>ROUND($C386*D385,2)</f>
        <v>0</v>
      </c>
      <c r="E386" s="213">
        <f>ROUND($C386*E385,2)</f>
        <v>529.74</v>
      </c>
      <c r="F386" s="213">
        <f>ROUND($C386*F385,2)</f>
        <v>0</v>
      </c>
      <c r="G386" s="209"/>
    </row>
    <row r="387" spans="1:7" ht="12.75" customHeight="1">
      <c r="A387" s="262" t="s">
        <v>405</v>
      </c>
      <c r="B387" s="262" t="str">
        <f>VLOOKUP($A387,'Orçamento Sintético'!$A:$H,4,0)</f>
        <v>Copia da CPOS (46.33.004) - Tubo de 110mm em polipropileno preto de ultra resistência, ref. Tecnofluidos, linha Duratop XR</v>
      </c>
      <c r="C387" s="211">
        <f>ROUND(C388/$F$540,4)</f>
        <v>0.0094</v>
      </c>
      <c r="D387" s="212"/>
      <c r="E387" s="211">
        <v>1</v>
      </c>
      <c r="F387" s="211"/>
      <c r="G387" s="209"/>
    </row>
    <row r="388" spans="1:7" ht="11.25">
      <c r="A388" s="262"/>
      <c r="B388" s="262"/>
      <c r="C388" s="213">
        <f>VLOOKUP($A387,'Orçamento Sintético'!$A:$H,8,0)</f>
        <v>3711.6</v>
      </c>
      <c r="D388" s="214">
        <f>ROUND($C388*D387,2)</f>
        <v>0</v>
      </c>
      <c r="E388" s="213">
        <f>ROUND($C388*E387,2)</f>
        <v>3711.6</v>
      </c>
      <c r="F388" s="213">
        <f>ROUND($C388*F387,2)</f>
        <v>0</v>
      </c>
      <c r="G388" s="209"/>
    </row>
    <row r="389" spans="1:7" ht="12.75" customHeight="1">
      <c r="A389" s="269" t="s">
        <v>408</v>
      </c>
      <c r="B389" s="269" t="str">
        <f>VLOOKUP($A389,'Orçamento Sintético'!$A:$H,4,0)</f>
        <v>CAP</v>
      </c>
      <c r="C389" s="217">
        <f>ROUND(C390/$F$540,4)</f>
        <v>0.0003</v>
      </c>
      <c r="D389" s="218">
        <f>ROUND(D390/$C390,4)</f>
        <v>0</v>
      </c>
      <c r="E389" s="218">
        <f>ROUND(E390/$C390,4)</f>
        <v>1</v>
      </c>
      <c r="F389" s="218">
        <f>ROUND(F390/$C390,4)</f>
        <v>0</v>
      </c>
      <c r="G389" s="209"/>
    </row>
    <row r="390" spans="1:7" ht="11.25">
      <c r="A390" s="269"/>
      <c r="B390" s="269"/>
      <c r="C390" s="219">
        <f>VLOOKUP($A389,'Orçamento Sintético'!$A:$H,8,0)</f>
        <v>132.75</v>
      </c>
      <c r="D390" s="220">
        <f>D392</f>
        <v>0</v>
      </c>
      <c r="E390" s="220">
        <f>E392</f>
        <v>132.75</v>
      </c>
      <c r="F390" s="220">
        <f>F392</f>
        <v>0</v>
      </c>
      <c r="G390" s="209"/>
    </row>
    <row r="391" spans="1:7" ht="12.75" customHeight="1">
      <c r="A391" s="262" t="s">
        <v>410</v>
      </c>
      <c r="B391" s="262" t="str">
        <f>VLOOKUP($A391,'Orçamento Sintético'!$A:$H,4,0)</f>
        <v>Copia da CPOS (46.33.207) - Tampão (Cap), DN 110mm, em polipropileno preto de ultra resistência, ref. Tecnofluidos, linha Duratop XR</v>
      </c>
      <c r="C391" s="211">
        <f>ROUND(C392/$F$540,4)</f>
        <v>0.0003</v>
      </c>
      <c r="D391" s="212"/>
      <c r="E391" s="211">
        <v>1</v>
      </c>
      <c r="F391" s="211"/>
      <c r="G391" s="209"/>
    </row>
    <row r="392" spans="1:7" ht="11.25">
      <c r="A392" s="262"/>
      <c r="B392" s="262"/>
      <c r="C392" s="213">
        <f>VLOOKUP($A391,'Orçamento Sintético'!$A:$H,8,0)</f>
        <v>132.75</v>
      </c>
      <c r="D392" s="214">
        <f>ROUND($C392*D391,2)</f>
        <v>0</v>
      </c>
      <c r="E392" s="213">
        <f>ROUND($C392*E391,2)</f>
        <v>132.75</v>
      </c>
      <c r="F392" s="213">
        <f>ROUND($C392*F391,2)</f>
        <v>0</v>
      </c>
      <c r="G392" s="209"/>
    </row>
    <row r="393" spans="1:7" ht="12.75" customHeight="1">
      <c r="A393" s="269" t="s">
        <v>413</v>
      </c>
      <c r="B393" s="269" t="str">
        <f>VLOOKUP($A393,'Orçamento Sintético'!$A:$H,4,0)</f>
        <v>JOELHO</v>
      </c>
      <c r="C393" s="217">
        <f>ROUND(C394/$F$540,4)</f>
        <v>0.0005</v>
      </c>
      <c r="D393" s="218">
        <f>ROUND(D394/$C394,4)</f>
        <v>0</v>
      </c>
      <c r="E393" s="218">
        <f>ROUND(E394/$C394,4)</f>
        <v>1</v>
      </c>
      <c r="F393" s="218">
        <f>ROUND(F394/$C394,4)</f>
        <v>0</v>
      </c>
      <c r="G393" s="209"/>
    </row>
    <row r="394" spans="1:7" ht="11.25">
      <c r="A394" s="269"/>
      <c r="B394" s="269"/>
      <c r="C394" s="219">
        <f>VLOOKUP($A393,'Orçamento Sintético'!$A:$H,8,0)</f>
        <v>188.32999999999998</v>
      </c>
      <c r="D394" s="220">
        <f>D396+D398</f>
        <v>0</v>
      </c>
      <c r="E394" s="220">
        <f>E396+E398</f>
        <v>188.32999999999998</v>
      </c>
      <c r="F394" s="220">
        <f>F396+F398</f>
        <v>0</v>
      </c>
      <c r="G394" s="209"/>
    </row>
    <row r="395" spans="1:7" ht="12.75" customHeight="1">
      <c r="A395" s="262" t="s">
        <v>415</v>
      </c>
      <c r="B395" s="262" t="str">
        <f>VLOOKUP($A395,'Orçamento Sintético'!$A:$H,4,0)</f>
        <v>Copia da CPOS (46.33.022) - Joelho 45º, DN 63mm, em polipropileno preto de ultra resistência, ref. Tecnofluidos, linha Duratop XR</v>
      </c>
      <c r="C395" s="211">
        <f>ROUND(C396/$F$540,4)</f>
        <v>0.0004</v>
      </c>
      <c r="D395" s="212"/>
      <c r="E395" s="211">
        <v>1</v>
      </c>
      <c r="F395" s="211"/>
      <c r="G395" s="209"/>
    </row>
    <row r="396" spans="1:7" ht="11.25">
      <c r="A396" s="262"/>
      <c r="B396" s="262"/>
      <c r="C396" s="213">
        <f>VLOOKUP($A395,'Orçamento Sintético'!$A:$H,8,0)</f>
        <v>149.04</v>
      </c>
      <c r="D396" s="214">
        <f>ROUND($C396*D395,2)</f>
        <v>0</v>
      </c>
      <c r="E396" s="213">
        <f>ROUND($C396*E395,2)</f>
        <v>149.04</v>
      </c>
      <c r="F396" s="213">
        <f>ROUND($C396*F395,2)</f>
        <v>0</v>
      </c>
      <c r="G396" s="209"/>
    </row>
    <row r="397" spans="1:7" ht="12.75" customHeight="1">
      <c r="A397" s="262" t="s">
        <v>418</v>
      </c>
      <c r="B397" s="262" t="str">
        <f>VLOOKUP($A397,'Orçamento Sintético'!$A:$H,4,0)</f>
        <v>Copia da CPOS (46.33.022) - Joelho 45º, DN 58mm, em polipropileno preto de ultra resistência, ref. Tecnofluidos, linha Duratop XR</v>
      </c>
      <c r="C397" s="211">
        <f>ROUND(C398/$F$540,4)</f>
        <v>0.0001</v>
      </c>
      <c r="D397" s="212"/>
      <c r="E397" s="211">
        <v>1</v>
      </c>
      <c r="F397" s="211"/>
      <c r="G397" s="209"/>
    </row>
    <row r="398" spans="1:7" ht="11.25">
      <c r="A398" s="262"/>
      <c r="B398" s="262"/>
      <c r="C398" s="213">
        <f>VLOOKUP($A397,'Orçamento Sintético'!$A:$H,8,0)</f>
        <v>39.29</v>
      </c>
      <c r="D398" s="214">
        <f>ROUND($C398*D397,2)</f>
        <v>0</v>
      </c>
      <c r="E398" s="213">
        <f>ROUND($C398*E397,2)</f>
        <v>39.29</v>
      </c>
      <c r="F398" s="213">
        <f>ROUND($C398*F397,2)</f>
        <v>0</v>
      </c>
      <c r="G398" s="209"/>
    </row>
    <row r="399" spans="1:7" ht="12.75" customHeight="1">
      <c r="A399" s="269" t="s">
        <v>421</v>
      </c>
      <c r="B399" s="269" t="str">
        <f>VLOOKUP($A399,'Orçamento Sintético'!$A:$H,4,0)</f>
        <v>JUNÇÃO</v>
      </c>
      <c r="C399" s="217">
        <f>ROUND(C400/$F$540,4)</f>
        <v>0.0021</v>
      </c>
      <c r="D399" s="218">
        <f>ROUND(D400/$C400,4)</f>
        <v>0</v>
      </c>
      <c r="E399" s="218">
        <f>ROUND(E400/$C400,4)</f>
        <v>1</v>
      </c>
      <c r="F399" s="218">
        <f>ROUND(F400/$C400,4)</f>
        <v>0</v>
      </c>
      <c r="G399" s="209"/>
    </row>
    <row r="400" spans="1:7" ht="11.25">
      <c r="A400" s="269"/>
      <c r="B400" s="269"/>
      <c r="C400" s="219">
        <f>VLOOKUP($A399,'Orçamento Sintético'!$A:$H,8,0)</f>
        <v>833.9200000000001</v>
      </c>
      <c r="D400" s="220">
        <f>D402+D404+D406</f>
        <v>0</v>
      </c>
      <c r="E400" s="220">
        <f>E402+E404+E406</f>
        <v>833.9200000000001</v>
      </c>
      <c r="F400" s="220">
        <f>F402+F404+F406</f>
        <v>0</v>
      </c>
      <c r="G400" s="209"/>
    </row>
    <row r="401" spans="1:7" ht="12.75" customHeight="1">
      <c r="A401" s="262" t="s">
        <v>423</v>
      </c>
      <c r="B401" s="262" t="str">
        <f>VLOOKUP($A401,'Orçamento Sintético'!$A:$H,4,0)</f>
        <v>Copia da CPOS (46.33.151) - Junção 45º, DN 110x110mm em polipropileno preto de ultra resistência, ref. Tecnofluidos, linha Duratop XR</v>
      </c>
      <c r="C401" s="211">
        <f>ROUND(C402/$F$540,4)</f>
        <v>0.0012</v>
      </c>
      <c r="D401" s="212"/>
      <c r="E401" s="211">
        <v>1</v>
      </c>
      <c r="F401" s="211"/>
      <c r="G401" s="209"/>
    </row>
    <row r="402" spans="1:7" ht="11.25">
      <c r="A402" s="262"/>
      <c r="B402" s="262"/>
      <c r="C402" s="213">
        <f>VLOOKUP($A401,'Orçamento Sintético'!$A:$H,8,0)</f>
        <v>491.3</v>
      </c>
      <c r="D402" s="214">
        <f>ROUND($C402*D401,2)</f>
        <v>0</v>
      </c>
      <c r="E402" s="213">
        <f>ROUND($C402*E401,2)</f>
        <v>491.3</v>
      </c>
      <c r="F402" s="213">
        <f>ROUND($C402*F401,2)</f>
        <v>0</v>
      </c>
      <c r="G402" s="209"/>
    </row>
    <row r="403" spans="1:7" ht="12.75" customHeight="1">
      <c r="A403" s="262" t="s">
        <v>426</v>
      </c>
      <c r="B403" s="262" t="str">
        <f>VLOOKUP($A403,'Orçamento Sintético'!$A:$H,4,0)</f>
        <v>Copia da CPOS (46.33.151) - Junção 45º de redução, DN 110x78mm em polipropileno preto de ultra resistência, ref. Tecnofluidos, linha Duratop XR</v>
      </c>
      <c r="C403" s="211">
        <f>ROUND(C404/$F$540,4)</f>
        <v>0.0003</v>
      </c>
      <c r="D403" s="212"/>
      <c r="E403" s="211">
        <v>1</v>
      </c>
      <c r="F403" s="211"/>
      <c r="G403" s="209"/>
    </row>
    <row r="404" spans="1:7" ht="11.25">
      <c r="A404" s="262"/>
      <c r="B404" s="262"/>
      <c r="C404" s="213">
        <f>VLOOKUP($A403,'Orçamento Sintético'!$A:$H,8,0)</f>
        <v>118.55</v>
      </c>
      <c r="D404" s="214">
        <f>ROUND($C404*D403,2)</f>
        <v>0</v>
      </c>
      <c r="E404" s="213">
        <f>ROUND($C404*E403,2)</f>
        <v>118.55</v>
      </c>
      <c r="F404" s="213">
        <f>ROUND($C404*F403,2)</f>
        <v>0</v>
      </c>
      <c r="G404" s="209"/>
    </row>
    <row r="405" spans="1:7" ht="12.75" customHeight="1">
      <c r="A405" s="262" t="s">
        <v>429</v>
      </c>
      <c r="B405" s="262" t="str">
        <f>VLOOKUP($A405,'Orçamento Sintético'!$A:$H,4,0)</f>
        <v>Copia da CPOS (46.33.151) - Junção 45º de redução, DN 78x78mm em polipropileno preto de ultra resistência, ref. Tecnofluidos, linha Duratop XR</v>
      </c>
      <c r="C405" s="211">
        <f>ROUND(C406/$F$540,4)</f>
        <v>0.0006</v>
      </c>
      <c r="D405" s="212"/>
      <c r="E405" s="211">
        <v>1</v>
      </c>
      <c r="F405" s="211"/>
      <c r="G405" s="209"/>
    </row>
    <row r="406" spans="1:7" ht="11.25">
      <c r="A406" s="262"/>
      <c r="B406" s="262"/>
      <c r="C406" s="213">
        <f>VLOOKUP($A405,'Orçamento Sintético'!$A:$H,8,0)</f>
        <v>224.07</v>
      </c>
      <c r="D406" s="214">
        <f>ROUND($C406*D405,2)</f>
        <v>0</v>
      </c>
      <c r="E406" s="213">
        <f>ROUND($C406*E405,2)</f>
        <v>224.07</v>
      </c>
      <c r="F406" s="213">
        <f>ROUND($C406*F405,2)</f>
        <v>0</v>
      </c>
      <c r="G406" s="209"/>
    </row>
    <row r="407" spans="1:7" ht="12.75" customHeight="1">
      <c r="A407" s="269" t="s">
        <v>432</v>
      </c>
      <c r="B407" s="269" t="str">
        <f>VLOOKUP($A407,'Orçamento Sintético'!$A:$H,4,0)</f>
        <v>REDUÇÃO</v>
      </c>
      <c r="C407" s="217">
        <f>ROUND(C408/$F$540,4)</f>
        <v>0.0006</v>
      </c>
      <c r="D407" s="218">
        <f>ROUND(D408/$C408,4)</f>
        <v>0</v>
      </c>
      <c r="E407" s="218">
        <f>ROUND(E408/$C408,4)</f>
        <v>1</v>
      </c>
      <c r="F407" s="218">
        <f>ROUND(F408/$C408,4)</f>
        <v>0</v>
      </c>
      <c r="G407" s="209"/>
    </row>
    <row r="408" spans="1:7" ht="11.25">
      <c r="A408" s="269"/>
      <c r="B408" s="269"/>
      <c r="C408" s="219">
        <f>VLOOKUP($A407,'Orçamento Sintético'!$A:$H,8,0)</f>
        <v>228.96</v>
      </c>
      <c r="D408" s="220">
        <f>D410</f>
        <v>0</v>
      </c>
      <c r="E408" s="220">
        <f>E410</f>
        <v>228.96</v>
      </c>
      <c r="F408" s="220">
        <f>F410</f>
        <v>0</v>
      </c>
      <c r="G408" s="209"/>
    </row>
    <row r="409" spans="1:7" ht="12.75" customHeight="1">
      <c r="A409" s="262" t="s">
        <v>434</v>
      </c>
      <c r="B409" s="262" t="str">
        <f>VLOOKUP($A409,'Orçamento Sintético'!$A:$H,4,0)</f>
        <v>Copia da CPOS (46.33.118) - Redução, DN 78x63mm, em polipropileno preto de ultra resistência, ref. Tecnofluidos, linha Duratop XR</v>
      </c>
      <c r="C409" s="211">
        <f>ROUND(C410/$F$540,4)</f>
        <v>0.0006</v>
      </c>
      <c r="D409" s="212"/>
      <c r="E409" s="211">
        <v>1</v>
      </c>
      <c r="F409" s="211"/>
      <c r="G409" s="209"/>
    </row>
    <row r="410" spans="1:7" ht="11.25">
      <c r="A410" s="262"/>
      <c r="B410" s="262"/>
      <c r="C410" s="213">
        <f>VLOOKUP($A409,'Orçamento Sintético'!$A:$H,8,0)</f>
        <v>228.96</v>
      </c>
      <c r="D410" s="214">
        <f>ROUND($C410*D409,2)</f>
        <v>0</v>
      </c>
      <c r="E410" s="213">
        <f>ROUND($C410*E409,2)</f>
        <v>228.96</v>
      </c>
      <c r="F410" s="213">
        <f>ROUND($C410*F409,2)</f>
        <v>0</v>
      </c>
      <c r="G410" s="209"/>
    </row>
    <row r="411" spans="1:7" ht="12.75" customHeight="1">
      <c r="A411" s="266" t="s">
        <v>437</v>
      </c>
      <c r="B411" s="266" t="str">
        <f>VLOOKUP($A411,'Orçamento Sintético'!$A:$H,4,0)</f>
        <v>TUBOS E CONEXÕES EM PVC SÉRIE NORMAL</v>
      </c>
      <c r="C411" s="215">
        <f>ROUND(C412/$F$540,4)</f>
        <v>0.0042</v>
      </c>
      <c r="D411" s="215">
        <f>ROUND(D412/$C412,4)</f>
        <v>0</v>
      </c>
      <c r="E411" s="215">
        <f>ROUND(E412/$C412,4)</f>
        <v>0</v>
      </c>
      <c r="F411" s="215">
        <f>ROUND(F412/$C412,4)</f>
        <v>1</v>
      </c>
      <c r="G411" s="209"/>
    </row>
    <row r="412" spans="1:7" ht="11.25">
      <c r="A412" s="266"/>
      <c r="B412" s="266"/>
      <c r="C412" s="216">
        <f>VLOOKUP($A411,'Orçamento Sintético'!$A:$H,8,0)</f>
        <v>1652.32</v>
      </c>
      <c r="D412" s="216">
        <f>D414</f>
        <v>0</v>
      </c>
      <c r="E412" s="216">
        <f>E414</f>
        <v>0</v>
      </c>
      <c r="F412" s="216">
        <f>F414</f>
        <v>1652.32</v>
      </c>
      <c r="G412" s="209"/>
    </row>
    <row r="413" spans="1:7" ht="20.25" customHeight="1">
      <c r="A413" s="262" t="s">
        <v>439</v>
      </c>
      <c r="B413" s="262" t="str">
        <f>VLOOKUP($A413,'Orçamento Sintético'!$A:$H,4,0)</f>
        <v>(COMPOSIÇÃO REPRESENTATIVA) DO SERVIÇO DE INST. TUBO PVC, SÉRIE N, ESGOTO PREDIAL, 100 MM (INST. RAMAL DESCARGA, RAMAL DE ESG. SANIT., PRUMADA ESG. SANIT., VENTILAÇÃO OU SUB-COLETOR AÉREO), INCL. CONEXÕES E CORTES, FIXAÇÕES, P/ PRÉDIOS. AF_10/2015</v>
      </c>
      <c r="C413" s="211">
        <f>ROUND(C414/$F$540,4)</f>
        <v>0.0042</v>
      </c>
      <c r="D413" s="212"/>
      <c r="E413" s="211"/>
      <c r="F413" s="211">
        <v>1</v>
      </c>
      <c r="G413" s="209"/>
    </row>
    <row r="414" spans="1:7" ht="21.75" customHeight="1">
      <c r="A414" s="262"/>
      <c r="B414" s="262"/>
      <c r="C414" s="213">
        <f>VLOOKUP($A413,'Orçamento Sintético'!$A:$H,8,0)</f>
        <v>1652.32</v>
      </c>
      <c r="D414" s="214">
        <f>ROUND($C414*D413,2)</f>
        <v>0</v>
      </c>
      <c r="E414" s="213">
        <f>ROUND($C414*E413,2)</f>
        <v>0</v>
      </c>
      <c r="F414" s="213">
        <f>ROUND($C414*F413,2)</f>
        <v>1652.32</v>
      </c>
      <c r="G414" s="209"/>
    </row>
    <row r="415" spans="1:7" ht="12.75" customHeight="1">
      <c r="A415" s="266" t="s">
        <v>441</v>
      </c>
      <c r="B415" s="266" t="str">
        <f>VLOOKUP($A415,'Orçamento Sintético'!$A:$H,4,0)</f>
        <v>CAIXAS E RALOS</v>
      </c>
      <c r="C415" s="215">
        <f>ROUND(C416/$F$540,4)</f>
        <v>0.0126</v>
      </c>
      <c r="D415" s="215">
        <f>ROUND(D416/$C416,4)</f>
        <v>0</v>
      </c>
      <c r="E415" s="215">
        <f>ROUND(E416/$C416,4)</f>
        <v>0.1079</v>
      </c>
      <c r="F415" s="215">
        <f>ROUND(F416/$C416,4)</f>
        <v>0.8921</v>
      </c>
      <c r="G415" s="209"/>
    </row>
    <row r="416" spans="1:7" ht="11.25">
      <c r="A416" s="266"/>
      <c r="B416" s="266"/>
      <c r="C416" s="216">
        <f>VLOOKUP($A415,'Orçamento Sintético'!$A:$H,8,0)</f>
        <v>4940.68</v>
      </c>
      <c r="D416" s="216">
        <f>D418+D422</f>
        <v>0</v>
      </c>
      <c r="E416" s="216">
        <f>E418+E422</f>
        <v>532.96</v>
      </c>
      <c r="F416" s="216">
        <f>F418+F422</f>
        <v>4407.72</v>
      </c>
      <c r="G416" s="209"/>
    </row>
    <row r="417" spans="1:7" ht="12.75" customHeight="1">
      <c r="A417" s="269" t="s">
        <v>443</v>
      </c>
      <c r="B417" s="269" t="str">
        <f>VLOOKUP($A417,'Orçamento Sintético'!$A:$H,4,0)</f>
        <v>CAIXAS SIFONADAS</v>
      </c>
      <c r="C417" s="217">
        <f>ROUND(C418/$F$540,4)</f>
        <v>0.0014</v>
      </c>
      <c r="D417" s="218">
        <f>ROUND(D418/$C418,4)</f>
        <v>0</v>
      </c>
      <c r="E417" s="218">
        <f>ROUND(E418/$C418,4)</f>
        <v>1</v>
      </c>
      <c r="F417" s="218">
        <f>ROUND(F418/$C418,4)</f>
        <v>0</v>
      </c>
      <c r="G417" s="209"/>
    </row>
    <row r="418" spans="1:7" ht="11.25">
      <c r="A418" s="269"/>
      <c r="B418" s="269"/>
      <c r="C418" s="219">
        <f>VLOOKUP($A417,'Orçamento Sintético'!$A:$H,8,0)</f>
        <v>532.96</v>
      </c>
      <c r="D418" s="220">
        <f>D420</f>
        <v>0</v>
      </c>
      <c r="E418" s="220">
        <f>E420</f>
        <v>532.96</v>
      </c>
      <c r="F418" s="220">
        <f>F420</f>
        <v>0</v>
      </c>
      <c r="G418" s="209"/>
    </row>
    <row r="419" spans="1:7" ht="15" customHeight="1">
      <c r="A419" s="262" t="s">
        <v>445</v>
      </c>
      <c r="B419" s="262" t="str">
        <f>VLOOKUP($A419,'Orçamento Sintético'!$A:$H,4,0)</f>
        <v>Copia da CPOS (46.33.186) - Caixa sifonada 125mm - saída de 63mm, em polipropileno preto de ultra resistência, ref. Tecnofluidos, linha Duratop X</v>
      </c>
      <c r="C419" s="211">
        <f>ROUND(C420/$F$540,4)</f>
        <v>0.0014</v>
      </c>
      <c r="D419" s="212"/>
      <c r="E419" s="211">
        <v>1</v>
      </c>
      <c r="F419" s="211"/>
      <c r="G419" s="209"/>
    </row>
    <row r="420" spans="1:7" ht="12.75" customHeight="1">
      <c r="A420" s="262"/>
      <c r="B420" s="262"/>
      <c r="C420" s="213">
        <f>VLOOKUP($A419,'Orçamento Sintético'!$A:$H,8,0)</f>
        <v>532.96</v>
      </c>
      <c r="D420" s="214">
        <f>ROUND($C420*D419,2)</f>
        <v>0</v>
      </c>
      <c r="E420" s="213">
        <f>ROUND($C420*E419,2)</f>
        <v>532.96</v>
      </c>
      <c r="F420" s="213">
        <f>ROUND($C420*F419,2)</f>
        <v>0</v>
      </c>
      <c r="G420" s="209"/>
    </row>
    <row r="421" spans="1:7" ht="12.75" customHeight="1">
      <c r="A421" s="269" t="s">
        <v>448</v>
      </c>
      <c r="B421" s="269" t="str">
        <f>VLOOKUP($A421,'Orçamento Sintético'!$A:$H,4,0)</f>
        <v>Poço de visita</v>
      </c>
      <c r="C421" s="217">
        <f>ROUND(C422/$F$540,4)</f>
        <v>0.0112</v>
      </c>
      <c r="D421" s="218">
        <f>ROUND(D422/$C422,4)</f>
        <v>0</v>
      </c>
      <c r="E421" s="218">
        <f>ROUND(E422/$C422,4)</f>
        <v>0</v>
      </c>
      <c r="F421" s="218">
        <f>ROUND(F422/$C422,4)</f>
        <v>1</v>
      </c>
      <c r="G421" s="209"/>
    </row>
    <row r="422" spans="1:7" ht="11.25">
      <c r="A422" s="269"/>
      <c r="B422" s="269"/>
      <c r="C422" s="219">
        <f>VLOOKUP($A421,'Orçamento Sintético'!$A:$H,8,0)</f>
        <v>4407.72</v>
      </c>
      <c r="D422" s="220">
        <f>D424+D426</f>
        <v>0</v>
      </c>
      <c r="E422" s="220">
        <f>E424+E426</f>
        <v>0</v>
      </c>
      <c r="F422" s="220">
        <f>F424+F426</f>
        <v>4407.72</v>
      </c>
      <c r="G422" s="209"/>
    </row>
    <row r="423" spans="1:7" ht="12.75" customHeight="1">
      <c r="A423" s="262" t="s">
        <v>450</v>
      </c>
      <c r="B423" s="262" t="str">
        <f>VLOOKUP($A423,'Orçamento Sintético'!$A:$H,4,0)</f>
        <v>Poço de visita circular em concreto pré-moldado, diâmetro interno = 1,20m, profundidade de 2,20m, excluindo tampão</v>
      </c>
      <c r="C423" s="211">
        <f>ROUND(C424/$F$540,4)</f>
        <v>0.0064</v>
      </c>
      <c r="D423" s="212"/>
      <c r="E423" s="211"/>
      <c r="F423" s="211">
        <v>1</v>
      </c>
      <c r="G423" s="209"/>
    </row>
    <row r="424" spans="1:7" ht="11.25">
      <c r="A424" s="262"/>
      <c r="B424" s="262"/>
      <c r="C424" s="213">
        <f>VLOOKUP($A423,'Orçamento Sintético'!$A:$H,8,0)</f>
        <v>2530.52</v>
      </c>
      <c r="D424" s="214">
        <f>ROUND($C424*D423,2)</f>
        <v>0</v>
      </c>
      <c r="E424" s="213">
        <f>ROUND($C424*E423,2)</f>
        <v>0</v>
      </c>
      <c r="F424" s="213">
        <f>ROUND($C424*F423,2)</f>
        <v>2530.52</v>
      </c>
      <c r="G424" s="209"/>
    </row>
    <row r="425" spans="1:7" ht="12.75" customHeight="1">
      <c r="A425" s="262" t="s">
        <v>453</v>
      </c>
      <c r="B425" s="262" t="str">
        <f>VLOOKUP($A425,'Orçamento Sintético'!$A:$H,4,0)</f>
        <v>Copia da SINAPI (98114) - Tampão para caixa de inspeção / pluvial / esgoto , com 2 travas Oliv, Cl400 - ferro fundido nodular, T100 - base 72cm, tampa 53cm,  Fundição Vesúvio Fl-51682</v>
      </c>
      <c r="C425" s="211">
        <f>ROUND(C426/$F$540,4)</f>
        <v>0.0048</v>
      </c>
      <c r="D425" s="212"/>
      <c r="E425" s="211"/>
      <c r="F425" s="211">
        <v>1</v>
      </c>
      <c r="G425" s="209"/>
    </row>
    <row r="426" spans="1:7" ht="11.25">
      <c r="A426" s="262"/>
      <c r="B426" s="262"/>
      <c r="C426" s="213">
        <f>VLOOKUP($A425,'Orçamento Sintético'!$A:$H,8,0)</f>
        <v>1877.2</v>
      </c>
      <c r="D426" s="214">
        <f>ROUND($C426*D425,2)</f>
        <v>0</v>
      </c>
      <c r="E426" s="213">
        <f>ROUND($C426*E425,2)</f>
        <v>0</v>
      </c>
      <c r="F426" s="213">
        <f>ROUND($C426*F425,2)</f>
        <v>1877.2</v>
      </c>
      <c r="G426" s="209"/>
    </row>
    <row r="427" spans="1:7" ht="12.75" customHeight="1">
      <c r="A427" s="265" t="s">
        <v>456</v>
      </c>
      <c r="B427" s="265" t="str">
        <f>VLOOKUP($A427,'Orçamento Sintético'!$A:$H,4,0)</f>
        <v>SERVIÇOS DIVERSOS</v>
      </c>
      <c r="C427" s="207">
        <f>ROUND(C428/$F$540,4)</f>
        <v>0.0013</v>
      </c>
      <c r="D427" s="207">
        <f>ROUND(D428/$C428,4)</f>
        <v>0</v>
      </c>
      <c r="E427" s="208">
        <f>ROUND(E428/$C428,4)</f>
        <v>0</v>
      </c>
      <c r="F427" s="208">
        <f>ROUND(F428/$C428,4)</f>
        <v>1</v>
      </c>
      <c r="G427" s="209"/>
    </row>
    <row r="428" spans="1:7" ht="11.25">
      <c r="A428" s="265"/>
      <c r="B428" s="265"/>
      <c r="C428" s="210">
        <f>VLOOKUP($A427,'Orçamento Sintético'!$A:$H,8,0)</f>
        <v>510.76</v>
      </c>
      <c r="D428" s="210">
        <f>D430</f>
        <v>0</v>
      </c>
      <c r="E428" s="210">
        <f>E430</f>
        <v>0</v>
      </c>
      <c r="F428" s="210">
        <f>F430</f>
        <v>510.76</v>
      </c>
      <c r="G428" s="209"/>
    </row>
    <row r="429" spans="1:7" ht="12.75" customHeight="1">
      <c r="A429" s="262" t="s">
        <v>458</v>
      </c>
      <c r="B429" s="262" t="str">
        <f>VLOOKUP($A429,'Orçamento Sintético'!$A:$H,4,0)</f>
        <v>LASTRO COM MATERIAL GRANULAR (AREIA MÉDIA), APLICADO EM PISOS OU LAJES SOBRE SOLO, ESPESSURA DE *10 CM*. AF_07/2019</v>
      </c>
      <c r="C429" s="211">
        <f>ROUND(C430/$F$540,4)</f>
        <v>0.0013</v>
      </c>
      <c r="D429" s="212"/>
      <c r="E429" s="211"/>
      <c r="F429" s="211">
        <v>1</v>
      </c>
      <c r="G429" s="209"/>
    </row>
    <row r="430" spans="1:7" ht="11.25">
      <c r="A430" s="262"/>
      <c r="B430" s="262"/>
      <c r="C430" s="213">
        <f>VLOOKUP($A429,'Orçamento Sintético'!$A:$H,8,0)</f>
        <v>510.76</v>
      </c>
      <c r="D430" s="214">
        <f>ROUND($C430*D429,2)</f>
        <v>0</v>
      </c>
      <c r="E430" s="213">
        <f>ROUND($C430*E429,2)</f>
        <v>0</v>
      </c>
      <c r="F430" s="213">
        <f>ROUND($C430*F429,2)</f>
        <v>510.76</v>
      </c>
      <c r="G430" s="209"/>
    </row>
    <row r="431" spans="1:7" ht="12.75" customHeight="1">
      <c r="A431" s="267" t="s">
        <v>1276</v>
      </c>
      <c r="B431" s="268" t="str">
        <f>VLOOKUP($A431,'Orçamento Sintético'!$A:$H,4,0)</f>
        <v>INSTALAÇÕES ELÉTRICAS E ELETRÔNICAS</v>
      </c>
      <c r="C431" s="202">
        <f>ROUND(C432/$F$540,4)</f>
        <v>0.0728</v>
      </c>
      <c r="D431" s="203">
        <f>ROUND(D432/$C432,4)</f>
        <v>0</v>
      </c>
      <c r="E431" s="203">
        <f>ROUND(E432/$C432,4)</f>
        <v>0.7895</v>
      </c>
      <c r="F431" s="203">
        <f>ROUND(F432/$C432,4)</f>
        <v>0.2105</v>
      </c>
      <c r="G431" s="209"/>
    </row>
    <row r="432" spans="1:7" ht="11.25">
      <c r="A432" s="267"/>
      <c r="B432" s="268"/>
      <c r="C432" s="205">
        <f>VLOOKUP($A431,'Orçamento Sintético'!$A:$H,8,0)</f>
        <v>28647.399999999998</v>
      </c>
      <c r="D432" s="206">
        <f>D434+D478+D488+D496+D518</f>
        <v>0</v>
      </c>
      <c r="E432" s="206">
        <f>E434+E478+E488+E496+E518</f>
        <v>22616.03</v>
      </c>
      <c r="F432" s="206">
        <f>F434+F478+F488+F496+F518</f>
        <v>6031.37</v>
      </c>
      <c r="G432" s="209"/>
    </row>
    <row r="433" spans="1:7" ht="12.75" customHeight="1">
      <c r="A433" s="265" t="s">
        <v>461</v>
      </c>
      <c r="B433" s="265" t="str">
        <f>VLOOKUP($A433,'Orçamento Sintético'!$A:$H,4,0)</f>
        <v>INSTALAÇÕES ELÉTRICAS</v>
      </c>
      <c r="C433" s="207">
        <f>ROUND(C434/$F$540,4)</f>
        <v>0.0326</v>
      </c>
      <c r="D433" s="207">
        <f>ROUND(D434/$C434,4)</f>
        <v>0</v>
      </c>
      <c r="E433" s="208">
        <f>ROUND(E434/$C434,4)</f>
        <v>0.6096</v>
      </c>
      <c r="F433" s="208">
        <f>ROUND(F434/$C434,4)</f>
        <v>0.3904</v>
      </c>
      <c r="G433" s="209"/>
    </row>
    <row r="434" spans="1:7" ht="11.25">
      <c r="A434" s="265"/>
      <c r="B434" s="265"/>
      <c r="C434" s="210">
        <f>VLOOKUP($A433,'Orçamento Sintético'!$A:$H,8,0)</f>
        <v>12829.06</v>
      </c>
      <c r="D434" s="210">
        <f>D436+D444+D460+D472</f>
        <v>0</v>
      </c>
      <c r="E434" s="210">
        <f>E436+E444+E460+E472</f>
        <v>7820.22</v>
      </c>
      <c r="F434" s="210">
        <f>F436+F444+F460+F472</f>
        <v>5008.839999999999</v>
      </c>
      <c r="G434" s="209"/>
    </row>
    <row r="435" spans="1:7" ht="12.75" customHeight="1">
      <c r="A435" s="266" t="s">
        <v>463</v>
      </c>
      <c r="B435" s="266" t="str">
        <f>VLOOKUP($A435,'Orçamento Sintético'!$A:$H,4,0)</f>
        <v>QUADROS ELÉTRICOS</v>
      </c>
      <c r="C435" s="215">
        <f>ROUND(C436/$F$540,4)</f>
        <v>0.0002</v>
      </c>
      <c r="D435" s="215">
        <f>ROUND(D436/$C436,4)</f>
        <v>0</v>
      </c>
      <c r="E435" s="215">
        <f>ROUND(E436/$C436,4)</f>
        <v>0</v>
      </c>
      <c r="F435" s="215">
        <f>ROUND(F436/$C436,4)</f>
        <v>1</v>
      </c>
      <c r="G435" s="209"/>
    </row>
    <row r="436" spans="1:7" ht="11.25">
      <c r="A436" s="266"/>
      <c r="B436" s="266"/>
      <c r="C436" s="216">
        <f>VLOOKUP($A435,'Orçamento Sintético'!$A:$H,8,0)</f>
        <v>90.36</v>
      </c>
      <c r="D436" s="216">
        <f>D438</f>
        <v>0</v>
      </c>
      <c r="E436" s="216">
        <f>E438</f>
        <v>0</v>
      </c>
      <c r="F436" s="216">
        <f>F438</f>
        <v>90.36</v>
      </c>
      <c r="G436" s="209"/>
    </row>
    <row r="437" spans="1:7" ht="12.75" customHeight="1">
      <c r="A437" s="269" t="s">
        <v>465</v>
      </c>
      <c r="B437" s="269" t="str">
        <f>VLOOKUP($A437,'Orçamento Sintético'!$A:$H,4,0)</f>
        <v>DISJUNTOR MONOPOLAR TERMOMAGNÉTICO</v>
      </c>
      <c r="C437" s="217">
        <f>ROUND(C438/$F$540,4)</f>
        <v>0.0002</v>
      </c>
      <c r="D437" s="218">
        <f>ROUND(D438/$C438,4)</f>
        <v>0</v>
      </c>
      <c r="E437" s="218">
        <f>ROUND(E438/$C438,4)</f>
        <v>0</v>
      </c>
      <c r="F437" s="218">
        <f>ROUND(F438/$C438,4)</f>
        <v>1</v>
      </c>
      <c r="G437" s="209"/>
    </row>
    <row r="438" spans="1:7" ht="11.25">
      <c r="A438" s="269"/>
      <c r="B438" s="269"/>
      <c r="C438" s="219">
        <f>VLOOKUP($A437,'Orçamento Sintético'!$A:$H,8,0)</f>
        <v>90.36</v>
      </c>
      <c r="D438" s="220">
        <f>D440+D442</f>
        <v>0</v>
      </c>
      <c r="E438" s="220">
        <f>E440+E442</f>
        <v>0</v>
      </c>
      <c r="F438" s="220">
        <f>F440+F442</f>
        <v>90.36</v>
      </c>
      <c r="G438" s="209"/>
    </row>
    <row r="439" spans="1:7" ht="12.75" customHeight="1">
      <c r="A439" s="262" t="s">
        <v>467</v>
      </c>
      <c r="B439" s="262" t="str">
        <f>VLOOKUP($A439,'Orçamento Sintético'!$A:$H,4,0)</f>
        <v>DISJUNTOR MONOPOLAR TIPO DIN, CORRENTE NOMINAL DE 10A - FORNECIMENTO E INSTALAÇÃO. AF_10/2020</v>
      </c>
      <c r="C439" s="211">
        <f>ROUND(C440/$F$540,4)</f>
        <v>0.0001</v>
      </c>
      <c r="D439" s="212"/>
      <c r="E439" s="211"/>
      <c r="F439" s="211">
        <v>1</v>
      </c>
      <c r="G439" s="209"/>
    </row>
    <row r="440" spans="1:7" ht="11.25">
      <c r="A440" s="262"/>
      <c r="B440" s="262"/>
      <c r="C440" s="213">
        <f>VLOOKUP($A439,'Orçamento Sintético'!$A:$H,8,0)</f>
        <v>50.64</v>
      </c>
      <c r="D440" s="214">
        <f>ROUND($C440*D439,2)</f>
        <v>0</v>
      </c>
      <c r="E440" s="213">
        <f>ROUND($C440*E439,2)</f>
        <v>0</v>
      </c>
      <c r="F440" s="213">
        <f>ROUND($C440*F439,2)</f>
        <v>50.64</v>
      </c>
      <c r="G440" s="209"/>
    </row>
    <row r="441" spans="1:7" ht="12.75" customHeight="1">
      <c r="A441" s="262" t="s">
        <v>469</v>
      </c>
      <c r="B441" s="262" t="str">
        <f>VLOOKUP($A441,'Orçamento Sintético'!$A:$H,4,0)</f>
        <v>DISJUNTOR MONOPOLAR TIPO DIN, CORRENTE NOMINAL DE 16A - FORNECIMENTO E INSTALAÇÃO. AF_10/2020</v>
      </c>
      <c r="C441" s="211">
        <f>ROUND(C442/$F$540,4)</f>
        <v>0.0001</v>
      </c>
      <c r="D441" s="212"/>
      <c r="E441" s="211"/>
      <c r="F441" s="211">
        <v>1</v>
      </c>
      <c r="G441" s="209"/>
    </row>
    <row r="442" spans="1:7" ht="11.25">
      <c r="A442" s="262"/>
      <c r="B442" s="262"/>
      <c r="C442" s="213">
        <f>VLOOKUP($A441,'Orçamento Sintético'!$A:$H,8,0)</f>
        <v>39.72</v>
      </c>
      <c r="D442" s="214">
        <f>ROUND($C442*D441,2)</f>
        <v>0</v>
      </c>
      <c r="E442" s="213">
        <f>ROUND($C442*E441,2)</f>
        <v>0</v>
      </c>
      <c r="F442" s="213">
        <f>ROUND($C442*F441,2)</f>
        <v>39.72</v>
      </c>
      <c r="G442" s="209"/>
    </row>
    <row r="443" spans="1:7" ht="12.75" customHeight="1">
      <c r="A443" s="266" t="s">
        <v>471</v>
      </c>
      <c r="B443" s="266" t="str">
        <f>VLOOKUP($A443,'Orçamento Sintético'!$A:$H,4,0)</f>
        <v>SISTEMAS DE ILUMINAÇÃO</v>
      </c>
      <c r="C443" s="215">
        <f>ROUND(C444/$F$540,4)</f>
        <v>0.0106</v>
      </c>
      <c r="D443" s="215">
        <f>ROUND(D444/$C444,4)</f>
        <v>0</v>
      </c>
      <c r="E443" s="215">
        <f>ROUND(E444/$C444,4)</f>
        <v>0</v>
      </c>
      <c r="F443" s="215">
        <f>ROUND(F444/$C444,4)</f>
        <v>1</v>
      </c>
      <c r="G443" s="209"/>
    </row>
    <row r="444" spans="1:7" ht="11.25">
      <c r="A444" s="266"/>
      <c r="B444" s="266"/>
      <c r="C444" s="216">
        <f>VLOOKUP($A443,'Orçamento Sintético'!$A:$H,8,0)</f>
        <v>4182.78</v>
      </c>
      <c r="D444" s="216">
        <f>D446+D452+D456</f>
        <v>0</v>
      </c>
      <c r="E444" s="216">
        <f>E446+E452+E456</f>
        <v>0</v>
      </c>
      <c r="F444" s="216">
        <f>F446+F452+F456</f>
        <v>4182.78</v>
      </c>
      <c r="G444" s="204"/>
    </row>
    <row r="445" spans="1:7" ht="12.75" customHeight="1">
      <c r="A445" s="269" t="s">
        <v>473</v>
      </c>
      <c r="B445" s="269" t="str">
        <f>VLOOKUP($A445,'Orçamento Sintético'!$A:$H,4,0)</f>
        <v>LUMINÁRIAS</v>
      </c>
      <c r="C445" s="217">
        <f>ROUND(C446/$F$540,4)</f>
        <v>0.0075</v>
      </c>
      <c r="D445" s="218">
        <f>ROUND(D446/$C446,4)</f>
        <v>0</v>
      </c>
      <c r="E445" s="218">
        <f>ROUND(E446/$C446,4)</f>
        <v>0</v>
      </c>
      <c r="F445" s="218">
        <f>ROUND(F446/$C446,4)</f>
        <v>1</v>
      </c>
      <c r="G445" s="209"/>
    </row>
    <row r="446" spans="1:7" ht="11.25">
      <c r="A446" s="269"/>
      <c r="B446" s="269"/>
      <c r="C446" s="219">
        <f>VLOOKUP($A445,'Orçamento Sintético'!$A:$H,8,0)</f>
        <v>2933.6</v>
      </c>
      <c r="D446" s="220">
        <f>D448+D450</f>
        <v>0</v>
      </c>
      <c r="E446" s="220">
        <f>E448+E450</f>
        <v>0</v>
      </c>
      <c r="F446" s="220">
        <f>F448+F450</f>
        <v>2933.6</v>
      </c>
      <c r="G446" s="209"/>
    </row>
    <row r="447" spans="1:7" ht="15" customHeight="1">
      <c r="A447" s="262" t="s">
        <v>475</v>
      </c>
      <c r="B447" s="262" t="str">
        <f>VLOOKUP($A447,'Orçamento Sintético'!$A:$H,4,0)</f>
        <v>Copia da CPOS (41.14.560) -LUMINÁRIA DE EMBUTIR DE 2 X 32W, COM ALETAS EM ALUMÍNIO REFLETIDO, COM DIMENSÕES DE 1,25M, NA COR BRANCA. MARCA: ABALUX, MODELO: A407</v>
      </c>
      <c r="C447" s="211">
        <f>ROUND(C448/$F$540,4)</f>
        <v>0.0074</v>
      </c>
      <c r="D447" s="212"/>
      <c r="E447" s="211"/>
      <c r="F447" s="211">
        <v>1</v>
      </c>
      <c r="G447" s="209"/>
    </row>
    <row r="448" spans="1:7" ht="18" customHeight="1">
      <c r="A448" s="262"/>
      <c r="B448" s="262"/>
      <c r="C448" s="213">
        <f>VLOOKUP($A447,'Orçamento Sintético'!$A:$H,8,0)</f>
        <v>2896.16</v>
      </c>
      <c r="D448" s="214">
        <f>ROUND($C448*D447,2)</f>
        <v>0</v>
      </c>
      <c r="E448" s="213">
        <f>ROUND($C448*E447,2)</f>
        <v>0</v>
      </c>
      <c r="F448" s="213">
        <f>ROUND($C448*F447,2)</f>
        <v>2896.16</v>
      </c>
      <c r="G448" s="209"/>
    </row>
    <row r="449" spans="1:7" ht="12.75" customHeight="1">
      <c r="A449" s="262" t="s">
        <v>478</v>
      </c>
      <c r="B449" s="262" t="str">
        <f>VLOOKUP($A449,'Orçamento Sintético'!$A:$H,4,0)</f>
        <v>Copia da SINAPI (97590) - REINSTALAÇÃO DE LUMINÁRIA</v>
      </c>
      <c r="C449" s="211">
        <f>ROUND(C450/$F$540,4)</f>
        <v>0.0001</v>
      </c>
      <c r="D449" s="212"/>
      <c r="E449" s="211"/>
      <c r="F449" s="211">
        <v>1</v>
      </c>
      <c r="G449" s="209"/>
    </row>
    <row r="450" spans="1:7" ht="11.25">
      <c r="A450" s="262"/>
      <c r="B450" s="262"/>
      <c r="C450" s="213">
        <f>VLOOKUP($A449,'Orçamento Sintético'!$A:$H,8,0)</f>
        <v>37.44</v>
      </c>
      <c r="D450" s="214">
        <f>ROUND($C450*D449,2)</f>
        <v>0</v>
      </c>
      <c r="E450" s="213">
        <f>ROUND($C450*E449,2)</f>
        <v>0</v>
      </c>
      <c r="F450" s="213">
        <f>ROUND($C450*F449,2)</f>
        <v>37.44</v>
      </c>
      <c r="G450" s="209"/>
    </row>
    <row r="451" spans="1:7" ht="12.75" customHeight="1">
      <c r="A451" s="269" t="s">
        <v>481</v>
      </c>
      <c r="B451" s="269" t="str">
        <f>VLOOKUP($A451,'Orçamento Sintético'!$A:$H,4,0)</f>
        <v>LÂMPADAS</v>
      </c>
      <c r="C451" s="217">
        <f>ROUND(C452/$F$540,4)</f>
        <v>0.0025</v>
      </c>
      <c r="D451" s="218">
        <f>ROUND(D452/$C452,4)</f>
        <v>0</v>
      </c>
      <c r="E451" s="218">
        <f>ROUND(E452/$C452,4)</f>
        <v>0</v>
      </c>
      <c r="F451" s="218">
        <f>ROUND(F452/$C452,4)</f>
        <v>1</v>
      </c>
      <c r="G451" s="209"/>
    </row>
    <row r="452" spans="1:7" ht="11.25">
      <c r="A452" s="269"/>
      <c r="B452" s="269"/>
      <c r="C452" s="219">
        <f>VLOOKUP($A451,'Orçamento Sintético'!$A:$H,8,0)</f>
        <v>987.52</v>
      </c>
      <c r="D452" s="220">
        <f>D454</f>
        <v>0</v>
      </c>
      <c r="E452" s="220">
        <f>E454</f>
        <v>0</v>
      </c>
      <c r="F452" s="220">
        <f>F454</f>
        <v>987.52</v>
      </c>
      <c r="G452" s="209"/>
    </row>
    <row r="453" spans="1:7" ht="12.75" customHeight="1">
      <c r="A453" s="262" t="s">
        <v>483</v>
      </c>
      <c r="B453" s="262" t="str">
        <f>VLOOKUP($A453,'Orçamento Sintético'!$A:$H,4,0)</f>
        <v>LÂMPADA TUBULAR LED DE 18/20 W, BASE G13 - FORNECIMENTO E INSTALAÇÃO. AF_02/2020_P</v>
      </c>
      <c r="C453" s="211">
        <f>ROUND(C454/$F$540,4)</f>
        <v>0.0025</v>
      </c>
      <c r="D453" s="212"/>
      <c r="E453" s="211"/>
      <c r="F453" s="211">
        <v>1</v>
      </c>
      <c r="G453" s="209"/>
    </row>
    <row r="454" spans="1:7" ht="11.25">
      <c r="A454" s="262"/>
      <c r="B454" s="262"/>
      <c r="C454" s="213">
        <f>VLOOKUP($A453,'Orçamento Sintético'!$A:$H,8,0)</f>
        <v>987.52</v>
      </c>
      <c r="D454" s="214">
        <f>ROUND($C454*D453,2)</f>
        <v>0</v>
      </c>
      <c r="E454" s="213">
        <f>ROUND($C454*E453,2)</f>
        <v>0</v>
      </c>
      <c r="F454" s="213">
        <f>ROUND($C454*F453,2)</f>
        <v>987.52</v>
      </c>
      <c r="G454" s="209"/>
    </row>
    <row r="455" spans="1:7" ht="12.75" customHeight="1">
      <c r="A455" s="269" t="s">
        <v>485</v>
      </c>
      <c r="B455" s="269" t="str">
        <f>VLOOKUP($A455,'Orçamento Sintético'!$A:$H,4,0)</f>
        <v>INTERRUPTORES</v>
      </c>
      <c r="C455" s="217">
        <f>ROUND(C456/$F$540,4)</f>
        <v>0.0007</v>
      </c>
      <c r="D455" s="218">
        <f>ROUND(D456/$C456,4)</f>
        <v>0</v>
      </c>
      <c r="E455" s="218">
        <f>ROUND(E456/$C456,4)</f>
        <v>0</v>
      </c>
      <c r="F455" s="218">
        <f>ROUND(F456/$C456,4)</f>
        <v>1</v>
      </c>
      <c r="G455" s="209"/>
    </row>
    <row r="456" spans="1:7" ht="11.25">
      <c r="A456" s="269"/>
      <c r="B456" s="269"/>
      <c r="C456" s="219">
        <f>VLOOKUP($A455,'Orçamento Sintético'!$A:$H,8,0)</f>
        <v>261.66</v>
      </c>
      <c r="D456" s="220">
        <f>D458</f>
        <v>0</v>
      </c>
      <c r="E456" s="220">
        <f>E458</f>
        <v>0</v>
      </c>
      <c r="F456" s="220">
        <f>F458</f>
        <v>261.66</v>
      </c>
      <c r="G456" s="209"/>
    </row>
    <row r="457" spans="1:7" ht="12.75" customHeight="1">
      <c r="A457" s="262" t="s">
        <v>487</v>
      </c>
      <c r="B457" s="262" t="str">
        <f>VLOOKUP($A457,'Orçamento Sintético'!$A:$H,4,0)</f>
        <v>INTERRUPTOR SIMPLES (1 MÓDULO), 10A/250V, SEM SUPORTE E SEM PLACA - FORNECIMENTO E INSTALAÇÃO. AF_12/2015</v>
      </c>
      <c r="C457" s="211">
        <f>ROUND(C458/$F$540,4)</f>
        <v>0.0007</v>
      </c>
      <c r="D457" s="212"/>
      <c r="E457" s="211"/>
      <c r="F457" s="211">
        <v>1</v>
      </c>
      <c r="G457" s="209"/>
    </row>
    <row r="458" spans="1:7" ht="11.25">
      <c r="A458" s="262"/>
      <c r="B458" s="262"/>
      <c r="C458" s="213">
        <f>VLOOKUP($A457,'Orçamento Sintético'!$A:$H,8,0)</f>
        <v>261.66</v>
      </c>
      <c r="D458" s="214">
        <f>ROUND($C458*D457,2)</f>
        <v>0</v>
      </c>
      <c r="E458" s="213">
        <f>ROUND($C458*E457,2)</f>
        <v>0</v>
      </c>
      <c r="F458" s="213">
        <f>ROUND($C458*F457,2)</f>
        <v>261.66</v>
      </c>
      <c r="G458" s="209"/>
    </row>
    <row r="459" spans="1:7" ht="12.75" customHeight="1">
      <c r="A459" s="266" t="s">
        <v>489</v>
      </c>
      <c r="B459" s="266" t="str">
        <f>VLOOKUP($A459,'Orçamento Sintético'!$A:$H,4,0)</f>
        <v>SISTEMAS DE TOMADAS</v>
      </c>
      <c r="C459" s="215">
        <f>ROUND(C460/$F$540,4)</f>
        <v>0.0031</v>
      </c>
      <c r="D459" s="215">
        <f>ROUND(D460/$C460,4)</f>
        <v>0</v>
      </c>
      <c r="E459" s="215">
        <f>ROUND(E460/$C460,4)</f>
        <v>0.4019</v>
      </c>
      <c r="F459" s="215">
        <f>ROUND(F460/$C460,4)</f>
        <v>0.5981</v>
      </c>
      <c r="G459" s="209"/>
    </row>
    <row r="460" spans="1:7" ht="11.25">
      <c r="A460" s="266"/>
      <c r="B460" s="266"/>
      <c r="C460" s="216">
        <f>VLOOKUP($A459,'Orçamento Sintético'!$A:$H,8,0)</f>
        <v>1230</v>
      </c>
      <c r="D460" s="216">
        <f>D462</f>
        <v>0</v>
      </c>
      <c r="E460" s="216">
        <f>E462</f>
        <v>494.3</v>
      </c>
      <c r="F460" s="216">
        <f>F462</f>
        <v>735.7000000000002</v>
      </c>
      <c r="G460" s="209"/>
    </row>
    <row r="461" spans="1:7" ht="12.75" customHeight="1">
      <c r="A461" s="269" t="s">
        <v>491</v>
      </c>
      <c r="B461" s="269" t="str">
        <f>VLOOKUP($A461,'Orçamento Sintético'!$A:$H,4,0)</f>
        <v>ELEMENTOS DE TOMADAS</v>
      </c>
      <c r="C461" s="217">
        <f>ROUND(C462/$F$540,4)</f>
        <v>0.0031</v>
      </c>
      <c r="D461" s="218">
        <f>ROUND(D462/$C462,4)</f>
        <v>0</v>
      </c>
      <c r="E461" s="218">
        <f>ROUND(E462/$C462,4)</f>
        <v>0.4019</v>
      </c>
      <c r="F461" s="218">
        <f>ROUND(F462/$C462,4)</f>
        <v>0.5981</v>
      </c>
      <c r="G461" s="209"/>
    </row>
    <row r="462" spans="1:7" ht="11.25">
      <c r="A462" s="269"/>
      <c r="B462" s="269"/>
      <c r="C462" s="219">
        <f>VLOOKUP($A461,'Orçamento Sintético'!$A:$H,8,0)</f>
        <v>1230</v>
      </c>
      <c r="D462" s="220">
        <f>D464+D466+D468+D470</f>
        <v>0</v>
      </c>
      <c r="E462" s="220">
        <f>E464+E466+E468+E470</f>
        <v>494.3</v>
      </c>
      <c r="F462" s="220">
        <f>F464+F466+F468+F470</f>
        <v>735.7000000000002</v>
      </c>
      <c r="G462" s="209"/>
    </row>
    <row r="463" spans="1:7" ht="12.75" customHeight="1">
      <c r="A463" s="262" t="s">
        <v>493</v>
      </c>
      <c r="B463" s="262" t="str">
        <f>VLOOKUP($A463,'Orçamento Sintético'!$A:$H,4,0)</f>
        <v>TOMADA BAIXA DE EMBUTIR (1 MÓDULO), 2P+T 10 A, SEM SUPORTE E SEM PLACA - FORNECIMENTO E INSTALAÇÃO. AF_12/2015</v>
      </c>
      <c r="C463" s="211">
        <f>ROUND(C464/$F$540,4)</f>
        <v>0.0014</v>
      </c>
      <c r="D463" s="212"/>
      <c r="E463" s="211"/>
      <c r="F463" s="211">
        <v>1</v>
      </c>
      <c r="G463" s="209"/>
    </row>
    <row r="464" spans="1:7" ht="11.25">
      <c r="A464" s="262"/>
      <c r="B464" s="262"/>
      <c r="C464" s="213">
        <f>VLOOKUP($A463,'Orçamento Sintético'!$A:$H,8,0)</f>
        <v>547.83</v>
      </c>
      <c r="D464" s="214">
        <f>ROUND($C464*D463,2)</f>
        <v>0</v>
      </c>
      <c r="E464" s="213">
        <f>ROUND($C464*E463,2)</f>
        <v>0</v>
      </c>
      <c r="F464" s="213">
        <f>ROUND($C464*F463,2)</f>
        <v>547.83</v>
      </c>
      <c r="G464" s="209"/>
    </row>
    <row r="465" spans="1:7" ht="12.75" customHeight="1">
      <c r="A465" s="262" t="s">
        <v>495</v>
      </c>
      <c r="B465" s="262" t="str">
        <f>VLOOKUP($A465,'Orçamento Sintético'!$A:$H,4,0)</f>
        <v>TOMADA ALTA DE EMBUTIR (1 MÓDULO), 2P+T 10 A, SEM SUPORTE E SEM PLACA - FORNECIMENTO E INSTALAÇÃO. AF_12/2015</v>
      </c>
      <c r="C465" s="211">
        <f>ROUND(C466/$F$540,4)</f>
        <v>0.0016</v>
      </c>
      <c r="D465" s="212"/>
      <c r="E465" s="211">
        <v>0.8</v>
      </c>
      <c r="F465" s="211">
        <v>0.2</v>
      </c>
      <c r="G465" s="209"/>
    </row>
    <row r="466" spans="1:7" ht="11.25">
      <c r="A466" s="262"/>
      <c r="B466" s="262"/>
      <c r="C466" s="213">
        <f>VLOOKUP($A465,'Orçamento Sintético'!$A:$H,8,0)</f>
        <v>617.88</v>
      </c>
      <c r="D466" s="214">
        <f>ROUND($C466*D465,2)</f>
        <v>0</v>
      </c>
      <c r="E466" s="213">
        <f>ROUND($C466*E465,2)</f>
        <v>494.3</v>
      </c>
      <c r="F466" s="213">
        <f>ROUND($C466*F465,2)</f>
        <v>123.58</v>
      </c>
      <c r="G466" s="209"/>
    </row>
    <row r="467" spans="1:7" ht="12.75" customHeight="1">
      <c r="A467" s="262" t="s">
        <v>497</v>
      </c>
      <c r="B467" s="262" t="str">
        <f>VLOOKUP($A467,'Orçamento Sintético'!$A:$H,4,0)</f>
        <v>TOMADA MÉDIA DE EMBUTIR (1 MÓDULO), 2P+T 10 A, SEM SUPORTE E SEM PLACA - FORNECIMENTO E INSTALAÇÃO. AF_12/2015</v>
      </c>
      <c r="C467" s="211">
        <f>ROUND(C468/$F$540,4)</f>
        <v>0.0001</v>
      </c>
      <c r="D467" s="212"/>
      <c r="E467" s="211"/>
      <c r="F467" s="211">
        <v>1</v>
      </c>
      <c r="G467" s="209"/>
    </row>
    <row r="468" spans="1:7" ht="11.25">
      <c r="A468" s="262"/>
      <c r="B468" s="262"/>
      <c r="C468" s="213">
        <f>VLOOKUP($A467,'Orçamento Sintético'!$A:$H,8,0)</f>
        <v>23.71</v>
      </c>
      <c r="D468" s="214">
        <f>ROUND($C468*D467,2)</f>
        <v>0</v>
      </c>
      <c r="E468" s="213">
        <f>ROUND($C468*E467,2)</f>
        <v>0</v>
      </c>
      <c r="F468" s="213">
        <f>ROUND($C468*F467,2)</f>
        <v>23.71</v>
      </c>
      <c r="G468" s="209"/>
    </row>
    <row r="469" spans="1:7" ht="12.75" customHeight="1">
      <c r="A469" s="262" t="s">
        <v>499</v>
      </c>
      <c r="B469" s="262" t="str">
        <f>VLOOKUP($A469,'Orçamento Sintético'!$A:$H,4,0)</f>
        <v>Copia da SINAPI (91998) - TOMADA NO PISO DE EMBUTIR (1 MÓDULO), 2P+T 10 A, SEM SUPORTE E SEM PLACA - FORNECIMENTO E INSTALAÇÃO. AF_12/2015</v>
      </c>
      <c r="C469" s="211">
        <f>ROUND(C470/$F$540,4)</f>
        <v>0.0001</v>
      </c>
      <c r="D469" s="212"/>
      <c r="E469" s="211"/>
      <c r="F469" s="211">
        <v>1</v>
      </c>
      <c r="G469" s="209"/>
    </row>
    <row r="470" spans="1:7" ht="11.25">
      <c r="A470" s="262"/>
      <c r="B470" s="262"/>
      <c r="C470" s="213">
        <f>VLOOKUP($A469,'Orçamento Sintético'!$A:$H,8,0)</f>
        <v>40.58</v>
      </c>
      <c r="D470" s="214">
        <f>ROUND($C470*D469,2)</f>
        <v>0</v>
      </c>
      <c r="E470" s="213">
        <f>ROUND($C470*E469,2)</f>
        <v>0</v>
      </c>
      <c r="F470" s="213">
        <f>ROUND($C470*F469,2)</f>
        <v>40.58</v>
      </c>
      <c r="G470" s="209"/>
    </row>
    <row r="471" spans="1:7" ht="12.75" customHeight="1">
      <c r="A471" s="266" t="s">
        <v>502</v>
      </c>
      <c r="B471" s="266" t="str">
        <f>VLOOKUP($A471,'Orçamento Sintético'!$A:$H,4,0)</f>
        <v>CONDUTORES ELÉTRICOS</v>
      </c>
      <c r="C471" s="215">
        <f>ROUND(C472/$F$540,4)</f>
        <v>0.0186</v>
      </c>
      <c r="D471" s="215">
        <f>ROUND(D472/$C472,4)</f>
        <v>0</v>
      </c>
      <c r="E471" s="215">
        <f>ROUND(E472/$C472,4)</f>
        <v>1</v>
      </c>
      <c r="F471" s="215">
        <f>ROUND(F472/$C472,4)</f>
        <v>0</v>
      </c>
      <c r="G471" s="209"/>
    </row>
    <row r="472" spans="1:7" ht="11.25">
      <c r="A472" s="266"/>
      <c r="B472" s="266"/>
      <c r="C472" s="216">
        <f>VLOOKUP($A471,'Orçamento Sintético'!$A:$H,8,0)</f>
        <v>7325.92</v>
      </c>
      <c r="D472" s="216">
        <f>D474</f>
        <v>0</v>
      </c>
      <c r="E472" s="216">
        <f>E474</f>
        <v>7325.92</v>
      </c>
      <c r="F472" s="216">
        <f>F474</f>
        <v>0</v>
      </c>
      <c r="G472" s="209"/>
    </row>
    <row r="473" spans="1:7" ht="12.75" customHeight="1">
      <c r="A473" s="269" t="s">
        <v>504</v>
      </c>
      <c r="B473" s="269" t="str">
        <f>VLOOKUP($A473,'Orçamento Sintético'!$A:$H,4,0)</f>
        <v>CABOS PVC</v>
      </c>
      <c r="C473" s="217">
        <f>ROUND(C474/$F$540,4)</f>
        <v>0.0186</v>
      </c>
      <c r="D473" s="218">
        <f>ROUND(D474/$C474,4)</f>
        <v>0</v>
      </c>
      <c r="E473" s="218">
        <f>ROUND(E474/$C474,4)</f>
        <v>1</v>
      </c>
      <c r="F473" s="218">
        <f>ROUND(F474/$C474,4)</f>
        <v>0</v>
      </c>
      <c r="G473" s="209"/>
    </row>
    <row r="474" spans="1:7" ht="11.25">
      <c r="A474" s="269"/>
      <c r="B474" s="269"/>
      <c r="C474" s="219">
        <f>VLOOKUP($A473,'Orçamento Sintético'!$A:$H,8,0)</f>
        <v>7325.92</v>
      </c>
      <c r="D474" s="220">
        <f>D476</f>
        <v>0</v>
      </c>
      <c r="E474" s="220">
        <f>E476</f>
        <v>7325.92</v>
      </c>
      <c r="F474" s="220">
        <f>F476</f>
        <v>0</v>
      </c>
      <c r="G474" s="209"/>
    </row>
    <row r="475" spans="1:7" ht="12.75" customHeight="1">
      <c r="A475" s="262" t="s">
        <v>506</v>
      </c>
      <c r="B475" s="262" t="str">
        <f>VLOOKUP($A475,'Orçamento Sintético'!$A:$H,4,0)</f>
        <v>CABO DE COBRE FLEXÍVEL ISOLADO, 2,5 MM², ANTI-CHAMA 450/750 V, PARA CIRCUITOS TERMINAIS - FORNECIMENTO E INSTALAÇÃO. AF_12/2015</v>
      </c>
      <c r="C475" s="211">
        <f>ROUND(C476/$F$540,4)</f>
        <v>0.0186</v>
      </c>
      <c r="D475" s="212"/>
      <c r="E475" s="211">
        <v>1</v>
      </c>
      <c r="F475" s="211"/>
      <c r="G475" s="209"/>
    </row>
    <row r="476" spans="1:7" ht="11.25">
      <c r="A476" s="262"/>
      <c r="B476" s="262"/>
      <c r="C476" s="213">
        <f>VLOOKUP($A475,'Orçamento Sintético'!$A:$H,8,0)</f>
        <v>7325.92</v>
      </c>
      <c r="D476" s="214">
        <f>ROUND($C476*D475,2)</f>
        <v>0</v>
      </c>
      <c r="E476" s="213">
        <f>ROUND($C476*E475,2)</f>
        <v>7325.92</v>
      </c>
      <c r="F476" s="213">
        <f>ROUND($C476*F475,2)</f>
        <v>0</v>
      </c>
      <c r="G476" s="209"/>
    </row>
    <row r="477" spans="1:7" ht="12.75" customHeight="1">
      <c r="A477" s="265" t="s">
        <v>508</v>
      </c>
      <c r="B477" s="265" t="str">
        <f>VLOOKUP($A477,'Orçamento Sintético'!$A:$H,4,0)</f>
        <v>CABEAMENTO ESTRUTURADO</v>
      </c>
      <c r="C477" s="207">
        <f>ROUND(C478/$F$540,4)</f>
        <v>0.0009</v>
      </c>
      <c r="D477" s="207">
        <f>ROUND(D478/$C478,4)</f>
        <v>0</v>
      </c>
      <c r="E477" s="208">
        <f>ROUND(E478/$C478,4)</f>
        <v>0</v>
      </c>
      <c r="F477" s="208">
        <f>ROUND(F478/$C478,4)</f>
        <v>1</v>
      </c>
      <c r="G477" s="209"/>
    </row>
    <row r="478" spans="1:7" ht="11.25">
      <c r="A478" s="265"/>
      <c r="B478" s="265"/>
      <c r="C478" s="210">
        <f>VLOOKUP($A477,'Orçamento Sintético'!$A:$H,8,0)</f>
        <v>347.55</v>
      </c>
      <c r="D478" s="210">
        <f>D480</f>
        <v>0</v>
      </c>
      <c r="E478" s="210">
        <f>E480</f>
        <v>0</v>
      </c>
      <c r="F478" s="210">
        <f>F480</f>
        <v>347.55</v>
      </c>
      <c r="G478" s="209"/>
    </row>
    <row r="479" spans="1:7" ht="12.75" customHeight="1">
      <c r="A479" s="266" t="s">
        <v>510</v>
      </c>
      <c r="B479" s="266" t="str">
        <f>VLOOKUP($A479,'Orçamento Sintético'!$A:$H,4,0)</f>
        <v>TOMADAS DE COMUNICAÇÃO</v>
      </c>
      <c r="C479" s="215">
        <f>ROUND(C480/$F$540,4)</f>
        <v>0.0009</v>
      </c>
      <c r="D479" s="215">
        <f>ROUND(D480/$C480,4)</f>
        <v>0</v>
      </c>
      <c r="E479" s="215">
        <f>ROUND(E480/$C480,4)</f>
        <v>0</v>
      </c>
      <c r="F479" s="215">
        <f>ROUND(F480/$C480,4)</f>
        <v>1</v>
      </c>
      <c r="G479" s="209"/>
    </row>
    <row r="480" spans="1:7" ht="11.25">
      <c r="A480" s="266"/>
      <c r="B480" s="266"/>
      <c r="C480" s="216">
        <f>VLOOKUP($A479,'Orçamento Sintético'!$A:$H,8,0)</f>
        <v>347.55</v>
      </c>
      <c r="D480" s="216">
        <f>D482</f>
        <v>0</v>
      </c>
      <c r="E480" s="216">
        <f>E482</f>
        <v>0</v>
      </c>
      <c r="F480" s="216">
        <f>F482</f>
        <v>347.55</v>
      </c>
      <c r="G480" s="209"/>
    </row>
    <row r="481" spans="1:7" ht="12.75" customHeight="1">
      <c r="A481" s="269" t="s">
        <v>512</v>
      </c>
      <c r="B481" s="269" t="str">
        <f>VLOOKUP($A481,'Orçamento Sintético'!$A:$H,4,0)</f>
        <v>ELEMENTOS DE TOMADAS</v>
      </c>
      <c r="C481" s="217">
        <f>ROUND(C482/$F$540,4)</f>
        <v>0.0009</v>
      </c>
      <c r="D481" s="218">
        <f>ROUND(D482/$C482,4)</f>
        <v>0</v>
      </c>
      <c r="E481" s="218">
        <f>ROUND(E482/$C482,4)</f>
        <v>0</v>
      </c>
      <c r="F481" s="218">
        <f>ROUND(F482/$C482,4)</f>
        <v>1</v>
      </c>
      <c r="G481" s="209"/>
    </row>
    <row r="482" spans="1:7" ht="11.25">
      <c r="A482" s="269"/>
      <c r="B482" s="269"/>
      <c r="C482" s="219">
        <f>VLOOKUP($A481,'Orçamento Sintético'!$A:$H,8,0)</f>
        <v>347.55</v>
      </c>
      <c r="D482" s="220">
        <f>D484+D486</f>
        <v>0</v>
      </c>
      <c r="E482" s="220">
        <f>E484+E486</f>
        <v>0</v>
      </c>
      <c r="F482" s="220">
        <f>F484+F486</f>
        <v>347.55</v>
      </c>
      <c r="G482" s="209"/>
    </row>
    <row r="483" spans="1:7" ht="12.75" customHeight="1">
      <c r="A483" s="262" t="s">
        <v>513</v>
      </c>
      <c r="B483" s="262" t="str">
        <f>VLOOKUP($A483,'Orçamento Sintético'!$A:$H,4,0)</f>
        <v>Copia da SINAPI (98307) - TOMADA DE REDE RJ45 - FORNECIMENTO E INSTALAÇÃO. AF_11/2019</v>
      </c>
      <c r="C483" s="211">
        <f>ROUND(C484/$F$540,4)</f>
        <v>0.0005</v>
      </c>
      <c r="D483" s="212"/>
      <c r="E483" s="211"/>
      <c r="F483" s="211">
        <v>1</v>
      </c>
      <c r="G483" s="209"/>
    </row>
    <row r="484" spans="1:7" ht="11.25">
      <c r="A484" s="262"/>
      <c r="B484" s="262"/>
      <c r="C484" s="213">
        <f>VLOOKUP($A483,'Orçamento Sintético'!$A:$H,8,0)</f>
        <v>201.75</v>
      </c>
      <c r="D484" s="214">
        <f>ROUND($C484*D483,2)</f>
        <v>0</v>
      </c>
      <c r="E484" s="213">
        <f>ROUND($C484*E483,2)</f>
        <v>0</v>
      </c>
      <c r="F484" s="213">
        <f>ROUND($C484*F483,2)</f>
        <v>201.75</v>
      </c>
      <c r="G484" s="209"/>
    </row>
    <row r="485" spans="1:7" ht="12.75" customHeight="1">
      <c r="A485" s="262" t="s">
        <v>516</v>
      </c>
      <c r="B485" s="262" t="str">
        <f>VLOOKUP($A485,'Orçamento Sintético'!$A:$H,4,0)</f>
        <v>Copia da SINAPI (98308) - TOMADA PARA TELEFONE RJ11 - FORNECIMENTO E INSTALAÇÃO. AF_11/2019</v>
      </c>
      <c r="C485" s="211">
        <f>ROUND(C486/$F$540,4)</f>
        <v>0.0004</v>
      </c>
      <c r="D485" s="212"/>
      <c r="E485" s="211"/>
      <c r="F485" s="211">
        <v>1</v>
      </c>
      <c r="G485" s="209"/>
    </row>
    <row r="486" spans="1:7" ht="11.25">
      <c r="A486" s="262"/>
      <c r="B486" s="262"/>
      <c r="C486" s="213">
        <f>VLOOKUP($A485,'Orçamento Sintético'!$A:$H,8,0)</f>
        <v>145.8</v>
      </c>
      <c r="D486" s="214">
        <f>ROUND($C486*D485,2)</f>
        <v>0</v>
      </c>
      <c r="E486" s="213">
        <f>ROUND($C486*E485,2)</f>
        <v>0</v>
      </c>
      <c r="F486" s="213">
        <f>ROUND($C486*F485,2)</f>
        <v>145.8</v>
      </c>
      <c r="G486" s="209"/>
    </row>
    <row r="487" spans="1:7" ht="12.75" customHeight="1">
      <c r="A487" s="265" t="s">
        <v>519</v>
      </c>
      <c r="B487" s="265" t="str">
        <f>VLOOKUP($A487,'Orçamento Sintético'!$A:$H,4,0)</f>
        <v>ACESSÓRIOS</v>
      </c>
      <c r="C487" s="207">
        <f>ROUND(C488/$F$540,4)</f>
        <v>0.0003</v>
      </c>
      <c r="D487" s="207">
        <f>ROUND(D488/$C488,4)</f>
        <v>0</v>
      </c>
      <c r="E487" s="208">
        <f>ROUND(E488/$C488,4)</f>
        <v>1</v>
      </c>
      <c r="F487" s="208">
        <f>ROUND(F488/$C488,4)</f>
        <v>0</v>
      </c>
      <c r="G487" s="209"/>
    </row>
    <row r="488" spans="1:7" ht="11.25">
      <c r="A488" s="265"/>
      <c r="B488" s="265"/>
      <c r="C488" s="210">
        <f>VLOOKUP($A487,'Orçamento Sintético'!$A:$H,8,0)</f>
        <v>117.46</v>
      </c>
      <c r="D488" s="210">
        <f>D490</f>
        <v>0</v>
      </c>
      <c r="E488" s="210">
        <f>E490</f>
        <v>117.46</v>
      </c>
      <c r="F488" s="210">
        <f>F490</f>
        <v>0</v>
      </c>
      <c r="G488" s="209"/>
    </row>
    <row r="489" spans="1:7" ht="12.75" customHeight="1">
      <c r="A489" s="266" t="s">
        <v>521</v>
      </c>
      <c r="B489" s="266" t="str">
        <f>VLOOKUP($A489,'Orçamento Sintético'!$A:$H,4,0)</f>
        <v>IDENTIFICADORES</v>
      </c>
      <c r="C489" s="215">
        <f>ROUND(C490/$F$540,4)</f>
        <v>0.0003</v>
      </c>
      <c r="D489" s="215">
        <f>ROUND(D490/$C490,4)</f>
        <v>0</v>
      </c>
      <c r="E489" s="215">
        <f>ROUND(E490/$C490,4)</f>
        <v>1</v>
      </c>
      <c r="F489" s="215">
        <f>ROUND(F490/$C490,4)</f>
        <v>0</v>
      </c>
      <c r="G489" s="209"/>
    </row>
    <row r="490" spans="1:7" ht="11.25">
      <c r="A490" s="266"/>
      <c r="B490" s="266"/>
      <c r="C490" s="216">
        <f>VLOOKUP($A489,'Orçamento Sintético'!$A:$H,8,0)</f>
        <v>117.46</v>
      </c>
      <c r="D490" s="216">
        <f>D492</f>
        <v>0</v>
      </c>
      <c r="E490" s="216">
        <f>E492</f>
        <v>117.46</v>
      </c>
      <c r="F490" s="216">
        <f>F492</f>
        <v>0</v>
      </c>
      <c r="G490" s="209"/>
    </row>
    <row r="491" spans="1:7" ht="12.75" customHeight="1">
      <c r="A491" s="269" t="s">
        <v>523</v>
      </c>
      <c r="B491" s="269" t="str">
        <f>VLOOKUP($A491,'Orçamento Sintético'!$A:$H,4,0)</f>
        <v>MARCADORES TIPO ANILHA</v>
      </c>
      <c r="C491" s="217">
        <f>ROUND(C492/$F$540,4)</f>
        <v>0.0003</v>
      </c>
      <c r="D491" s="218">
        <f>ROUND(D492/$C492,4)</f>
        <v>0</v>
      </c>
      <c r="E491" s="218">
        <f>ROUND(E492/$C492,4)</f>
        <v>1</v>
      </c>
      <c r="F491" s="218">
        <f>ROUND(F492/$C492,4)</f>
        <v>0</v>
      </c>
      <c r="G491" s="209"/>
    </row>
    <row r="492" spans="1:7" ht="11.25">
      <c r="A492" s="269"/>
      <c r="B492" s="269"/>
      <c r="C492" s="219">
        <f>VLOOKUP($A491,'Orçamento Sintético'!$A:$H,8,0)</f>
        <v>117.46</v>
      </c>
      <c r="D492" s="220">
        <f>D494</f>
        <v>0</v>
      </c>
      <c r="E492" s="220">
        <f>E494</f>
        <v>117.46</v>
      </c>
      <c r="F492" s="220">
        <f>F494</f>
        <v>0</v>
      </c>
      <c r="G492" s="209"/>
    </row>
    <row r="493" spans="1:7" ht="12.75" customHeight="1">
      <c r="A493" s="262" t="s">
        <v>525</v>
      </c>
      <c r="B493" s="262" t="str">
        <f>VLOOKUP($A493,'Orçamento Sintético'!$A:$H,4,0)</f>
        <v>Copia da ORSE (698) - Fornecimento e colocação de anilha para identificação</v>
      </c>
      <c r="C493" s="211">
        <f>ROUND(C494/$F$540,4)</f>
        <v>0.0003</v>
      </c>
      <c r="D493" s="212"/>
      <c r="E493" s="211">
        <v>1</v>
      </c>
      <c r="F493" s="211"/>
      <c r="G493" s="209"/>
    </row>
    <row r="494" spans="1:7" ht="11.25">
      <c r="A494" s="262"/>
      <c r="B494" s="262"/>
      <c r="C494" s="213">
        <f>VLOOKUP($A493,'Orçamento Sintético'!$A:$H,8,0)</f>
        <v>117.46</v>
      </c>
      <c r="D494" s="214">
        <f>ROUND($C494*D493,2)</f>
        <v>0</v>
      </c>
      <c r="E494" s="213">
        <f>ROUND($C494*E493,2)</f>
        <v>117.46</v>
      </c>
      <c r="F494" s="213">
        <f>ROUND($C494*F493,2)</f>
        <v>0</v>
      </c>
      <c r="G494" s="209"/>
    </row>
    <row r="495" spans="1:7" ht="12.75" customHeight="1">
      <c r="A495" s="265" t="s">
        <v>529</v>
      </c>
      <c r="B495" s="265" t="str">
        <f>VLOOKUP($A495,'Orçamento Sintético'!$A:$H,4,0)</f>
        <v>CONDUTOS</v>
      </c>
      <c r="C495" s="207">
        <f>ROUND(C496/$F$540,4)</f>
        <v>0.0387</v>
      </c>
      <c r="D495" s="207">
        <f>ROUND(D496/$C496,4)</f>
        <v>0</v>
      </c>
      <c r="E495" s="208">
        <f>ROUND(E496/$C496,4)</f>
        <v>0.9652</v>
      </c>
      <c r="F495" s="208">
        <f>ROUND(F496/$C496,4)</f>
        <v>0.0348</v>
      </c>
      <c r="G495" s="209"/>
    </row>
    <row r="496" spans="1:7" ht="11.25">
      <c r="A496" s="265"/>
      <c r="B496" s="265"/>
      <c r="C496" s="210">
        <f>VLOOKUP($A495,'Orçamento Sintético'!$A:$H,8,0)</f>
        <v>15207.03</v>
      </c>
      <c r="D496" s="210">
        <f>D498+D514</f>
        <v>0</v>
      </c>
      <c r="E496" s="210">
        <f>E498+E514</f>
        <v>14678.35</v>
      </c>
      <c r="F496" s="210">
        <f>F498+F514</f>
        <v>528.6800000000001</v>
      </c>
      <c r="G496" s="209"/>
    </row>
    <row r="497" spans="1:7" ht="12.75" customHeight="1">
      <c r="A497" s="266" t="s">
        <v>531</v>
      </c>
      <c r="B497" s="266" t="str">
        <f>VLOOKUP($A497,'Orçamento Sintético'!$A:$H,4,0)</f>
        <v>ELETRODUTOS</v>
      </c>
      <c r="C497" s="215">
        <f>ROUND(C498/$F$540,4)</f>
        <v>0.0304</v>
      </c>
      <c r="D497" s="215">
        <f>ROUND(D498/$C498,4)</f>
        <v>0</v>
      </c>
      <c r="E497" s="215">
        <f>ROUND(E498/$C498,4)</f>
        <v>0.9558</v>
      </c>
      <c r="F497" s="215">
        <f>ROUND(F498/$C498,4)</f>
        <v>0.0442</v>
      </c>
      <c r="G497" s="209"/>
    </row>
    <row r="498" spans="1:7" ht="11.25">
      <c r="A498" s="266"/>
      <c r="B498" s="266"/>
      <c r="C498" s="216">
        <f>VLOOKUP($A497,'Orçamento Sintético'!$A:$H,8,0)</f>
        <v>11955.03</v>
      </c>
      <c r="D498" s="216">
        <f>D500+D506</f>
        <v>0</v>
      </c>
      <c r="E498" s="216">
        <f>E500+E506</f>
        <v>11426.35</v>
      </c>
      <c r="F498" s="216">
        <f>F500+F506</f>
        <v>528.6800000000001</v>
      </c>
      <c r="G498" s="209"/>
    </row>
    <row r="499" spans="1:7" ht="12.75" customHeight="1">
      <c r="A499" s="269" t="s">
        <v>533</v>
      </c>
      <c r="B499" s="269" t="str">
        <f>VLOOKUP($A499,'Orçamento Sintético'!$A:$H,4,0)</f>
        <v>METÁLICO RÍGIDO</v>
      </c>
      <c r="C499" s="217">
        <f>ROUND(C500/$F$540,4)</f>
        <v>0.0153</v>
      </c>
      <c r="D499" s="218">
        <f>ROUND(D500/$C500,4)</f>
        <v>0</v>
      </c>
      <c r="E499" s="218">
        <f>ROUND(E500/$C500,4)</f>
        <v>1</v>
      </c>
      <c r="F499" s="218">
        <f>ROUND(F500/$C500,4)</f>
        <v>0</v>
      </c>
      <c r="G499" s="209"/>
    </row>
    <row r="500" spans="1:7" ht="11.25">
      <c r="A500" s="269"/>
      <c r="B500" s="269"/>
      <c r="C500" s="219">
        <f>VLOOKUP($A499,'Orçamento Sintético'!$A:$H,8,0)</f>
        <v>6022.38</v>
      </c>
      <c r="D500" s="220">
        <f>D502+D504</f>
        <v>0</v>
      </c>
      <c r="E500" s="220">
        <f>E502+E504</f>
        <v>6022.38</v>
      </c>
      <c r="F500" s="220">
        <f>F502+F504</f>
        <v>0</v>
      </c>
      <c r="G500" s="204"/>
    </row>
    <row r="501" spans="1:7" ht="15" customHeight="1">
      <c r="A501" s="262" t="s">
        <v>535</v>
      </c>
      <c r="B501" s="262" t="str">
        <f>VLOOKUP($A501,'Orçamento Sintético'!$A:$H,4,0)</f>
        <v>Copia da SINAPI (95746) - Eletroduto rígido de 25mm em aço carbono sem costura, parede classe pesada de espessura ≥1,5mm, com revestimento protetor de zinco aplicado a quente, extremidades com rosa BSP. Fabricação Apolo Tubos e Equipamentos</v>
      </c>
      <c r="C501" s="211">
        <f>ROUND(C502/$F$540,4)</f>
        <v>0.0145</v>
      </c>
      <c r="D501" s="212"/>
      <c r="E501" s="211">
        <v>1</v>
      </c>
      <c r="F501" s="211"/>
      <c r="G501" s="204"/>
    </row>
    <row r="502" spans="1:7" ht="16.5" customHeight="1">
      <c r="A502" s="262"/>
      <c r="B502" s="262"/>
      <c r="C502" s="213">
        <f>VLOOKUP($A501,'Orçamento Sintético'!$A:$H,8,0)</f>
        <v>5704.38</v>
      </c>
      <c r="D502" s="214">
        <f>ROUND($C502*D501,2)</f>
        <v>0</v>
      </c>
      <c r="E502" s="213">
        <f>ROUND($C502*E501,2)</f>
        <v>5704.38</v>
      </c>
      <c r="F502" s="213">
        <f>ROUND($C502*F501,2)</f>
        <v>0</v>
      </c>
      <c r="G502" s="204"/>
    </row>
    <row r="503" spans="1:7" ht="12.75" customHeight="1">
      <c r="A503" s="262" t="s">
        <v>538</v>
      </c>
      <c r="B503" s="262" t="str">
        <f>VLOOKUP($A503,'Orçamento Sintético'!$A:$H,4,0)</f>
        <v>Copia da SBC (063756) - Saída horizontal para eletroduto Ø 3/4"</v>
      </c>
      <c r="C503" s="211">
        <f>ROUND(C504/$F$540,4)</f>
        <v>0.0008</v>
      </c>
      <c r="D503" s="212"/>
      <c r="E503" s="211">
        <v>1</v>
      </c>
      <c r="F503" s="211"/>
      <c r="G503" s="204"/>
    </row>
    <row r="504" spans="1:7" ht="11.25">
      <c r="A504" s="262"/>
      <c r="B504" s="262"/>
      <c r="C504" s="213">
        <f>VLOOKUP($A503,'Orçamento Sintético'!$A:$H,8,0)</f>
        <v>318</v>
      </c>
      <c r="D504" s="214">
        <f>ROUND($C504*D503,2)</f>
        <v>0</v>
      </c>
      <c r="E504" s="213">
        <f>ROUND($C504*E503,2)</f>
        <v>318</v>
      </c>
      <c r="F504" s="213">
        <f>ROUND($C504*F503,2)</f>
        <v>0</v>
      </c>
      <c r="G504" s="209"/>
    </row>
    <row r="505" spans="1:7" ht="12.75" customHeight="1">
      <c r="A505" s="269" t="s">
        <v>541</v>
      </c>
      <c r="B505" s="269" t="str">
        <f>VLOOKUP($A505,'Orçamento Sintético'!$A:$H,4,0)</f>
        <v>CAIXA CONDULETE METÁLICA</v>
      </c>
      <c r="C505" s="217">
        <f>ROUND(C506/$F$540,4)</f>
        <v>0.0151</v>
      </c>
      <c r="D505" s="218">
        <f>ROUND(D506/$C506,4)</f>
        <v>0</v>
      </c>
      <c r="E505" s="218">
        <f>ROUND(E506/$C506,4)</f>
        <v>0.9109</v>
      </c>
      <c r="F505" s="218">
        <f>ROUND(F506/$C506,4)</f>
        <v>0.0891</v>
      </c>
      <c r="G505" s="209"/>
    </row>
    <row r="506" spans="1:7" ht="11.25">
      <c r="A506" s="269"/>
      <c r="B506" s="269"/>
      <c r="C506" s="219">
        <f>VLOOKUP($A505,'Orçamento Sintético'!$A:$H,8,0)</f>
        <v>5932.650000000001</v>
      </c>
      <c r="D506" s="220">
        <f>D508+D510+D512</f>
        <v>0</v>
      </c>
      <c r="E506" s="220">
        <f>E508+E510+E512</f>
        <v>5403.97</v>
      </c>
      <c r="F506" s="220">
        <f>F508+F510+F512</f>
        <v>528.6800000000001</v>
      </c>
      <c r="G506" s="209"/>
    </row>
    <row r="507" spans="1:7" ht="12.75" customHeight="1">
      <c r="A507" s="262" t="s">
        <v>543</v>
      </c>
      <c r="B507" s="262" t="str">
        <f>VLOOKUP($A507,'Orçamento Sintético'!$A:$H,4,0)</f>
        <v>CONDULETE DE ALUMÍNIO, TIPO LR, PARA ELETRODUTO DE AÇO GALVANIZADO DN 25 MM (1</v>
      </c>
      <c r="C507" s="211">
        <f>ROUND(C508/$F$540,4)</f>
        <v>0.0137</v>
      </c>
      <c r="D507" s="212"/>
      <c r="E507" s="211">
        <v>1</v>
      </c>
      <c r="F507" s="211"/>
      <c r="G507" s="209"/>
    </row>
    <row r="508" spans="1:7" ht="11.25">
      <c r="A508" s="262"/>
      <c r="B508" s="262"/>
      <c r="C508" s="213">
        <f>VLOOKUP($A507,'Orçamento Sintético'!$A:$H,8,0)</f>
        <v>5403.97</v>
      </c>
      <c r="D508" s="214">
        <f>ROUND($C508*D507,2)</f>
        <v>0</v>
      </c>
      <c r="E508" s="213">
        <f>ROUND($C508*E507,2)</f>
        <v>5403.97</v>
      </c>
      <c r="F508" s="213">
        <f>ROUND($C508*F507,2)</f>
        <v>0</v>
      </c>
      <c r="G508" s="209"/>
    </row>
    <row r="509" spans="1:7" ht="12.75" customHeight="1">
      <c r="A509" s="262" t="s">
        <v>545</v>
      </c>
      <c r="B509" s="262" t="str">
        <f>VLOOKUP($A509,'Orçamento Sintético'!$A:$H,4,0)</f>
        <v>Copia da SBC (062616) - TAMPA EM ALUMINIO CONDULETE 3/4"", UM POSTO</v>
      </c>
      <c r="C509" s="211">
        <f>ROUND(C510/$F$540,4)</f>
        <v>0.0012</v>
      </c>
      <c r="D509" s="212"/>
      <c r="E509" s="211"/>
      <c r="F509" s="211">
        <v>1</v>
      </c>
      <c r="G509" s="209"/>
    </row>
    <row r="510" spans="1:7" ht="11.25">
      <c r="A510" s="262"/>
      <c r="B510" s="262"/>
      <c r="C510" s="213">
        <f>VLOOKUP($A509,'Orçamento Sintético'!$A:$H,8,0)</f>
        <v>454.23</v>
      </c>
      <c r="D510" s="214">
        <f>ROUND($C510*D509,2)</f>
        <v>0</v>
      </c>
      <c r="E510" s="213">
        <f>ROUND($C510*E509,2)</f>
        <v>0</v>
      </c>
      <c r="F510" s="213">
        <f>ROUND($C510*F509,2)</f>
        <v>454.23</v>
      </c>
      <c r="G510" s="209"/>
    </row>
    <row r="511" spans="1:7" ht="12.75" customHeight="1">
      <c r="A511" s="262" t="s">
        <v>548</v>
      </c>
      <c r="B511" s="262" t="str">
        <f>VLOOKUP($A511,'Orçamento Sintético'!$A:$H,4,0)</f>
        <v>Copia da SBC (062617) - TAMPA EM ALUMINIO PARA CONDULETE, COM 2 POSTOS PARA RJ45 ou RJ11</v>
      </c>
      <c r="C511" s="211">
        <f>ROUND(C512/$F$540,4)</f>
        <v>0.0002</v>
      </c>
      <c r="D511" s="212"/>
      <c r="E511" s="211"/>
      <c r="F511" s="211">
        <v>1</v>
      </c>
      <c r="G511" s="209"/>
    </row>
    <row r="512" spans="1:7" ht="11.25">
      <c r="A512" s="262"/>
      <c r="B512" s="262"/>
      <c r="C512" s="213">
        <f>VLOOKUP($A511,'Orçamento Sintético'!$A:$H,8,0)</f>
        <v>74.45</v>
      </c>
      <c r="D512" s="214">
        <f>ROUND($C512*D511,2)</f>
        <v>0</v>
      </c>
      <c r="E512" s="213">
        <f>ROUND($C512*E511,2)</f>
        <v>0</v>
      </c>
      <c r="F512" s="213">
        <f>ROUND($C512*F511,2)</f>
        <v>74.45</v>
      </c>
      <c r="G512" s="209"/>
    </row>
    <row r="513" spans="1:7" ht="12.75" customHeight="1">
      <c r="A513" s="266" t="s">
        <v>551</v>
      </c>
      <c r="B513" s="266" t="str">
        <f>VLOOKUP($A513,'Orçamento Sintético'!$A:$H,4,0)</f>
        <v>ELETROCALHAS</v>
      </c>
      <c r="C513" s="215">
        <f>ROUND(C514/$F$540,4)</f>
        <v>0.0083</v>
      </c>
      <c r="D513" s="215">
        <f>ROUND(D514/$C514,4)</f>
        <v>0</v>
      </c>
      <c r="E513" s="215">
        <f>ROUND(E514/$C514,4)</f>
        <v>1</v>
      </c>
      <c r="F513" s="215">
        <f>ROUND(F514/$C514,4)</f>
        <v>0</v>
      </c>
      <c r="G513" s="209"/>
    </row>
    <row r="514" spans="1:7" ht="11.25">
      <c r="A514" s="266"/>
      <c r="B514" s="266"/>
      <c r="C514" s="216">
        <f>VLOOKUP($A513,'Orçamento Sintético'!$A:$H,8,0)</f>
        <v>3252</v>
      </c>
      <c r="D514" s="216">
        <f>D516</f>
        <v>0</v>
      </c>
      <c r="E514" s="216">
        <f>E516</f>
        <v>3252</v>
      </c>
      <c r="F514" s="216">
        <f>F516</f>
        <v>0</v>
      </c>
      <c r="G514" s="209"/>
    </row>
    <row r="515" spans="1:7" ht="12.75" customHeight="1">
      <c r="A515" s="262" t="s">
        <v>553</v>
      </c>
      <c r="B515" s="262" t="str">
        <f>VLOOKUP($A515,'Orçamento Sintético'!$A:$H,4,0)</f>
        <v>Copia da SETOP (ELE-CAL-045) - Eletrocalha perfurada, chapa mínima de 20, tipo "C", 100x50mm, incluindo divisores perfurados perfil "L", conexões e fixações, fab. Mopa</v>
      </c>
      <c r="C515" s="211">
        <f>ROUND(C516/$F$540,4)</f>
        <v>0.0083</v>
      </c>
      <c r="D515" s="212"/>
      <c r="E515" s="211">
        <v>1</v>
      </c>
      <c r="F515" s="211"/>
      <c r="G515" s="209"/>
    </row>
    <row r="516" spans="1:7" ht="11.25">
      <c r="A516" s="262"/>
      <c r="B516" s="262"/>
      <c r="C516" s="213">
        <f>VLOOKUP($A515,'Orçamento Sintético'!$A:$H,8,0)</f>
        <v>3252</v>
      </c>
      <c r="D516" s="214">
        <f>ROUND($C516*D515,2)</f>
        <v>0</v>
      </c>
      <c r="E516" s="213">
        <f>ROUND($C516*E515,2)</f>
        <v>3252</v>
      </c>
      <c r="F516" s="213">
        <f>ROUND($C516*F515,2)</f>
        <v>0</v>
      </c>
      <c r="G516" s="209"/>
    </row>
    <row r="517" spans="1:7" ht="12.75" customHeight="1">
      <c r="A517" s="265" t="s">
        <v>556</v>
      </c>
      <c r="B517" s="265" t="str">
        <f>VLOOKUP($A517,'Orçamento Sintético'!$A:$H,4,0)</f>
        <v>SERVIÇOS DIVERSOS</v>
      </c>
      <c r="C517" s="207">
        <f>ROUND(C518/$F$540,4)</f>
        <v>0.0004</v>
      </c>
      <c r="D517" s="207">
        <f>ROUND(D518/$C518,4)</f>
        <v>0</v>
      </c>
      <c r="E517" s="208">
        <f>ROUND(E518/$C518,4)</f>
        <v>0</v>
      </c>
      <c r="F517" s="208">
        <f>ROUND(F518/$C518,4)</f>
        <v>1</v>
      </c>
      <c r="G517" s="209"/>
    </row>
    <row r="518" spans="1:7" ht="11.25">
      <c r="A518" s="265"/>
      <c r="B518" s="265"/>
      <c r="C518" s="210">
        <f>VLOOKUP($A517,'Orçamento Sintético'!$A:$H,8,0)</f>
        <v>146.3</v>
      </c>
      <c r="D518" s="210">
        <f>D520</f>
        <v>0</v>
      </c>
      <c r="E518" s="210">
        <f>E520</f>
        <v>0</v>
      </c>
      <c r="F518" s="210">
        <f>F520</f>
        <v>146.3</v>
      </c>
      <c r="G518" s="209"/>
    </row>
    <row r="519" spans="1:7" ht="12.75" customHeight="1">
      <c r="A519" s="262" t="s">
        <v>557</v>
      </c>
      <c r="B519" s="262" t="str">
        <f>VLOOKUP($A519,'Orçamento Sintético'!$A:$H,4,0)</f>
        <v>Identificação, teste e certificação de pontos de rede lógica, emissão de relatório</v>
      </c>
      <c r="C519" s="211">
        <f>ROUND(C520/$F$540,4)</f>
        <v>0.0004</v>
      </c>
      <c r="D519" s="212"/>
      <c r="E519" s="211"/>
      <c r="F519" s="211">
        <v>1</v>
      </c>
      <c r="G519" s="209"/>
    </row>
    <row r="520" spans="1:7" ht="11.25">
      <c r="A520" s="262"/>
      <c r="B520" s="262"/>
      <c r="C520" s="213">
        <f>VLOOKUP($A519,'Orçamento Sintético'!$A:$H,8,0)</f>
        <v>146.3</v>
      </c>
      <c r="D520" s="214">
        <f>ROUND($C520*D519,2)</f>
        <v>0</v>
      </c>
      <c r="E520" s="213">
        <f>ROUND($C520*E519,2)</f>
        <v>0</v>
      </c>
      <c r="F520" s="213">
        <f>ROUND($C520*F519,2)</f>
        <v>146.3</v>
      </c>
      <c r="G520" s="209"/>
    </row>
    <row r="521" spans="1:7" ht="12.75" customHeight="1">
      <c r="A521" s="267" t="s">
        <v>1277</v>
      </c>
      <c r="B521" s="268" t="str">
        <f>VLOOKUP($A521,'Orçamento Sintético'!$A:$H,4,0)</f>
        <v>INSTALAÇÕES MECÂNICAS</v>
      </c>
      <c r="C521" s="202">
        <f>ROUND(C522/$F$540,4)</f>
        <v>0.0232</v>
      </c>
      <c r="D521" s="203">
        <f>ROUND(D522/$C522,4)</f>
        <v>0</v>
      </c>
      <c r="E521" s="203">
        <f>ROUND(E522/$C522,4)</f>
        <v>0.1734</v>
      </c>
      <c r="F521" s="203">
        <f>ROUND(F522/$C522,4)</f>
        <v>0.8266</v>
      </c>
      <c r="G521" s="204"/>
    </row>
    <row r="522" spans="1:7" ht="11.25">
      <c r="A522" s="267"/>
      <c r="B522" s="268"/>
      <c r="C522" s="205">
        <f>VLOOKUP($A521,'Orçamento Sintético'!$A:$H,8,0)</f>
        <v>9112.91</v>
      </c>
      <c r="D522" s="206">
        <f>D524</f>
        <v>0</v>
      </c>
      <c r="E522" s="206">
        <f>E524</f>
        <v>1580.4699999999998</v>
      </c>
      <c r="F522" s="206">
        <f>F524</f>
        <v>7532.4400000000005</v>
      </c>
      <c r="G522" s="204"/>
    </row>
    <row r="523" spans="1:7" ht="12.75" customHeight="1">
      <c r="A523" s="265" t="s">
        <v>561</v>
      </c>
      <c r="B523" s="265" t="str">
        <f>VLOOKUP($A523,'Orçamento Sintético'!$A:$H,4,0)</f>
        <v>AR CONDICIONADO E VENTILAÇÃO</v>
      </c>
      <c r="C523" s="207">
        <f>ROUND(C524/$F$540,4)</f>
        <v>0.0232</v>
      </c>
      <c r="D523" s="207">
        <f>ROUND(D524/$C524,4)</f>
        <v>0</v>
      </c>
      <c r="E523" s="208">
        <f>ROUND(E524/$C524,4)</f>
        <v>0.1734</v>
      </c>
      <c r="F523" s="208">
        <f>ROUND(F524/$C524,4)</f>
        <v>0.8266</v>
      </c>
      <c r="G523" s="204"/>
    </row>
    <row r="524" spans="1:7" ht="11.25">
      <c r="A524" s="265"/>
      <c r="B524" s="265"/>
      <c r="C524" s="210">
        <f>VLOOKUP($A523,'Orçamento Sintético'!$A:$H,8,0)</f>
        <v>9112.91</v>
      </c>
      <c r="D524" s="210">
        <f>D526</f>
        <v>0</v>
      </c>
      <c r="E524" s="210">
        <f>E526</f>
        <v>1580.4699999999998</v>
      </c>
      <c r="F524" s="210">
        <f>F526</f>
        <v>7532.4400000000005</v>
      </c>
      <c r="G524" s="209"/>
    </row>
    <row r="525" spans="1:7" ht="12.75" customHeight="1">
      <c r="A525" s="266" t="s">
        <v>563</v>
      </c>
      <c r="B525" s="266" t="str">
        <f>VLOOKUP($A525,'Orçamento Sintético'!$A:$H,4,0)</f>
        <v>AR CONDICIONADO LOCAL</v>
      </c>
      <c r="C525" s="215">
        <f>ROUND(C526/$F$540,4)</f>
        <v>0.0232</v>
      </c>
      <c r="D525" s="215">
        <f>ROUND(D526/$C526,4)</f>
        <v>0</v>
      </c>
      <c r="E525" s="215">
        <f>ROUND(E526/$C526,4)</f>
        <v>0.1734</v>
      </c>
      <c r="F525" s="215">
        <f>ROUND(F526/$C526,4)</f>
        <v>0.8266</v>
      </c>
      <c r="G525" s="209"/>
    </row>
    <row r="526" spans="1:7" ht="11.25">
      <c r="A526" s="266"/>
      <c r="B526" s="266"/>
      <c r="C526" s="216">
        <f>VLOOKUP($A525,'Orçamento Sintético'!$A:$H,8,0)</f>
        <v>9112.91</v>
      </c>
      <c r="D526" s="216">
        <f>D528+D530+D532+D534</f>
        <v>0</v>
      </c>
      <c r="E526" s="216">
        <f>E528+E530+E532+E534</f>
        <v>1580.4699999999998</v>
      </c>
      <c r="F526" s="216">
        <f>F528+F530+F532+F534</f>
        <v>7532.4400000000005</v>
      </c>
      <c r="G526" s="204"/>
    </row>
    <row r="527" spans="1:7" ht="12.75" customHeight="1">
      <c r="A527" s="262" t="s">
        <v>565</v>
      </c>
      <c r="B527" s="262" t="str">
        <f>VLOOKUP($A527,'Orçamento Sintético'!$A:$H,4,0)</f>
        <v>Copia da SINAPI (103250) - INSTALAÇÃO DE AR CONDICIONADO SPLIT INVERTER, HI-WALL (PAREDE), 18000 BTU/H, CICLO FRIO - SOMENTE INSTALAÇÃO.</v>
      </c>
      <c r="C527" s="211">
        <f>ROUND(C528/$F$540,4)</f>
        <v>0.0006</v>
      </c>
      <c r="D527" s="212"/>
      <c r="E527" s="211"/>
      <c r="F527" s="211">
        <v>1</v>
      </c>
      <c r="G527" s="209"/>
    </row>
    <row r="528" spans="1:7" ht="11.25">
      <c r="A528" s="262"/>
      <c r="B528" s="262"/>
      <c r="C528" s="213">
        <f>VLOOKUP($A527,'Orçamento Sintético'!$A:$H,8,0)</f>
        <v>220.63</v>
      </c>
      <c r="D528" s="214">
        <f>ROUND($C528*D527,2)</f>
        <v>0</v>
      </c>
      <c r="E528" s="213">
        <f>ROUND($C528*E527,2)</f>
        <v>0</v>
      </c>
      <c r="F528" s="213">
        <f>ROUND($C528*F527,2)</f>
        <v>220.63</v>
      </c>
      <c r="G528" s="209"/>
    </row>
    <row r="529" spans="1:7" ht="37.5" customHeight="1">
      <c r="A529" s="262" t="s">
        <v>568</v>
      </c>
      <c r="B529" s="262" t="str">
        <f>VLOOKUP($A529,'Orçamento Sintético'!$A:$H,4,0)</f>
        <v>Aparelho de ar condicionado de expansão direta split, tipo hi-wall, gás refrigerante R-410A, compressor com sistema inverter,  capacidade nominal de resfriamento de 12.000 BTU/h , dimensões da unidade externa (AxLxP) 550 x 740 x 326mm, massa 26kg, dimensões da unidade interna (AxLxP) 285 x 770 x 225mm, massa 8 kg, linha de líquido Ø6,35mm, linha de sucção Ø9,53mm, conexão do dreno de Ø20mm, cor branca, alimentação elétrica 220- monofásica-60Hz, potência elétrica 1,03kW, COP 3,45, incluindo: filtro de ar e controle remoto sem fio. Modelo de referência: DAIKIN- STK12P5VL (FTK12P5VL+RK12P5VL) ou similar equivalente.</v>
      </c>
      <c r="C529" s="211">
        <f>ROUND(C530/$F$540,4)</f>
        <v>0.0186</v>
      </c>
      <c r="D529" s="212"/>
      <c r="E529" s="211"/>
      <c r="F529" s="211">
        <v>1</v>
      </c>
      <c r="G529" s="209"/>
    </row>
    <row r="530" spans="1:7" ht="39" customHeight="1">
      <c r="A530" s="262"/>
      <c r="B530" s="262"/>
      <c r="C530" s="213">
        <f>VLOOKUP($A529,'Orçamento Sintético'!$A:$H,8,0)</f>
        <v>7311.81</v>
      </c>
      <c r="D530" s="214">
        <f>ROUND($C530*D529,2)</f>
        <v>0</v>
      </c>
      <c r="E530" s="213">
        <f>ROUND($C530*E529,2)</f>
        <v>0</v>
      </c>
      <c r="F530" s="213">
        <f>ROUND($C530*F529,2)</f>
        <v>7311.81</v>
      </c>
      <c r="G530" s="209"/>
    </row>
    <row r="531" spans="1:7" ht="16.5" customHeight="1">
      <c r="A531" s="262" t="s">
        <v>571</v>
      </c>
      <c r="B531" s="262" t="str">
        <f>VLOOKUP($A531,'Orçamento Sintético'!$A:$H,4,0)</f>
        <v>TUBO EM COBRE FLEXÍVEL, DN 1/4, COM ISOLAMENTO, INSTALADO EM RAMAL DE ALIMENTAÇÃO DE AR CONDICIONADO COM CONDENSADORA INDIVIDUAL   FORNECIMENTO E INSTALAÇÃO. AF_12/2015</v>
      </c>
      <c r="C531" s="211">
        <f>ROUND(C532/$F$540,4)</f>
        <v>0.0014</v>
      </c>
      <c r="D531" s="212"/>
      <c r="E531" s="211">
        <v>1</v>
      </c>
      <c r="F531" s="211"/>
      <c r="G531" s="209"/>
    </row>
    <row r="532" spans="1:7" ht="18.75" customHeight="1">
      <c r="A532" s="262"/>
      <c r="B532" s="262"/>
      <c r="C532" s="213">
        <f>VLOOKUP($A531,'Orçamento Sintético'!$A:$H,8,0)</f>
        <v>549.61</v>
      </c>
      <c r="D532" s="214">
        <f>ROUND($C532*D531,2)</f>
        <v>0</v>
      </c>
      <c r="E532" s="213">
        <f>ROUND($C532*E531,2)</f>
        <v>549.61</v>
      </c>
      <c r="F532" s="213">
        <f>ROUND($C532*F531,2)</f>
        <v>0</v>
      </c>
      <c r="G532" s="209"/>
    </row>
    <row r="533" spans="1:7" ht="15.75" customHeight="1">
      <c r="A533" s="262" t="s">
        <v>573</v>
      </c>
      <c r="B533" s="262" t="str">
        <f>VLOOKUP($A533,'Orçamento Sintético'!$A:$H,4,0)</f>
        <v>TUBO EM COBRE FLEXÍVEL, DN 3/8", COM ISOLAMENTO, INSTALADO EM RAMAL DE ALIMENTAÇÃO DE AR CONDICIONADO COM CONDENSADORA INDIVIDUAL  FORNECIMENTO E INSTALAÇÃO. AF_12/2015</v>
      </c>
      <c r="C533" s="211">
        <f>ROUND(C534/$F$540,4)</f>
        <v>0.0026</v>
      </c>
      <c r="D533" s="212"/>
      <c r="E533" s="211">
        <v>1</v>
      </c>
      <c r="F533" s="211"/>
      <c r="G533" s="209"/>
    </row>
    <row r="534" spans="1:7" ht="17.25" customHeight="1">
      <c r="A534" s="262"/>
      <c r="B534" s="262"/>
      <c r="C534" s="213">
        <f>VLOOKUP($A533,'Orçamento Sintético'!$A:$H,8,0)</f>
        <v>1030.86</v>
      </c>
      <c r="D534" s="214">
        <f>ROUND($C534*D533,2)</f>
        <v>0</v>
      </c>
      <c r="E534" s="213">
        <f>ROUND($C534*E533,2)</f>
        <v>1030.86</v>
      </c>
      <c r="F534" s="213">
        <f>ROUND($C534*F533,2)</f>
        <v>0</v>
      </c>
      <c r="G534" s="209"/>
    </row>
    <row r="535" spans="1:7" ht="12.75" customHeight="1">
      <c r="A535" s="264" t="s">
        <v>1200</v>
      </c>
      <c r="B535" s="264"/>
      <c r="C535" s="221"/>
      <c r="D535" s="222">
        <f>ROUND(D536/$F$540,4)</f>
        <v>0.2554</v>
      </c>
      <c r="E535" s="222">
        <f>ROUND(E536/$F$540,4)</f>
        <v>0.3848</v>
      </c>
      <c r="F535" s="222">
        <f>TRUNC(F536/$F$540,4)</f>
        <v>0.3598</v>
      </c>
      <c r="G535" s="209"/>
    </row>
    <row r="536" spans="1:7" ht="12.75" customHeight="1">
      <c r="A536" s="263" t="s">
        <v>1201</v>
      </c>
      <c r="B536" s="263"/>
      <c r="C536" s="221"/>
      <c r="D536" s="223">
        <f>D10+D16+D96+D106+D346+D360+D366+D432+D522</f>
        <v>100419.11</v>
      </c>
      <c r="E536" s="223">
        <f>E10+E16+E96+E106+E346+E360+E366+E432+E522</f>
        <v>151315.80000000002</v>
      </c>
      <c r="F536" s="223">
        <f>F10+F16+F96+F106+F346+F360+F366+F432+F522</f>
        <v>141513.47999999998</v>
      </c>
      <c r="G536" s="209"/>
    </row>
    <row r="537" spans="1:7" ht="12.75" customHeight="1">
      <c r="A537" s="260" t="s">
        <v>1142</v>
      </c>
      <c r="B537" s="260"/>
      <c r="C537" s="221"/>
      <c r="D537" s="224">
        <f>TRUNC(D536*'Composição de BDI'!$D$23,2)</f>
        <v>22212.7</v>
      </c>
      <c r="E537" s="224">
        <f>TRUNC(E536*'Composição de BDI'!$D$23,2)</f>
        <v>33471.05</v>
      </c>
      <c r="F537" s="224">
        <f>TRUNC(F536*'Composição de BDI'!$D$23,2)</f>
        <v>31302.78</v>
      </c>
      <c r="G537" s="209"/>
    </row>
    <row r="538" spans="1:7" ht="12.75" customHeight="1">
      <c r="A538" s="261" t="s">
        <v>1202</v>
      </c>
      <c r="B538" s="261"/>
      <c r="C538" s="225"/>
      <c r="D538" s="226">
        <f>TRUNC(SUM(D536:D537),2)</f>
        <v>122631.81</v>
      </c>
      <c r="E538" s="226">
        <f>TRUNC(SUM(E536:E537),2)</f>
        <v>184786.85</v>
      </c>
      <c r="F538" s="226">
        <f>TRUNC(SUM(F536:F537),2)</f>
        <v>172816.26</v>
      </c>
      <c r="G538" s="209"/>
    </row>
    <row r="539" spans="1:7" ht="12.75" customHeight="1">
      <c r="A539" s="264" t="s">
        <v>1203</v>
      </c>
      <c r="B539" s="264"/>
      <c r="C539" s="221"/>
      <c r="D539" s="222">
        <f>D535</f>
        <v>0.2554</v>
      </c>
      <c r="E539" s="222">
        <f>D539+E535</f>
        <v>0.6402</v>
      </c>
      <c r="F539" s="222">
        <f>E539+F535</f>
        <v>1</v>
      </c>
      <c r="G539" s="209"/>
    </row>
    <row r="540" spans="1:7" ht="12.75" customHeight="1">
      <c r="A540" s="260" t="s">
        <v>1204</v>
      </c>
      <c r="B540" s="260"/>
      <c r="C540" s="221"/>
      <c r="D540" s="223">
        <f>D536</f>
        <v>100419.11</v>
      </c>
      <c r="E540" s="223">
        <f>D540+E536</f>
        <v>251734.91000000003</v>
      </c>
      <c r="F540" s="223">
        <f>E540+F536</f>
        <v>393248.39</v>
      </c>
      <c r="G540" s="204"/>
    </row>
    <row r="541" spans="1:7" ht="12.75" customHeight="1">
      <c r="A541" s="261" t="s">
        <v>1205</v>
      </c>
      <c r="B541" s="261"/>
      <c r="C541" s="225"/>
      <c r="D541" s="226">
        <f>D538</f>
        <v>122631.81</v>
      </c>
      <c r="E541" s="226">
        <f>D541+E538</f>
        <v>307418.66000000003</v>
      </c>
      <c r="F541" s="226">
        <f>E541+F538</f>
        <v>480234.92000000004</v>
      </c>
      <c r="G541" s="209"/>
    </row>
    <row r="542" ht="11.25">
      <c r="G542" s="209"/>
    </row>
    <row r="543" ht="11.25">
      <c r="G543" s="209"/>
    </row>
    <row r="544" ht="11.25">
      <c r="G544" s="204"/>
    </row>
    <row r="545" ht="11.25">
      <c r="G545" s="204"/>
    </row>
    <row r="546" ht="11.25">
      <c r="G546" s="209"/>
    </row>
    <row r="547" ht="11.25">
      <c r="G547" s="209"/>
    </row>
    <row r="548" ht="11.25">
      <c r="G548" s="209"/>
    </row>
    <row r="549" ht="11.25">
      <c r="G549" s="209"/>
    </row>
    <row r="550" ht="11.25">
      <c r="G550" s="204"/>
    </row>
    <row r="551" ht="11.25">
      <c r="G551" s="209"/>
    </row>
  </sheetData>
  <sheetProtection/>
  <mergeCells count="535">
    <mergeCell ref="A11:A12"/>
    <mergeCell ref="B11:B12"/>
    <mergeCell ref="A13:A14"/>
    <mergeCell ref="B13:B14"/>
    <mergeCell ref="A15:A16"/>
    <mergeCell ref="B15:B16"/>
    <mergeCell ref="A17:A18"/>
    <mergeCell ref="B17:B18"/>
    <mergeCell ref="D1:F4"/>
    <mergeCell ref="A7:F7"/>
    <mergeCell ref="A9:A10"/>
    <mergeCell ref="B9:B10"/>
    <mergeCell ref="A19:A20"/>
    <mergeCell ref="B19:B20"/>
    <mergeCell ref="A21:A22"/>
    <mergeCell ref="B21:B22"/>
    <mergeCell ref="A23:A24"/>
    <mergeCell ref="B23:B24"/>
    <mergeCell ref="A25:A26"/>
    <mergeCell ref="B25:B26"/>
    <mergeCell ref="A35:A36"/>
    <mergeCell ref="B35:B36"/>
    <mergeCell ref="A37:A38"/>
    <mergeCell ref="B37:B38"/>
    <mergeCell ref="A39:A40"/>
    <mergeCell ref="B39:B40"/>
    <mergeCell ref="A41:A42"/>
    <mergeCell ref="B41:B42"/>
    <mergeCell ref="A33:A34"/>
    <mergeCell ref="B33:B34"/>
    <mergeCell ref="A27:A28"/>
    <mergeCell ref="B27:B28"/>
    <mergeCell ref="A29:A30"/>
    <mergeCell ref="B29:B30"/>
    <mergeCell ref="A31:A32"/>
    <mergeCell ref="B31:B32"/>
    <mergeCell ref="A43:A44"/>
    <mergeCell ref="B43:B44"/>
    <mergeCell ref="A45:A46"/>
    <mergeCell ref="B45:B46"/>
    <mergeCell ref="A47:A48"/>
    <mergeCell ref="B47:B48"/>
    <mergeCell ref="A49:A50"/>
    <mergeCell ref="B49:B50"/>
    <mergeCell ref="A59:A60"/>
    <mergeCell ref="B59:B60"/>
    <mergeCell ref="A61:A62"/>
    <mergeCell ref="B61:B62"/>
    <mergeCell ref="A63:A64"/>
    <mergeCell ref="B63:B64"/>
    <mergeCell ref="A65:A66"/>
    <mergeCell ref="B65:B66"/>
    <mergeCell ref="A57:A58"/>
    <mergeCell ref="B57:B58"/>
    <mergeCell ref="A51:A52"/>
    <mergeCell ref="B51:B52"/>
    <mergeCell ref="A53:A54"/>
    <mergeCell ref="B53:B54"/>
    <mergeCell ref="A55:A56"/>
    <mergeCell ref="B55:B56"/>
    <mergeCell ref="A67:A68"/>
    <mergeCell ref="B67:B68"/>
    <mergeCell ref="A69:A70"/>
    <mergeCell ref="B69:B70"/>
    <mergeCell ref="A71:A72"/>
    <mergeCell ref="B71:B72"/>
    <mergeCell ref="A73:A74"/>
    <mergeCell ref="B73:B74"/>
    <mergeCell ref="A83:A84"/>
    <mergeCell ref="B83:B84"/>
    <mergeCell ref="A85:A86"/>
    <mergeCell ref="B85:B86"/>
    <mergeCell ref="A87:A88"/>
    <mergeCell ref="B87:B88"/>
    <mergeCell ref="A89:A90"/>
    <mergeCell ref="B89:B90"/>
    <mergeCell ref="A81:A82"/>
    <mergeCell ref="B81:B82"/>
    <mergeCell ref="A75:A76"/>
    <mergeCell ref="B75:B76"/>
    <mergeCell ref="A77:A78"/>
    <mergeCell ref="B77:B78"/>
    <mergeCell ref="A79:A80"/>
    <mergeCell ref="B79:B80"/>
    <mergeCell ref="A91:A92"/>
    <mergeCell ref="B91:B92"/>
    <mergeCell ref="A93:A94"/>
    <mergeCell ref="B93:B94"/>
    <mergeCell ref="A95:A96"/>
    <mergeCell ref="B95:B96"/>
    <mergeCell ref="A97:A98"/>
    <mergeCell ref="B97:B98"/>
    <mergeCell ref="A107:A108"/>
    <mergeCell ref="B107:B108"/>
    <mergeCell ref="A109:A110"/>
    <mergeCell ref="B109:B110"/>
    <mergeCell ref="A111:A112"/>
    <mergeCell ref="B111:B112"/>
    <mergeCell ref="A113:A114"/>
    <mergeCell ref="B113:B114"/>
    <mergeCell ref="A105:A106"/>
    <mergeCell ref="B105:B106"/>
    <mergeCell ref="A99:A100"/>
    <mergeCell ref="B99:B100"/>
    <mergeCell ref="A101:A102"/>
    <mergeCell ref="B101:B102"/>
    <mergeCell ref="A103:A104"/>
    <mergeCell ref="B103:B104"/>
    <mergeCell ref="A115:A116"/>
    <mergeCell ref="B115:B116"/>
    <mergeCell ref="A117:A118"/>
    <mergeCell ref="B117:B118"/>
    <mergeCell ref="A119:A120"/>
    <mergeCell ref="B119:B120"/>
    <mergeCell ref="A121:A122"/>
    <mergeCell ref="B121:B122"/>
    <mergeCell ref="A131:A132"/>
    <mergeCell ref="B131:B132"/>
    <mergeCell ref="A133:A134"/>
    <mergeCell ref="B133:B134"/>
    <mergeCell ref="A135:A136"/>
    <mergeCell ref="B135:B136"/>
    <mergeCell ref="A137:A138"/>
    <mergeCell ref="B137:B138"/>
    <mergeCell ref="A129:A130"/>
    <mergeCell ref="B129:B130"/>
    <mergeCell ref="A123:A124"/>
    <mergeCell ref="B123:B124"/>
    <mergeCell ref="A125:A126"/>
    <mergeCell ref="B125:B126"/>
    <mergeCell ref="A127:A128"/>
    <mergeCell ref="B127:B128"/>
    <mergeCell ref="A139:A140"/>
    <mergeCell ref="B139:B140"/>
    <mergeCell ref="A141:A142"/>
    <mergeCell ref="B141:B142"/>
    <mergeCell ref="A143:A144"/>
    <mergeCell ref="B143:B144"/>
    <mergeCell ref="A145:A146"/>
    <mergeCell ref="B145:B146"/>
    <mergeCell ref="A155:A156"/>
    <mergeCell ref="B155:B156"/>
    <mergeCell ref="A157:A158"/>
    <mergeCell ref="B157:B158"/>
    <mergeCell ref="A159:A160"/>
    <mergeCell ref="B159:B160"/>
    <mergeCell ref="A161:A162"/>
    <mergeCell ref="B161:B162"/>
    <mergeCell ref="A153:A154"/>
    <mergeCell ref="B153:B154"/>
    <mergeCell ref="A147:A148"/>
    <mergeCell ref="B147:B148"/>
    <mergeCell ref="A149:A150"/>
    <mergeCell ref="B149:B150"/>
    <mergeCell ref="A151:A152"/>
    <mergeCell ref="B151:B152"/>
    <mergeCell ref="A163:A164"/>
    <mergeCell ref="B163:B164"/>
    <mergeCell ref="A165:A166"/>
    <mergeCell ref="B165:B166"/>
    <mergeCell ref="A167:A168"/>
    <mergeCell ref="B167:B168"/>
    <mergeCell ref="A169:A170"/>
    <mergeCell ref="B169:B170"/>
    <mergeCell ref="A179:A180"/>
    <mergeCell ref="B179:B180"/>
    <mergeCell ref="A181:A182"/>
    <mergeCell ref="B181:B182"/>
    <mergeCell ref="A183:A184"/>
    <mergeCell ref="B183:B184"/>
    <mergeCell ref="A185:A186"/>
    <mergeCell ref="B185:B186"/>
    <mergeCell ref="A177:A178"/>
    <mergeCell ref="B177:B178"/>
    <mergeCell ref="A171:A172"/>
    <mergeCell ref="B171:B172"/>
    <mergeCell ref="A173:A174"/>
    <mergeCell ref="B173:B174"/>
    <mergeCell ref="A175:A176"/>
    <mergeCell ref="B175:B176"/>
    <mergeCell ref="A187:A188"/>
    <mergeCell ref="B187:B188"/>
    <mergeCell ref="A189:A190"/>
    <mergeCell ref="B189:B190"/>
    <mergeCell ref="A191:A192"/>
    <mergeCell ref="B191:B192"/>
    <mergeCell ref="A193:A194"/>
    <mergeCell ref="B193:B194"/>
    <mergeCell ref="A203:A204"/>
    <mergeCell ref="B203:B204"/>
    <mergeCell ref="A205:A206"/>
    <mergeCell ref="B205:B206"/>
    <mergeCell ref="A207:A208"/>
    <mergeCell ref="B207:B208"/>
    <mergeCell ref="A209:A210"/>
    <mergeCell ref="B209:B210"/>
    <mergeCell ref="A201:A202"/>
    <mergeCell ref="B201:B202"/>
    <mergeCell ref="A195:A196"/>
    <mergeCell ref="B195:B196"/>
    <mergeCell ref="A197:A198"/>
    <mergeCell ref="B197:B198"/>
    <mergeCell ref="A199:A200"/>
    <mergeCell ref="B199:B200"/>
    <mergeCell ref="A211:A212"/>
    <mergeCell ref="B211:B212"/>
    <mergeCell ref="A213:A214"/>
    <mergeCell ref="B213:B214"/>
    <mergeCell ref="A215:A216"/>
    <mergeCell ref="B215:B216"/>
    <mergeCell ref="A217:A218"/>
    <mergeCell ref="B217:B218"/>
    <mergeCell ref="A227:A228"/>
    <mergeCell ref="B227:B228"/>
    <mergeCell ref="A229:A230"/>
    <mergeCell ref="B229:B230"/>
    <mergeCell ref="A231:A232"/>
    <mergeCell ref="B231:B232"/>
    <mergeCell ref="A233:A234"/>
    <mergeCell ref="B233:B234"/>
    <mergeCell ref="A225:A226"/>
    <mergeCell ref="B225:B226"/>
    <mergeCell ref="A219:A220"/>
    <mergeCell ref="B219:B220"/>
    <mergeCell ref="A221:A222"/>
    <mergeCell ref="B221:B222"/>
    <mergeCell ref="A223:A224"/>
    <mergeCell ref="B223:B224"/>
    <mergeCell ref="A235:A236"/>
    <mergeCell ref="B235:B236"/>
    <mergeCell ref="A237:A238"/>
    <mergeCell ref="B237:B238"/>
    <mergeCell ref="A239:A240"/>
    <mergeCell ref="B239:B240"/>
    <mergeCell ref="A241:A242"/>
    <mergeCell ref="B241:B242"/>
    <mergeCell ref="A251:A252"/>
    <mergeCell ref="B251:B252"/>
    <mergeCell ref="A253:A254"/>
    <mergeCell ref="B253:B254"/>
    <mergeCell ref="A255:A256"/>
    <mergeCell ref="B255:B256"/>
    <mergeCell ref="A257:A258"/>
    <mergeCell ref="B257:B258"/>
    <mergeCell ref="A249:A250"/>
    <mergeCell ref="B249:B250"/>
    <mergeCell ref="A243:A244"/>
    <mergeCell ref="B243:B244"/>
    <mergeCell ref="A245:A246"/>
    <mergeCell ref="B245:B246"/>
    <mergeCell ref="A247:A248"/>
    <mergeCell ref="B247:B248"/>
    <mergeCell ref="A259:A260"/>
    <mergeCell ref="B259:B260"/>
    <mergeCell ref="A261:A262"/>
    <mergeCell ref="B261:B262"/>
    <mergeCell ref="A263:A264"/>
    <mergeCell ref="B263:B264"/>
    <mergeCell ref="A265:A266"/>
    <mergeCell ref="B265:B266"/>
    <mergeCell ref="A275:A276"/>
    <mergeCell ref="B275:B276"/>
    <mergeCell ref="A277:A278"/>
    <mergeCell ref="B277:B278"/>
    <mergeCell ref="A279:A280"/>
    <mergeCell ref="B279:B280"/>
    <mergeCell ref="A281:A282"/>
    <mergeCell ref="B281:B282"/>
    <mergeCell ref="A273:A274"/>
    <mergeCell ref="B273:B274"/>
    <mergeCell ref="A267:A268"/>
    <mergeCell ref="B267:B268"/>
    <mergeCell ref="A269:A270"/>
    <mergeCell ref="B269:B270"/>
    <mergeCell ref="A271:A272"/>
    <mergeCell ref="B271:B272"/>
    <mergeCell ref="A283:A284"/>
    <mergeCell ref="B283:B284"/>
    <mergeCell ref="A285:A286"/>
    <mergeCell ref="B285:B286"/>
    <mergeCell ref="A287:A288"/>
    <mergeCell ref="B287:B288"/>
    <mergeCell ref="A289:A290"/>
    <mergeCell ref="B289:B290"/>
    <mergeCell ref="A299:A300"/>
    <mergeCell ref="B299:B300"/>
    <mergeCell ref="A301:A302"/>
    <mergeCell ref="B301:B302"/>
    <mergeCell ref="A303:A304"/>
    <mergeCell ref="B303:B304"/>
    <mergeCell ref="A305:A306"/>
    <mergeCell ref="B305:B306"/>
    <mergeCell ref="A297:A298"/>
    <mergeCell ref="B297:B298"/>
    <mergeCell ref="A291:A292"/>
    <mergeCell ref="B291:B292"/>
    <mergeCell ref="A293:A294"/>
    <mergeCell ref="B293:B294"/>
    <mergeCell ref="A295:A296"/>
    <mergeCell ref="B295:B296"/>
    <mergeCell ref="A307:A308"/>
    <mergeCell ref="B307:B308"/>
    <mergeCell ref="A309:A310"/>
    <mergeCell ref="B309:B310"/>
    <mergeCell ref="A311:A312"/>
    <mergeCell ref="B311:B312"/>
    <mergeCell ref="A313:A314"/>
    <mergeCell ref="B313:B314"/>
    <mergeCell ref="A323:A324"/>
    <mergeCell ref="B323:B324"/>
    <mergeCell ref="A325:A326"/>
    <mergeCell ref="B325:B326"/>
    <mergeCell ref="A327:A328"/>
    <mergeCell ref="B327:B328"/>
    <mergeCell ref="A329:A330"/>
    <mergeCell ref="B329:B330"/>
    <mergeCell ref="A321:A322"/>
    <mergeCell ref="B321:B322"/>
    <mergeCell ref="A315:A316"/>
    <mergeCell ref="B315:B316"/>
    <mergeCell ref="A317:A318"/>
    <mergeCell ref="B317:B318"/>
    <mergeCell ref="A319:A320"/>
    <mergeCell ref="B319:B320"/>
    <mergeCell ref="A331:A332"/>
    <mergeCell ref="B331:B332"/>
    <mergeCell ref="A333:A334"/>
    <mergeCell ref="B333:B334"/>
    <mergeCell ref="A335:A336"/>
    <mergeCell ref="B335:B336"/>
    <mergeCell ref="A337:A338"/>
    <mergeCell ref="B337:B338"/>
    <mergeCell ref="A347:A348"/>
    <mergeCell ref="B347:B348"/>
    <mergeCell ref="A349:A350"/>
    <mergeCell ref="B349:B350"/>
    <mergeCell ref="A351:A352"/>
    <mergeCell ref="B351:B352"/>
    <mergeCell ref="A353:A354"/>
    <mergeCell ref="B353:B354"/>
    <mergeCell ref="A345:A346"/>
    <mergeCell ref="B345:B346"/>
    <mergeCell ref="A339:A340"/>
    <mergeCell ref="B339:B340"/>
    <mergeCell ref="A341:A342"/>
    <mergeCell ref="B341:B342"/>
    <mergeCell ref="A343:A344"/>
    <mergeCell ref="B343:B344"/>
    <mergeCell ref="A355:A356"/>
    <mergeCell ref="B355:B356"/>
    <mergeCell ref="A357:A358"/>
    <mergeCell ref="B357:B358"/>
    <mergeCell ref="A359:A360"/>
    <mergeCell ref="B359:B360"/>
    <mergeCell ref="A361:A362"/>
    <mergeCell ref="B361:B362"/>
    <mergeCell ref="A371:A372"/>
    <mergeCell ref="B371:B372"/>
    <mergeCell ref="A373:A374"/>
    <mergeCell ref="B373:B374"/>
    <mergeCell ref="A375:A376"/>
    <mergeCell ref="B375:B376"/>
    <mergeCell ref="A377:A378"/>
    <mergeCell ref="B377:B378"/>
    <mergeCell ref="A369:A370"/>
    <mergeCell ref="B369:B370"/>
    <mergeCell ref="A363:A364"/>
    <mergeCell ref="B363:B364"/>
    <mergeCell ref="A365:A366"/>
    <mergeCell ref="B365:B366"/>
    <mergeCell ref="A367:A368"/>
    <mergeCell ref="B367:B368"/>
    <mergeCell ref="A379:A380"/>
    <mergeCell ref="B379:B380"/>
    <mergeCell ref="A381:A382"/>
    <mergeCell ref="B381:B382"/>
    <mergeCell ref="A383:A384"/>
    <mergeCell ref="B383:B384"/>
    <mergeCell ref="A385:A386"/>
    <mergeCell ref="B385:B386"/>
    <mergeCell ref="A395:A396"/>
    <mergeCell ref="B395:B396"/>
    <mergeCell ref="A397:A398"/>
    <mergeCell ref="B397:B398"/>
    <mergeCell ref="A399:A400"/>
    <mergeCell ref="B399:B400"/>
    <mergeCell ref="A401:A402"/>
    <mergeCell ref="B401:B402"/>
    <mergeCell ref="A393:A394"/>
    <mergeCell ref="B393:B394"/>
    <mergeCell ref="A387:A388"/>
    <mergeCell ref="B387:B388"/>
    <mergeCell ref="A389:A390"/>
    <mergeCell ref="B389:B390"/>
    <mergeCell ref="A391:A392"/>
    <mergeCell ref="B391:B392"/>
    <mergeCell ref="A403:A404"/>
    <mergeCell ref="B403:B404"/>
    <mergeCell ref="A405:A406"/>
    <mergeCell ref="B405:B406"/>
    <mergeCell ref="A407:A408"/>
    <mergeCell ref="B407:B408"/>
    <mergeCell ref="A409:A410"/>
    <mergeCell ref="B409:B410"/>
    <mergeCell ref="A419:A420"/>
    <mergeCell ref="B419:B420"/>
    <mergeCell ref="A421:A422"/>
    <mergeCell ref="B421:B422"/>
    <mergeCell ref="A423:A424"/>
    <mergeCell ref="B423:B424"/>
    <mergeCell ref="A425:A426"/>
    <mergeCell ref="B425:B426"/>
    <mergeCell ref="A417:A418"/>
    <mergeCell ref="B417:B418"/>
    <mergeCell ref="A411:A412"/>
    <mergeCell ref="B411:B412"/>
    <mergeCell ref="A413:A414"/>
    <mergeCell ref="B413:B414"/>
    <mergeCell ref="A415:A416"/>
    <mergeCell ref="B415:B416"/>
    <mergeCell ref="A427:A428"/>
    <mergeCell ref="B427:B428"/>
    <mergeCell ref="A429:A430"/>
    <mergeCell ref="B429:B430"/>
    <mergeCell ref="A431:A432"/>
    <mergeCell ref="B431:B432"/>
    <mergeCell ref="A433:A434"/>
    <mergeCell ref="B433:B434"/>
    <mergeCell ref="A443:A444"/>
    <mergeCell ref="B443:B444"/>
    <mergeCell ref="A445:A446"/>
    <mergeCell ref="B445:B446"/>
    <mergeCell ref="A447:A448"/>
    <mergeCell ref="B447:B448"/>
    <mergeCell ref="A449:A450"/>
    <mergeCell ref="B449:B450"/>
    <mergeCell ref="A441:A442"/>
    <mergeCell ref="B441:B442"/>
    <mergeCell ref="A435:A436"/>
    <mergeCell ref="B435:B436"/>
    <mergeCell ref="A437:A438"/>
    <mergeCell ref="B437:B438"/>
    <mergeCell ref="A439:A440"/>
    <mergeCell ref="B439:B440"/>
    <mergeCell ref="A451:A452"/>
    <mergeCell ref="B451:B452"/>
    <mergeCell ref="A453:A454"/>
    <mergeCell ref="B453:B454"/>
    <mergeCell ref="A455:A456"/>
    <mergeCell ref="B455:B456"/>
    <mergeCell ref="A457:A458"/>
    <mergeCell ref="B457:B458"/>
    <mergeCell ref="A467:A468"/>
    <mergeCell ref="B467:B468"/>
    <mergeCell ref="A469:A470"/>
    <mergeCell ref="B469:B470"/>
    <mergeCell ref="A471:A472"/>
    <mergeCell ref="B471:B472"/>
    <mergeCell ref="A473:A474"/>
    <mergeCell ref="B473:B474"/>
    <mergeCell ref="A465:A466"/>
    <mergeCell ref="B465:B466"/>
    <mergeCell ref="A459:A460"/>
    <mergeCell ref="B459:B460"/>
    <mergeCell ref="A461:A462"/>
    <mergeCell ref="B461:B462"/>
    <mergeCell ref="A463:A464"/>
    <mergeCell ref="B463:B464"/>
    <mergeCell ref="A475:A476"/>
    <mergeCell ref="B475:B476"/>
    <mergeCell ref="A477:A478"/>
    <mergeCell ref="B477:B478"/>
    <mergeCell ref="A493:A494"/>
    <mergeCell ref="B493:B494"/>
    <mergeCell ref="A479:A480"/>
    <mergeCell ref="B479:B480"/>
    <mergeCell ref="A481:A482"/>
    <mergeCell ref="B481:B482"/>
    <mergeCell ref="A487:A488"/>
    <mergeCell ref="B487:B488"/>
    <mergeCell ref="A483:A484"/>
    <mergeCell ref="B483:B484"/>
    <mergeCell ref="A485:A486"/>
    <mergeCell ref="B485:B486"/>
    <mergeCell ref="A511:A512"/>
    <mergeCell ref="B511:B512"/>
    <mergeCell ref="A489:A490"/>
    <mergeCell ref="B489:B490"/>
    <mergeCell ref="A495:A496"/>
    <mergeCell ref="B495:B496"/>
    <mergeCell ref="A497:A498"/>
    <mergeCell ref="B497:B498"/>
    <mergeCell ref="A491:A492"/>
    <mergeCell ref="B491:B492"/>
    <mergeCell ref="A499:A500"/>
    <mergeCell ref="B499:B500"/>
    <mergeCell ref="A501:A502"/>
    <mergeCell ref="B501:B502"/>
    <mergeCell ref="A503:A504"/>
    <mergeCell ref="B503:B504"/>
    <mergeCell ref="A505:A506"/>
    <mergeCell ref="B505:B506"/>
    <mergeCell ref="B521:B522"/>
    <mergeCell ref="A515:A516"/>
    <mergeCell ref="B515:B516"/>
    <mergeCell ref="A517:A518"/>
    <mergeCell ref="B517:B518"/>
    <mergeCell ref="A535:B535"/>
    <mergeCell ref="A513:A514"/>
    <mergeCell ref="B513:B514"/>
    <mergeCell ref="A507:A508"/>
    <mergeCell ref="B507:B508"/>
    <mergeCell ref="A509:A510"/>
    <mergeCell ref="B509:B510"/>
    <mergeCell ref="A519:A520"/>
    <mergeCell ref="B519:B520"/>
    <mergeCell ref="A521:A522"/>
    <mergeCell ref="A523:A524"/>
    <mergeCell ref="B523:B524"/>
    <mergeCell ref="A525:A526"/>
    <mergeCell ref="B525:B526"/>
    <mergeCell ref="A536:B536"/>
    <mergeCell ref="A537:B537"/>
    <mergeCell ref="A538:B538"/>
    <mergeCell ref="A539:B539"/>
    <mergeCell ref="A540:B540"/>
    <mergeCell ref="A541:B541"/>
    <mergeCell ref="A527:A528"/>
    <mergeCell ref="B527:B528"/>
    <mergeCell ref="A529:A530"/>
    <mergeCell ref="B529:B530"/>
    <mergeCell ref="A531:A532"/>
    <mergeCell ref="B531:B532"/>
    <mergeCell ref="A533:A534"/>
    <mergeCell ref="B533:B534"/>
  </mergeCells>
  <conditionalFormatting sqref="D16:F16 D96:F96">
    <cfRule type="cellIs" priority="2" dxfId="119" operator="equal">
      <formula>0</formula>
    </cfRule>
  </conditionalFormatting>
  <conditionalFormatting sqref="D15:E15 D95:E95">
    <cfRule type="cellIs" priority="3" dxfId="119" operator="equal">
      <formula>0</formula>
    </cfRule>
  </conditionalFormatting>
  <conditionalFormatting sqref="F15 F95">
    <cfRule type="cellIs" priority="4" dxfId="119" operator="equal">
      <formula>0</formula>
    </cfRule>
  </conditionalFormatting>
  <conditionalFormatting sqref="D10:E10">
    <cfRule type="cellIs" priority="5" dxfId="119" operator="equal">
      <formula>0</formula>
    </cfRule>
  </conditionalFormatting>
  <conditionalFormatting sqref="D9:E9">
    <cfRule type="cellIs" priority="6" dxfId="119" operator="equal">
      <formula>0</formula>
    </cfRule>
  </conditionalFormatting>
  <conditionalFormatting sqref="F10">
    <cfRule type="cellIs" priority="7" dxfId="119" operator="equal">
      <formula>0</formula>
    </cfRule>
  </conditionalFormatting>
  <conditionalFormatting sqref="F9">
    <cfRule type="cellIs" priority="8" dxfId="119" operator="equal">
      <formula>0</formula>
    </cfRule>
  </conditionalFormatting>
  <conditionalFormatting sqref="E14:F14">
    <cfRule type="cellIs" priority="9" dxfId="0" operator="equal">
      <formula>0</formula>
    </cfRule>
  </conditionalFormatting>
  <conditionalFormatting sqref="D106:F106 D346:F346 D360:F360 D366:F366 D432:F432 D522:F522">
    <cfRule type="cellIs" priority="10" dxfId="119" operator="equal">
      <formula>0</formula>
    </cfRule>
  </conditionalFormatting>
  <conditionalFormatting sqref="D105:E105 D345:E345 D359:E359 D365:E365 D431:E431 D521:E521">
    <cfRule type="cellIs" priority="11" dxfId="119" operator="equal">
      <formula>0</formula>
    </cfRule>
  </conditionalFormatting>
  <conditionalFormatting sqref="F105 F345 F359 F365 F431 F521">
    <cfRule type="cellIs" priority="12" dxfId="119" operator="equal">
      <formula>0</formula>
    </cfRule>
  </conditionalFormatting>
  <conditionalFormatting sqref="C12 C18 C32 C84 C98 C108 C156 C194 C214 C276 C320 C330 C348 C362 C368 C376 C428 C434 C478 C488 C492 C496 C500 C506 C518 C524">
    <cfRule type="cellIs" priority="13" dxfId="118" operator="equal">
      <formula>0</formula>
    </cfRule>
  </conditionalFormatting>
  <conditionalFormatting sqref="D12">
    <cfRule type="cellIs" priority="14" dxfId="97" operator="equal">
      <formula>0</formula>
    </cfRule>
  </conditionalFormatting>
  <conditionalFormatting sqref="D11">
    <cfRule type="cellIs" priority="15" dxfId="97" operator="equal">
      <formula>0</formula>
    </cfRule>
  </conditionalFormatting>
  <conditionalFormatting sqref="E12:F12">
    <cfRule type="cellIs" priority="16" dxfId="97" operator="equal">
      <formula>0</formula>
    </cfRule>
  </conditionalFormatting>
  <conditionalFormatting sqref="E11:F11">
    <cfRule type="cellIs" priority="17" dxfId="97" operator="equal">
      <formula>0</formula>
    </cfRule>
  </conditionalFormatting>
  <conditionalFormatting sqref="D19:F19">
    <cfRule type="cellIs" priority="18" dxfId="100" operator="equal">
      <formula>0</formula>
    </cfRule>
  </conditionalFormatting>
  <conditionalFormatting sqref="D20:F20">
    <cfRule type="cellIs" priority="19" dxfId="100" operator="equal">
      <formula>0</formula>
    </cfRule>
  </conditionalFormatting>
  <conditionalFormatting sqref="D18:F18 D84:F84">
    <cfRule type="cellIs" priority="20" dxfId="97" operator="equal">
      <formula>0</formula>
    </cfRule>
  </conditionalFormatting>
  <conditionalFormatting sqref="D17 D83">
    <cfRule type="cellIs" priority="21" dxfId="97" operator="equal">
      <formula>0</formula>
    </cfRule>
  </conditionalFormatting>
  <conditionalFormatting sqref="E17:F17 E83:F83">
    <cfRule type="cellIs" priority="22" dxfId="97" operator="equal">
      <formula>0</formula>
    </cfRule>
  </conditionalFormatting>
  <conditionalFormatting sqref="F13">
    <cfRule type="cellIs" priority="23" dxfId="0" operator="equal">
      <formula>0</formula>
    </cfRule>
  </conditionalFormatting>
  <conditionalFormatting sqref="E13">
    <cfRule type="cellIs" priority="24" dxfId="0" operator="equal">
      <formula>0</formula>
    </cfRule>
  </conditionalFormatting>
  <conditionalFormatting sqref="D13:D14">
    <cfRule type="cellIs" priority="25" dxfId="0" operator="equal">
      <formula>0</formula>
    </cfRule>
  </conditionalFormatting>
  <conditionalFormatting sqref="D33:F33">
    <cfRule type="cellIs" priority="26" dxfId="100" operator="equal">
      <formula>0</formula>
    </cfRule>
  </conditionalFormatting>
  <conditionalFormatting sqref="D34:F34">
    <cfRule type="cellIs" priority="27" dxfId="100" operator="equal">
      <formula>0</formula>
    </cfRule>
  </conditionalFormatting>
  <conditionalFormatting sqref="D45:F45 D91:F91 D85:F85">
    <cfRule type="cellIs" priority="28" dxfId="100" operator="equal">
      <formula>0</formula>
    </cfRule>
  </conditionalFormatting>
  <conditionalFormatting sqref="D46:F46 D92:F92 D86:F86">
    <cfRule type="cellIs" priority="29" dxfId="100" operator="equal">
      <formula>0</formula>
    </cfRule>
  </conditionalFormatting>
  <conditionalFormatting sqref="D99:F99 D109:F109 D143:F143 D157:F157 D167:F167 D183:F183 D195:F195 D201:F201 D215:F215 D241:F241 D251:F251 D277:F277 D287:F287 D299:F299 D311:F311 D321:F321 D325:F325 D331:F331 D341:F341 D377:F377 D411:F411 D415:F415 D435:F435 D443:F443 D459:F459 D471:F471 D479:F479 D489:F489 D497:F497 D513:F513 D525:F525">
    <cfRule type="cellIs" priority="30" dxfId="100" operator="equal">
      <formula>0</formula>
    </cfRule>
  </conditionalFormatting>
  <conditionalFormatting sqref="D100:F100 D110:F110 D144:F144 D158:F158 D168:F168 D184:F184 D196:F196 D202:F202 D216:F216 D242:F242 D252:F252 D278:F278 D288:F288 D300:F300 D312:F312 D322:F322 D326:F326 D332:F332 D342:F342 D378:F378 D412:F412 D416:F416 D436:F436 D444:F444 D460:F460 D472:F472 D480:F480 D490:F490 D498:F498 D514:F514 D526:F526">
    <cfRule type="cellIs" priority="31" dxfId="100" operator="equal">
      <formula>0</formula>
    </cfRule>
  </conditionalFormatting>
  <conditionalFormatting sqref="D32:F32 D98:F98 D108:F108 D156:F156 D194:F194 D214:F214 D276:F276 D320:F320 D330:F330 D348:F348 D362:F362 D368:F368 D376:F376 D428:F428 D434:F434 D478:F478 D488:F488 D492 D496:F496 D500:F500 D506:F506 D518:F518 D524:F524">
    <cfRule type="cellIs" priority="32" dxfId="97" operator="equal">
      <formula>0</formula>
    </cfRule>
  </conditionalFormatting>
  <conditionalFormatting sqref="D31 D97 D107 D155 D193 D213 D275 D319 D329 D347 D361 D367 D375 D427 D433 D477 D487 D495 D517 D523">
    <cfRule type="cellIs" priority="33" dxfId="97" operator="equal">
      <formula>0</formula>
    </cfRule>
  </conditionalFormatting>
  <conditionalFormatting sqref="E31:F31 E97:F97 E107:F107 E155:F155 E193:F193 E213:F213 E275:F275 E319:F319 E329:F329 E347:F347 E361:F361 E367:F367 E375:F375 E427:F427 E433:F433 E477:F477 E487:F487 E495:F495 E517:F517 E523:F523">
    <cfRule type="cellIs" priority="34" dxfId="97" operator="equal">
      <formula>0</formula>
    </cfRule>
  </conditionalFormatting>
  <conditionalFormatting sqref="E22:F22">
    <cfRule type="cellIs" priority="35" dxfId="0" operator="equal">
      <formula>0</formula>
    </cfRule>
  </conditionalFormatting>
  <conditionalFormatting sqref="F21">
    <cfRule type="cellIs" priority="36" dxfId="0" operator="equal">
      <formula>0</formula>
    </cfRule>
  </conditionalFormatting>
  <conditionalFormatting sqref="E21">
    <cfRule type="cellIs" priority="37" dxfId="0" operator="equal">
      <formula>0</formula>
    </cfRule>
  </conditionalFormatting>
  <conditionalFormatting sqref="D21:D22">
    <cfRule type="cellIs" priority="38" dxfId="0" operator="equal">
      <formula>0</formula>
    </cfRule>
  </conditionalFormatting>
  <conditionalFormatting sqref="E24:F24">
    <cfRule type="cellIs" priority="39" dxfId="0" operator="equal">
      <formula>0</formula>
    </cfRule>
  </conditionalFormatting>
  <conditionalFormatting sqref="F23">
    <cfRule type="cellIs" priority="40" dxfId="0" operator="equal">
      <formula>0</formula>
    </cfRule>
  </conditionalFormatting>
  <conditionalFormatting sqref="E23">
    <cfRule type="cellIs" priority="41" dxfId="0" operator="equal">
      <formula>0</formula>
    </cfRule>
  </conditionalFormatting>
  <conditionalFormatting sqref="D23:D24">
    <cfRule type="cellIs" priority="42" dxfId="0" operator="equal">
      <formula>0</formula>
    </cfRule>
  </conditionalFormatting>
  <conditionalFormatting sqref="E26:F26">
    <cfRule type="cellIs" priority="43" dxfId="0" operator="equal">
      <formula>0</formula>
    </cfRule>
  </conditionalFormatting>
  <conditionalFormatting sqref="F25">
    <cfRule type="cellIs" priority="44" dxfId="0" operator="equal">
      <formula>0</formula>
    </cfRule>
  </conditionalFormatting>
  <conditionalFormatting sqref="E25">
    <cfRule type="cellIs" priority="45" dxfId="0" operator="equal">
      <formula>0</formula>
    </cfRule>
  </conditionalFormatting>
  <conditionalFormatting sqref="D25:D26">
    <cfRule type="cellIs" priority="46" dxfId="0" operator="equal">
      <formula>0</formula>
    </cfRule>
  </conditionalFormatting>
  <conditionalFormatting sqref="E28:F28">
    <cfRule type="cellIs" priority="47" dxfId="0" operator="equal">
      <formula>0</formula>
    </cfRule>
  </conditionalFormatting>
  <conditionalFormatting sqref="F27">
    <cfRule type="cellIs" priority="48" dxfId="0" operator="equal">
      <formula>0</formula>
    </cfRule>
  </conditionalFormatting>
  <conditionalFormatting sqref="E27">
    <cfRule type="cellIs" priority="49" dxfId="0" operator="equal">
      <formula>0</formula>
    </cfRule>
  </conditionalFormatting>
  <conditionalFormatting sqref="D27:D28">
    <cfRule type="cellIs" priority="50" dxfId="0" operator="equal">
      <formula>0</formula>
    </cfRule>
  </conditionalFormatting>
  <conditionalFormatting sqref="E30:F30">
    <cfRule type="cellIs" priority="51" dxfId="0" operator="equal">
      <formula>0</formula>
    </cfRule>
  </conditionalFormatting>
  <conditionalFormatting sqref="F29">
    <cfRule type="cellIs" priority="52" dxfId="0" operator="equal">
      <formula>0</formula>
    </cfRule>
  </conditionalFormatting>
  <conditionalFormatting sqref="E29">
    <cfRule type="cellIs" priority="53" dxfId="0" operator="equal">
      <formula>0</formula>
    </cfRule>
  </conditionalFormatting>
  <conditionalFormatting sqref="D29:D30">
    <cfRule type="cellIs" priority="54" dxfId="0" operator="equal">
      <formula>0</formula>
    </cfRule>
  </conditionalFormatting>
  <conditionalFormatting sqref="E36:F36">
    <cfRule type="cellIs" priority="55" dxfId="0" operator="equal">
      <formula>0</formula>
    </cfRule>
  </conditionalFormatting>
  <conditionalFormatting sqref="F35">
    <cfRule type="cellIs" priority="56" dxfId="0" operator="equal">
      <formula>0</formula>
    </cfRule>
  </conditionalFormatting>
  <conditionalFormatting sqref="E35">
    <cfRule type="cellIs" priority="57" dxfId="0" operator="equal">
      <formula>0</formula>
    </cfRule>
  </conditionalFormatting>
  <conditionalFormatting sqref="D35:D36">
    <cfRule type="cellIs" priority="58" dxfId="0" operator="equal">
      <formula>0</formula>
    </cfRule>
  </conditionalFormatting>
  <conditionalFormatting sqref="E38:F38">
    <cfRule type="cellIs" priority="59" dxfId="0" operator="equal">
      <formula>0</formula>
    </cfRule>
  </conditionalFormatting>
  <conditionalFormatting sqref="F37">
    <cfRule type="cellIs" priority="60" dxfId="0" operator="equal">
      <formula>0</formula>
    </cfRule>
  </conditionalFormatting>
  <conditionalFormatting sqref="E37">
    <cfRule type="cellIs" priority="61" dxfId="0" operator="equal">
      <formula>0</formula>
    </cfRule>
  </conditionalFormatting>
  <conditionalFormatting sqref="D37:D38">
    <cfRule type="cellIs" priority="62" dxfId="0" operator="equal">
      <formula>0</formula>
    </cfRule>
  </conditionalFormatting>
  <conditionalFormatting sqref="E40:F40">
    <cfRule type="cellIs" priority="63" dxfId="0" operator="equal">
      <formula>0</formula>
    </cfRule>
  </conditionalFormatting>
  <conditionalFormatting sqref="F39">
    <cfRule type="cellIs" priority="64" dxfId="0" operator="equal">
      <formula>0</formula>
    </cfRule>
  </conditionalFormatting>
  <conditionalFormatting sqref="E39">
    <cfRule type="cellIs" priority="65" dxfId="0" operator="equal">
      <formula>0</formula>
    </cfRule>
  </conditionalFormatting>
  <conditionalFormatting sqref="D39:D40">
    <cfRule type="cellIs" priority="66" dxfId="0" operator="equal">
      <formula>0</formula>
    </cfRule>
  </conditionalFormatting>
  <conditionalFormatting sqref="E42:F42 E44:F44">
    <cfRule type="cellIs" priority="67" dxfId="0" operator="equal">
      <formula>0</formula>
    </cfRule>
  </conditionalFormatting>
  <conditionalFormatting sqref="F41 F43">
    <cfRule type="cellIs" priority="68" dxfId="0" operator="equal">
      <formula>0</formula>
    </cfRule>
  </conditionalFormatting>
  <conditionalFormatting sqref="E41 E43">
    <cfRule type="cellIs" priority="69" dxfId="0" operator="equal">
      <formula>0</formula>
    </cfRule>
  </conditionalFormatting>
  <conditionalFormatting sqref="D41:D44">
    <cfRule type="cellIs" priority="70" dxfId="0" operator="equal">
      <formula>0</formula>
    </cfRule>
  </conditionalFormatting>
  <conditionalFormatting sqref="E48:F48">
    <cfRule type="cellIs" priority="71" dxfId="0" operator="equal">
      <formula>0</formula>
    </cfRule>
  </conditionalFormatting>
  <conditionalFormatting sqref="F47">
    <cfRule type="cellIs" priority="72" dxfId="0" operator="equal">
      <formula>0</formula>
    </cfRule>
  </conditionalFormatting>
  <conditionalFormatting sqref="E47">
    <cfRule type="cellIs" priority="73" dxfId="0" operator="equal">
      <formula>0</formula>
    </cfRule>
  </conditionalFormatting>
  <conditionalFormatting sqref="D47:D48">
    <cfRule type="cellIs" priority="74" dxfId="0" operator="equal">
      <formula>0</formula>
    </cfRule>
  </conditionalFormatting>
  <conditionalFormatting sqref="E50:F50">
    <cfRule type="cellIs" priority="75" dxfId="0" operator="equal">
      <formula>0</formula>
    </cfRule>
  </conditionalFormatting>
  <conditionalFormatting sqref="F49">
    <cfRule type="cellIs" priority="76" dxfId="0" operator="equal">
      <formula>0</formula>
    </cfRule>
  </conditionalFormatting>
  <conditionalFormatting sqref="E49">
    <cfRule type="cellIs" priority="77" dxfId="0" operator="equal">
      <formula>0</formula>
    </cfRule>
  </conditionalFormatting>
  <conditionalFormatting sqref="D49:D50">
    <cfRule type="cellIs" priority="78" dxfId="0" operator="equal">
      <formula>0</formula>
    </cfRule>
  </conditionalFormatting>
  <conditionalFormatting sqref="E52:F52">
    <cfRule type="cellIs" priority="79" dxfId="0" operator="equal">
      <formula>0</formula>
    </cfRule>
  </conditionalFormatting>
  <conditionalFormatting sqref="F51">
    <cfRule type="cellIs" priority="80" dxfId="0" operator="equal">
      <formula>0</formula>
    </cfRule>
  </conditionalFormatting>
  <conditionalFormatting sqref="E51">
    <cfRule type="cellIs" priority="81" dxfId="0" operator="equal">
      <formula>0</formula>
    </cfRule>
  </conditionalFormatting>
  <conditionalFormatting sqref="D51:D52">
    <cfRule type="cellIs" priority="82" dxfId="0" operator="equal">
      <formula>0</formula>
    </cfRule>
  </conditionalFormatting>
  <conditionalFormatting sqref="E54:F54">
    <cfRule type="cellIs" priority="83" dxfId="0" operator="equal">
      <formula>0</formula>
    </cfRule>
  </conditionalFormatting>
  <conditionalFormatting sqref="F53">
    <cfRule type="cellIs" priority="84" dxfId="0" operator="equal">
      <formula>0</formula>
    </cfRule>
  </conditionalFormatting>
  <conditionalFormatting sqref="E53">
    <cfRule type="cellIs" priority="85" dxfId="0" operator="equal">
      <formula>0</formula>
    </cfRule>
  </conditionalFormatting>
  <conditionalFormatting sqref="D53:D54">
    <cfRule type="cellIs" priority="86" dxfId="0" operator="equal">
      <formula>0</formula>
    </cfRule>
  </conditionalFormatting>
  <conditionalFormatting sqref="E56:F56">
    <cfRule type="cellIs" priority="87" dxfId="0" operator="equal">
      <formula>0</formula>
    </cfRule>
  </conditionalFormatting>
  <conditionalFormatting sqref="F55">
    <cfRule type="cellIs" priority="88" dxfId="0" operator="equal">
      <formula>0</formula>
    </cfRule>
  </conditionalFormatting>
  <conditionalFormatting sqref="E55">
    <cfRule type="cellIs" priority="89" dxfId="0" operator="equal">
      <formula>0</formula>
    </cfRule>
  </conditionalFormatting>
  <conditionalFormatting sqref="D55:D56">
    <cfRule type="cellIs" priority="90" dxfId="0" operator="equal">
      <formula>0</formula>
    </cfRule>
  </conditionalFormatting>
  <conditionalFormatting sqref="E58:F58">
    <cfRule type="cellIs" priority="91" dxfId="0" operator="equal">
      <formula>0</formula>
    </cfRule>
  </conditionalFormatting>
  <conditionalFormatting sqref="F57">
    <cfRule type="cellIs" priority="92" dxfId="0" operator="equal">
      <formula>0</formula>
    </cfRule>
  </conditionalFormatting>
  <conditionalFormatting sqref="E57">
    <cfRule type="cellIs" priority="93" dxfId="0" operator="equal">
      <formula>0</formula>
    </cfRule>
  </conditionalFormatting>
  <conditionalFormatting sqref="D57:D58">
    <cfRule type="cellIs" priority="94" dxfId="0" operator="equal">
      <formula>0</formula>
    </cfRule>
  </conditionalFormatting>
  <conditionalFormatting sqref="E60:F60">
    <cfRule type="cellIs" priority="95" dxfId="0" operator="equal">
      <formula>0</formula>
    </cfRule>
  </conditionalFormatting>
  <conditionalFormatting sqref="F59">
    <cfRule type="cellIs" priority="96" dxfId="0" operator="equal">
      <formula>0</formula>
    </cfRule>
  </conditionalFormatting>
  <conditionalFormatting sqref="E59">
    <cfRule type="cellIs" priority="97" dxfId="0" operator="equal">
      <formula>0</formula>
    </cfRule>
  </conditionalFormatting>
  <conditionalFormatting sqref="D59:D60">
    <cfRule type="cellIs" priority="98" dxfId="0" operator="equal">
      <formula>0</formula>
    </cfRule>
  </conditionalFormatting>
  <conditionalFormatting sqref="E62:F62">
    <cfRule type="cellIs" priority="99" dxfId="0" operator="equal">
      <formula>0</formula>
    </cfRule>
  </conditionalFormatting>
  <conditionalFormatting sqref="F61">
    <cfRule type="cellIs" priority="100" dxfId="0" operator="equal">
      <formula>0</formula>
    </cfRule>
  </conditionalFormatting>
  <conditionalFormatting sqref="E61">
    <cfRule type="cellIs" priority="101" dxfId="0" operator="equal">
      <formula>0</formula>
    </cfRule>
  </conditionalFormatting>
  <conditionalFormatting sqref="D61:D62">
    <cfRule type="cellIs" priority="102" dxfId="0" operator="equal">
      <formula>0</formula>
    </cfRule>
  </conditionalFormatting>
  <conditionalFormatting sqref="E64:F64">
    <cfRule type="cellIs" priority="103" dxfId="0" operator="equal">
      <formula>0</formula>
    </cfRule>
  </conditionalFormatting>
  <conditionalFormatting sqref="F63">
    <cfRule type="cellIs" priority="104" dxfId="0" operator="equal">
      <formula>0</formula>
    </cfRule>
  </conditionalFormatting>
  <conditionalFormatting sqref="E63">
    <cfRule type="cellIs" priority="105" dxfId="0" operator="equal">
      <formula>0</formula>
    </cfRule>
  </conditionalFormatting>
  <conditionalFormatting sqref="D63:D64">
    <cfRule type="cellIs" priority="106" dxfId="0" operator="equal">
      <formula>0</formula>
    </cfRule>
  </conditionalFormatting>
  <conditionalFormatting sqref="E66:F66 E68:F68 E70:F70 E72:F72 E74:F74 E76:F76 E78:F78 E80:F80 E82:F82 E90:F90 E94:F94 E102:F102 E104:F104 E114:F114 E116:F116 E118:F118 E120:F120 E122:F122 E124:F124 E126:F126 E128:F128 E130:F130 E132:F132 E134:F134 E136:F136 E138:F138 E140:F140 E142:F142 E148:F148 E150:F150 E152:F152 E154:F154 E162:F162 E166:F166 E180:F180 E172:F172 E176:F176 E178:F178 E192:F192 E182:F182 E188:F188 E190:F190 E198:F198 E212:F212 E200:F200 E206:F206 E210:F210 E220:F220 E224:F224 E228:F228 E232:F232 E234:F234 E238:F238 E240:F240 E246:F246 E248:F248 E250:F250 E256:F256 E268:F268 E270:F270 E258:F258 E262:F262 E264:F264 E274:F274 E280:F280 E282:F282 E284:F284 E286:F286 E290:F296 E298:F298 E302:F310 E314:F318 E328:F328 E324:F324 E334:F334 E336:F336 E338:F338 E340:F340 E344:F344 E350:F350 E352:F352 E354:F354 E356:F356 E358:F358 E364:F364 E370:F370 E372:F372 E374:F374 E382:F382 E384:F384 E386:F386 E396:F396 E388:F388 E392:F392 E404:F404 E398:F398 E402:F402 E406:F406 E410:F410 E414:F414 E420:F420 E424:F424 E426:F426 E430:F430 E440:F440 E442:F442 E448:F448 E450:F450 E454:F454 E458:F458 E464:F464 E466:F466 E468:F468 E470:F470 E476:F476 E484:F484 E486:F486 E494:F494 E502:F502 E504:F504 E508:F508 E510:F510 E512:F512 E516:F516 E520:F520 E528:F528 E530:F530 E534:F534 E88:F88 E532:F532">
    <cfRule type="cellIs" priority="107" dxfId="0" operator="equal">
      <formula>0</formula>
    </cfRule>
  </conditionalFormatting>
  <conditionalFormatting sqref="F65 F67 F69 F71 F73 F75 F77 F79 F81 F89 F93 F101 F103 F113 F115 F117 F119 F121 F123 F125 F127 F129 F131 F133 F135 F137 F139 F141 F147 F149 F151 F153 F161 F165 F171 F175 F177 F179 F181 F187 F189 F191 F197 F199 F205 F209 F211 F219 F223 F227 F231 F233 F237 F239 F245 F247 F249 F255 F257 F267 F269 F261 F263 F273 F279 F281 F283 F285 F289 F291 F293 F295 F297 F301 F303 F305 F307 F309 F313 F315 F317 F323 F327 F333 F335 F337 F339 F343 F349 F351 F353 F355 F357 F363 F369 F371 F373 F381 F383 F385 F387 F391 F395 F397 F401 F403 F405 F409 F413 F419 F423 F425 F429 F439 F441 F447 F449 F453 F457 F463 F465 F467 F469 F475 F483 F485 F493 F501 F503 F507 F509 F511 F515 F519 F527 F529 F533 F87 F531">
    <cfRule type="cellIs" priority="108" dxfId="0" operator="equal">
      <formula>0</formula>
    </cfRule>
  </conditionalFormatting>
  <conditionalFormatting sqref="E65 E67 E69 E71 E73 E75 E77 E79 E81 E89 E93 E101 E103 E113 E115 E117 E119 E121 E123 E125 E127 E129 E131 E133 E135 E137 E139 E141 E147 E149 E151 E153 E161 E165 E171 E175 E177 E179 E181 E187 E189 E191 E197 E199 E205 E209 E211 E219 E223 E227 E231 E233 E237 E239 E245 E247 E249 E255 E257 E267 E269 E261 E263 E273 E279 E281 E283 E285 E289 E291 E293 E295 E297 E301 E303 E305 E307 E309 E313 E315 E317 E323 E327 E333 E335 E337 E339 E343 E349 E351 E353 E355 E357 E363 E369 E371 E373 E381 E383 E385 E387 E391 E395 E397 E401 E403 E405 E409 E413 E419 E423 E425 E429 E439 E441 E447 E449 E453 E457 E463 E465 E467 E469 E475 E483 E485 E493 E501 E503 E507 E509 E511 E515 E519 E527 E529 E533 E87 E531">
    <cfRule type="cellIs" priority="109" dxfId="0" operator="equal">
      <formula>0</formula>
    </cfRule>
  </conditionalFormatting>
  <conditionalFormatting sqref="D65:D82 D87:D90 D93:D94 D102:D104 D113:D142 D147:D154 D161:D162 D165:D166 D170:D172 D175:D182 D186:D192 D197:D200 D204:F204 D205:D206 D208:F208 D209:D212 D218:F218 D219:D220 D222:F222 D223:D224 D226:F226 D227:D228 D230:F230 D231:D234 D237:D240 D236:F236 D244:F244 D245:D250 D254:F254 D267:D270 D266:F266 D255:D258 D260:F260 D261:D264 D273:D274 D272:F272 D279:D286 D289:D298 D301:D310 D313:D318 D327:D328 D323:D324 D333:D340 D343:D344 D174:F174 D362:D364 D349:D358 D368:D374 D376:F376 D380:F380 D381:D388 D390:F390 D391:D392 D394:F394 D395:D398 D400:F400 D401:D406 D408:F408 D409:D410 D413:D414 D418:F418 D419:D420 D422:F422 D423:D426 D428:F428 D429:D430 D434:F434 D438:F438 D439:D442 D446:F446 D447:D450 D452:F452 D453:D454 D456:F456 D457:D458 D462:F462 D463:D470 D474:F474 D475:D476 D478:F478 D482:F482 D483:D486 D488:F488 D492:F492 D493:D494 D496:F496 D500:F500 D501:D504 D506:F506 D507:D512 D515:D516 D518:F518 D519:D520 D524:F524 E368:F368 E186:F186 E170:F170 D527:D534">
    <cfRule type="cellIs" priority="110" dxfId="0" operator="equal">
      <formula>0</formula>
    </cfRule>
  </conditionalFormatting>
  <conditionalFormatting sqref="E140:F140 E114:F114 E116:F116 E118:F118 E120:F120 E122:F122 E124:F124 E126:F126 E128:F128 E130:F130 E132:F132 E134:F134 E136:F136 E138:F138 E142:F142 E148:F148 E150:F150 E152:F152 E154:F154 E162:F162 E166:F166 E180:F180 E172:F172 E176:F176 E178:F178 E192:F192 E182:F182 E188:F188 E190:F190 E198:F198 E212:F212 E200:F200 E206:F206 E210:F210 E220:F220 E224:F224 E228:F228 E232:F232 E234:F234 E238:F238 E240:F240 E246:F246 E248:F248 E250:F250 E256:F256 E268:F268 E270:F270 E258:F258 E262:F262 E264:F264 E274:F274 E280:F280 E282:F282 E284:F284 E286:F286 E290:F296 E298:F298 E302:F310 E314:F318 E328:F328 E324:F324 E334:F334 E336:F336 E338:F338 E340:F340 E344:F344 E350:F350 E352:F352 E354:F354 E356:F356 E358:F358 E364:F364 E370:F370 E372:F372 E374:F374 E382:F382 E384:F384 E386:F386 E396:F396 E388:F388 E392:F392 E404:F404 E398:F398 E402:F402 E406:F406 E410:F410 E414:F414 E420:F420 E424:F424 E426:F426 E430:F430 E440:F440 E442:F442 E448:F448 E450:F450 E454:F454 E458:F458 E464:F464 E466:F466 E468:F468 E470:F470 E476:F476 E484:F484 E486:F486 E494:F494 E502:F502 E504:F504 E508:F508 E510:F510 E512:F512 E516:F516 E520:F520 E528:F528 E530:F530 E534:F534 E532:F532">
    <cfRule type="cellIs" priority="111" dxfId="0" operator="equal">
      <formula>0</formula>
    </cfRule>
  </conditionalFormatting>
  <conditionalFormatting sqref="D140 D114 D116 D118 D120 D124 D126 D128 D130 D132 D134 D136 D138 D142 D122 D148 D150 D152 D154 D170:F170 D162 D166 D180 D172 D176 D178 D192 D182 D186:F186 D188 D190 D198 D212 D200 D204:F204 D206 D208:F208 D210 D218:F218 D220 D222:F222 D224 D226:F226 D228 D230:F230 D232 D234 D238 D240 D236:F236 D244:F244 D246 D248 D250 D254:F254 D256 D268 D266:F266 D270 D258 D260:F260 D262 D264 D274 D272:F272 D280 D282 D284 D286 D290 D292 D294 D296 D298 D302:D310 D314:D318 D328 D324 D334 D336 D338 D340 D344 D174:F174 D350 D352 D354 D356 D362 D358 D364 D368:F368 D370 D372 D374 D376:F376 D380:F380 D382 D384 D386 D396 D388 D390:F390 D392 D394:F394 D404 D398 D400:F400 D402 D406 D408:F408 D410 D414 D418:F418 D420 D422:F422 D424 D426 D428:F428 D430 D434:F434 D438:F438 D440 D442 D446:F446 D448 D450 D452:F452 D454 D456:F456 D458 D462:F462 D464 D466 D468 D470 D474:F474 D476 D478:F478 D482:F482 D484 D486 D488:F488 D492:F492 D494 D496:F496 D500:F500 D502 D504 D506:F506 D508 D510 D512 D516 D518:F518 D520 D524:F524 D528 D530 D534 D532">
    <cfRule type="cellIs" priority="112" dxfId="0" operator="equal">
      <formula>0</formula>
    </cfRule>
  </conditionalFormatting>
  <conditionalFormatting sqref="D150">
    <cfRule type="cellIs" priority="113" dxfId="0" operator="equal">
      <formula>0</formula>
    </cfRule>
  </conditionalFormatting>
  <conditionalFormatting sqref="E198:F198 E206:F206 E210:F210 E212:F212 E220:F220 E224:F224 E228:F228 E232:F232 E234:F234 E238:F238 E240:F240 E246:F246 E248:F248 E250:F250 E256:F256 E268:F268 E270:F270 E258:F258 E262:F262 E264:F264 E274:F274 E280:F280 E282:F282 E284:F284 E286:F286 E290:F296 E298:F298 E302:F310 E314:F318 E328:F328 E324:F324 E334:F334 E336:F336 E338:F338 E340:F340 E344:F344 E350:F350 E352:F352 E354:F354 E356:F356 E358:F358 E364:F364 E370:F370 E372:F372 E374:F374 E382:F382 E384:F384 E386:F386 E396:F396 E388:F388 E392:F392 E404:F404 E398:F398 E402:F402 E406:F406 E410:F410 E414:F414 E420:F420 E424:F424 E426:F426 E430:F430 E440:F440 E442:F442 E448:F448 E450:F450 E454:F454 E458:F458 E464:F464 E466:F466 E468:F468 E470:F470 E476:F476 E484:F484 E486:F486 E494:F494 E502:F502 E504:F504 E508:F508 E510:F510 E512:F512 E516:F516 E520:F520 E528:F528 E530:F530 E534:F534 E532:F532">
    <cfRule type="cellIs" priority="114" dxfId="0" operator="equal">
      <formula>0</formula>
    </cfRule>
  </conditionalFormatting>
  <conditionalFormatting sqref="D198 D206 D210 D212 D220 D224 D228 D232 D234 D238 D240 D246 D248 D250 D256 D268 D270 D258 D262 D264 D274 D280 D282 D284 D286 D290 D292 D294 D296 D298 D302:D310 D314:D318 D328 D324 D334 D336 D338 D340 D344 D350 D352 D354 D356 D362 D358 D364 D368:F368 D370 D372 D374 D376:F376 D382 D384 D386 D396 D388 D392 D404 D398 D402 D406 D410 D414 D420 D424 D426 D428:F428 D430 D434:F434 D440 D442 D448 D450 D454 D458 D464 D466 D468 D470 D476 D478:F478 D484 D486 D488:F488 D492 D494 D496:F496 D500:F500 D502 D504 D506:F506 D508 D510 D512 D516 D518:F518 D520 D524:F524 D528 D530 D534 D532">
    <cfRule type="cellIs" priority="115" dxfId="0" operator="equal">
      <formula>0</formula>
    </cfRule>
  </conditionalFormatting>
  <conditionalFormatting sqref="D222:F222 D226:F226 D230:F230 D236:F236 D244:F244 D254:F254 D266:F266 D260:F260 D272:F272 D380:F380 D390:F390 D394:F394 D400:F400 D408:F408 D418:F418 D422:F422 D438:F438 D446:F446 D452:F452 D456:F456 D462:F462 D474:F474 D482:F482 D492:F492 D500:F500 D506:F506">
    <cfRule type="cellIs" priority="116" dxfId="0" operator="equal">
      <formula>0</formula>
    </cfRule>
  </conditionalFormatting>
  <conditionalFormatting sqref="E246:F250 E267:F270 E255:F258 E261:F264 E273:F274 E279:F286 E289:F298 E301:F310 E313:F318 E327:F328 E323:F324 E333:F340 E343:F344 E363:F364 E349:F358 E369:F374 E381:F388 E391:F392 E395:F398 E401:F406 E409:F410 E413:F414 E419:F420 E423:F426 E429:F430 E439:F442 E447:F450 E453:F454 E457:F458 E463:F470 E475:F476 E483:F486 E493:F494 E501:F504 E507:F512 E515:F516 E519:F520 E527:F534">
    <cfRule type="cellIs" priority="117" dxfId="0" operator="equal">
      <formula>0</formula>
    </cfRule>
  </conditionalFormatting>
  <conditionalFormatting sqref="D246:D250 D267:D270 D255:D258 D261:D264 D273:D274 D279:D286 D289:D298 D301:D310 D313:D318 D327:D328 D323:D324 D333:D340 D343:D344 D362:D364 D349:D358 D368:D374 D376:F376 D381:D388 D391:D392 D395:D398 D401:D406 D409:D410 D413:D414 D419:D420 D423:D426 D428:F428 D429:D430 D434:F434 D439:D442 D447:D450 D453:D454 D457:D458 D463:D470 D475:D476 D478:F478 D483:D486 D488:F488 D492:D494 D496:F496 D500:D504 D506:D508 D509:D512 D515:D516 D518:F518 D519:D520 D524:F524 E506:F506 E500:F500 E368:F368 D527:D534">
    <cfRule type="cellIs" priority="118" dxfId="0" operator="equal">
      <formula>0</formula>
    </cfRule>
  </conditionalFormatting>
  <conditionalFormatting sqref="E284:F284 E280:F280 E282:F282 E286:F286 E290:F296 E298:F298 E302:F310 E314:F318 E328:F328 E324:F324 E334:F334 E336:F336 E338:F338 E340:F340 E344:F344 E350:F350 E352:F352 E354:F354 E356:F356 E358:F358 E364:F364 E370:F370 E372:F372 E374:F374 E382:F382 E384:F384 E386:F386 E396:F396 E388:F388 E392:F392 E404:F404 E398:F398 E402:F402 E406:F406 E410:F410 E414:F414 E420:F420 E424:F424 E426:F426 E430:F430 E440:F440 E442:F442 E448:F448 E450:F450 E454:F454 E458:F458 E464:F464 E466:F466 E468:F468 E470:F470 E476:F476 E484:F484 E486:F486 E494:F494 E502:F502 E504:F504 E508:F508 E510:F510 E512:F512 E516:F516 E520:F520 E528:F528 E530:F530 E534:F534 E532:F532">
    <cfRule type="cellIs" priority="119" dxfId="0" operator="equal">
      <formula>0</formula>
    </cfRule>
  </conditionalFormatting>
  <conditionalFormatting sqref="D284 D280 D282 D286 D290 D292 D294 D296 D298 D302:D310 D314:D318 D328 D324 D334 D336 D338 D340 D344 D350 D352 D354 D356 D362 D358 D364 D368:F368 D370 D372 D374 D376:F376 D382 D384 D386 D396 D388 D392 D404 D398 D402 D406 D410 D414 D420 D424 D426 D428:F428 D430 D434:F434 D440 D442 D448 D450 D454 D458 D464 D466 D468 D470 D476 D478:F478 D484 D486 D488:F488 D492 D494 D496:F496 D500:F500 D502 D504 D506:F506 D508 D510 D512 D516 D518:F518 D520 D524:F524 D528 D530 D534 D532">
    <cfRule type="cellIs" priority="120" dxfId="0" operator="equal">
      <formula>0</formula>
    </cfRule>
  </conditionalFormatting>
  <conditionalFormatting sqref="E338:F338">
    <cfRule type="cellIs" priority="121" dxfId="0" operator="equal">
      <formula>0</formula>
    </cfRule>
  </conditionalFormatting>
  <conditionalFormatting sqref="D338">
    <cfRule type="cellIs" priority="122" dxfId="0" operator="equal">
      <formula>0</formula>
    </cfRule>
  </conditionalFormatting>
  <conditionalFormatting sqref="E386:F386">
    <cfRule type="cellIs" priority="123" dxfId="0" operator="equal">
      <formula>0</formula>
    </cfRule>
  </conditionalFormatting>
  <conditionalFormatting sqref="D386">
    <cfRule type="cellIs" priority="124" dxfId="0" operator="equal">
      <formula>0</formula>
    </cfRule>
  </conditionalFormatting>
  <conditionalFormatting sqref="E486:F486 E484:F484 E494:F494 E502:F502 E504:F504 E508:F508 E510:F510 E512:F512 E516:F516 E520:F520 E528:F528 E530:F530 E534:F534 E532:F532">
    <cfRule type="cellIs" priority="125" dxfId="0" operator="equal">
      <formula>0</formula>
    </cfRule>
  </conditionalFormatting>
  <conditionalFormatting sqref="D486 D480 D484 D490:F490 D494 D498:F498 D502 D504 D508 D510 D512 D514:F514 D516 D520 D526:F526 D528 D530 D534 D532">
    <cfRule type="cellIs" priority="126" dxfId="0" operator="equal">
      <formula>0</formula>
    </cfRule>
  </conditionalFormatting>
  <conditionalFormatting sqref="E520:F520 E510:F510 E512:F512 E516:F516">
    <cfRule type="cellIs" priority="127" dxfId="0" operator="equal">
      <formula>0</formula>
    </cfRule>
  </conditionalFormatting>
  <conditionalFormatting sqref="D520 D510 D512 D516">
    <cfRule type="cellIs" priority="128" dxfId="0" operator="equal">
      <formula>0</formula>
    </cfRule>
  </conditionalFormatting>
  <conditionalFormatting sqref="D112:F112 D146:F146 D160:F160 D164:F164 D170:F170 D186:F186 D204:F204 D208:F208 D218:F218 D222:F222 D226:F226 D230:F230 D236:F236 D244:F244 D254:F254 D266:F266 D260:F260 D272:F272 D174:F174 D380:F380 D390:F390 D394:F394 D400:F400 D408:F408 D418:F418 D422:F422 D438:F438 D446:F446 D452:F452 D456:F456 D462:F462 D474:F474 D482:F482 D492:F492 D500:F500 D506:F506">
    <cfRule type="cellIs" priority="129" dxfId="1" operator="equal">
      <formula>0</formula>
    </cfRule>
  </conditionalFormatting>
  <conditionalFormatting sqref="D111:F111 D145:F145 D159:F159 D163:F163 D169:F169 D173:F173 D185:F185 D203:F203 D207:F207 D217:F217 D221:F221 D225:F225 D229:F229 D235:F235 D243:F243 D253:F253 D265:F265 D259:F259 D271:F271 D379:F379 D389:F389 D393:F393 D399:F399 D407:F407 D417:F417 D421:F421 D437:F437 D445:F445 D451:F451 D455:F455 D461:F461 D473:F473 D481:F481 D491:F491 D499:F499 D505:F505">
    <cfRule type="cellIs" priority="130" dxfId="1" operator="equal">
      <formula>0</formula>
    </cfRule>
  </conditionalFormatting>
  <conditionalFormatting sqref="D101">
    <cfRule type="cellIs" priority="131" dxfId="0" operator="equal">
      <formula>0</formula>
    </cfRule>
  </conditionalFormatting>
  <printOptions/>
  <pageMargins left="0.7875" right="0.7875" top="0.7875" bottom="0.7875" header="0.511805555555555" footer="0.511805555555555"/>
  <pageSetup fitToHeight="0" fitToWidth="1" horizontalDpi="300" verticalDpi="300" orientation="portrait" paperSize="9" scale="58" r:id="rId1"/>
  <rowBreaks count="4" manualBreakCount="4">
    <brk id="194" max="255" man="1"/>
    <brk id="282" max="255" man="1"/>
    <brk id="374" max="255" man="1"/>
    <brk id="4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388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AnaCZ</cp:lastModifiedBy>
  <dcterms:created xsi:type="dcterms:W3CDTF">2022-08-22T14:58:54Z</dcterms:created>
  <dcterms:modified xsi:type="dcterms:W3CDTF">2022-09-14T17:29:30Z</dcterms:modified>
  <cp:category/>
  <cp:version/>
  <cp:contentType/>
  <cp:contentStatus/>
  <cp:revision>224</cp:revision>
</cp:coreProperties>
</file>