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SDA\Xerox\CPL\CPL2000\Trabalho 2022\PROCESSOS DIGITAIS\PE 53 - Brigada de Incêndio\Edital e Anexos\"/>
    </mc:Choice>
  </mc:AlternateContent>
  <bookViews>
    <workbookView xWindow="0" yWindow="0" windowWidth="20490" windowHeight="7755" tabRatio="899" activeTab="1"/>
  </bookViews>
  <sheets>
    <sheet name="INSERÇÃO-POSTOS" sheetId="11" r:id="rId1"/>
    <sheet name="INSERÇÃO(EQUIP_UNIF_MAT)" sheetId="20" r:id="rId2"/>
    <sheet name="QUADRO RESUMO" sheetId="19" r:id="rId3"/>
    <sheet name="DADOS-ESTATISTICOS" sheetId="15" r:id="rId4"/>
    <sheet name="ENCARGOS-SOCIAIS-E-TRABALHISTAS" sheetId="12" r:id="rId5"/>
    <sheet name="BRIGADISTA LÍDER DIURNO 12X36H" sheetId="14" r:id="rId6"/>
    <sheet name="BRIGADISTA DIURNO 12X36H" sheetId="16" r:id="rId7"/>
    <sheet name="BRIGADISTA NOTURNO 12X36H" sheetId="17" r:id="rId8"/>
  </sheets>
  <externalReferences>
    <externalReference r:id="rId9"/>
  </externalReferences>
  <definedNames>
    <definedName name="ACORDO_COLETIVO" localSheetId="1">'[1]INSERÇÃO-DE-DADOS (POSTOS)'!$G$14</definedName>
    <definedName name="ACORDO_COLETIVO" localSheetId="2">'[1]INSERÇÃO-DE-DADOS (POSTOS)'!$G$14</definedName>
    <definedName name="ACORDO_COLETIVO">'INSERÇÃO-POSTOS'!$E$14</definedName>
    <definedName name="AL_1_A_SAL_BASE" localSheetId="6">'BRIGADISTA DIURNO 12X36H'!$F$22</definedName>
    <definedName name="AL_1_A_SAL_BASE" localSheetId="5">'BRIGADISTA LÍDER DIURNO 12X36H'!$F$22</definedName>
    <definedName name="AL_1_A_SAL_BASE" localSheetId="7">'BRIGADISTA NOTURNO 12X36H'!$F$22</definedName>
    <definedName name="AL_1_B_ADIC_PERIC" localSheetId="6">'BRIGADISTA DIURNO 12X36H'!$F$23</definedName>
    <definedName name="AL_1_B_ADIC_PERIC" localSheetId="5">'BRIGADISTA LÍDER DIURNO 12X36H'!$F$23</definedName>
    <definedName name="AL_1_B_ADIC_PERIC" localSheetId="7">'BRIGADISTA NOTURNO 12X36H'!$F$23</definedName>
    <definedName name="AL_1_C_ADIC_NOT" localSheetId="6">'BRIGADISTA DIURNO 12X36H'!$F$24</definedName>
    <definedName name="AL_1_C_ADIC_NOT" localSheetId="5">'BRIGADISTA LÍDER DIURNO 12X36H'!$F$24</definedName>
    <definedName name="AL_1_C_ADIC_NOT" localSheetId="7">'BRIGADISTA NOTURNO 12X36H'!$F$24</definedName>
    <definedName name="AL_1_D_ADIC_NOT_RED" localSheetId="6">'BRIGADISTA DIURNO 12X36H'!$F$25</definedName>
    <definedName name="AL_1_D_ADIC_NOT_RED" localSheetId="5">'BRIGADISTA LÍDER DIURNO 12X36H'!$F$25</definedName>
    <definedName name="AL_1_D_ADIC_NOT_RED" localSheetId="7">'BRIGADISTA NOTURNO 12X36H'!$F$25</definedName>
    <definedName name="AL_2_1_A_DEC_TERC" localSheetId="6">'BRIGADISTA DIURNO 12X36H'!$F$31</definedName>
    <definedName name="AL_2_1_A_DEC_TERC" localSheetId="5">'BRIGADISTA LÍDER DIURNO 12X36H'!$F$31</definedName>
    <definedName name="AL_2_1_A_DEC_TERC" localSheetId="7">'BRIGADISTA NOTURNO 12X36H'!$F$31</definedName>
    <definedName name="AL_2_1_B_ADIC_FERIAS" localSheetId="6">'BRIGADISTA DIURNO 12X36H'!$F$32</definedName>
    <definedName name="AL_2_1_B_ADIC_FERIAS" localSheetId="5">'BRIGADISTA LÍDER DIURNO 12X36H'!$F$32</definedName>
    <definedName name="AL_2_1_B_ADIC_FERIAS" localSheetId="7">'BRIGADISTA NOTURNO 12X36H'!$F$32</definedName>
    <definedName name="AL_2_2_FGTS" localSheetId="6">'BRIGADISTA DIURNO 12X36H'!$F$43</definedName>
    <definedName name="AL_2_2_FGTS" localSheetId="5">'BRIGADISTA LÍDER DIURNO 12X36H'!$F$43</definedName>
    <definedName name="AL_2_2_FGTS" localSheetId="7">'BRIGADISTA NOTURNO 12X36H'!$F$43</definedName>
    <definedName name="AL_2_3_A_TRANSP" localSheetId="6">'BRIGADISTA DIURNO 12X36H'!$F$47</definedName>
    <definedName name="AL_2_3_A_TRANSP" localSheetId="5">'BRIGADISTA LÍDER DIURNO 12X36H'!$F$47</definedName>
    <definedName name="AL_2_3_A_TRANSP" localSheetId="7">'BRIGADISTA NOTURNO 12X36H'!$F$47</definedName>
    <definedName name="AL_2_3_B_AUX_ALIMENT" localSheetId="6">'BRIGADISTA DIURNO 12X36H'!$F$48</definedName>
    <definedName name="AL_2_3_B_AUX_ALIMENT" localSheetId="5">'BRIGADISTA LÍDER DIURNO 12X36H'!$F$48</definedName>
    <definedName name="AL_2_3_B_AUX_ALIMENT" localSheetId="7">'BRIGADISTA NOTURNO 12X36H'!$F$48</definedName>
    <definedName name="AL_2_3_C_OUTROS_BENEF" localSheetId="6">'BRIGADISTA DIURNO 12X36H'!#REF!</definedName>
    <definedName name="AL_2_3_C_OUTROS_BENEF" localSheetId="5">'BRIGADISTA LÍDER DIURNO 12X36H'!#REF!</definedName>
    <definedName name="AL_2_3_C_OUTROS_BENEF" localSheetId="7">'BRIGADISTA NOTURNO 12X36H'!#REF!</definedName>
    <definedName name="AL_2_A_ATE_2_G_GPS" localSheetId="6">'BRIGADISTA DIURNO 12X36H'!$F$36:$F$42</definedName>
    <definedName name="AL_2_A_ATE_2_G_GPS" localSheetId="5">'BRIGADISTA LÍDER DIURNO 12X36H'!$F$36:$F$42</definedName>
    <definedName name="AL_2_A_ATE_2_G_GPS" localSheetId="7">'BRIGADISTA NOTURNO 12X36H'!$F$36:$F$42</definedName>
    <definedName name="AL_6_A_CUSTOS_INDIRETOS" localSheetId="6">'BRIGADISTA DIURNO 12X36H'!$F$81</definedName>
    <definedName name="AL_6_A_CUSTOS_INDIRETOS" localSheetId="5">'BRIGADISTA LÍDER DIURNO 12X36H'!$F$81</definedName>
    <definedName name="AL_6_A_CUSTOS_INDIRETOS" localSheetId="7">'BRIGADISTA NOTURNO 12X36H'!$F$81</definedName>
    <definedName name="AL_6_B_LUCRO" localSheetId="6">'BRIGADISTA DIURNO 12X36H'!$F$82</definedName>
    <definedName name="AL_6_B_LUCRO" localSheetId="5">'BRIGADISTA LÍDER DIURNO 12X36H'!$F$82</definedName>
    <definedName name="AL_6_B_LUCRO" localSheetId="7">'BRIGADISTA NOTURNO 12X36H'!$F$82</definedName>
    <definedName name="AL_6_C_1_PIS" localSheetId="6">'BRIGADISTA DIURNO 12X36H'!$F$84</definedName>
    <definedName name="AL_6_C_1_PIS" localSheetId="5">'BRIGADISTA LÍDER DIURNO 12X36H'!$F$84</definedName>
    <definedName name="AL_6_C_1_PIS" localSheetId="7">'BRIGADISTA NOTURNO 12X36H'!$F$84</definedName>
    <definedName name="AL_6_C_2_COFINS" localSheetId="6">'BRIGADISTA DIURNO 12X36H'!$F$85</definedName>
    <definedName name="AL_6_C_2_COFINS" localSheetId="5">'BRIGADISTA LÍDER DIURNO 12X36H'!$F$85</definedName>
    <definedName name="AL_6_C_2_COFINS" localSheetId="7">'BRIGADISTA NOTURNO 12X36H'!$F$85</definedName>
    <definedName name="AL_6_C_3_ISS" localSheetId="6">'BRIGADISTA DIURNO 12X36H'!$F$86</definedName>
    <definedName name="AL_6_C_3_ISS" localSheetId="5">'BRIGADISTA LÍDER DIURNO 12X36H'!$F$86</definedName>
    <definedName name="AL_6_C_3_ISS" localSheetId="7">'BRIGADISTA NOTURNO 12X36H'!$F$86</definedName>
    <definedName name="AL_6_C_TRIBUTOS" localSheetId="6">'BRIGADISTA DIURNO 12X36H'!$F$83</definedName>
    <definedName name="AL_6_C_TRIBUTOS" localSheetId="5">'BRIGADISTA LÍDER DIURNO 12X36H'!$F$83</definedName>
    <definedName name="AL_6_C_TRIBUTOS" localSheetId="7">'BRIGADISTA NOTURNO 12X36H'!$F$83</definedName>
    <definedName name="ALIMENTACAO_POR_DIA" localSheetId="1">'[1]INSERÇÃO-DE-DADOS (POSTOS)'!$G$37</definedName>
    <definedName name="ALIMENTACAO_POR_DIA" localSheetId="2">'[1]INSERÇÃO-DE-DADOS (POSTOS)'!$G$37</definedName>
    <definedName name="ALIMENTACAO_POR_DIA">'INSERÇÃO-POSTOS'!$E$43</definedName>
    <definedName name="_xlnm.Print_Area" localSheetId="1">'INSERÇÃO(EQUIP_UNIF_MAT)'!$B$1:$H$14</definedName>
    <definedName name="_xlnm.Print_Area" localSheetId="2">'QUADRO RESUMO'!$B$1:$F$20</definedName>
    <definedName name="AUX_CULTURA">'INSERÇÃO-POSTOS'!$D$78</definedName>
    <definedName name="BRIGADISTA_DIURNO_12X36H_ACORDO_COLETIVO">'[1]INSERÇÃO-DE-DADOS (POSTOS)'!$N$14</definedName>
    <definedName name="BRIGADISTA_DIURNO_12X36H_ALIMENTACAO_POR_DIA">'[1]INSERÇÃO-DE-DADOS (POSTOS)'!$N$37</definedName>
    <definedName name="BRIGADISTA_DIURNO_12X36H_CATEGORIA_PROFISSIONAL">'[1]INSERÇÃO-DE-DADOS (POSTOS)'!$L$23</definedName>
    <definedName name="BRIGADISTA_DIURNO_12X36H_CBO">'[1]INSERÇÃO-DE-DADOS (POSTOS)'!$L$22</definedName>
    <definedName name="BRIGADISTA_DIURNO_12X36H_DATA_APRESENTACAO_PROPOSTA">'[1]INSERÇÃO-DE-DADOS (POSTOS)'!$N$11</definedName>
    <definedName name="BRIGADISTA_DIURNO_12X36H_DATA_BASE_CATEGORIA">'[1]INSERÇÃO-DE-DADOS (POSTOS)'!$N$24</definedName>
    <definedName name="BRIGADISTA_DIURNO_12X36H_DATA_DO_ORCAMENTO_ESTIMATIVO">'[1]INSERÇÃO-DE-DADOS (POSTOS)'!$N$2</definedName>
    <definedName name="BRIGADISTA_DIURNO_12X36H_DIAS_TRABALHADOS_NO_MES">'[1]INSERÇÃO-DE-DADOS (POSTOS)'!$N$38</definedName>
    <definedName name="BRIGADISTA_DIURNO_12X36H_EMPREG_POR_POSTO">'[1]INSERÇÃO-DE-DADOS (POSTOS)'!$M$19</definedName>
    <definedName name="BRIGADISTA_DIURNO_12X36H_EQUIPAMENTOS">'[1]INSERÇÃO-DE-DADOS (POSTOS)'!$N$50</definedName>
    <definedName name="BRIGADISTA_DIURNO_12X36H_LOCAL_DE_EXECUCAO">'[1]INSERÇÃO-DE-DADOS (POSTOS)'!$L$12</definedName>
    <definedName name="BRIGADISTA_DIURNO_12X36H_MATERIAIS">'[1]INSERÇÃO-DE-DADOS (POSTOS)'!$N$49</definedName>
    <definedName name="BRIGADISTA_DIURNO_12X36H_NUMERO_MESES_EXEC_CONTRATUAL">'[1]INSERÇÃO-DE-DADOS (POSTOS)'!$N$15</definedName>
    <definedName name="BRIGADISTA_DIURNO_12X36H_OUTROS_BENEFICIOS_1">'[1]INSERÇÃO-DE-DADOS (POSTOS)'!#REF!</definedName>
    <definedName name="BRIGADISTA_DIURNO_12X36H_OUTROS_BENEFICIOS_2">'[1]INSERÇÃO-DE-DADOS (POSTOS)'!#REF!</definedName>
    <definedName name="BRIGADISTA_DIURNO_12X36H_OUTROS_BENEFICIOS_3">'[1]INSERÇÃO-DE-DADOS (POSTOS)'!#REF!</definedName>
    <definedName name="BRIGADISTA_DIURNO_12X36H_OUTROS_INSUMOS">'[1]INSERÇÃO-DE-DADOS (POSTOS)'!#REF!</definedName>
    <definedName name="BRIGADISTA_DIURNO_12X36H_OUTROS_REMUNERACAO_1">'[1]INSERÇÃO-DE-DADOS (POSTOS)'!#REF!</definedName>
    <definedName name="BRIGADISTA_DIURNO_12X36H_OUTROS_REMUNERACAO_2">'[1]INSERÇÃO-DE-DADOS (POSTOS)'!#REF!</definedName>
    <definedName name="BRIGADISTA_DIURNO_12X36H_OUTROS_REMUNERACAO_3">'[1]INSERÇÃO-DE-DADOS (POSTOS)'!#REF!</definedName>
    <definedName name="BRIGADISTA_DIURNO_12X36H_PERC_ADIC_INS">'[1]INSERÇÃO-DE-DADOS (POSTOS)'!#REF!</definedName>
    <definedName name="BRIGADISTA_DIURNO_12X36H_PERC_ADIC_PERIC">'[1]INSERÇÃO-DE-DADOS (POSTOS)'!$N$30</definedName>
    <definedName name="BRIGADISTA_DIURNO_12X36H_PERC_COFINS">'[1]INSERÇÃO-DE-DADOS (POSTOS)'!$N$57</definedName>
    <definedName name="BRIGADISTA_DIURNO_12X36H_PERC_CUSTOS_INDIRETOS">'[1]INSERÇÃO-DE-DADOS (POSTOS)'!$N$54</definedName>
    <definedName name="BRIGADISTA_DIURNO_12X36H_PERC_HORA_EXTRA">'[1]INSERÇÃO-DE-DADOS (POSTOS)'!#REF!</definedName>
    <definedName name="BRIGADISTA_DIURNO_12X36H_PERC_ISS">'[1]INSERÇÃO-DE-DADOS (POSTOS)'!$N$58</definedName>
    <definedName name="BRIGADISTA_DIURNO_12X36H_PERC_LUCRO">'[1]INSERÇÃO-DE-DADOS (POSTOS)'!$N$55</definedName>
    <definedName name="BRIGADISTA_DIURNO_12X36H_PERC_PIS">'[1]INSERÇÃO-DE-DADOS (POSTOS)'!$N$56</definedName>
    <definedName name="BRIGADISTA_DIURNO_12X36H_RAMO">'[1]INSERÇÃO-DE-DADOS (POSTOS)'!$J$1</definedName>
    <definedName name="BRIGADISTA_DIURNO_12X36H_SAL_MINIMO">'[1]INSERÇÃO-DE-DADOS (POSTOS)'!#REF!</definedName>
    <definedName name="BRIGADISTA_DIURNO_12X36H_SALARIO_BASE" localSheetId="1">'[1]INSERÇÃO-DE-DADOS (POSTOS)'!$N$29</definedName>
    <definedName name="BRIGADISTA_DIURNO_12X36H_SALARIO_BASE" localSheetId="2">'[1]INSERÇÃO-DE-DADOS (POSTOS)'!$N$29</definedName>
    <definedName name="BRIGADISTA_DIURNO_12X36H_SALARIO_BASE">'INSERÇÃO-POSTOS'!$E$33</definedName>
    <definedName name="BRIGADISTA_DIURNO_12X36H_TEMPO_INTERVALO_REFEICAO">'[1]INSERÇÃO-DE-DADOS (POSTOS)'!#REF!</definedName>
    <definedName name="BRIGADISTA_DIURNO_12X36H_TIPO_DE_SERVICO">'[1]INSERÇÃO-DE-DADOS (POSTOS)'!$K$19</definedName>
    <definedName name="BRIGADISTA_DIURNO_12X36H_TRANSPORTE_POR_DIA">'[1]INSERÇÃO-DE-DADOS (POSTOS)'!$N$36</definedName>
    <definedName name="BRIGADISTA_DIURNO_12X36H_UG">'[1]INSERÇÃO-DE-DADOS (POSTOS)'!$J$2</definedName>
    <definedName name="BRIGADISTA_DIURNO_12X36H_UNIFORMES">'[1]INSERÇÃO-DE-DADOS (POSTOS)'!$N$48</definedName>
    <definedName name="BRIGADISTA_LIDER_12X36H_SALARIO_BASE">'INSERÇÃO-POSTOS'!$E$32</definedName>
    <definedName name="BRIGADISTA_NOTURNO_12X36H_ACORDO_COLETIVO">'[1]INSERÇÃO-DE-DADOS (POSTOS)'!$U$14</definedName>
    <definedName name="BRIGADISTA_NOTURNO_12X36H_ALIMENTACAO_POR_DIA">'[1]INSERÇÃO-DE-DADOS (POSTOS)'!$U$37</definedName>
    <definedName name="BRIGADISTA_NOTURNO_12X36H_CATEGORIA_PROFISSIONAL">'[1]INSERÇÃO-DE-DADOS (POSTOS)'!$S$23</definedName>
    <definedName name="BRIGADISTA_NOTURNO_12X36H_CBO">'[1]INSERÇÃO-DE-DADOS (POSTOS)'!$S$22</definedName>
    <definedName name="BRIGADISTA_NOTURNO_12X36H_DATA_APRESENTACAO_PROPOSTA">'[1]INSERÇÃO-DE-DADOS (POSTOS)'!$U$11</definedName>
    <definedName name="BRIGADISTA_NOTURNO_12X36H_DATA_BASE_CATEGORIA">'[1]INSERÇÃO-DE-DADOS (POSTOS)'!$U$24</definedName>
    <definedName name="BRIGADISTA_NOTURNO_12X36H_DATA_DO_ORCAMENTO_ESTIMATIVO">'[1]INSERÇÃO-DE-DADOS (POSTOS)'!$U$2</definedName>
    <definedName name="BRIGADISTA_NOTURNO_12X36H_DIAS_TRABALHADOS_NO_MES">'[1]INSERÇÃO-DE-DADOS (POSTOS)'!$U$38</definedName>
    <definedName name="BRIGADISTA_NOTURNO_12X36H_EMPREG_POR_POSTO">'[1]INSERÇÃO-DE-DADOS (POSTOS)'!$T$19</definedName>
    <definedName name="BRIGADISTA_NOTURNO_12X36H_EQUIPAMENTOS">'[1]INSERÇÃO-DE-DADOS (POSTOS)'!$U$50</definedName>
    <definedName name="BRIGADISTA_NOTURNO_12X36H_LOCAL_DE_EXECUCAO">'[1]INSERÇÃO-DE-DADOS (POSTOS)'!$S$12</definedName>
    <definedName name="BRIGADISTA_NOTURNO_12X36H_MATERIAIS">'[1]INSERÇÃO-DE-DADOS (POSTOS)'!$U$49</definedName>
    <definedName name="BRIGADISTA_NOTURNO_12X36H_NUMERO_MESES_EXEC_CONTRATUAL">'[1]INSERÇÃO-DE-DADOS (POSTOS)'!$U$15</definedName>
    <definedName name="BRIGADISTA_NOTURNO_12X36H_OUTROS_BENEFICIOS_1">'[1]INSERÇÃO-DE-DADOS (POSTOS)'!#REF!</definedName>
    <definedName name="BRIGADISTA_NOTURNO_12X36H_OUTROS_BENEFICIOS_2">'[1]INSERÇÃO-DE-DADOS (POSTOS)'!#REF!</definedName>
    <definedName name="BRIGADISTA_NOTURNO_12X36H_OUTROS_BENEFICIOS_3">'[1]INSERÇÃO-DE-DADOS (POSTOS)'!#REF!</definedName>
    <definedName name="BRIGADISTA_NOTURNO_12X36H_OUTROS_INSUMOS">'[1]INSERÇÃO-DE-DADOS (POSTOS)'!#REF!</definedName>
    <definedName name="BRIGADISTA_NOTURNO_12X36H_OUTROS_REMUNERACAO_1">'[1]INSERÇÃO-DE-DADOS (POSTOS)'!#REF!</definedName>
    <definedName name="BRIGADISTA_NOTURNO_12X36H_OUTROS_REMUNERACAO_2">'[1]INSERÇÃO-DE-DADOS (POSTOS)'!#REF!</definedName>
    <definedName name="BRIGADISTA_NOTURNO_12X36H_PERC_ADIC_INS">'[1]INSERÇÃO-DE-DADOS (POSTOS)'!#REF!</definedName>
    <definedName name="BRIGADISTA_NOTURNO_12X36H_PERC_ADIC_NOT">'[1]INSERÇÃO-DE-DADOS (POSTOS)'!$U$31</definedName>
    <definedName name="BRIGADISTA_NOTURNO_12X36H_PERC_ADIC_PERIC">'[1]INSERÇÃO-DE-DADOS (POSTOS)'!$U$30</definedName>
    <definedName name="BRIGADISTA_NOTURNO_12X36H_PERC_COFINS">'[1]INSERÇÃO-DE-DADOS (POSTOS)'!$U$57</definedName>
    <definedName name="BRIGADISTA_NOTURNO_12X36H_PERC_CUSTOS_INDIRETOS">'[1]INSERÇÃO-DE-DADOS (POSTOS)'!$U$54</definedName>
    <definedName name="BRIGADISTA_NOTURNO_12X36H_PERC_HORA_EXTRA">'[1]INSERÇÃO-DE-DADOS (POSTOS)'!#REF!</definedName>
    <definedName name="BRIGADISTA_NOTURNO_12X36H_PERC_ISS">'[1]INSERÇÃO-DE-DADOS (POSTOS)'!$U$58</definedName>
    <definedName name="BRIGADISTA_NOTURNO_12X36H_PERC_LUCRO">'[1]INSERÇÃO-DE-DADOS (POSTOS)'!$U$55</definedName>
    <definedName name="BRIGADISTA_NOTURNO_12X36H_PERC_PIS">'[1]INSERÇÃO-DE-DADOS (POSTOS)'!$U$56</definedName>
    <definedName name="BRIGADISTA_NOTURNO_12X36H_RAMO">'[1]INSERÇÃO-DE-DADOS (POSTOS)'!$Q$1</definedName>
    <definedName name="BRIGADISTA_NOTURNO_12X36H_SAL_MINIMO">'[1]INSERÇÃO-DE-DADOS (POSTOS)'!#REF!</definedName>
    <definedName name="BRIGADISTA_NOTURNO_12X36H_SALARIO_BASE" localSheetId="1">'[1]INSERÇÃO-DE-DADOS (POSTOS)'!$U$29</definedName>
    <definedName name="BRIGADISTA_NOTURNO_12X36H_SALARIO_BASE" localSheetId="2">'[1]INSERÇÃO-DE-DADOS (POSTOS)'!$U$29</definedName>
    <definedName name="BRIGADISTA_NOTURNO_12X36H_SALARIO_BASE">'INSERÇÃO-POSTOS'!$E$34</definedName>
    <definedName name="BRIGADISTA_NOTURNO_12X36H_TEMPO_INTERVALO_REFEICAO">'[1]INSERÇÃO-DE-DADOS (POSTOS)'!#REF!</definedName>
    <definedName name="BRIGADISTA_NOTURNO_12X36H_TIPO_DE_SERVICO">'[1]INSERÇÃO-DE-DADOS (POSTOS)'!$R$19</definedName>
    <definedName name="BRIGADISTA_NOTURNO_12X36H_TRANSPORTE_POR_DIA">'[1]INSERÇÃO-DE-DADOS (POSTOS)'!$U$36</definedName>
    <definedName name="BRIGADISTA_NOTURNO_12X36H_UG">'[1]INSERÇÃO-DE-DADOS (POSTOS)'!$Q$2</definedName>
    <definedName name="BRIGADISTA_NOTURNO_12X36H_UNIFORMES">'[1]INSERÇÃO-DE-DADOS (POSTOS)'!$U$48</definedName>
    <definedName name="BRIGADISTA_NOTURNO_12X6H_OUTROS_REMUNERACAO_3">'[1]INSERÇÃO-DE-DADOS (POSTOS)'!#REF!</definedName>
    <definedName name="CATEGORIA_PROFISSIONAL" localSheetId="1">'[1]INSERÇÃO-DE-DADOS (POSTOS)'!$E$23</definedName>
    <definedName name="CATEGORIA_PROFISSIONAL" localSheetId="2">'[1]INSERÇÃO-DE-DADOS (POSTOS)'!$E$23</definedName>
    <definedName name="CATEGORIA_PROFISSIONAL">'INSERÇÃO-POSTOS'!#REF!</definedName>
    <definedName name="CBO" localSheetId="1">'[1]INSERÇÃO-DE-DADOS (POSTOS)'!$E$22</definedName>
    <definedName name="CBO" localSheetId="2">'[1]INSERÇÃO-DE-DADOS (POSTOS)'!$E$22</definedName>
    <definedName name="CBO">'INSERÇÃO-POSTOS'!#REF!</definedName>
    <definedName name="COND_AD_NOTURNO_DIRUNO">'INSERÇÃO-POSTOS'!$F$33</definedName>
    <definedName name="COND_AD_NOTURNO_LIDER">'INSERÇÃO-POSTOS'!$F$32</definedName>
    <definedName name="COND_AD_NOTURNO_NOTURNO">'INSERÇÃO-POSTOS'!$F$34</definedName>
    <definedName name="DATA_APRESENTACAO_PROPOSTA" localSheetId="1">'[1]INSERÇÃO-DE-DADOS (POSTOS)'!$G$11</definedName>
    <definedName name="DATA_APRESENTACAO_PROPOSTA" localSheetId="2">'[1]INSERÇÃO-DE-DADOS (POSTOS)'!$G$11</definedName>
    <definedName name="DATA_APRESENTACAO_PROPOSTA">'INSERÇÃO-POSTOS'!$E$11</definedName>
    <definedName name="DATA_BASE_CATEGORIA" localSheetId="1">'[1]INSERÇÃO-DE-DADOS (POSTOS)'!$G$24</definedName>
    <definedName name="DATA_BASE_CATEGORIA" localSheetId="2">'[1]INSERÇÃO-DE-DADOS (POSTOS)'!$G$24</definedName>
    <definedName name="DATA_BASE_CATEGORIA">'INSERÇÃO-POSTOS'!$E$26</definedName>
    <definedName name="DATA_DO_ORCAMENTO_ESTIMATIVO" localSheetId="1">'[1]INSERÇÃO-DE-DADOS (POSTOS)'!$G$2</definedName>
    <definedName name="DATA_DO_ORCAMENTO_ESTIMATIVO" localSheetId="2">'[1]INSERÇÃO-DE-DADOS (POSTOS)'!$G$2</definedName>
    <definedName name="DATA_DO_ORCAMENTO_ESTIMATIVO">'INSERÇÃO-POSTOS'!$E$2</definedName>
    <definedName name="DATA_LICITACAO">'INSERÇÃO-POSTOS'!#REF!</definedName>
    <definedName name="DIAS_AUSENCIAS_LEGAIS" localSheetId="1">'[1]DADOS-ESTATISTICOS'!$F$27</definedName>
    <definedName name="DIAS_AUSENCIAS_LEGAIS" localSheetId="2">'[1]DADOS-ESTATISTICOS'!$F$27</definedName>
    <definedName name="DIAS_AUSENCIAS_LEGAIS">'DADOS-ESTATISTICOS'!$F$27</definedName>
    <definedName name="DIAS_LICENCA_MATERNIDADE" localSheetId="1">'[1]DADOS-ESTATISTICOS'!$F$33</definedName>
    <definedName name="DIAS_LICENCA_MATERNIDADE" localSheetId="2">'[1]DADOS-ESTATISTICOS'!$F$33</definedName>
    <definedName name="DIAS_LICENCA_MATERNIDADE">'DADOS-ESTATISTICOS'!$F$33</definedName>
    <definedName name="DIAS_LICENCA_PATERNIDADE" localSheetId="1">'[1]DADOS-ESTATISTICOS'!$F$28</definedName>
    <definedName name="DIAS_LICENCA_PATERNIDADE" localSheetId="2">'[1]DADOS-ESTATISTICOS'!$F$28</definedName>
    <definedName name="DIAS_LICENCA_PATERNIDADE">'DADOS-ESTATISTICOS'!$F$28</definedName>
    <definedName name="DIAS_NA_SEMANA" localSheetId="1">'[1]DADOS-ESTATISTICOS'!$F$5</definedName>
    <definedName name="DIAS_NA_SEMANA" localSheetId="2">'[1]DADOS-ESTATISTICOS'!$F$5</definedName>
    <definedName name="DIAS_NA_SEMANA">'DADOS-ESTATISTICOS'!$F$5</definedName>
    <definedName name="DIAS_NO_ANO">'DADOS-ESTATISTICOS'!$F$6</definedName>
    <definedName name="DIAS_NO_MES" localSheetId="1">'[1]DADOS-ESTATISTICOS'!$F$22</definedName>
    <definedName name="DIAS_NO_MES" localSheetId="2">'[1]DADOS-ESTATISTICOS'!$F$22</definedName>
    <definedName name="DIAS_NO_MES">'DADOS-ESTATISTICOS'!$F$22</definedName>
    <definedName name="DIAS_PAGOS_EMPRESA_ACID_TRAB" localSheetId="1">'[1]DADOS-ESTATISTICOS'!$F$32</definedName>
    <definedName name="DIAS_PAGOS_EMPRESA_ACID_TRAB" localSheetId="2">'[1]DADOS-ESTATISTICOS'!$F$32</definedName>
    <definedName name="DIAS_PAGOS_EMPRESA_ACID_TRAB">'DADOS-ESTATISTICOS'!$F$32</definedName>
    <definedName name="DIAS_TRABALHADOS_NO_MES" localSheetId="1">'[1]INSERÇÃO-DE-DADOS (POSTOS)'!$G$38</definedName>
    <definedName name="DIAS_TRABALHADOS_NO_MES" localSheetId="2">'[1]INSERÇÃO-DE-DADOS (POSTOS)'!$G$38</definedName>
    <definedName name="DIAS_TRABALHADOS_NO_MES">'INSERÇÃO-POSTOS'!$E$44</definedName>
    <definedName name="DIVISOR_DE_HORAS" localSheetId="1">'[1]DADOS-ESTATISTICOS'!$F$4</definedName>
    <definedName name="DIVISOR_DE_HORAS" localSheetId="2">'[1]DADOS-ESTATISTICOS'!$F$4</definedName>
    <definedName name="DIVISOR_DE_HORAS">'DADOS-ESTATISTICOS'!$F$4</definedName>
    <definedName name="EMPREG_POR_POSTO">'[1]INSERÇÃO-DE-DADOS (POSTOS)'!$F$19</definedName>
    <definedName name="EQUIPAMENTOS" localSheetId="1">'[1]INSERÇÃO-DE-DADOS (POSTOS)'!$G$50</definedName>
    <definedName name="EQUIPAMENTOS" localSheetId="2">'[1]INSERÇÃO-DE-DADOS (POSTOS)'!$G$50</definedName>
    <definedName name="EQUIPAMENTOS">'INSERÇÃO-POSTOS'!$E$60</definedName>
    <definedName name="HORA_NORMAL" localSheetId="1">'[1]DADOS-ESTATISTICOS'!$F$9</definedName>
    <definedName name="HORA_NORMAL" localSheetId="2">'[1]DADOS-ESTATISTICOS'!$F$9</definedName>
    <definedName name="HORA_NORMAL">'DADOS-ESTATISTICOS'!$F$9</definedName>
    <definedName name="HORA_NOTURNA" localSheetId="1">'[1]DADOS-ESTATISTICOS'!$F$10</definedName>
    <definedName name="HORA_NOTURNA" localSheetId="2">'[1]DADOS-ESTATISTICOS'!$F$10</definedName>
    <definedName name="HORA_NOTURNA">'DADOS-ESTATISTICOS'!$F$10</definedName>
    <definedName name="HORARIO_LICITACAO">'INSERÇÃO-POSTOS'!$E$8</definedName>
    <definedName name="LOCAL_DE_EXECUCAO" localSheetId="1">'[1]INSERÇÃO-DE-DADOS (POSTOS)'!$E$12</definedName>
    <definedName name="LOCAL_DE_EXECUCAO" localSheetId="2">'[1]INSERÇÃO-DE-DADOS (POSTOS)'!$E$12</definedName>
    <definedName name="LOCAL_DE_EXECUCAO">'INSERÇÃO-POSTOS'!#REF!</definedName>
    <definedName name="MATERIAIS" localSheetId="1">'[1]INSERÇÃO-DE-DADOS (POSTOS)'!$G$49</definedName>
    <definedName name="MATERIAIS" localSheetId="2">'[1]INSERÇÃO-DE-DADOS (POSTOS)'!$G$49</definedName>
    <definedName name="MATERIAIS">'INSERÇÃO-POSTOS'!$E$59</definedName>
    <definedName name="MEDIA_ANUAL_DIAS_TRABALHO_MES" localSheetId="1">'[1]DADOS-ESTATISTICOS'!$F$7</definedName>
    <definedName name="MEDIA_ANUAL_DIAS_TRABALHO_MES" localSheetId="2">'[1]DADOS-ESTATISTICOS'!$F$7</definedName>
    <definedName name="MEDIA_ANUAL_DIAS_TRABALHO_MES">'DADOS-ESTATISTICOS'!$F$7</definedName>
    <definedName name="MEDIA_EQUIPAMENTOS">'INSERÇÃO(EQUIP_UNIF_MAT)'!$H$16</definedName>
    <definedName name="MEDIA_MATERIAIS">'INSERÇÃO(EQUIP_UNIF_MAT)'!$H$49</definedName>
    <definedName name="MESES_NO_ANO" localSheetId="1">'[1]DADOS-ESTATISTICOS'!$F$8</definedName>
    <definedName name="MESES_NO_ANO" localSheetId="2">'[1]DADOS-ESTATISTICOS'!$F$8</definedName>
    <definedName name="MESES_NO_ANO">'DADOS-ESTATISTICOS'!$F$8</definedName>
    <definedName name="MOD_1_REMUNERACAO" localSheetId="6">'BRIGADISTA DIURNO 12X36H'!$F$27</definedName>
    <definedName name="MOD_1_REMUNERACAO" localSheetId="5">'BRIGADISTA LÍDER DIURNO 12X36H'!$F$27</definedName>
    <definedName name="MOD_1_REMUNERACAO" localSheetId="7">'BRIGADISTA NOTURNO 12X36H'!$F$27</definedName>
    <definedName name="MOD_2_ENCARGOS_BENEFICIOS" localSheetId="6">'BRIGADISTA DIURNO 12X36H'!$F$33+'BRIGADISTA DIURNO 12X36H'!$F$44+'BRIGADISTA DIURNO 12X36H'!$F$49</definedName>
    <definedName name="MOD_2_ENCARGOS_BENEFICIOS" localSheetId="5">'BRIGADISTA LÍDER DIURNO 12X36H'!$F$33+'BRIGADISTA LÍDER DIURNO 12X36H'!$F$44+'BRIGADISTA LÍDER DIURNO 12X36H'!$F$49</definedName>
    <definedName name="MOD_2_ENCARGOS_BENEFICIOS" localSheetId="7">'BRIGADISTA NOTURNO 12X36H'!$F$33+'BRIGADISTA NOTURNO 12X36H'!$F$44+'BRIGADISTA NOTURNO 12X36H'!$F$49</definedName>
    <definedName name="MOD_3_PROVISAO_RESCISAO" localSheetId="6">'BRIGADISTA DIURNO 12X36H'!$F$55</definedName>
    <definedName name="MOD_3_PROVISAO_RESCISAO" localSheetId="5">'BRIGADISTA LÍDER DIURNO 12X36H'!$F$55</definedName>
    <definedName name="MOD_3_PROVISAO_RESCISAO" localSheetId="7">'BRIGADISTA NOTURNO 12X36H'!$F$55</definedName>
    <definedName name="MOD_4_CUSTO_REPOSICAO" localSheetId="6">'BRIGADISTA DIURNO 12X36H'!$F$66+'BRIGADISTA DIURNO 12X36H'!$F$70</definedName>
    <definedName name="MOD_4_CUSTO_REPOSICAO" localSheetId="5">'BRIGADISTA LÍDER DIURNO 12X36H'!$F$66+'BRIGADISTA LÍDER DIURNO 12X36H'!$F$70</definedName>
    <definedName name="MOD_4_CUSTO_REPOSICAO" localSheetId="7">'BRIGADISTA NOTURNO 12X36H'!$F$66+'BRIGADISTA NOTURNO 12X36H'!$F$70</definedName>
    <definedName name="MOD_5_INSUMOS" localSheetId="6">'BRIGADISTA DIURNO 12X36H'!$F$77</definedName>
    <definedName name="MOD_5_INSUMOS" localSheetId="5">'BRIGADISTA LÍDER DIURNO 12X36H'!$F$77</definedName>
    <definedName name="MOD_5_INSUMOS" localSheetId="7">'BRIGADISTA NOTURNO 12X36H'!$F$77</definedName>
    <definedName name="MOD_6_CUSTOS_IND_LUCRO_TRIB" localSheetId="6">'BRIGADISTA DIURNO 12X36H'!$F$87</definedName>
    <definedName name="MOD_6_CUSTOS_IND_LUCRO_TRIB" localSheetId="5">'BRIGADISTA LÍDER DIURNO 12X36H'!$F$87</definedName>
    <definedName name="MOD_6_CUSTOS_IND_LUCRO_TRIB" localSheetId="7">'BRIGADISTA NOTURNO 12X36H'!$F$87</definedName>
    <definedName name="MODALIDADE_DE_LICITACAO" localSheetId="1">'[1]INSERÇÃO-DE-DADOS (POSTOS)'!$E$7</definedName>
    <definedName name="MODALIDADE_DE_LICITACAO" localSheetId="2">'[1]INSERÇÃO-DE-DADOS (POSTOS)'!$E$7</definedName>
    <definedName name="MODALIDADE_DE_LICITACAO">'INSERÇÃO-POSTOS'!#REF!</definedName>
    <definedName name="NUMERO_MESES_EXEC_CONTRATUAL" localSheetId="1">'[1]INSERÇÃO-DE-DADOS (POSTOS)'!$G$15</definedName>
    <definedName name="NUMERO_MESES_EXEC_CONTRATUAL" localSheetId="2">'[1]INSERÇÃO-DE-DADOS (POSTOS)'!$G$15</definedName>
    <definedName name="NUMERO_MESES_EXEC_CONTRATUAL">'INSERÇÃO-POSTOS'!$E$15</definedName>
    <definedName name="NUMERO_PREGAO" localSheetId="1">'[1]INSERÇÃO-DE-DADOS (POSTOS)'!$G$7</definedName>
    <definedName name="NUMERO_PREGAO" localSheetId="2">'[1]INSERÇÃO-DE-DADOS (POSTOS)'!$G$7</definedName>
    <definedName name="NUMERO_PREGAO">'INSERÇÃO-POSTOS'!$E$7</definedName>
    <definedName name="NUMERO_PROCESSO" localSheetId="1">'[1]INSERÇÃO-DE-DADOS (POSTOS)'!$E$6</definedName>
    <definedName name="NUMERO_PROCESSO" localSheetId="2">'[1]INSERÇÃO-DE-DADOS (POSTOS)'!$E$6</definedName>
    <definedName name="NUMERO_PROCESSO">'INSERÇÃO-POSTOS'!#REF!</definedName>
    <definedName name="ODONTO">'INSERÇÃO-POSTOS'!$D$77</definedName>
    <definedName name="OUTRAS_AUSENCIAS">'ENCARGOS-SOCIAIS-E-TRABALHISTAS'!$E$31</definedName>
    <definedName name="OUTRAS_AUSENCIAS_DESCRICAO" localSheetId="1">'[1]INSERÇÃO-DE-DADOS (POSTOS)'!$D$43</definedName>
    <definedName name="OUTRAS_AUSENCIAS_DESCRICAO" localSheetId="2">'[1]INSERÇÃO-DE-DADOS (POSTOS)'!$D$43</definedName>
    <definedName name="OUTRAS_AUSENCIAS_DESCRICAO">'INSERÇÃO-POSTOS'!$C$49</definedName>
    <definedName name="OUTROS_BENEFICIOS_1" localSheetId="1">'[1]INSERÇÃO-DE-DADOS (POSTOS)'!#REF!</definedName>
    <definedName name="OUTROS_BENEFICIOS_1" localSheetId="2">'[1]INSERÇÃO-DE-DADOS (POSTOS)'!#REF!</definedName>
    <definedName name="OUTROS_BENEFICIOS_1">'INSERÇÃO-POSTOS'!#REF!</definedName>
    <definedName name="OUTROS_BENEFICIOS_1_DESCRICAO" localSheetId="1">'[1]INSERÇÃO-DE-DADOS (POSTOS)'!#REF!</definedName>
    <definedName name="OUTROS_BENEFICIOS_1_DESCRICAO" localSheetId="2">'[1]INSERÇÃO-DE-DADOS (POSTOS)'!#REF!</definedName>
    <definedName name="OUTROS_BENEFICIOS_1_DESCRICAO">'INSERÇÃO-POSTOS'!#REF!</definedName>
    <definedName name="OUTROS_BENEFICIOS_2" localSheetId="1">'[1]INSERÇÃO-DE-DADOS (POSTOS)'!#REF!</definedName>
    <definedName name="OUTROS_BENEFICIOS_2" localSheetId="2">'[1]INSERÇÃO-DE-DADOS (POSTOS)'!#REF!</definedName>
    <definedName name="OUTROS_BENEFICIOS_2">'INSERÇÃO-POSTOS'!#REF!</definedName>
    <definedName name="OUTROS_BENEFICIOS_2_DESCRICAO" localSheetId="1">'[1]INSERÇÃO-DE-DADOS (POSTOS)'!#REF!</definedName>
    <definedName name="OUTROS_BENEFICIOS_2_DESCRICAO" localSheetId="2">'[1]INSERÇÃO-DE-DADOS (POSTOS)'!#REF!</definedName>
    <definedName name="OUTROS_BENEFICIOS_2_DESCRICAO">'INSERÇÃO-POSTOS'!#REF!</definedName>
    <definedName name="OUTROS_BENEFICIOS_3" localSheetId="1">'[1]INSERÇÃO-DE-DADOS (POSTOS)'!#REF!</definedName>
    <definedName name="OUTROS_BENEFICIOS_3" localSheetId="2">'[1]INSERÇÃO-DE-DADOS (POSTOS)'!#REF!</definedName>
    <definedName name="OUTROS_BENEFICIOS_3">'INSERÇÃO-POSTOS'!#REF!</definedName>
    <definedName name="OUTROS_BENEFICIOS_3_DESCRICAO" localSheetId="1">'[1]INSERÇÃO-DE-DADOS (POSTOS)'!#REF!</definedName>
    <definedName name="OUTROS_BENEFICIOS_3_DESCRICAO" localSheetId="2">'[1]INSERÇÃO-DE-DADOS (POSTOS)'!#REF!</definedName>
    <definedName name="OUTROS_BENEFICIOS_3_DESCRICAO">'INSERÇÃO-POSTOS'!#REF!</definedName>
    <definedName name="OUTROS_INSUMOS" localSheetId="1">'[1]INSERÇÃO-DE-DADOS (POSTOS)'!#REF!</definedName>
    <definedName name="OUTROS_INSUMOS" localSheetId="2">'[1]INSERÇÃO-DE-DADOS (POSTOS)'!#REF!</definedName>
    <definedName name="OUTROS_INSUMOS">'INSERÇÃO-POSTOS'!$E$61</definedName>
    <definedName name="OUTROS_INSUMOS_DESCRICAO" localSheetId="1">'[1]INSERÇÃO-DE-DADOS (POSTOS)'!#REF!</definedName>
    <definedName name="OUTROS_INSUMOS_DESCRICAO" localSheetId="2">'[1]INSERÇÃO-DE-DADOS (POSTOS)'!#REF!</definedName>
    <definedName name="OUTROS_INSUMOS_DESCRICAO">'INSERÇÃO-POSTOS'!$C$61</definedName>
    <definedName name="OUTROS_REMUNERACAO_1" localSheetId="1">'[1]INSERÇÃO-DE-DADOS (POSTOS)'!#REF!</definedName>
    <definedName name="OUTROS_REMUNERACAO_1" localSheetId="2">'[1]INSERÇÃO-DE-DADOS (POSTOS)'!#REF!</definedName>
    <definedName name="OUTROS_REMUNERACAO_1">'INSERÇÃO-POSTOS'!#REF!</definedName>
    <definedName name="OUTROS_REMUNERACAO_1_DESCRICAO" localSheetId="1">'[1]INSERÇÃO-DE-DADOS (POSTOS)'!#REF!</definedName>
    <definedName name="OUTROS_REMUNERACAO_1_DESCRICAO" localSheetId="2">'[1]INSERÇÃO-DE-DADOS (POSTOS)'!#REF!</definedName>
    <definedName name="OUTROS_REMUNERACAO_1_DESCRICAO">'INSERÇÃO-POSTOS'!#REF!</definedName>
    <definedName name="OUTROS_REMUNERACAO_2" localSheetId="1">'[1]INSERÇÃO-DE-DADOS (POSTOS)'!#REF!</definedName>
    <definedName name="OUTROS_REMUNERACAO_2" localSheetId="2">'[1]INSERÇÃO-DE-DADOS (POSTOS)'!#REF!</definedName>
    <definedName name="OUTROS_REMUNERACAO_2">'INSERÇÃO-POSTOS'!#REF!</definedName>
    <definedName name="OUTROS_REMUNERACAO_2_DESCRICAO" localSheetId="1">'[1]INSERÇÃO-DE-DADOS (POSTOS)'!#REF!</definedName>
    <definedName name="OUTROS_REMUNERACAO_2_DESCRICAO" localSheetId="2">'[1]INSERÇÃO-DE-DADOS (POSTOS)'!#REF!</definedName>
    <definedName name="OUTROS_REMUNERACAO_2_DESCRICAO">'INSERÇÃO-POSTOS'!#REF!</definedName>
    <definedName name="OUTROS_REMUNERACAO_3" localSheetId="1">'[1]INSERÇÃO-DE-DADOS (POSTOS)'!#REF!</definedName>
    <definedName name="OUTROS_REMUNERACAO_3" localSheetId="2">'[1]INSERÇÃO-DE-DADOS (POSTOS)'!#REF!</definedName>
    <definedName name="OUTROS_REMUNERACAO_3">'INSERÇÃO-POSTOS'!#REF!</definedName>
    <definedName name="OUTROS_REMUNERACAO_3_DESCRICAO" localSheetId="1">'[1]INSERÇÃO-DE-DADOS (POSTOS)'!#REF!</definedName>
    <definedName name="OUTROS_REMUNERACAO_3_DESCRICAO" localSheetId="2">'[1]INSERÇÃO-DE-DADOS (POSTOS)'!#REF!</definedName>
    <definedName name="OUTROS_REMUNERACAO_3_DESCRICAO">'INSERÇÃO-POSTOS'!#REF!</definedName>
    <definedName name="PERC_ADIC_FERIAS" localSheetId="1">'[1]ENCARGOS-SOCIAIS-E-TRABALHISTAS'!$E$6</definedName>
    <definedName name="PERC_ADIC_FERIAS" localSheetId="2">'[1]ENCARGOS-SOCIAIS-E-TRABALHISTAS'!$E$6</definedName>
    <definedName name="PERC_ADIC_FERIAS">'ENCARGOS-SOCIAIS-E-TRABALHISTAS'!$E$6</definedName>
    <definedName name="PERC_ADIC_INS" localSheetId="1">'[1]INSERÇÃO-DE-DADOS (POSTOS)'!#REF!</definedName>
    <definedName name="PERC_ADIC_INS" localSheetId="2">'[1]INSERÇÃO-DE-DADOS (POSTOS)'!#REF!</definedName>
    <definedName name="PERC_ADIC_INS">'INSERÇÃO-POSTOS'!$E$37</definedName>
    <definedName name="PERC_ADIC_NOT">'INSERÇÃO-POSTOS'!$E$36</definedName>
    <definedName name="PERC_ADIC_PERIC" localSheetId="1">'[1]INSERÇÃO-DE-DADOS (POSTOS)'!$G$30</definedName>
    <definedName name="PERC_ADIC_PERIC" localSheetId="2">'[1]INSERÇÃO-DE-DADOS (POSTOS)'!$G$30</definedName>
    <definedName name="PERC_ADIC_PERIC">'INSERÇÃO-POSTOS'!$E$35</definedName>
    <definedName name="PERC_AVISO_PREVIO_IND" localSheetId="1">'[1]ENCARGOS-SOCIAIS-E-TRABALHISTAS'!$E$20</definedName>
    <definedName name="PERC_AVISO_PREVIO_IND" localSheetId="2">'[1]ENCARGOS-SOCIAIS-E-TRABALHISTAS'!$E$20</definedName>
    <definedName name="PERC_AVISO_PREVIO_IND">'ENCARGOS-SOCIAIS-E-TRABALHISTAS'!$E$20</definedName>
    <definedName name="PERC_AVISO_PREVIO_TRAB" localSheetId="1">'[1]ENCARGOS-SOCIAIS-E-TRABALHISTAS'!$E$21</definedName>
    <definedName name="PERC_AVISO_PREVIO_TRAB" localSheetId="2">'[1]ENCARGOS-SOCIAIS-E-TRABALHISTAS'!$E$21</definedName>
    <definedName name="PERC_AVISO_PREVIO_TRAB">'ENCARGOS-SOCIAIS-E-TRABALHISTAS'!$E$21</definedName>
    <definedName name="PERC_COFINS" localSheetId="1">'[1]INSERÇÃO-DE-DADOS (POSTOS)'!$G$57</definedName>
    <definedName name="PERC_COFINS" localSheetId="2">'[1]INSERÇÃO-DE-DADOS (POSTOS)'!$G$57</definedName>
    <definedName name="PERC_COFINS">'INSERÇÃO-POSTOS'!$E$68</definedName>
    <definedName name="PERC_CONTRIB_SOCIAL" localSheetId="1">'[1]DADOS-ESTATISTICOS'!#REF!</definedName>
    <definedName name="PERC_CONTRIB_SOCIAL" localSheetId="2">'[1]DADOS-ESTATISTICOS'!#REF!</definedName>
    <definedName name="PERC_CONTRIB_SOCIAL">'DADOS-ESTATISTICOS'!#REF!</definedName>
    <definedName name="PERC_CUSTOS_INDIRETOS" localSheetId="1">'[1]INSERÇÃO-DE-DADOS (POSTOS)'!$G$54</definedName>
    <definedName name="PERC_CUSTOS_INDIRETOS" localSheetId="2">'[1]INSERÇÃO-DE-DADOS (POSTOS)'!$G$54</definedName>
    <definedName name="PERC_CUSTOS_INDIRETOS">'INSERÇÃO-POSTOS'!$E$65</definedName>
    <definedName name="PERC_DEC_TERC" localSheetId="1">'[1]ENCARGOS-SOCIAIS-E-TRABALHISTAS'!$E$5</definedName>
    <definedName name="PERC_DEC_TERC" localSheetId="2">'[1]ENCARGOS-SOCIAIS-E-TRABALHISTAS'!$E$5</definedName>
    <definedName name="PERC_DEC_TERC">'ENCARGOS-SOCIAIS-E-TRABALHISTAS'!$E$5</definedName>
    <definedName name="PERC_DESC_TRANSP_REMUNERACAO" localSheetId="1">'[1]DADOS-ESTATISTICOS'!$F$14</definedName>
    <definedName name="PERC_DESC_TRANSP_REMUNERACAO" localSheetId="2">'[1]DADOS-ESTATISTICOS'!$F$14</definedName>
    <definedName name="PERC_DESC_TRANSP_REMUNERACAO">'DADOS-ESTATISTICOS'!$F$14</definedName>
    <definedName name="PERC_EMPREG_AFAST_TRAB" localSheetId="1">'[1]DADOS-ESTATISTICOS'!$F$31</definedName>
    <definedName name="PERC_EMPREG_AFAST_TRAB" localSheetId="2">'[1]DADOS-ESTATISTICOS'!$F$31</definedName>
    <definedName name="PERC_EMPREG_AFAST_TRAB">'DADOS-ESTATISTICOS'!$F$31</definedName>
    <definedName name="PERC_EMPREG_AVISO_PREVIO_IND" localSheetId="1">'[1]DADOS-ESTATISTICOS'!$F$19</definedName>
    <definedName name="PERC_EMPREG_AVISO_PREVIO_IND" localSheetId="2">'[1]DADOS-ESTATISTICOS'!$F$19</definedName>
    <definedName name="PERC_EMPREG_AVISO_PREVIO_IND">'DADOS-ESTATISTICOS'!$F$19</definedName>
    <definedName name="PERC_EMPREG_AVISO_PREVIO_TRAB" localSheetId="1">'[1]DADOS-ESTATISTICOS'!$F$21</definedName>
    <definedName name="PERC_EMPREG_AVISO_PREVIO_TRAB" localSheetId="2">'[1]DADOS-ESTATISTICOS'!$F$21</definedName>
    <definedName name="PERC_EMPREG_AVISO_PREVIO_TRAB">'DADOS-ESTATISTICOS'!$F$21</definedName>
    <definedName name="PERC_EMPREG_DEMIT_SEM_JUSTA_CAUSA_TOTAL_DESLIG" localSheetId="1">'[1]DADOS-ESTATISTICOS'!$F$18</definedName>
    <definedName name="PERC_EMPREG_DEMIT_SEM_JUSTA_CAUSA_TOTAL_DESLIG" localSheetId="2">'[1]DADOS-ESTATISTICOS'!$F$18</definedName>
    <definedName name="PERC_EMPREG_DEMIT_SEM_JUSTA_CAUSA_TOTAL_DESLIG">'DADOS-ESTATISTICOS'!$F$18</definedName>
    <definedName name="PERC_FGTS" localSheetId="1">'[1]ENCARGOS-SOCIAIS-E-TRABALHISTAS'!$E$16</definedName>
    <definedName name="PERC_FGTS" localSheetId="2">'[1]ENCARGOS-SOCIAIS-E-TRABALHISTAS'!$E$16</definedName>
    <definedName name="PERC_FGTS">'ENCARGOS-SOCIAIS-E-TRABALHISTAS'!$E$16</definedName>
    <definedName name="PERC_FGTS_AVISO_PREV_IND" localSheetId="1">'[1]ENCARGOS-SOCIAIS-E-TRABALHISTAS'!#REF!</definedName>
    <definedName name="PERC_FGTS_AVISO_PREV_IND" localSheetId="2">'[1]ENCARGOS-SOCIAIS-E-TRABALHISTAS'!#REF!</definedName>
    <definedName name="PERC_FGTS_AVISO_PREV_IND">'ENCARGOS-SOCIAIS-E-TRABALHISTAS'!#REF!</definedName>
    <definedName name="PERC_GPS_FGTS" localSheetId="1">'[1]ENCARGOS-SOCIAIS-E-TRABALHISTAS'!$E$17</definedName>
    <definedName name="PERC_GPS_FGTS" localSheetId="2">'[1]ENCARGOS-SOCIAIS-E-TRABALHISTAS'!$E$17</definedName>
    <definedName name="PERC_GPS_FGTS">'ENCARGOS-SOCIAIS-E-TRABALHISTAS'!$E$17</definedName>
    <definedName name="PERC_GPS_FGTS_AVISO_PREVIO_TRAB" localSheetId="1">'[1]ENCARGOS-SOCIAIS-E-TRABALHISTAS'!#REF!</definedName>
    <definedName name="PERC_GPS_FGTS_AVISO_PREVIO_TRAB" localSheetId="2">'[1]ENCARGOS-SOCIAIS-E-TRABALHISTAS'!#REF!</definedName>
    <definedName name="PERC_GPS_FGTS_AVISO_PREVIO_TRAB">'ENCARGOS-SOCIAIS-E-TRABALHISTAS'!#REF!</definedName>
    <definedName name="PERC_HORA_EXTRA" localSheetId="1">'[1]INSERÇÃO-DE-DADOS (POSTOS)'!#REF!</definedName>
    <definedName name="PERC_HORA_EXTRA" localSheetId="2">'[1]INSERÇÃO-DE-DADOS (POSTOS)'!#REF!</definedName>
    <definedName name="PERC_HORA_EXTRA">'INSERÇÃO-POSTOS'!$E$53</definedName>
    <definedName name="PERC_INCRA" localSheetId="1">'[1]ENCARGOS-SOCIAIS-E-TRABALHISTAS'!$E$15</definedName>
    <definedName name="PERC_INCRA" localSheetId="2">'[1]ENCARGOS-SOCIAIS-E-TRABALHISTAS'!$E$15</definedName>
    <definedName name="PERC_INCRA">'ENCARGOS-SOCIAIS-E-TRABALHISTAS'!$E$15</definedName>
    <definedName name="PERC_INSS" localSheetId="1">'[1]ENCARGOS-SOCIAIS-E-TRABALHISTAS'!$E$9</definedName>
    <definedName name="PERC_INSS" localSheetId="2">'[1]ENCARGOS-SOCIAIS-E-TRABALHISTAS'!$E$9</definedName>
    <definedName name="PERC_INSS">'ENCARGOS-SOCIAIS-E-TRABALHISTAS'!$E$9</definedName>
    <definedName name="PERC_ISS" localSheetId="1">'[1]INSERÇÃO-DE-DADOS (POSTOS)'!$G$58</definedName>
    <definedName name="PERC_ISS" localSheetId="2">'[1]INSERÇÃO-DE-DADOS (POSTOS)'!$G$58</definedName>
    <definedName name="PERC_ISS">'INSERÇÃO-POSTOS'!$E$69</definedName>
    <definedName name="PERC_LUCRO" localSheetId="1">'[1]INSERÇÃO-DE-DADOS (POSTOS)'!$G$55</definedName>
    <definedName name="PERC_LUCRO" localSheetId="2">'[1]INSERÇÃO-DE-DADOS (POSTOS)'!$G$55</definedName>
    <definedName name="PERC_LUCRO">'INSERÇÃO-POSTOS'!$E$66</definedName>
    <definedName name="PERC_MOD_3_PROVISAO_RESCISAO" localSheetId="6">'BRIGADISTA DIURNO 12X36H'!$E$55</definedName>
    <definedName name="PERC_MOD_3_PROVISAO_RESCISAO" localSheetId="5">'BRIGADISTA LÍDER DIURNO 12X36H'!$E$55</definedName>
    <definedName name="PERC_MOD_3_PROVISAO_RESCISAO" localSheetId="7">'BRIGADISTA NOTURNO 12X36H'!$E$55</definedName>
    <definedName name="PERC_MULTA_FGTS" localSheetId="1">'[1]DADOS-ESTATISTICOS'!$F$20</definedName>
    <definedName name="PERC_MULTA_FGTS" localSheetId="2">'[1]DADOS-ESTATISTICOS'!$F$20</definedName>
    <definedName name="PERC_MULTA_FGTS">'DADOS-ESTATISTICOS'!$F$20</definedName>
    <definedName name="PERC_MULTA_FGTS_AV_PREV_IND" localSheetId="1">'[1]ENCARGOS-SOCIAIS-E-TRABALHISTAS'!#REF!</definedName>
    <definedName name="PERC_MULTA_FGTS_AV_PREV_IND" localSheetId="2">'[1]ENCARGOS-SOCIAIS-E-TRABALHISTAS'!#REF!</definedName>
    <definedName name="PERC_MULTA_FGTS_AV_PREV_IND">'ENCARGOS-SOCIAIS-E-TRABALHISTAS'!#REF!</definedName>
    <definedName name="PERC_MULTA_FGTS_AV_PREV_TRAB" localSheetId="1">'[1]ENCARGOS-SOCIAIS-E-TRABALHISTAS'!$E$22</definedName>
    <definedName name="PERC_MULTA_FGTS_AV_PREV_TRAB" localSheetId="2">'[1]ENCARGOS-SOCIAIS-E-TRABALHISTAS'!$E$22</definedName>
    <definedName name="PERC_MULTA_FGTS_AV_PREV_TRAB">'ENCARGOS-SOCIAIS-E-TRABALHISTAS'!$E$22</definedName>
    <definedName name="PERC_NASCIDOS_VIVOS_POPUL_FEM" localSheetId="1">'[1]DADOS-ESTATISTICOS'!$F$29</definedName>
    <definedName name="PERC_NASCIDOS_VIVOS_POPUL_FEM" localSheetId="2">'[1]DADOS-ESTATISTICOS'!$F$29</definedName>
    <definedName name="PERC_NASCIDOS_VIVOS_POPUL_FEM">'DADOS-ESTATISTICOS'!$F$29</definedName>
    <definedName name="PERC_PARTIC_FEM_VIGIL" localSheetId="1">'[1]DADOS-ESTATISTICOS'!$F$34</definedName>
    <definedName name="PERC_PARTIC_FEM_VIGIL" localSheetId="2">'[1]DADOS-ESTATISTICOS'!$F$34</definedName>
    <definedName name="PERC_PARTIC_FEM_VIGIL">'DADOS-ESTATISTICOS'!$F$34</definedName>
    <definedName name="PERC_PARTIC_MASC_VIGIL" localSheetId="1">'[1]DADOS-ESTATISTICOS'!$F$30</definedName>
    <definedName name="PERC_PARTIC_MASC_VIGIL" localSheetId="2">'[1]DADOS-ESTATISTICOS'!$F$30</definedName>
    <definedName name="PERC_PARTIC_MASC_VIGIL">'DADOS-ESTATISTICOS'!$F$30</definedName>
    <definedName name="PERC_PIS" localSheetId="1">'[1]INSERÇÃO-DE-DADOS (POSTOS)'!$G$56</definedName>
    <definedName name="PERC_PIS" localSheetId="2">'[1]INSERÇÃO-DE-DADOS (POSTOS)'!$G$56</definedName>
    <definedName name="PERC_PIS">'INSERÇÃO-POSTOS'!$E$67</definedName>
    <definedName name="PERC_RAT" localSheetId="1">'[1]ENCARGOS-SOCIAIS-E-TRABALHISTAS'!$E$11</definedName>
    <definedName name="PERC_RAT" localSheetId="2">'[1]ENCARGOS-SOCIAIS-E-TRABALHISTAS'!$E$11</definedName>
    <definedName name="PERC_RAT">'ENCARGOS-SOCIAIS-E-TRABALHISTAS'!$E$11</definedName>
    <definedName name="PERC_SAL_EDUCACAO" localSheetId="1">'[1]ENCARGOS-SOCIAIS-E-TRABALHISTAS'!$E$10</definedName>
    <definedName name="PERC_SAL_EDUCACAO" localSheetId="2">'[1]ENCARGOS-SOCIAIS-E-TRABALHISTAS'!$E$10</definedName>
    <definedName name="PERC_SAL_EDUCACAO">'ENCARGOS-SOCIAIS-E-TRABALHISTAS'!$E$10</definedName>
    <definedName name="PERC_SEBRAE" localSheetId="1">'[1]ENCARGOS-SOCIAIS-E-TRABALHISTAS'!$E$14</definedName>
    <definedName name="PERC_SEBRAE" localSheetId="2">'[1]ENCARGOS-SOCIAIS-E-TRABALHISTAS'!$E$14</definedName>
    <definedName name="PERC_SEBRAE">'ENCARGOS-SOCIAIS-E-TRABALHISTAS'!$E$14</definedName>
    <definedName name="PERC_SENAC" localSheetId="1">'[1]ENCARGOS-SOCIAIS-E-TRABALHISTAS'!$E$13</definedName>
    <definedName name="PERC_SENAC" localSheetId="2">'[1]ENCARGOS-SOCIAIS-E-TRABALHISTAS'!$E$13</definedName>
    <definedName name="PERC_SENAC">'ENCARGOS-SOCIAIS-E-TRABALHISTAS'!$E$13</definedName>
    <definedName name="PERC_SESC" localSheetId="1">'[1]ENCARGOS-SOCIAIS-E-TRABALHISTAS'!$E$12</definedName>
    <definedName name="PERC_SESC" localSheetId="2">'[1]ENCARGOS-SOCIAIS-E-TRABALHISTAS'!$E$12</definedName>
    <definedName name="PERC_SESC">'ENCARGOS-SOCIAIS-E-TRABALHISTAS'!$E$12</definedName>
    <definedName name="PERC_SUBSTITUTO_ACID_TRAB" localSheetId="1">'[1]ENCARGOS-SOCIAIS-E-TRABALHISTAS'!$E$29</definedName>
    <definedName name="PERC_SUBSTITUTO_ACID_TRAB" localSheetId="2">'[1]ENCARGOS-SOCIAIS-E-TRABALHISTAS'!$E$29</definedName>
    <definedName name="PERC_SUBSTITUTO_ACID_TRAB">'ENCARGOS-SOCIAIS-E-TRABALHISTAS'!$E$29</definedName>
    <definedName name="PERC_SUBSTITUTO_AFAST_MATERN" localSheetId="1">'[1]ENCARGOS-SOCIAIS-E-TRABALHISTAS'!$E$30</definedName>
    <definedName name="PERC_SUBSTITUTO_AFAST_MATERN" localSheetId="2">'[1]ENCARGOS-SOCIAIS-E-TRABALHISTAS'!$E$30</definedName>
    <definedName name="PERC_SUBSTITUTO_AFAST_MATERN">'ENCARGOS-SOCIAIS-E-TRABALHISTAS'!$E$30</definedName>
    <definedName name="PERC_SUBSTITUTO_AUSENCIAS_LEGAIS" localSheetId="1">'[1]ENCARGOS-SOCIAIS-E-TRABALHISTAS'!$E$27</definedName>
    <definedName name="PERC_SUBSTITUTO_AUSENCIAS_LEGAIS" localSheetId="2">'[1]ENCARGOS-SOCIAIS-E-TRABALHISTAS'!$E$27</definedName>
    <definedName name="PERC_SUBSTITUTO_AUSENCIAS_LEGAIS">'ENCARGOS-SOCIAIS-E-TRABALHISTAS'!$E$27</definedName>
    <definedName name="PERC_SUBSTITUTO_FERIAS" localSheetId="1">'[1]ENCARGOS-SOCIAIS-E-TRABALHISTAS'!$E$26</definedName>
    <definedName name="PERC_SUBSTITUTO_FERIAS" localSheetId="2">'[1]ENCARGOS-SOCIAIS-E-TRABALHISTAS'!$E$26</definedName>
    <definedName name="PERC_SUBSTITUTO_FERIAS">'ENCARGOS-SOCIAIS-E-TRABALHISTAS'!$E$26</definedName>
    <definedName name="PERC_SUBSTITUTO_LICENCA_PATERNIDADE" localSheetId="1">'[1]ENCARGOS-SOCIAIS-E-TRABALHISTAS'!$E$28</definedName>
    <definedName name="PERC_SUBSTITUTO_LICENCA_PATERNIDADE" localSheetId="2">'[1]ENCARGOS-SOCIAIS-E-TRABALHISTAS'!$E$28</definedName>
    <definedName name="PERC_SUBSTITUTO_LICENCA_PATERNIDADE">'ENCARGOS-SOCIAIS-E-TRABALHISTAS'!$E$28</definedName>
    <definedName name="PERC_SUBSTITUTO_OUTRAS_AUSENCIAS" localSheetId="1">'[1]INSERÇÃO-DE-DADOS (POSTOS)'!$G$43</definedName>
    <definedName name="PERC_SUBSTITUTO_OUTRAS_AUSENCIAS" localSheetId="2">'[1]INSERÇÃO-DE-DADOS (POSTOS)'!$G$43</definedName>
    <definedName name="PERC_SUBSTITUTO_OUTRAS_AUSENCIAS">'INSERÇÃO-POSTOS'!$E$49</definedName>
    <definedName name="PERC_TRIBUTOS" localSheetId="6">'BRIGADISTA DIURNO 12X36H'!$E$83</definedName>
    <definedName name="PERC_TRIBUTOS" localSheetId="5">'BRIGADISTA LÍDER DIURNO 12X36H'!$E$83</definedName>
    <definedName name="PERC_TRIBUTOS" localSheetId="7">'BRIGADISTA NOTURNO 12X36H'!$E$83</definedName>
    <definedName name="PLANO_SAUDE">'INSERÇÃO-POSTOS'!$D$75</definedName>
    <definedName name="QTDE_POSTOS_DIURNO" localSheetId="5">'INSERÇÃO-POSTOS'!$E$20</definedName>
    <definedName name="QTDE_POSTOS_DIURNO">'INSERÇÃO-POSTOS'!$E$20</definedName>
    <definedName name="QTDE_POSTOS_LIDER" localSheetId="6">'INSERÇÃO-POSTOS'!$E$19</definedName>
    <definedName name="QTDE_POSTOS_LIDER">'INSERÇÃO-POSTOS'!$E$19</definedName>
    <definedName name="QTDE_POSTOS_NOTURNO" localSheetId="7">'INSERÇÃO-POSTOS'!$E$21</definedName>
    <definedName name="QTDE_POSTOS_NOTURNO">'INSERÇÃO-POSTOS'!$E$21</definedName>
    <definedName name="RAMO" localSheetId="1">'[1]INSERÇÃO-DE-DADOS (POSTOS)'!$C$1</definedName>
    <definedName name="RAMO" localSheetId="2">'[1]INSERÇÃO-DE-DADOS (POSTOS)'!$C$1</definedName>
    <definedName name="RAMO">'INSERÇÃO-POSTOS'!$B$1</definedName>
    <definedName name="SAL_MINIMO" localSheetId="1">'[1]INSERÇÃO-DE-DADOS (POSTOS)'!#REF!</definedName>
    <definedName name="SAL_MINIMO" localSheetId="2">'[1]INSERÇÃO-DE-DADOS (POSTOS)'!#REF!</definedName>
    <definedName name="SAL_MINIMO">'INSERÇÃO-POSTOS'!$E$27</definedName>
    <definedName name="SALARIO_BASE">'[1]INSERÇÃO-DE-DADOS (POSTOS)'!$G$29</definedName>
    <definedName name="SEGURO_VIDA">'INSERÇÃO-POSTOS'!$D$76</definedName>
    <definedName name="SUBMOD_2_1_DEC_TERC_ADIC_FERIAS" localSheetId="6">'BRIGADISTA DIURNO 12X36H'!$F$33</definedName>
    <definedName name="SUBMOD_2_1_DEC_TERC_ADIC_FERIAS" localSheetId="5">'BRIGADISTA LÍDER DIURNO 12X36H'!$F$33</definedName>
    <definedName name="SUBMOD_2_1_DEC_TERC_ADIC_FERIAS" localSheetId="7">'BRIGADISTA NOTURNO 12X36H'!$F$33</definedName>
    <definedName name="SUBMOD_2_2_GPS_FGTS" localSheetId="6">'BRIGADISTA DIURNO 12X36H'!$F$44</definedName>
    <definedName name="SUBMOD_2_2_GPS_FGTS" localSheetId="5">'BRIGADISTA LÍDER DIURNO 12X36H'!$F$44</definedName>
    <definedName name="SUBMOD_2_2_GPS_FGTS" localSheetId="7">'BRIGADISTA NOTURNO 12X36H'!$F$44</definedName>
    <definedName name="SUBMOD_2_3_BENEFICIOS" localSheetId="6">'BRIGADISTA DIURNO 12X36H'!$F$49</definedName>
    <definedName name="SUBMOD_2_3_BENEFICIOS" localSheetId="5">'BRIGADISTA LÍDER DIURNO 12X36H'!$F$49</definedName>
    <definedName name="SUBMOD_2_3_BENEFICIOS" localSheetId="7">'BRIGADISTA NOTURNO 12X36H'!$F$49</definedName>
    <definedName name="SUBMOD_4_1_SUBSTITUTO" localSheetId="6">'BRIGADISTA DIURNO 12X36H'!$F$66</definedName>
    <definedName name="SUBMOD_4_1_SUBSTITUTO" localSheetId="5">'BRIGADISTA LÍDER DIURNO 12X36H'!$F$66</definedName>
    <definedName name="SUBMOD_4_1_SUBSTITUTO" localSheetId="7">'BRIGADISTA NOTURNO 12X36H'!$F$66</definedName>
    <definedName name="SUBMOD_4_2_INTRAJORNADA" localSheetId="6">'BRIGADISTA DIURNO 12X36H'!$F$70</definedName>
    <definedName name="SUBMOD_4_2_INTRAJORNADA" localSheetId="5">'BRIGADISTA LÍDER DIURNO 12X36H'!$F$70</definedName>
    <definedName name="SUBMOD_4_2_INTRAJORNADA" localSheetId="7">'BRIGADISTA NOTURNO 12X36H'!$F$70</definedName>
    <definedName name="TEMPO_INTERVALO_REFEICAO" localSheetId="1">'[1]INSERÇÃO-DE-DADOS (POSTOS)'!#REF!</definedName>
    <definedName name="TEMPO_INTERVALO_REFEICAO" localSheetId="2">'[1]INSERÇÃO-DE-DADOS (POSTOS)'!#REF!</definedName>
    <definedName name="TEMPO_INTERVALO_REFEICAO">'INSERÇÃO-POSTOS'!$E$54</definedName>
    <definedName name="TIPO_DE_SERVICO">'INSERÇÃO-POSTOS'!$C$18</definedName>
    <definedName name="TRANSPORTE_POR_DIA" localSheetId="1">'[1]INSERÇÃO-DE-DADOS (POSTOS)'!$G$36</definedName>
    <definedName name="TRANSPORTE_POR_DIA" localSheetId="2">'[1]INSERÇÃO-DE-DADOS (POSTOS)'!$G$36</definedName>
    <definedName name="TRANSPORTE_POR_DIA">'INSERÇÃO-POSTOS'!$E$42</definedName>
    <definedName name="UG" localSheetId="1">'[1]INSERÇÃO-DE-DADOS (POSTOS)'!$C$2</definedName>
    <definedName name="UG" localSheetId="2">'[1]INSERÇÃO-DE-DADOS (POSTOS)'!$C$2</definedName>
    <definedName name="UG">'INSERÇÃO-POSTOS'!$B$2</definedName>
    <definedName name="UNID_EMPR_POSTO_DIRUNO">'INSERÇÃO-POSTOS'!$D$20</definedName>
    <definedName name="UNID_EMPR_POSTO_LIDER">'INSERÇÃO-POSTOS'!$D$19</definedName>
    <definedName name="UNID_EMPR_POSTO_NOTURNO">'INSERÇÃO-POSTOS'!$D$21</definedName>
    <definedName name="UNIFORME">'INSERÇÃO(EQUIP_UNIF_MAT)'!$H$61</definedName>
    <definedName name="UNIFORMES" localSheetId="1">'[1]INSERÇÃO-DE-DADOS (POSTOS)'!$G$48</definedName>
    <definedName name="UNIFORMES" localSheetId="2">'[1]INSERÇÃO-DE-DADOS (POSTOS)'!$G$48</definedName>
    <definedName name="UNIFORMES">'INSERÇÃO-POSTOS'!$E$58</definedName>
    <definedName name="VALOR_TOTAL_EMPREG_DIURNO" localSheetId="6">'BRIGADISTA DIURNO 12X36H'!$F$96</definedName>
    <definedName name="VALOR_TOTAL_EMPREG_LIDER" localSheetId="5">'BRIGADISTA LÍDER DIURNO 12X36H'!$F$96</definedName>
    <definedName name="VALOR_TOTAL_EMPREG_NOTURNO" localSheetId="7">'BRIGADISTA NOTURNO 12X36H'!$F$96</definedName>
    <definedName name="VALOR_TOTAL_POSTO">#REF!</definedName>
    <definedName name="VALOR_TOTAL_POSTO_DIURNO">'BRIGADISTA DIURNO 12X36H'!$F$97</definedName>
    <definedName name="VALOR_TOTAL_POSTO_LIDER">'BRIGADISTA LÍDER DIURNO 12X36H'!$F$97</definedName>
    <definedName name="VALOR_TOTAL_POSTO_NOTURNO">'BRIGADISTA NOTURNO 12X36H'!$F$97</definedName>
  </definedNames>
  <calcPr calcId="152511" fullPrecision="0"/>
  <customWorkbookViews>
    <customWorkbookView name="teste" guid="{E22B0E03-E710-4313-B9E5-0BFE52A7E677}" maximized="1" xWindow="-8" yWindow="-8" windowWidth="1936" windowHeight="1056" tabRatio="89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5" l="1"/>
  <c r="E14" i="17"/>
  <c r="E14" i="16"/>
  <c r="F12" i="16"/>
  <c r="F12" i="14"/>
  <c r="F23" i="16"/>
  <c r="H15" i="20"/>
  <c r="H48" i="20"/>
  <c r="G60" i="20"/>
  <c r="H60" i="20" s="1"/>
  <c r="G59" i="20"/>
  <c r="H59" i="20" s="1"/>
  <c r="G58" i="20"/>
  <c r="H58" i="20" s="1"/>
  <c r="G57" i="20"/>
  <c r="H57" i="20" s="1"/>
  <c r="G56" i="20"/>
  <c r="H56" i="20" s="1"/>
  <c r="G55" i="20"/>
  <c r="H55" i="20" s="1"/>
  <c r="G54" i="20"/>
  <c r="H54" i="20" s="1"/>
  <c r="G46" i="20"/>
  <c r="H46" i="20" s="1"/>
  <c r="G45" i="20"/>
  <c r="H45" i="20" s="1"/>
  <c r="G44" i="20"/>
  <c r="H44" i="20" s="1"/>
  <c r="G43" i="20"/>
  <c r="H43" i="20" s="1"/>
  <c r="G42" i="20"/>
  <c r="H42" i="20" s="1"/>
  <c r="G41" i="20"/>
  <c r="H41" i="20" s="1"/>
  <c r="G40" i="20"/>
  <c r="H40" i="20" s="1"/>
  <c r="G39" i="20"/>
  <c r="H39" i="20" s="1"/>
  <c r="G38" i="20"/>
  <c r="H38" i="20" s="1"/>
  <c r="G37" i="20"/>
  <c r="H37" i="20" s="1"/>
  <c r="G36" i="20"/>
  <c r="H36" i="20" s="1"/>
  <c r="G35" i="20"/>
  <c r="H35" i="20" s="1"/>
  <c r="G34" i="20"/>
  <c r="H34" i="20" s="1"/>
  <c r="G33" i="20"/>
  <c r="H33" i="20" s="1"/>
  <c r="G32" i="20"/>
  <c r="H32" i="20" s="1"/>
  <c r="G31" i="20"/>
  <c r="H31" i="20" s="1"/>
  <c r="G30" i="20"/>
  <c r="H30" i="20" s="1"/>
  <c r="G29" i="20"/>
  <c r="H29" i="20" s="1"/>
  <c r="G28" i="20"/>
  <c r="H28" i="20" s="1"/>
  <c r="G27" i="20"/>
  <c r="H27" i="20" s="1"/>
  <c r="G26" i="20"/>
  <c r="H26" i="20" s="1"/>
  <c r="G25" i="20"/>
  <c r="H25" i="20" s="1"/>
  <c r="G24" i="20"/>
  <c r="H24" i="20" s="1"/>
  <c r="G23" i="20"/>
  <c r="H23" i="20" s="1"/>
  <c r="G22" i="20"/>
  <c r="H22" i="20" s="1"/>
  <c r="G21" i="20"/>
  <c r="H21" i="20" s="1"/>
  <c r="G12" i="20"/>
  <c r="G9" i="20"/>
  <c r="H9" i="20" s="1"/>
  <c r="G8" i="20"/>
  <c r="H8" i="20" s="1"/>
  <c r="G7" i="20"/>
  <c r="H7" i="20" s="1"/>
  <c r="G6" i="20"/>
  <c r="H6" i="20" s="1"/>
  <c r="G5" i="20"/>
  <c r="H5" i="20" s="1"/>
  <c r="E17" i="19"/>
  <c r="E16" i="19"/>
  <c r="E15" i="19"/>
  <c r="E14" i="19"/>
  <c r="D10" i="19"/>
  <c r="D9" i="19"/>
  <c r="D8" i="19"/>
  <c r="F23" i="17"/>
  <c r="H13" i="20" l="1"/>
  <c r="H10" i="20"/>
  <c r="H61" i="20"/>
  <c r="E58" i="11" s="1"/>
  <c r="H47" i="20"/>
  <c r="H49" i="20" s="1"/>
  <c r="E59" i="11" s="1"/>
  <c r="D14" i="19"/>
  <c r="F14" i="19" s="1"/>
  <c r="D15" i="19"/>
  <c r="H14" i="20" l="1"/>
  <c r="H16" i="20" s="1"/>
  <c r="E60" i="11" s="1"/>
  <c r="D16" i="19"/>
  <c r="F15" i="19"/>
  <c r="F16" i="19" l="1"/>
  <c r="D17" i="19"/>
  <c r="F17" i="19" s="1"/>
  <c r="F18" i="19" l="1"/>
  <c r="F22" i="17" l="1"/>
  <c r="F24" i="17" s="1"/>
  <c r="F25" i="17" s="1"/>
  <c r="E86" i="17"/>
  <c r="E85" i="17"/>
  <c r="E84" i="17"/>
  <c r="E82" i="17"/>
  <c r="E81" i="17"/>
  <c r="F76" i="17"/>
  <c r="F75" i="17"/>
  <c r="E65" i="17"/>
  <c r="C65" i="17"/>
  <c r="F48" i="17"/>
  <c r="E43" i="17"/>
  <c r="E42" i="17"/>
  <c r="E41" i="17"/>
  <c r="E40" i="17"/>
  <c r="E39" i="17"/>
  <c r="E38" i="17"/>
  <c r="E37" i="17"/>
  <c r="E36" i="17"/>
  <c r="F26" i="17"/>
  <c r="F19" i="17"/>
  <c r="F17" i="17"/>
  <c r="F12" i="17"/>
  <c r="F11" i="17"/>
  <c r="F10" i="17"/>
  <c r="D9" i="17"/>
  <c r="F8" i="17"/>
  <c r="F6" i="17"/>
  <c r="D6" i="17"/>
  <c r="D5" i="17"/>
  <c r="F2" i="17"/>
  <c r="B2" i="17"/>
  <c r="B1" i="17"/>
  <c r="F24" i="16"/>
  <c r="F25" i="16" s="1"/>
  <c r="F24" i="14"/>
  <c r="F25" i="14" s="1"/>
  <c r="F22" i="16"/>
  <c r="E86" i="16"/>
  <c r="E85" i="16"/>
  <c r="E84" i="16"/>
  <c r="E82" i="16"/>
  <c r="E81" i="16"/>
  <c r="F76" i="16"/>
  <c r="F75" i="16"/>
  <c r="E65" i="16"/>
  <c r="C65" i="16"/>
  <c r="F48" i="16"/>
  <c r="E43" i="16"/>
  <c r="E42" i="16"/>
  <c r="E41" i="16"/>
  <c r="E40" i="16"/>
  <c r="E39" i="16"/>
  <c r="E38" i="16"/>
  <c r="E37" i="16"/>
  <c r="E36" i="16"/>
  <c r="F26" i="16"/>
  <c r="F19" i="16"/>
  <c r="F17" i="16"/>
  <c r="F11" i="16"/>
  <c r="F10" i="16"/>
  <c r="D9" i="16"/>
  <c r="F8" i="16"/>
  <c r="F6" i="16"/>
  <c r="D6" i="16"/>
  <c r="D5" i="16"/>
  <c r="F2" i="16"/>
  <c r="B2" i="16"/>
  <c r="B1" i="16"/>
  <c r="F47" i="17" l="1"/>
  <c r="F49" i="17" s="1"/>
  <c r="E83" i="17"/>
  <c r="E83" i="16"/>
  <c r="F27" i="17"/>
  <c r="F27" i="16"/>
  <c r="F90" i="16" s="1"/>
  <c r="F47" i="16"/>
  <c r="F49" i="16" s="1"/>
  <c r="F90" i="17" l="1"/>
  <c r="F39" i="15" l="1"/>
  <c r="F31" i="15" l="1"/>
  <c r="F19" i="14" l="1"/>
  <c r="E14" i="14"/>
  <c r="D9" i="14"/>
  <c r="F2" i="14" l="1"/>
  <c r="E31" i="12" l="1"/>
  <c r="C31" i="12"/>
  <c r="F26" i="14" l="1"/>
  <c r="E86" i="14" l="1"/>
  <c r="E85" i="14"/>
  <c r="E84" i="14"/>
  <c r="E82" i="14"/>
  <c r="E81" i="14"/>
  <c r="F76" i="14"/>
  <c r="F75" i="14"/>
  <c r="E65" i="14"/>
  <c r="C65" i="14"/>
  <c r="F48" i="14"/>
  <c r="E42" i="14"/>
  <c r="E41" i="14"/>
  <c r="E40" i="14"/>
  <c r="E39" i="14"/>
  <c r="E38" i="14"/>
  <c r="E37" i="14"/>
  <c r="E36" i="14"/>
  <c r="F23" i="14"/>
  <c r="F22" i="14"/>
  <c r="F47" i="14" s="1"/>
  <c r="F17" i="14"/>
  <c r="F11" i="14"/>
  <c r="F10" i="14"/>
  <c r="F8" i="14"/>
  <c r="F6" i="14"/>
  <c r="D6" i="14"/>
  <c r="D5" i="14"/>
  <c r="B2" i="14"/>
  <c r="B1" i="14"/>
  <c r="E83" i="14" l="1"/>
  <c r="F49" i="14"/>
  <c r="F27" i="14" l="1"/>
  <c r="F90" i="14" l="1"/>
  <c r="E5" i="12" l="1"/>
  <c r="E6" i="12"/>
  <c r="E20" i="12"/>
  <c r="E21" i="12"/>
  <c r="E26" i="12"/>
  <c r="E27" i="12"/>
  <c r="E28" i="12"/>
  <c r="E29" i="12"/>
  <c r="D67" i="11"/>
  <c r="D68" i="11"/>
  <c r="D69" i="11"/>
  <c r="E63" i="17" l="1"/>
  <c r="E62" i="17"/>
  <c r="E61" i="17"/>
  <c r="E32" i="17"/>
  <c r="F32" i="17"/>
  <c r="E53" i="17"/>
  <c r="E52" i="17"/>
  <c r="E60" i="17"/>
  <c r="F31" i="17"/>
  <c r="E31" i="17"/>
  <c r="E62" i="16"/>
  <c r="E52" i="16"/>
  <c r="E63" i="16"/>
  <c r="E61" i="16"/>
  <c r="F32" i="16"/>
  <c r="E32" i="16"/>
  <c r="E53" i="16"/>
  <c r="E22" i="12"/>
  <c r="E60" i="16"/>
  <c r="F31" i="16"/>
  <c r="E31" i="16"/>
  <c r="E63" i="14"/>
  <c r="E53" i="14"/>
  <c r="E61" i="14"/>
  <c r="E52" i="14"/>
  <c r="E62" i="14"/>
  <c r="E32" i="14"/>
  <c r="F32" i="14"/>
  <c r="E60" i="14"/>
  <c r="E31" i="14"/>
  <c r="F31" i="14"/>
  <c r="E54" i="17" l="1"/>
  <c r="F33" i="17"/>
  <c r="F54" i="17" s="1"/>
  <c r="F33" i="16"/>
  <c r="F42" i="16" s="1"/>
  <c r="E54" i="16"/>
  <c r="F33" i="14"/>
  <c r="F39" i="14" s="1"/>
  <c r="F36" i="16" l="1"/>
  <c r="F37" i="16"/>
  <c r="F41" i="16"/>
  <c r="F39" i="17"/>
  <c r="F40" i="17"/>
  <c r="F43" i="17"/>
  <c r="F41" i="17"/>
  <c r="F37" i="17"/>
  <c r="F38" i="17"/>
  <c r="F36" i="17"/>
  <c r="F42" i="17"/>
  <c r="F52" i="17"/>
  <c r="F54" i="16"/>
  <c r="F39" i="16"/>
  <c r="F43" i="16"/>
  <c r="F52" i="16" s="1"/>
  <c r="F38" i="16"/>
  <c r="F40" i="16"/>
  <c r="F37" i="14"/>
  <c r="F40" i="14"/>
  <c r="F41" i="14"/>
  <c r="F42" i="14"/>
  <c r="F36" i="14"/>
  <c r="F38" i="14"/>
  <c r="F44" i="17" l="1"/>
  <c r="F44" i="16"/>
  <c r="F91" i="16" s="1"/>
  <c r="F53" i="16" l="1"/>
  <c r="F55" i="16" s="1"/>
  <c r="F69" i="16" s="1"/>
  <c r="F70" i="16" s="1"/>
  <c r="F91" i="17"/>
  <c r="F53" i="17"/>
  <c r="F55" i="17" s="1"/>
  <c r="F69" i="17" s="1"/>
  <c r="F70" i="17" s="1"/>
  <c r="F60" i="16"/>
  <c r="F61" i="16"/>
  <c r="E43" i="14"/>
  <c r="F54" i="14"/>
  <c r="E17" i="12"/>
  <c r="F43" i="14"/>
  <c r="F44" i="14" s="1"/>
  <c r="F62" i="16" l="1"/>
  <c r="F65" i="16"/>
  <c r="F63" i="16"/>
  <c r="F92" i="16"/>
  <c r="F92" i="17"/>
  <c r="F65" i="17"/>
  <c r="F63" i="17"/>
  <c r="F61" i="17"/>
  <c r="F60" i="17"/>
  <c r="F62" i="17"/>
  <c r="E30" i="12"/>
  <c r="F91" i="14"/>
  <c r="F53" i="14"/>
  <c r="F52" i="14"/>
  <c r="E54" i="14"/>
  <c r="F64" i="17" l="1"/>
  <c r="F66" i="17" s="1"/>
  <c r="E64" i="17"/>
  <c r="E64" i="14"/>
  <c r="F64" i="16"/>
  <c r="F66" i="16" s="1"/>
  <c r="E64" i="16"/>
  <c r="F55" i="14"/>
  <c r="F92" i="14" l="1"/>
  <c r="F69" i="14"/>
  <c r="F70" i="14" s="1"/>
  <c r="F93" i="17"/>
  <c r="F93" i="16"/>
  <c r="F64" i="14"/>
  <c r="F65" i="14"/>
  <c r="F60" i="14"/>
  <c r="F63" i="14"/>
  <c r="F62" i="14"/>
  <c r="F61" i="14"/>
  <c r="F66" i="14" l="1"/>
  <c r="F93" i="14" s="1"/>
  <c r="F38" i="15" l="1"/>
  <c r="F74" i="16"/>
  <c r="F77" i="16" s="1"/>
  <c r="F74" i="14"/>
  <c r="F77" i="14" s="1"/>
  <c r="F74" i="17"/>
  <c r="F77" i="17" s="1"/>
  <c r="F81" i="17" s="1"/>
  <c r="F81" i="16" l="1"/>
  <c r="F82" i="16" s="1"/>
  <c r="F85" i="16" s="1"/>
  <c r="F94" i="16"/>
  <c r="F94" i="14"/>
  <c r="F81" i="14"/>
  <c r="F82" i="14" s="1"/>
  <c r="F82" i="17"/>
  <c r="F85" i="17" s="1"/>
  <c r="F94" i="17"/>
  <c r="F84" i="17" l="1"/>
  <c r="F86" i="17"/>
  <c r="F86" i="14"/>
  <c r="F84" i="16"/>
  <c r="F86" i="16"/>
  <c r="F85" i="14"/>
  <c r="F84" i="14"/>
  <c r="F83" i="16" l="1"/>
  <c r="F87" i="16" s="1"/>
  <c r="F95" i="16" s="1"/>
  <c r="F96" i="16" s="1"/>
  <c r="F83" i="17"/>
  <c r="F87" i="17" s="1"/>
  <c r="F95" i="17" s="1"/>
  <c r="F96" i="17" s="1"/>
  <c r="F98" i="17" s="1"/>
  <c r="F83" i="14"/>
  <c r="F87" i="14" s="1"/>
  <c r="F95" i="14" s="1"/>
  <c r="F96" i="14" s="1"/>
  <c r="F97" i="14" l="1"/>
  <c r="E8" i="19" s="1"/>
  <c r="F8" i="19" s="1"/>
  <c r="F98" i="14"/>
  <c r="F97" i="16"/>
  <c r="E9" i="19" s="1"/>
  <c r="F9" i="19" s="1"/>
  <c r="F98" i="16"/>
  <c r="F97" i="17"/>
  <c r="E10" i="19" s="1"/>
  <c r="F10" i="19" s="1"/>
  <c r="F11" i="19" s="1"/>
  <c r="F19" i="19" s="1"/>
  <c r="F20" i="19" s="1"/>
</calcChain>
</file>

<file path=xl/sharedStrings.xml><?xml version="1.0" encoding="utf-8"?>
<sst xmlns="http://schemas.openxmlformats.org/spreadsheetml/2006/main" count="876" uniqueCount="277">
  <si>
    <t>Insumos Diversos</t>
  </si>
  <si>
    <t>%</t>
  </si>
  <si>
    <t>A</t>
  </si>
  <si>
    <t>B</t>
  </si>
  <si>
    <t>C</t>
  </si>
  <si>
    <t>D</t>
  </si>
  <si>
    <t>E</t>
  </si>
  <si>
    <t>F</t>
  </si>
  <si>
    <t>MÓDULO 1: COMPOSIÇÃO DA REMUNERAÇÃO</t>
  </si>
  <si>
    <t>Composição da Remuneração</t>
  </si>
  <si>
    <t>G</t>
  </si>
  <si>
    <t>H</t>
  </si>
  <si>
    <t>I</t>
  </si>
  <si>
    <t>Valor (R$)</t>
  </si>
  <si>
    <t>Benefícios Mensais e Diários</t>
  </si>
  <si>
    <t>Transporte</t>
  </si>
  <si>
    <t>Uniformes</t>
  </si>
  <si>
    <t>Valor    (R$)</t>
  </si>
  <si>
    <t>4.1</t>
  </si>
  <si>
    <t>4.2</t>
  </si>
  <si>
    <t>Custos Indiretos, Tributos e Lucro</t>
  </si>
  <si>
    <t>Tributos</t>
  </si>
  <si>
    <t>PIS</t>
  </si>
  <si>
    <t>Cofins</t>
  </si>
  <si>
    <t>ISS</t>
  </si>
  <si>
    <t>VALOR TOTAL POR POSTO</t>
  </si>
  <si>
    <t>Lucro</t>
  </si>
  <si>
    <t>Nº do Processo (X.XX.XXX.XXXXXX/XXXX-XX)</t>
  </si>
  <si>
    <t>Modalidade de Licitação nº (XX/AAAA)</t>
  </si>
  <si>
    <t>Local de Execução (Sede, Anexo I ou II, PTM, PRM)</t>
  </si>
  <si>
    <t>Acordo, Conv. ou Sentença Normativa em Dissídio Coletivo (MM/AAAA)</t>
  </si>
  <si>
    <t>Frequência</t>
  </si>
  <si>
    <t>Diária</t>
  </si>
  <si>
    <t>PLANILHA DE CUSTOS E FORMAÇÃO DE PREÇOS</t>
  </si>
  <si>
    <t>INSS</t>
  </si>
  <si>
    <t>INCRA</t>
  </si>
  <si>
    <t>Salário Educação</t>
  </si>
  <si>
    <t>FGTS</t>
  </si>
  <si>
    <t>SEBRAE</t>
  </si>
  <si>
    <t>TOTAL</t>
  </si>
  <si>
    <t>13º Salário</t>
  </si>
  <si>
    <t>Provisão para Rescisão</t>
  </si>
  <si>
    <t>Aviso Prévio Indenizado</t>
  </si>
  <si>
    <t>Aviso Prévio Trabalhado</t>
  </si>
  <si>
    <t>Custo de Reposição do Profissional Ausente</t>
  </si>
  <si>
    <t>EMPREGADOS POR POSTO</t>
  </si>
  <si>
    <t>QUADRO RESUMO - CUSTO POR EMPREGADO</t>
  </si>
  <si>
    <t>DATA:</t>
  </si>
  <si>
    <t>DISCRIMINAÇÃO DOS SERVIÇOS (DADOS REFERENTES À CONTRATAÇÃO)</t>
  </si>
  <si>
    <t>Classificação Brasileira de Ocupações (CBO)</t>
  </si>
  <si>
    <t>Tipo de Serviço (mesmo serviço com características distintas)</t>
  </si>
  <si>
    <t>Categoria Profissional (vinculada à execução contratual)</t>
  </si>
  <si>
    <t>Data-Base da Categoria (DD/MM/AAAA)</t>
  </si>
  <si>
    <t>Data de Apresentação da Proposta (DD/MM/AAAA)</t>
  </si>
  <si>
    <t>Número de Meses de Execução Contratual</t>
  </si>
  <si>
    <t>MÓDULO 2: ENCARGOS E BENEFÍCIOS ANUAIS, MENSAIS E DIÁRIOS</t>
  </si>
  <si>
    <t>2.1</t>
  </si>
  <si>
    <t>Submódulo 2.2 - Encargos Previdencários (GPS), Fundo de Garantia por Tempo de Serviço (FGTS) e Outras Contribuições</t>
  </si>
  <si>
    <t>2.2</t>
  </si>
  <si>
    <t>Auxílio-Refeição/Alimentação</t>
  </si>
  <si>
    <t>Submódulo 2.3 - Benefícios Mensais e Diários</t>
  </si>
  <si>
    <t>MÓDULO 3: PROVISÃO PARA RESCISÃO</t>
  </si>
  <si>
    <t>MÓDULO 4: CUSTO DE REPOSIÇÃO DO PROFISSIONAL AUSENTE</t>
  </si>
  <si>
    <t>Submódulo 4.2 - Intrajornada</t>
  </si>
  <si>
    <t>Intrajornada</t>
  </si>
  <si>
    <t>MÓDULO 6: CUSTOS INDIRETOS, TRIBUTOS E LUCRO</t>
  </si>
  <si>
    <t>MÓDULO 5: INSUMOS DIVERSOS</t>
  </si>
  <si>
    <t>Custos Indiretos</t>
  </si>
  <si>
    <t>C.1</t>
  </si>
  <si>
    <t>C.2</t>
  </si>
  <si>
    <t>C.3</t>
  </si>
  <si>
    <t>Adicional de Periculosidade (em %)</t>
  </si>
  <si>
    <t>Adicional Noturno</t>
  </si>
  <si>
    <t>Adicional Noturno (em %)</t>
  </si>
  <si>
    <t>Quantidade de Postos</t>
  </si>
  <si>
    <t>Outros (Especificar)</t>
  </si>
  <si>
    <t>Adicional de Hora Noturna Reduzida (em %)</t>
  </si>
  <si>
    <t>SESC</t>
  </si>
  <si>
    <t>SENAC</t>
  </si>
  <si>
    <t>Riscos Ambientas do Trabalho</t>
  </si>
  <si>
    <t>2.3</t>
  </si>
  <si>
    <t>Salário-Base</t>
  </si>
  <si>
    <t>13º Salário e Adicional de Férias</t>
  </si>
  <si>
    <t>Adicional de Periculosidade</t>
  </si>
  <si>
    <t>Adicional de Férias</t>
  </si>
  <si>
    <t>Encargos Previdenciários (GPS), Fundo de Garantia por Tempo de Serviço (FGTS) e outras contribuições</t>
  </si>
  <si>
    <t>Dados referentes à licitação</t>
  </si>
  <si>
    <t>MÓD.</t>
  </si>
  <si>
    <t>Mão-de-obra vinculada à execução contratual (valor por empregado)</t>
  </si>
  <si>
    <t>Encargos e Benefícios Anuais, Mensais e Diários</t>
  </si>
  <si>
    <t>VALOR TOTAL DO EMPREGADO</t>
  </si>
  <si>
    <t>Submódulo 4.1 - Substituto nas Ausências Legais</t>
  </si>
  <si>
    <t>Substituto nas Ausências Legais</t>
  </si>
  <si>
    <t xml:space="preserve">Substituto na Cobertura de Férias 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</si>
  <si>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</si>
  <si>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</si>
  <si>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</si>
  <si>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</si>
  <si>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Intervalo para Repouso e Alimentação</t>
  </si>
  <si>
    <t>Submódulo 2.1 - 13º (décimo terceiro) Salário e Adicional de Férias</t>
  </si>
  <si>
    <t>Dados referentes à contratação</t>
  </si>
  <si>
    <t>Data / Horário</t>
  </si>
  <si>
    <t>Identificação do serviço</t>
  </si>
  <si>
    <t>Qtde Total a Contratar</t>
  </si>
  <si>
    <t>Mão de obra</t>
  </si>
  <si>
    <t>Dias no Ano</t>
  </si>
  <si>
    <t>Dias na Semana</t>
  </si>
  <si>
    <t>Hora Normal (em minutos)</t>
  </si>
  <si>
    <t>Hora Noturna (em minutos)</t>
  </si>
  <si>
    <t>Valor / %</t>
  </si>
  <si>
    <t>Valor (em R$)</t>
  </si>
  <si>
    <t>J</t>
  </si>
  <si>
    <t>Divisor de Horas (em horas)</t>
  </si>
  <si>
    <t xml:space="preserve">Meses no Ano </t>
  </si>
  <si>
    <t>Hora Extra (em %)</t>
  </si>
  <si>
    <t>Empregados que recebem aviso prévio indenizado (em %)</t>
  </si>
  <si>
    <t>Multa do FGTS (em %)</t>
  </si>
  <si>
    <t>Empregados que recebem aviso prévio trabalhado (em %)</t>
  </si>
  <si>
    <t>K</t>
  </si>
  <si>
    <t>L</t>
  </si>
  <si>
    <t>Dias de Ausências Legais</t>
  </si>
  <si>
    <t>Dias de Licença-Paternidade</t>
  </si>
  <si>
    <t>Nascidos Vivos / População Feminina (em %)</t>
  </si>
  <si>
    <t>Tempo de Intervalo para Refeição (em minutos)</t>
  </si>
  <si>
    <t>Empregados afastados por acidente de trabalho (em %)</t>
  </si>
  <si>
    <t>Dias de Licença-Maternidade</t>
  </si>
  <si>
    <t>Pessoas demitidas sem justa causa / Total de desligamentos (em %)</t>
  </si>
  <si>
    <t>Salário Mínimo vigente no país (em R$)</t>
  </si>
  <si>
    <t>Dias no mês</t>
  </si>
  <si>
    <t>Dias pagos pela empresa em acidentes de trabalho</t>
  </si>
  <si>
    <t>Mensal</t>
  </si>
  <si>
    <t>Média Anual de Dias Trabalhados no Mês</t>
  </si>
  <si>
    <t>Desconto Remuneração Transporte</t>
  </si>
  <si>
    <t>Unidade da Federação</t>
  </si>
  <si>
    <t>Item</t>
  </si>
  <si>
    <t>RAMO:</t>
  </si>
  <si>
    <t>UNIDADE GESTORA (SIGLA):</t>
  </si>
  <si>
    <t>XX/XX/20XX</t>
  </si>
  <si>
    <t>XX/20XX</t>
  </si>
  <si>
    <t>HH:MM</t>
  </si>
  <si>
    <t>Outras Ausências (Especificar - em %)</t>
  </si>
  <si>
    <t>OBSERVAÇÃO</t>
  </si>
  <si>
    <t>CUSTOS POR EMPREGADO</t>
  </si>
  <si>
    <t>Adicional de Insalubridade (em %)</t>
  </si>
  <si>
    <t>Adicional de Insalubridade</t>
  </si>
  <si>
    <t>VALOR TOTAL DA CATEGORIA</t>
  </si>
  <si>
    <t>CUSTOS REFERENTES AO POSTO</t>
  </si>
  <si>
    <t>CUSTOS REFERENTES AOS SERVIÇOS CONTRATADOS</t>
  </si>
  <si>
    <t>Empregados por Posto</t>
  </si>
  <si>
    <t>DADOS ESTATÍSTICOS</t>
  </si>
  <si>
    <t>ENCARGOS SOCIAIS E TRABALHISTAS</t>
  </si>
  <si>
    <t>Memória de Cálculo</t>
  </si>
  <si>
    <t>(1/12) x 100</t>
  </si>
  <si>
    <t>[(1/3)/12] x 100</t>
  </si>
  <si>
    <t>[(62,93%) x 5,55% x (1/12)] x 100</t>
  </si>
  <si>
    <t xml:space="preserve">(1/12) x 100 </t>
  </si>
  <si>
    <t>[(8/30)/12] x 100</t>
  </si>
  <si>
    <t>[(15/30)/12] x 0,44%} x 100</t>
  </si>
  <si>
    <t>[(62,93%) x 94,45% x (7/30)/12] x 100</t>
  </si>
  <si>
    <t>Participação Masculina(em %)</t>
  </si>
  <si>
    <t>Participação Feminina (em %)</t>
  </si>
  <si>
    <t>{[(20/30)/12] x 1,416% x 45,22%} x 100</t>
  </si>
  <si>
    <t>{[(180/30)/12] x 1,416% x 54,78% x 36,80%} x 100</t>
  </si>
  <si>
    <t>% / Minutos</t>
  </si>
  <si>
    <t>Para mais informações, consulte o Referencial Técnico de Custos, constante da aba PUBLICAÇÕES, na página da Auditoria Interna do MPU na internet (www.auditoria.mpu.mp.br).</t>
  </si>
  <si>
    <t>Nº do Processo</t>
  </si>
  <si>
    <t>Modalidade de Licitação</t>
  </si>
  <si>
    <t>Substituto na Intrajornada</t>
  </si>
  <si>
    <t>Submódulo 4.2 - Substituto na Intrajornada</t>
  </si>
  <si>
    <t>Dias / Horas / Minutos</t>
  </si>
  <si>
    <t>Dias / %</t>
  </si>
  <si>
    <t>Minutos / %</t>
  </si>
  <si>
    <t>1,16% x 40%  x 8,00% x 100</t>
  </si>
  <si>
    <t>Multa do FGTS sobre o Aviso Prévio Trabalhado</t>
  </si>
  <si>
    <t>BRIGADISTA LÍDER DIURNO 12X36H</t>
  </si>
  <si>
    <t>BRIGADISTA DIURNO 12X36H</t>
  </si>
  <si>
    <t>BRIGADISTA NOTURNO 12X36H</t>
  </si>
  <si>
    <t>Salário-Base (em R$) - BRIGADISTA LÍDER DIURNO 12X36H</t>
  </si>
  <si>
    <t>Salário-Base (em R$) - BRIGADISTA DIURNO 12X36H</t>
  </si>
  <si>
    <t>Salário-Base (em R$) - BRIGADISTA NOTURNO 12X36H</t>
  </si>
  <si>
    <t>Material de Primeiros Socorros-Material de Consumo</t>
  </si>
  <si>
    <t>Equipamentos de Proteção Individual e Equipamentos Diversos</t>
  </si>
  <si>
    <t>Uniforme</t>
  </si>
  <si>
    <t>Adic. Noturno?</t>
  </si>
  <si>
    <t>NÃO</t>
  </si>
  <si>
    <t>SIM</t>
  </si>
  <si>
    <t>QUADRO RESUMO - VALOR MENSAL DOS SERVIÇOS E BENEFÍCIOS TRABALHISTAS</t>
  </si>
  <si>
    <t>CATEGORIA</t>
  </si>
  <si>
    <t>QUANTIDADE DE POSTOS</t>
  </si>
  <si>
    <t>UNITÁRIO</t>
  </si>
  <si>
    <t>MENSAL BRIGADISTA LÍDER 12X36H (DIURNO)</t>
  </si>
  <si>
    <t>MENSAL BRIGADISTA 12X36H (DIURNO)</t>
  </si>
  <si>
    <t>MENSAL BRIGADISTA 12X36H (NOTURNO)</t>
  </si>
  <si>
    <t>TOTAL MENSAL DE SERVIÇOS</t>
  </si>
  <si>
    <t>BENEFÍCIOS TRABALHISTAS</t>
  </si>
  <si>
    <t>QUANTIDADE DE FUNCIONÁRIOS</t>
  </si>
  <si>
    <t>PLANO AMBULATORIAL</t>
  </si>
  <si>
    <t>SEGURO DE VIDA E ASSISTÊNCIA FUNERAL</t>
  </si>
  <si>
    <t>ASSISTÊNCIA ODONTOLÓGICA</t>
  </si>
  <si>
    <t>AUXÍLIO LAZER/CULTURA</t>
  </si>
  <si>
    <t>TOTAL MENSAL DOS BENEFÍCIOS TRABALHISTAS</t>
  </si>
  <si>
    <t>VALOR GLOBAL ANUAL</t>
  </si>
  <si>
    <t>GARANTIA</t>
  </si>
  <si>
    <t xml:space="preserve">PLANILHA DE PREÇOS </t>
  </si>
  <si>
    <t>ITEM</t>
  </si>
  <si>
    <t>BENEFÍCIO TRABALHISTA</t>
  </si>
  <si>
    <t>VALOR UNITÁRIO POR EMPREGADO (R$)</t>
  </si>
  <si>
    <t>Plano ambulatorial</t>
  </si>
  <si>
    <t>Seguro de vida e assistência funeral</t>
  </si>
  <si>
    <t>Assistência odontológica</t>
  </si>
  <si>
    <t>Auxílio lazer/cultura</t>
  </si>
  <si>
    <t>PLANILHA DE PREÇOS - EQUIPAMENTOS</t>
  </si>
  <si>
    <t xml:space="preserve">EQUIPAMENTOS DE PROTEÇÃO INDIVIDUAL E EQUIPAMENTOS DIVERSOS </t>
  </si>
  <si>
    <t>COMPOSIÇÃO DO CONJUNTO DE UNIFORME</t>
  </si>
  <si>
    <t>UNIDADE</t>
  </si>
  <si>
    <t>VALOR UNITÁRIO (R$)</t>
  </si>
  <si>
    <t>QTDE. ANUAL</t>
  </si>
  <si>
    <t>VALOR ANUAL EMPREGADO (R$)</t>
  </si>
  <si>
    <t>VALOR MENSAL EMPREGADO (R$)</t>
  </si>
  <si>
    <t xml:space="preserve">Capas de chuva plásticas </t>
  </si>
  <si>
    <t>Unidade</t>
  </si>
  <si>
    <t xml:space="preserve">Fita zebrada para isolamento (rolo de 200m) </t>
  </si>
  <si>
    <t>Rolo</t>
  </si>
  <si>
    <t>Luvas raspa de couro</t>
  </si>
  <si>
    <t>Par</t>
  </si>
  <si>
    <t xml:space="preserve">Botas de segurança para bombeiros </t>
  </si>
  <si>
    <t xml:space="preserve">Luvas de alta tensão </t>
  </si>
  <si>
    <t xml:space="preserve">Rádio transmissor e/ou telefone móvel </t>
  </si>
  <si>
    <t>PLANILHA DE PREÇOS- MATERIAIS DE PRIMEIROS SOCORROS</t>
  </si>
  <si>
    <t>MATERIAL DE CONSUMO</t>
  </si>
  <si>
    <t>Abaixador de língua descartável (pacote com
100 unidades)</t>
  </si>
  <si>
    <t>Pacote</t>
  </si>
  <si>
    <t>Álcool 70% (litro)</t>
  </si>
  <si>
    <t>Algodão de bolinhas (95g)</t>
  </si>
  <si>
    <t>Ataduras de crepe - 10 cm x 1,80m</t>
  </si>
  <si>
    <t>Ataduras de crepe - 20 cm x 1,80m</t>
  </si>
  <si>
    <t>Band Aid ou similar (caixa com 40 unidades)</t>
  </si>
  <si>
    <t>Caixa</t>
  </si>
  <si>
    <t>Colar cervical regulável, rígido e higienizável –
Tamanho P</t>
  </si>
  <si>
    <t xml:space="preserve">Colar cervical regulável, rígido e higienizável –
Tamanho M </t>
  </si>
  <si>
    <t xml:space="preserve">Colar cervical regulável, rígido e higienizável –
Tamanho G </t>
  </si>
  <si>
    <t>Esparadrapos impermeáveis (rolo grande) –
10cmx4,5m</t>
  </si>
  <si>
    <t xml:space="preserve">Fita microporosa - 100mmx10m </t>
  </si>
  <si>
    <t xml:space="preserve">Gaze estéril - 7,5x7,5cm (pacote com 20 unidades) </t>
  </si>
  <si>
    <t xml:space="preserve">Hastes flexíveis (Caixa com 150 unidades) </t>
  </si>
  <si>
    <t xml:space="preserve">Lâminas de Bisturi nº15 </t>
  </si>
  <si>
    <t>Lençóis plásticos (tamanho único)</t>
  </si>
  <si>
    <t>Luva cirúrgica esterelizada tamanho 8,5</t>
  </si>
  <si>
    <t xml:space="preserve">Luva em látex para procedimento Tamanho M (caixa com 100 unidades) </t>
  </si>
  <si>
    <t xml:space="preserve">Luva em látex para procedimento Tamanho G (caixa com 100 unidades) </t>
  </si>
  <si>
    <t>Máscaras cirúrgicas descartáveis (caixa com 50
unidades)</t>
  </si>
  <si>
    <t xml:space="preserve">Óculos de proteção individual socorrista </t>
  </si>
  <si>
    <t>RPC protection</t>
  </si>
  <si>
    <t xml:space="preserve">Soro fisiológico (250ml) </t>
  </si>
  <si>
    <t xml:space="preserve">Talas reguláveis para imobilização tipo EVA para
braço 63x9cm – flexível </t>
  </si>
  <si>
    <t xml:space="preserve">Talas reguláveis para imobilização tipo EVA para perna 83x9cm – flexível </t>
  </si>
  <si>
    <t xml:space="preserve">Talas reguláveis para imobilização tipo EVA para
braço 20x5cm – flexível </t>
  </si>
  <si>
    <t xml:space="preserve">Talas reguláveis para imobilização tipo EVA para
perna 30x8cm – flexível </t>
  </si>
  <si>
    <t>PLANILHA DE PREÇOS UNIFORME</t>
  </si>
  <si>
    <t>UNIFORME PARA BRIGADISTA 12X36H</t>
  </si>
  <si>
    <t>Masculino e Feminino</t>
  </si>
  <si>
    <t xml:space="preserve">Camiseta (tecido malha fria) </t>
  </si>
  <si>
    <t xml:space="preserve">Calça (tecido RIP-STOP) </t>
  </si>
  <si>
    <t xml:space="preserve">Gandola (tecido RIP-STOP) </t>
  </si>
  <si>
    <t>Coturno (couro nobukhidrofugado em tecido poliéster impermeável)</t>
  </si>
  <si>
    <t>Cinto (em nlon)</t>
  </si>
  <si>
    <t>Meia</t>
  </si>
  <si>
    <t>Japona</t>
  </si>
  <si>
    <t>TOTAL MENSAL POR EMPREGADO (R$)</t>
  </si>
  <si>
    <t>QUANTIDADE DE EMPREGADOS</t>
  </si>
  <si>
    <t>MÉDIA POR EMPREGADO</t>
  </si>
  <si>
    <t>TAXA LINEAR DEPRECIAÇÃO</t>
  </si>
  <si>
    <t>VALOR POR EMPREGADO</t>
  </si>
  <si>
    <t>TOTAL VALOR EQUIPAMENTOS (A+B)</t>
  </si>
  <si>
    <t>Tipo de Serviço - Contratação Brigadistas</t>
  </si>
  <si>
    <t>Dias Trabalhados no mês (média 13 dias)</t>
  </si>
  <si>
    <t>Considerar jornada regular de 36h/semanais; 52 semanas no ano ou 4,345 semanas por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</si>
</sst>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"/>
    <numFmt numFmtId="166" formatCode="0.0%"/>
  </numFmts>
  <fonts count="3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Segoe UI Light"/>
      <family val="2"/>
    </font>
    <font>
      <sz val="14"/>
      <name val="Segoe UI Light"/>
      <family val="2"/>
    </font>
    <font>
      <sz val="8"/>
      <name val="Segoe UI Light"/>
      <family val="2"/>
    </font>
    <font>
      <b/>
      <sz val="11"/>
      <name val="Segoe UI Light"/>
      <family val="2"/>
    </font>
    <font>
      <b/>
      <sz val="16"/>
      <name val="Segoe UI Light"/>
      <family val="2"/>
    </font>
    <font>
      <i/>
      <sz val="10"/>
      <name val="Segoe UI Light"/>
      <family val="2"/>
    </font>
    <font>
      <b/>
      <sz val="11"/>
      <color theme="0"/>
      <name val="Segoe UI Light"/>
      <family val="2"/>
    </font>
    <font>
      <sz val="11"/>
      <color rgb="FFFF0000"/>
      <name val="Segoe UI Light"/>
      <family val="2"/>
    </font>
    <font>
      <b/>
      <sz val="16"/>
      <color theme="5" tint="-0.499984740745262"/>
      <name val="Segoe UI Light"/>
      <family val="2"/>
    </font>
    <font>
      <sz val="11"/>
      <color theme="5" tint="-0.249977111117893"/>
      <name val="Segoe UI Light"/>
      <family val="2"/>
    </font>
    <font>
      <i/>
      <sz val="10"/>
      <color theme="0"/>
      <name val="Segoe UI Light"/>
      <family val="2"/>
    </font>
    <font>
      <b/>
      <sz val="14"/>
      <color theme="5" tint="-0.249977111117893"/>
      <name val="Segoe UI Light"/>
      <family val="2"/>
    </font>
    <font>
      <b/>
      <sz val="11"/>
      <color theme="5" tint="-0.499984740745262"/>
      <name val="Segoe UI Light"/>
      <family val="2"/>
    </font>
    <font>
      <b/>
      <sz val="14"/>
      <color theme="5" tint="-0.499984740745262"/>
      <name val="Segoe UI Light"/>
      <family val="2"/>
    </font>
    <font>
      <b/>
      <sz val="12"/>
      <color theme="5" tint="-0.499984740745262"/>
      <name val="Segoe UI Light"/>
      <family val="2"/>
    </font>
    <font>
      <b/>
      <sz val="20"/>
      <color theme="5" tint="-0.249977111117893"/>
      <name val="Segoe UI Light"/>
      <family val="2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D55816"/>
        <bgColor indexed="64"/>
      </patternFill>
    </fill>
    <fill>
      <patternFill patternType="solid">
        <fgColor rgb="FFD55816"/>
        <b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55816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18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9" fontId="18" fillId="0" borderId="0" applyFont="0" applyFill="0" applyBorder="0" applyAlignment="0" applyProtection="0"/>
  </cellStyleXfs>
  <cellXfs count="243">
    <xf numFmtId="0" fontId="0" fillId="0" borderId="0" xfId="0"/>
    <xf numFmtId="0" fontId="25" fillId="27" borderId="10" xfId="0" applyFont="1" applyFill="1" applyBorder="1" applyAlignment="1" applyProtection="1">
      <alignment horizontal="center" vertical="center"/>
    </xf>
    <xf numFmtId="0" fontId="25" fillId="27" borderId="10" xfId="0" applyFont="1" applyFill="1" applyBorder="1" applyAlignment="1" applyProtection="1">
      <alignment horizontal="center" vertical="center" wrapText="1"/>
    </xf>
    <xf numFmtId="0" fontId="25" fillId="28" borderId="10" xfId="0" applyFont="1" applyFill="1" applyBorder="1" applyAlignment="1" applyProtection="1">
      <alignment horizontal="center" vertical="center" wrapText="1"/>
    </xf>
    <xf numFmtId="4" fontId="19" fillId="29" borderId="10" xfId="0" applyNumberFormat="1" applyFont="1" applyFill="1" applyBorder="1" applyAlignment="1" applyProtection="1">
      <alignment horizontal="right" vertical="center" wrapText="1"/>
    </xf>
    <xf numFmtId="0" fontId="22" fillId="24" borderId="0" xfId="0" applyFont="1" applyFill="1" applyBorder="1" applyAlignment="1" applyProtection="1"/>
    <xf numFmtId="0" fontId="22" fillId="25" borderId="0" xfId="0" applyFont="1" applyFill="1" applyBorder="1" applyAlignment="1" applyProtection="1">
      <alignment horizontal="left" vertical="center" wrapText="1"/>
    </xf>
    <xf numFmtId="0" fontId="19" fillId="25" borderId="0" xfId="0" applyFont="1" applyFill="1" applyProtection="1"/>
    <xf numFmtId="39" fontId="19" fillId="25" borderId="0" xfId="0" applyNumberFormat="1" applyFont="1" applyFill="1" applyBorder="1" applyAlignment="1" applyProtection="1">
      <alignment horizontal="right"/>
    </xf>
    <xf numFmtId="0" fontId="19" fillId="25" borderId="0" xfId="0" applyFont="1" applyFill="1" applyBorder="1" applyAlignment="1" applyProtection="1">
      <alignment horizontal="left" vertical="center" wrapText="1"/>
    </xf>
    <xf numFmtId="0" fontId="23" fillId="25" borderId="0" xfId="0" applyFont="1" applyFill="1" applyBorder="1" applyAlignment="1" applyProtection="1">
      <alignment horizontal="left" vertical="center"/>
    </xf>
    <xf numFmtId="0" fontId="19" fillId="25" borderId="0" xfId="0" applyFont="1" applyFill="1" applyBorder="1" applyProtection="1"/>
    <xf numFmtId="0" fontId="19" fillId="25" borderId="0" xfId="0" applyFont="1" applyFill="1" applyBorder="1" applyAlignment="1" applyProtection="1">
      <alignment horizontal="center"/>
    </xf>
    <xf numFmtId="0" fontId="19" fillId="26" borderId="0" xfId="0" applyFont="1" applyFill="1" applyProtection="1"/>
    <xf numFmtId="39" fontId="22" fillId="25" borderId="0" xfId="0" applyNumberFormat="1" applyFont="1" applyFill="1" applyBorder="1" applyAlignment="1" applyProtection="1">
      <alignment horizontal="center" vertical="center" wrapText="1"/>
    </xf>
    <xf numFmtId="39" fontId="19" fillId="25" borderId="0" xfId="0" applyNumberFormat="1" applyFont="1" applyFill="1" applyAlignment="1" applyProtection="1">
      <alignment horizontal="center"/>
    </xf>
    <xf numFmtId="0" fontId="22" fillId="25" borderId="0" xfId="0" applyFont="1" applyFill="1" applyBorder="1" applyAlignment="1" applyProtection="1">
      <alignment horizontal="center" vertical="center" wrapText="1"/>
    </xf>
    <xf numFmtId="39" fontId="19" fillId="25" borderId="0" xfId="0" applyNumberFormat="1" applyFont="1" applyFill="1" applyBorder="1" applyAlignment="1" applyProtection="1">
      <alignment horizontal="center" vertical="center" wrapText="1"/>
    </xf>
    <xf numFmtId="49" fontId="19" fillId="30" borderId="10" xfId="0" applyNumberFormat="1" applyFont="1" applyFill="1" applyBorder="1" applyAlignment="1" applyProtection="1">
      <alignment horizontal="center"/>
      <protection locked="0"/>
    </xf>
    <xf numFmtId="0" fontId="25" fillId="27" borderId="10" xfId="0" applyFont="1" applyFill="1" applyBorder="1" applyAlignment="1" applyProtection="1">
      <alignment horizontal="center"/>
    </xf>
    <xf numFmtId="14" fontId="19" fillId="30" borderId="10" xfId="0" applyNumberFormat="1" applyFont="1" applyFill="1" applyBorder="1" applyAlignment="1" applyProtection="1">
      <alignment horizontal="center"/>
      <protection locked="0"/>
    </xf>
    <xf numFmtId="0" fontId="19" fillId="29" borderId="10" xfId="0" applyFont="1" applyFill="1" applyBorder="1" applyAlignment="1" applyProtection="1"/>
    <xf numFmtId="0" fontId="25" fillId="25" borderId="0" xfId="0" applyFont="1" applyFill="1" applyBorder="1" applyAlignment="1" applyProtection="1">
      <alignment horizontal="center"/>
    </xf>
    <xf numFmtId="0" fontId="19" fillId="25" borderId="0" xfId="0" applyFont="1" applyFill="1" applyBorder="1" applyAlignment="1" applyProtection="1">
      <alignment horizontal="left"/>
    </xf>
    <xf numFmtId="0" fontId="19" fillId="29" borderId="10" xfId="0" applyFont="1" applyFill="1" applyBorder="1" applyAlignment="1" applyProtection="1">
      <alignment horizontal="center"/>
    </xf>
    <xf numFmtId="0" fontId="29" fillId="27" borderId="10" xfId="0" applyFont="1" applyFill="1" applyBorder="1" applyAlignment="1" applyProtection="1">
      <alignment horizontal="center" vertical="center" wrapText="1"/>
    </xf>
    <xf numFmtId="39" fontId="24" fillId="29" borderId="10" xfId="0" applyNumberFormat="1" applyFont="1" applyFill="1" applyBorder="1" applyAlignment="1" applyProtection="1">
      <alignment horizontal="center" vertical="center" wrapText="1"/>
    </xf>
    <xf numFmtId="39" fontId="19" fillId="33" borderId="10" xfId="0" applyNumberFormat="1" applyFont="1" applyFill="1" applyBorder="1" applyAlignment="1" applyProtection="1">
      <alignment horizontal="right" vertical="center" wrapText="1"/>
      <protection locked="0"/>
    </xf>
    <xf numFmtId="0" fontId="30" fillId="25" borderId="0" xfId="0" applyFont="1" applyFill="1" applyBorder="1" applyAlignment="1" applyProtection="1">
      <alignment horizontal="left" vertical="center"/>
    </xf>
    <xf numFmtId="0" fontId="28" fillId="25" borderId="0" xfId="0" applyFont="1" applyFill="1" applyBorder="1" applyAlignment="1" applyProtection="1">
      <alignment horizontal="left" vertical="center" wrapText="1"/>
    </xf>
    <xf numFmtId="39" fontId="28" fillId="25" borderId="0" xfId="0" applyNumberFormat="1" applyFont="1" applyFill="1" applyBorder="1" applyAlignment="1" applyProtection="1">
      <alignment horizontal="center" vertical="center" wrapText="1"/>
    </xf>
    <xf numFmtId="39" fontId="19" fillId="29" borderId="10" xfId="0" applyNumberFormat="1" applyFont="1" applyFill="1" applyBorder="1" applyAlignment="1" applyProtection="1">
      <alignment horizontal="right" vertical="center" wrapText="1"/>
    </xf>
    <xf numFmtId="39" fontId="25" fillId="27" borderId="10" xfId="0" applyNumberFormat="1" applyFont="1" applyFill="1" applyBorder="1" applyAlignment="1" applyProtection="1">
      <alignment horizontal="right" vertical="center" wrapText="1"/>
    </xf>
    <xf numFmtId="2" fontId="19" fillId="29" borderId="10" xfId="0" applyNumberFormat="1" applyFont="1" applyFill="1" applyBorder="1" applyAlignment="1" applyProtection="1">
      <alignment horizontal="center" vertical="center"/>
    </xf>
    <xf numFmtId="2" fontId="25" fillId="27" borderId="10" xfId="0" applyNumberFormat="1" applyFont="1" applyFill="1" applyBorder="1" applyAlignment="1" applyProtection="1">
      <alignment horizontal="center" vertical="center"/>
    </xf>
    <xf numFmtId="4" fontId="25" fillId="34" borderId="10" xfId="0" applyNumberFormat="1" applyFont="1" applyFill="1" applyBorder="1" applyAlignment="1" applyProtection="1">
      <alignment horizontal="right" vertical="center" wrapText="1"/>
    </xf>
    <xf numFmtId="4" fontId="25" fillId="27" borderId="10" xfId="0" applyNumberFormat="1" applyFont="1" applyFill="1" applyBorder="1" applyAlignment="1" applyProtection="1">
      <alignment horizontal="right"/>
    </xf>
    <xf numFmtId="4" fontId="25" fillId="27" borderId="10" xfId="0" applyNumberFormat="1" applyFont="1" applyFill="1" applyBorder="1" applyAlignment="1" applyProtection="1">
      <alignment horizontal="right" vertical="center"/>
    </xf>
    <xf numFmtId="4" fontId="25" fillId="34" borderId="11" xfId="0" applyNumberFormat="1" applyFont="1" applyFill="1" applyBorder="1" applyAlignment="1" applyProtection="1">
      <alignment horizontal="right" vertical="center" wrapText="1"/>
    </xf>
    <xf numFmtId="0" fontId="25" fillId="27" borderId="11" xfId="0" applyFont="1" applyFill="1" applyBorder="1" applyAlignment="1" applyProtection="1">
      <alignment horizontal="center"/>
    </xf>
    <xf numFmtId="2" fontId="19" fillId="29" borderId="10" xfId="0" applyNumberFormat="1" applyFont="1" applyFill="1" applyBorder="1" applyAlignment="1" applyProtection="1">
      <alignment horizontal="center" vertical="center" wrapText="1"/>
    </xf>
    <xf numFmtId="39" fontId="19" fillId="29" borderId="11" xfId="0" applyNumberFormat="1" applyFont="1" applyFill="1" applyBorder="1" applyAlignment="1" applyProtection="1">
      <alignment horizontal="right" vertical="center" wrapText="1"/>
    </xf>
    <xf numFmtId="39" fontId="19" fillId="29" borderId="10" xfId="0" applyNumberFormat="1" applyFont="1" applyFill="1" applyBorder="1" applyAlignment="1" applyProtection="1">
      <alignment horizontal="center" vertical="center" wrapText="1"/>
    </xf>
    <xf numFmtId="0" fontId="25" fillId="27" borderId="11" xfId="0" applyFont="1" applyFill="1" applyBorder="1" applyAlignment="1" applyProtection="1">
      <alignment horizontal="center" vertical="center"/>
    </xf>
    <xf numFmtId="0" fontId="25" fillId="28" borderId="11" xfId="0" applyFont="1" applyFill="1" applyBorder="1" applyAlignment="1" applyProtection="1">
      <alignment horizontal="center" vertical="center" wrapText="1"/>
    </xf>
    <xf numFmtId="0" fontId="31" fillId="25" borderId="0" xfId="0" applyFont="1" applyFill="1" applyAlignment="1" applyProtection="1">
      <alignment horizontal="left"/>
    </xf>
    <xf numFmtId="0" fontId="32" fillId="25" borderId="0" xfId="0" applyFont="1" applyFill="1" applyBorder="1" applyAlignment="1" applyProtection="1">
      <alignment horizontal="left" vertical="center"/>
    </xf>
    <xf numFmtId="164" fontId="19" fillId="29" borderId="10" xfId="0" applyNumberFormat="1" applyFont="1" applyFill="1" applyBorder="1" applyAlignment="1" applyProtection="1">
      <alignment horizontal="center" vertical="center" wrapText="1"/>
    </xf>
    <xf numFmtId="4" fontId="19" fillId="35" borderId="10" xfId="0" applyNumberFormat="1" applyFont="1" applyFill="1" applyBorder="1" applyAlignment="1" applyProtection="1">
      <alignment horizontal="right" vertical="center" wrapText="1"/>
    </xf>
    <xf numFmtId="39" fontId="19" fillId="35" borderId="10" xfId="0" applyNumberFormat="1" applyFont="1" applyFill="1" applyBorder="1" applyAlignment="1" applyProtection="1">
      <alignment horizontal="right" vertical="center" wrapText="1"/>
    </xf>
    <xf numFmtId="2" fontId="19" fillId="35" borderId="10" xfId="0" applyNumberFormat="1" applyFont="1" applyFill="1" applyBorder="1" applyAlignment="1" applyProtection="1">
      <alignment horizontal="center" vertical="center" wrapText="1"/>
    </xf>
    <xf numFmtId="39" fontId="19" fillId="35" borderId="11" xfId="0" applyNumberFormat="1" applyFont="1" applyFill="1" applyBorder="1" applyAlignment="1" applyProtection="1">
      <alignment horizontal="right" vertical="center" wrapText="1"/>
    </xf>
    <xf numFmtId="39" fontId="19" fillId="35" borderId="10" xfId="0" applyNumberFormat="1" applyFont="1" applyFill="1" applyBorder="1" applyAlignment="1" applyProtection="1">
      <alignment horizontal="center" vertical="center" wrapText="1"/>
    </xf>
    <xf numFmtId="39" fontId="24" fillId="35" borderId="10" xfId="0" applyNumberFormat="1" applyFont="1" applyFill="1" applyBorder="1" applyAlignment="1" applyProtection="1">
      <alignment horizontal="center" vertical="center" wrapText="1"/>
    </xf>
    <xf numFmtId="39" fontId="24" fillId="29" borderId="10" xfId="0" applyNumberFormat="1" applyFont="1" applyFill="1" applyBorder="1" applyAlignment="1" applyProtection="1">
      <alignment horizontal="right" vertical="center" wrapText="1"/>
    </xf>
    <xf numFmtId="39" fontId="24" fillId="35" borderId="10" xfId="0" applyNumberFormat="1" applyFont="1" applyFill="1" applyBorder="1" applyAlignment="1" applyProtection="1">
      <alignment horizontal="right" vertical="center" wrapText="1"/>
    </xf>
    <xf numFmtId="0" fontId="19" fillId="35" borderId="10" xfId="0" applyFont="1" applyFill="1" applyBorder="1" applyAlignment="1" applyProtection="1">
      <alignment horizontal="center"/>
    </xf>
    <xf numFmtId="0" fontId="25" fillId="27" borderId="13" xfId="0" applyFont="1" applyFill="1" applyBorder="1" applyAlignment="1" applyProtection="1">
      <alignment horizontal="center" vertical="center" wrapText="1"/>
    </xf>
    <xf numFmtId="0" fontId="19" fillId="31" borderId="10" xfId="0" applyFont="1" applyFill="1" applyBorder="1" applyAlignment="1" applyProtection="1">
      <alignment horizontal="justify" vertical="center" wrapText="1"/>
    </xf>
    <xf numFmtId="4" fontId="19" fillId="30" borderId="10" xfId="0" applyNumberFormat="1" applyFont="1" applyFill="1" applyBorder="1" applyAlignment="1" applyProtection="1">
      <alignment horizontal="right"/>
      <protection locked="0"/>
    </xf>
    <xf numFmtId="0" fontId="19" fillId="30" borderId="10" xfId="0" applyFont="1" applyFill="1" applyBorder="1" applyAlignment="1" applyProtection="1">
      <alignment horizontal="center" vertical="center"/>
      <protection locked="0"/>
    </xf>
    <xf numFmtId="3" fontId="19" fillId="29" borderId="10" xfId="0" applyNumberFormat="1" applyFont="1" applyFill="1" applyBorder="1" applyAlignment="1" applyProtection="1">
      <alignment horizontal="right" vertical="center" wrapText="1"/>
    </xf>
    <xf numFmtId="165" fontId="19" fillId="29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165" fontId="19" fillId="35" borderId="10" xfId="0" applyNumberFormat="1" applyFont="1" applyFill="1" applyBorder="1" applyAlignment="1" applyProtection="1">
      <alignment horizontal="right" vertical="center" wrapText="1"/>
    </xf>
    <xf numFmtId="37" fontId="19" fillId="35" borderId="10" xfId="0" applyNumberFormat="1" applyFont="1" applyFill="1" applyBorder="1" applyAlignment="1" applyProtection="1">
      <alignment horizontal="right" vertical="center" wrapText="1"/>
    </xf>
    <xf numFmtId="37" fontId="19" fillId="29" borderId="10" xfId="0" applyNumberFormat="1" applyFont="1" applyFill="1" applyBorder="1" applyAlignment="1" applyProtection="1">
      <alignment horizontal="right" vertical="center" wrapText="1"/>
    </xf>
    <xf numFmtId="4" fontId="19" fillId="32" borderId="10" xfId="0" applyNumberFormat="1" applyFont="1" applyFill="1" applyBorder="1" applyAlignment="1" applyProtection="1">
      <alignment horizontal="right" vertical="center" wrapText="1"/>
      <protection locked="0"/>
    </xf>
    <xf numFmtId="3" fontId="19" fillId="32" borderId="10" xfId="0" applyNumberFormat="1" applyFont="1" applyFill="1" applyBorder="1" applyAlignment="1" applyProtection="1">
      <alignment horizontal="right" vertical="center" wrapText="1"/>
      <protection locked="0"/>
    </xf>
    <xf numFmtId="39" fontId="19" fillId="32" borderId="10" xfId="0" applyNumberFormat="1" applyFont="1" applyFill="1" applyBorder="1" applyAlignment="1" applyProtection="1">
      <alignment horizontal="right" vertical="center" wrapText="1"/>
      <protection locked="0"/>
    </xf>
    <xf numFmtId="39" fontId="19" fillId="32" borderId="11" xfId="0" applyNumberFormat="1" applyFont="1" applyFill="1" applyBorder="1" applyAlignment="1" applyProtection="1">
      <alignment horizontal="right" vertical="center" wrapText="1"/>
      <protection locked="0"/>
    </xf>
    <xf numFmtId="0" fontId="20" fillId="30" borderId="13" xfId="0" applyFont="1" applyFill="1" applyBorder="1" applyAlignment="1" applyProtection="1">
      <protection locked="0"/>
    </xf>
    <xf numFmtId="0" fontId="25" fillId="27" borderId="13" xfId="0" applyFont="1" applyFill="1" applyBorder="1" applyAlignment="1" applyProtection="1">
      <alignment horizontal="center" vertical="center"/>
    </xf>
    <xf numFmtId="0" fontId="25" fillId="27" borderId="12" xfId="0" applyFont="1" applyFill="1" applyBorder="1" applyAlignment="1" applyProtection="1">
      <alignment horizontal="center" vertical="center"/>
    </xf>
    <xf numFmtId="0" fontId="19" fillId="30" borderId="13" xfId="0" applyFont="1" applyFill="1" applyBorder="1" applyAlignment="1" applyProtection="1">
      <alignment horizontal="center" vertical="center" wrapText="1"/>
      <protection locked="0"/>
    </xf>
    <xf numFmtId="0" fontId="19" fillId="29" borderId="10" xfId="0" applyFont="1" applyFill="1" applyBorder="1" applyAlignment="1" applyProtection="1">
      <alignment horizontal="left" vertical="center" wrapText="1"/>
    </xf>
    <xf numFmtId="0" fontId="19" fillId="29" borderId="10" xfId="0" applyFont="1" applyFill="1" applyBorder="1" applyAlignment="1" applyProtection="1">
      <alignment horizontal="center"/>
    </xf>
    <xf numFmtId="14" fontId="20" fillId="31" borderId="13" xfId="0" applyNumberFormat="1" applyFont="1" applyFill="1" applyBorder="1" applyAlignment="1" applyProtection="1">
      <alignment horizontal="right"/>
    </xf>
    <xf numFmtId="14" fontId="20" fillId="31" borderId="13" xfId="0" applyNumberFormat="1" applyFont="1" applyFill="1" applyBorder="1" applyAlignment="1" applyProtection="1"/>
    <xf numFmtId="0" fontId="21" fillId="26" borderId="0" xfId="0" applyFont="1" applyFill="1" applyProtection="1"/>
    <xf numFmtId="0" fontId="21" fillId="26" borderId="0" xfId="0" applyFont="1" applyFill="1" applyBorder="1" applyProtection="1"/>
    <xf numFmtId="14" fontId="19" fillId="36" borderId="10" xfId="0" applyNumberFormat="1" applyFont="1" applyFill="1" applyBorder="1" applyAlignment="1" applyProtection="1">
      <alignment horizontal="center"/>
    </xf>
    <xf numFmtId="2" fontId="19" fillId="36" borderId="10" xfId="0" applyNumberFormat="1" applyFont="1" applyFill="1" applyBorder="1" applyAlignment="1" applyProtection="1">
      <alignment horizontal="center"/>
    </xf>
    <xf numFmtId="0" fontId="19" fillId="29" borderId="10" xfId="0" applyNumberFormat="1" applyFont="1" applyFill="1" applyBorder="1" applyAlignment="1" applyProtection="1">
      <alignment horizontal="center"/>
    </xf>
    <xf numFmtId="0" fontId="19" fillId="35" borderId="10" xfId="0" applyNumberFormat="1" applyFont="1" applyFill="1" applyBorder="1" applyAlignment="1" applyProtection="1">
      <alignment horizontal="center"/>
    </xf>
    <xf numFmtId="0" fontId="27" fillId="25" borderId="0" xfId="0" applyFont="1" applyFill="1" applyAlignment="1" applyProtection="1">
      <alignment vertical="center"/>
    </xf>
    <xf numFmtId="0" fontId="19" fillId="25" borderId="0" xfId="0" applyFont="1" applyFill="1" applyAlignment="1" applyProtection="1">
      <alignment vertical="top"/>
    </xf>
    <xf numFmtId="0" fontId="21" fillId="26" borderId="0" xfId="0" applyFont="1" applyFill="1" applyAlignment="1" applyProtection="1">
      <alignment vertical="top"/>
    </xf>
    <xf numFmtId="0" fontId="28" fillId="25" borderId="0" xfId="0" applyFont="1" applyFill="1" applyProtection="1"/>
    <xf numFmtId="0" fontId="26" fillId="25" borderId="0" xfId="0" applyFont="1" applyFill="1" applyProtection="1"/>
    <xf numFmtId="0" fontId="26" fillId="25" borderId="0" xfId="0" applyFont="1" applyFill="1" applyAlignment="1" applyProtection="1">
      <alignment wrapText="1"/>
    </xf>
    <xf numFmtId="0" fontId="26" fillId="25" borderId="0" xfId="0" applyFont="1" applyFill="1" applyAlignment="1" applyProtection="1">
      <alignment horizontal="center" wrapText="1"/>
    </xf>
    <xf numFmtId="0" fontId="19" fillId="25" borderId="0" xfId="0" applyFont="1" applyFill="1" applyAlignment="1" applyProtection="1">
      <alignment wrapText="1"/>
    </xf>
    <xf numFmtId="37" fontId="19" fillId="35" borderId="10" xfId="0" applyNumberFormat="1" applyFont="1" applyFill="1" applyBorder="1" applyAlignment="1" applyProtection="1">
      <alignment horizontal="center"/>
    </xf>
    <xf numFmtId="0" fontId="22" fillId="24" borderId="0" xfId="0" applyFont="1" applyFill="1" applyBorder="1" applyAlignment="1" applyProtection="1">
      <alignment horizontal="left"/>
    </xf>
    <xf numFmtId="49" fontId="19" fillId="24" borderId="0" xfId="0" applyNumberFormat="1" applyFont="1" applyFill="1" applyBorder="1" applyAlignment="1" applyProtection="1">
      <alignment horizontal="center"/>
    </xf>
    <xf numFmtId="0" fontId="21" fillId="26" borderId="0" xfId="0" applyFont="1" applyFill="1" applyAlignment="1" applyProtection="1">
      <alignment horizontal="center" vertical="center"/>
    </xf>
    <xf numFmtId="0" fontId="19" fillId="25" borderId="0" xfId="0" applyNumberFormat="1" applyFont="1" applyFill="1" applyBorder="1" applyAlignment="1" applyProtection="1">
      <alignment horizontal="center"/>
    </xf>
    <xf numFmtId="14" fontId="19" fillId="26" borderId="0" xfId="0" applyNumberFormat="1" applyFont="1" applyFill="1" applyBorder="1" applyAlignment="1" applyProtection="1">
      <alignment horizontal="center"/>
    </xf>
    <xf numFmtId="0" fontId="27" fillId="25" borderId="0" xfId="0" applyFont="1" applyFill="1" applyProtection="1"/>
    <xf numFmtId="0" fontId="19" fillId="25" borderId="0" xfId="0" applyFont="1" applyFill="1" applyAlignment="1" applyProtection="1">
      <alignment vertical="center" wrapText="1"/>
    </xf>
    <xf numFmtId="0" fontId="19" fillId="30" borderId="10" xfId="0" applyFont="1" applyFill="1" applyBorder="1" applyAlignment="1" applyProtection="1">
      <alignment horizontal="center" vertical="center" wrapText="1"/>
      <protection locked="0"/>
    </xf>
    <xf numFmtId="0" fontId="19" fillId="35" borderId="10" xfId="0" applyFont="1" applyFill="1" applyBorder="1" applyAlignment="1" applyProtection="1"/>
    <xf numFmtId="14" fontId="19" fillId="31" borderId="10" xfId="0" applyNumberFormat="1" applyFont="1" applyFill="1" applyBorder="1" applyAlignment="1" applyProtection="1">
      <alignment horizontal="center"/>
    </xf>
    <xf numFmtId="49" fontId="19" fillId="30" borderId="13" xfId="0" applyNumberFormat="1" applyFont="1" applyFill="1" applyBorder="1" applyAlignment="1" applyProtection="1">
      <alignment horizontal="left" vertical="center" wrapText="1"/>
      <protection locked="0"/>
    </xf>
    <xf numFmtId="0" fontId="20" fillId="31" borderId="13" xfId="0" applyFont="1" applyFill="1" applyBorder="1" applyAlignment="1" applyProtection="1">
      <alignment horizontal="right"/>
    </xf>
    <xf numFmtId="49" fontId="19" fillId="31" borderId="10" xfId="0" applyNumberFormat="1" applyFont="1" applyFill="1" applyBorder="1" applyAlignment="1" applyProtection="1">
      <alignment horizontal="center"/>
    </xf>
    <xf numFmtId="0" fontId="19" fillId="29" borderId="10" xfId="0" applyFont="1" applyFill="1" applyBorder="1" applyAlignment="1" applyProtection="1">
      <alignment horizontal="left"/>
    </xf>
    <xf numFmtId="0" fontId="19" fillId="35" borderId="10" xfId="0" applyFont="1" applyFill="1" applyBorder="1" applyAlignment="1" applyProtection="1">
      <alignment horizontal="left"/>
    </xf>
    <xf numFmtId="0" fontId="25" fillId="28" borderId="13" xfId="0" applyFont="1" applyFill="1" applyBorder="1" applyAlignment="1" applyProtection="1">
      <alignment horizontal="left" vertical="center" wrapText="1"/>
    </xf>
    <xf numFmtId="49" fontId="19" fillId="30" borderId="12" xfId="0" applyNumberFormat="1" applyFont="1" applyFill="1" applyBorder="1" applyAlignment="1" applyProtection="1">
      <alignment horizontal="center"/>
      <protection locked="0"/>
    </xf>
    <xf numFmtId="0" fontId="19" fillId="30" borderId="10" xfId="0" applyFont="1" applyFill="1" applyBorder="1" applyAlignment="1" applyProtection="1">
      <alignment horizontal="right"/>
      <protection locked="0"/>
    </xf>
    <xf numFmtId="39" fontId="19" fillId="35" borderId="13" xfId="0" applyNumberFormat="1" applyFont="1" applyFill="1" applyBorder="1" applyAlignment="1" applyProtection="1">
      <alignment horizontal="left" vertical="center" wrapText="1"/>
    </xf>
    <xf numFmtId="39" fontId="19" fillId="35" borderId="12" xfId="0" applyNumberFormat="1" applyFont="1" applyFill="1" applyBorder="1" applyAlignment="1" applyProtection="1">
      <alignment horizontal="left" vertical="center" wrapText="1"/>
    </xf>
    <xf numFmtId="0" fontId="19" fillId="30" borderId="0" xfId="0" applyFont="1" applyFill="1" applyBorder="1" applyAlignment="1" applyProtection="1">
      <alignment horizontal="center" vertical="center" wrapText="1"/>
      <protection locked="0"/>
    </xf>
    <xf numFmtId="0" fontId="25" fillId="27" borderId="12" xfId="0" applyFont="1" applyFill="1" applyBorder="1" applyAlignment="1">
      <alignment horizontal="center" vertical="center" wrapText="1"/>
    </xf>
    <xf numFmtId="49" fontId="19" fillId="30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28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19" fillId="35" borderId="18" xfId="0" applyFont="1" applyFill="1" applyBorder="1" applyAlignment="1">
      <alignment horizontal="center"/>
    </xf>
    <xf numFmtId="4" fontId="19" fillId="35" borderId="18" xfId="0" applyNumberFormat="1" applyFont="1" applyFill="1" applyBorder="1" applyAlignment="1">
      <alignment horizontal="right"/>
    </xf>
    <xf numFmtId="39" fontId="0" fillId="0" borderId="0" xfId="0" applyNumberFormat="1"/>
    <xf numFmtId="0" fontId="19" fillId="29" borderId="13" xfId="0" applyFont="1" applyFill="1" applyBorder="1" applyAlignment="1">
      <alignment horizontal="center"/>
    </xf>
    <xf numFmtId="4" fontId="19" fillId="29" borderId="13" xfId="0" applyNumberFormat="1" applyFont="1" applyFill="1" applyBorder="1" applyAlignment="1">
      <alignment horizontal="right"/>
    </xf>
    <xf numFmtId="4" fontId="25" fillId="27" borderId="10" xfId="0" applyNumberFormat="1" applyFont="1" applyFill="1" applyBorder="1" applyAlignment="1">
      <alignment horizontal="right"/>
    </xf>
    <xf numFmtId="0" fontId="25" fillId="28" borderId="20" xfId="0" applyFont="1" applyFill="1" applyBorder="1" applyAlignment="1">
      <alignment horizontal="center" vertical="center" wrapText="1"/>
    </xf>
    <xf numFmtId="0" fontId="19" fillId="35" borderId="15" xfId="0" applyFont="1" applyFill="1" applyBorder="1" applyAlignment="1">
      <alignment horizontal="center" vertical="center"/>
    </xf>
    <xf numFmtId="0" fontId="19" fillId="35" borderId="15" xfId="0" applyFont="1" applyFill="1" applyBorder="1" applyAlignment="1">
      <alignment vertical="distributed"/>
    </xf>
    <xf numFmtId="0" fontId="19" fillId="29" borderId="13" xfId="0" applyFont="1" applyFill="1" applyBorder="1" applyAlignment="1">
      <alignment horizontal="center" vertical="center"/>
    </xf>
    <xf numFmtId="0" fontId="19" fillId="31" borderId="13" xfId="0" applyFont="1" applyFill="1" applyBorder="1" applyAlignment="1">
      <alignment vertical="center" wrapText="1"/>
    </xf>
    <xf numFmtId="0" fontId="19" fillId="35" borderId="15" xfId="0" applyFont="1" applyFill="1" applyBorder="1" applyAlignment="1">
      <alignment vertical="distributed" wrapText="1"/>
    </xf>
    <xf numFmtId="0" fontId="19" fillId="31" borderId="13" xfId="0" applyFont="1" applyFill="1" applyBorder="1" applyAlignment="1">
      <alignment vertical="distributed" wrapText="1"/>
    </xf>
    <xf numFmtId="0" fontId="19" fillId="35" borderId="15" xfId="0" applyFont="1" applyFill="1" applyBorder="1" applyAlignment="1">
      <alignment horizontal="center" vertical="distributed"/>
    </xf>
    <xf numFmtId="4" fontId="19" fillId="35" borderId="18" xfId="0" applyNumberFormat="1" applyFont="1" applyFill="1" applyBorder="1" applyAlignment="1">
      <alignment horizontal="right" vertical="center"/>
    </xf>
    <xf numFmtId="0" fontId="19" fillId="31" borderId="14" xfId="0" applyFont="1" applyFill="1" applyBorder="1" applyAlignment="1">
      <alignment horizontal="center" vertical="center" wrapText="1"/>
    </xf>
    <xf numFmtId="4" fontId="19" fillId="29" borderId="13" xfId="0" applyNumberFormat="1" applyFont="1" applyFill="1" applyBorder="1" applyAlignment="1">
      <alignment horizontal="right" vertical="center"/>
    </xf>
    <xf numFmtId="0" fontId="19" fillId="31" borderId="14" xfId="0" applyFont="1" applyFill="1" applyBorder="1" applyAlignment="1">
      <alignment horizontal="center" vertical="distributed" wrapText="1"/>
    </xf>
    <xf numFmtId="9" fontId="19" fillId="29" borderId="13" xfId="43" applyFont="1" applyFill="1" applyBorder="1" applyAlignment="1">
      <alignment horizontal="right" vertical="center"/>
    </xf>
    <xf numFmtId="0" fontId="35" fillId="37" borderId="0" xfId="0" applyFont="1" applyFill="1" applyAlignment="1">
      <alignment horizontal="center"/>
    </xf>
    <xf numFmtId="166" fontId="19" fillId="25" borderId="0" xfId="43" applyNumberFormat="1" applyFont="1" applyFill="1" applyProtection="1"/>
    <xf numFmtId="39" fontId="19" fillId="38" borderId="10" xfId="0" applyNumberFormat="1" applyFont="1" applyFill="1" applyBorder="1" applyAlignment="1" applyProtection="1">
      <alignment horizontal="right" vertical="center" wrapText="1"/>
      <protection locked="0"/>
    </xf>
    <xf numFmtId="4" fontId="19" fillId="38" borderId="10" xfId="0" applyNumberFormat="1" applyFont="1" applyFill="1" applyBorder="1" applyAlignment="1" applyProtection="1">
      <alignment horizontal="right" vertical="center" wrapText="1"/>
      <protection locked="0"/>
    </xf>
    <xf numFmtId="39" fontId="19" fillId="38" borderId="10" xfId="0" applyNumberFormat="1" applyFont="1" applyFill="1" applyBorder="1" applyAlignment="1" applyProtection="1">
      <alignment vertical="center" wrapText="1"/>
      <protection locked="0"/>
    </xf>
    <xf numFmtId="4" fontId="19" fillId="38" borderId="15" xfId="0" applyNumberFormat="1" applyFont="1" applyFill="1" applyBorder="1" applyAlignment="1">
      <alignment horizontal="right" vertical="center"/>
    </xf>
    <xf numFmtId="4" fontId="19" fillId="39" borderId="12" xfId="0" applyNumberFormat="1" applyFont="1" applyFill="1" applyBorder="1" applyAlignment="1">
      <alignment horizontal="right" vertical="center" wrapText="1"/>
    </xf>
    <xf numFmtId="2" fontId="19" fillId="38" borderId="10" xfId="0" applyNumberFormat="1" applyFont="1" applyFill="1" applyBorder="1" applyAlignment="1" applyProtection="1">
      <alignment horizontal="center" vertical="center" wrapText="1"/>
    </xf>
    <xf numFmtId="0" fontId="19" fillId="35" borderId="13" xfId="0" applyFont="1" applyFill="1" applyBorder="1" applyAlignment="1" applyProtection="1">
      <alignment horizontal="left" vertical="center" wrapText="1"/>
    </xf>
    <xf numFmtId="0" fontId="19" fillId="35" borderId="12" xfId="0" applyFont="1" applyFill="1" applyBorder="1" applyAlignment="1" applyProtection="1">
      <alignment horizontal="left" vertical="center" wrapText="1"/>
    </xf>
    <xf numFmtId="39" fontId="19" fillId="32" borderId="10" xfId="0" applyNumberFormat="1" applyFont="1" applyFill="1" applyBorder="1" applyAlignment="1" applyProtection="1">
      <alignment horizontal="left" vertical="center" wrapText="1"/>
      <protection locked="0"/>
    </xf>
    <xf numFmtId="0" fontId="31" fillId="25" borderId="0" xfId="0" applyFont="1" applyFill="1" applyBorder="1" applyAlignment="1" applyProtection="1">
      <alignment horizontal="left" wrapText="1"/>
    </xf>
    <xf numFmtId="0" fontId="25" fillId="27" borderId="13" xfId="0" applyFont="1" applyFill="1" applyBorder="1" applyAlignment="1" applyProtection="1">
      <alignment horizontal="left" vertical="center"/>
    </xf>
    <xf numFmtId="0" fontId="25" fillId="27" borderId="12" xfId="0" applyFont="1" applyFill="1" applyBorder="1" applyAlignment="1" applyProtection="1">
      <alignment horizontal="left" vertical="center"/>
    </xf>
    <xf numFmtId="0" fontId="25" fillId="27" borderId="13" xfId="0" applyFont="1" applyFill="1" applyBorder="1" applyAlignment="1" applyProtection="1">
      <alignment horizontal="left" vertical="center" wrapText="1"/>
    </xf>
    <xf numFmtId="0" fontId="25" fillId="27" borderId="12" xfId="0" applyFont="1" applyFill="1" applyBorder="1" applyAlignment="1" applyProtection="1">
      <alignment horizontal="left" vertical="center" wrapText="1"/>
    </xf>
    <xf numFmtId="0" fontId="25" fillId="28" borderId="11" xfId="0" applyFont="1" applyFill="1" applyBorder="1" applyAlignment="1" applyProtection="1">
      <alignment horizontal="left" vertical="center" wrapText="1"/>
    </xf>
    <xf numFmtId="0" fontId="25" fillId="27" borderId="15" xfId="0" applyFont="1" applyFill="1" applyBorder="1" applyAlignment="1" applyProtection="1">
      <alignment horizontal="left"/>
    </xf>
    <xf numFmtId="0" fontId="19" fillId="32" borderId="10" xfId="0" applyFont="1" applyFill="1" applyBorder="1" applyAlignment="1" applyProtection="1">
      <alignment horizontal="center"/>
      <protection locked="0"/>
    </xf>
    <xf numFmtId="0" fontId="19" fillId="29" borderId="10" xfId="0" applyFont="1" applyFill="1" applyBorder="1" applyAlignment="1" applyProtection="1">
      <alignment horizontal="left"/>
    </xf>
    <xf numFmtId="0" fontId="19" fillId="35" borderId="10" xfId="0" applyFont="1" applyFill="1" applyBorder="1" applyAlignment="1" applyProtection="1">
      <alignment horizontal="left"/>
    </xf>
    <xf numFmtId="39" fontId="19" fillId="29" borderId="13" xfId="0" applyNumberFormat="1" applyFont="1" applyFill="1" applyBorder="1" applyAlignment="1" applyProtection="1">
      <alignment horizontal="left" vertical="center" wrapText="1"/>
    </xf>
    <xf numFmtId="39" fontId="19" fillId="29" borderId="12" xfId="0" applyNumberFormat="1" applyFont="1" applyFill="1" applyBorder="1" applyAlignment="1" applyProtection="1">
      <alignment horizontal="left" vertical="center" wrapText="1"/>
    </xf>
    <xf numFmtId="0" fontId="25" fillId="28" borderId="10" xfId="0" applyFont="1" applyFill="1" applyBorder="1" applyAlignment="1" applyProtection="1">
      <alignment horizontal="left" vertical="center" wrapText="1"/>
    </xf>
    <xf numFmtId="39" fontId="19" fillId="35" borderId="13" xfId="0" applyNumberFormat="1" applyFont="1" applyFill="1" applyBorder="1" applyAlignment="1" applyProtection="1">
      <alignment horizontal="left" vertical="center" wrapText="1"/>
    </xf>
    <xf numFmtId="39" fontId="19" fillId="35" borderId="12" xfId="0" applyNumberFormat="1" applyFont="1" applyFill="1" applyBorder="1" applyAlignment="1" applyProtection="1">
      <alignment horizontal="left" vertical="center" wrapText="1"/>
    </xf>
    <xf numFmtId="0" fontId="19" fillId="29" borderId="13" xfId="0" applyFont="1" applyFill="1" applyBorder="1" applyAlignment="1" applyProtection="1">
      <alignment horizontal="left" vertical="center" wrapText="1"/>
    </xf>
    <xf numFmtId="0" fontId="19" fillId="29" borderId="12" xfId="0" applyFont="1" applyFill="1" applyBorder="1" applyAlignment="1" applyProtection="1">
      <alignment horizontal="left" vertical="center" wrapText="1"/>
    </xf>
    <xf numFmtId="39" fontId="19" fillId="35" borderId="10" xfId="0" applyNumberFormat="1" applyFont="1" applyFill="1" applyBorder="1" applyAlignment="1" applyProtection="1">
      <alignment horizontal="left" vertical="center" wrapText="1"/>
    </xf>
    <xf numFmtId="0" fontId="19" fillId="25" borderId="0" xfId="0" applyFont="1" applyFill="1" applyAlignment="1" applyProtection="1">
      <alignment horizontal="justify" vertical="center" wrapText="1"/>
    </xf>
    <xf numFmtId="0" fontId="27" fillId="25" borderId="0" xfId="0" applyFont="1" applyFill="1" applyAlignment="1">
      <alignment horizontal="center"/>
    </xf>
    <xf numFmtId="0" fontId="31" fillId="25" borderId="0" xfId="0" applyFont="1" applyFill="1" applyAlignment="1">
      <alignment horizontal="center" vertical="center"/>
    </xf>
    <xf numFmtId="0" fontId="31" fillId="25" borderId="16" xfId="0" applyFont="1" applyFill="1" applyBorder="1" applyAlignment="1">
      <alignment horizontal="center"/>
    </xf>
    <xf numFmtId="0" fontId="19" fillId="35" borderId="11" xfId="0" applyFont="1" applyFill="1" applyBorder="1" applyAlignment="1" applyProtection="1">
      <alignment horizontal="left" vertical="center" wrapText="1"/>
    </xf>
    <xf numFmtId="0" fontId="19" fillId="29" borderId="11" xfId="0" applyFont="1" applyFill="1" applyBorder="1" applyAlignment="1" applyProtection="1">
      <alignment horizontal="left" vertical="center" wrapText="1"/>
    </xf>
    <xf numFmtId="4" fontId="19" fillId="33" borderId="13" xfId="0" applyNumberFormat="1" applyFont="1" applyFill="1" applyBorder="1" applyAlignment="1" applyProtection="1">
      <alignment horizontal="left" vertical="center" wrapText="1"/>
      <protection locked="0"/>
    </xf>
    <xf numFmtId="4" fontId="19" fillId="33" borderId="12" xfId="0" applyNumberFormat="1" applyFont="1" applyFill="1" applyBorder="1" applyAlignment="1" applyProtection="1">
      <alignment horizontal="left" vertical="center" wrapText="1"/>
      <protection locked="0"/>
    </xf>
    <xf numFmtId="0" fontId="25" fillId="27" borderId="10" xfId="0" applyFont="1" applyFill="1" applyBorder="1" applyAlignment="1" applyProtection="1">
      <alignment horizontal="left" vertical="center"/>
    </xf>
    <xf numFmtId="0" fontId="20" fillId="30" borderId="13" xfId="0" applyFont="1" applyFill="1" applyBorder="1" applyAlignment="1" applyProtection="1">
      <alignment horizontal="left"/>
      <protection locked="0"/>
    </xf>
    <xf numFmtId="0" fontId="20" fillId="30" borderId="14" xfId="0" applyFont="1" applyFill="1" applyBorder="1" applyAlignment="1" applyProtection="1">
      <alignment horizontal="left"/>
      <protection locked="0"/>
    </xf>
    <xf numFmtId="0" fontId="20" fillId="30" borderId="12" xfId="0" applyFont="1" applyFill="1" applyBorder="1" applyAlignment="1" applyProtection="1">
      <alignment horizontal="left"/>
      <protection locked="0"/>
    </xf>
    <xf numFmtId="0" fontId="27" fillId="25" borderId="0" xfId="0" applyFont="1" applyFill="1" applyBorder="1" applyAlignment="1" applyProtection="1">
      <alignment horizontal="center"/>
    </xf>
    <xf numFmtId="0" fontId="19" fillId="36" borderId="10" xfId="0" applyFont="1" applyFill="1" applyBorder="1" applyAlignment="1" applyProtection="1">
      <alignment horizontal="left"/>
    </xf>
    <xf numFmtId="0" fontId="19" fillId="30" borderId="10" xfId="0" applyFont="1" applyFill="1" applyBorder="1" applyAlignment="1" applyProtection="1">
      <alignment horizontal="center"/>
      <protection locked="0"/>
    </xf>
    <xf numFmtId="0" fontId="19" fillId="31" borderId="10" xfId="0" applyFont="1" applyFill="1" applyBorder="1" applyAlignment="1" applyProtection="1">
      <alignment horizontal="left"/>
    </xf>
    <xf numFmtId="0" fontId="19" fillId="30" borderId="10" xfId="0" applyFont="1" applyFill="1" applyBorder="1" applyAlignment="1" applyProtection="1">
      <alignment horizontal="left" vertical="center"/>
      <protection locked="0"/>
    </xf>
    <xf numFmtId="0" fontId="19" fillId="31" borderId="13" xfId="0" applyFont="1" applyFill="1" applyBorder="1" applyAlignment="1" applyProtection="1">
      <alignment horizontal="left" vertical="center" wrapText="1"/>
    </xf>
    <xf numFmtId="0" fontId="19" fillId="31" borderId="12" xfId="0" applyFont="1" applyFill="1" applyBorder="1" applyAlignment="1" applyProtection="1">
      <alignment horizontal="left" vertical="center" wrapText="1"/>
    </xf>
    <xf numFmtId="0" fontId="25" fillId="27" borderId="13" xfId="0" applyFont="1" applyFill="1" applyBorder="1" applyAlignment="1">
      <alignment horizontal="left" vertical="center"/>
    </xf>
    <xf numFmtId="0" fontId="25" fillId="27" borderId="14" xfId="0" applyFont="1" applyFill="1" applyBorder="1" applyAlignment="1">
      <alignment horizontal="left" vertical="center"/>
    </xf>
    <xf numFmtId="0" fontId="25" fillId="27" borderId="12" xfId="0" applyFont="1" applyFill="1" applyBorder="1" applyAlignment="1">
      <alignment horizontal="left" vertical="center"/>
    </xf>
    <xf numFmtId="0" fontId="25" fillId="27" borderId="13" xfId="0" applyFont="1" applyFill="1" applyBorder="1" applyAlignment="1">
      <alignment horizontal="center" vertical="center"/>
    </xf>
    <xf numFmtId="0" fontId="25" fillId="27" borderId="14" xfId="0" applyFont="1" applyFill="1" applyBorder="1" applyAlignment="1">
      <alignment horizontal="center" vertical="center"/>
    </xf>
    <xf numFmtId="0" fontId="25" fillId="27" borderId="12" xfId="0" applyFont="1" applyFill="1" applyBorder="1" applyAlignment="1">
      <alignment horizontal="center" vertical="center"/>
    </xf>
    <xf numFmtId="0" fontId="19" fillId="35" borderId="15" xfId="0" applyFont="1" applyFill="1" applyBorder="1" applyAlignment="1">
      <alignment horizontal="left"/>
    </xf>
    <xf numFmtId="0" fontId="25" fillId="28" borderId="18" xfId="0" applyFont="1" applyFill="1" applyBorder="1" applyAlignment="1">
      <alignment horizontal="center" vertical="center" wrapText="1"/>
    </xf>
    <xf numFmtId="0" fontId="25" fillId="28" borderId="19" xfId="0" applyFont="1" applyFill="1" applyBorder="1" applyAlignment="1">
      <alignment horizontal="center" vertical="center" wrapText="1"/>
    </xf>
    <xf numFmtId="0" fontId="25" fillId="28" borderId="21" xfId="0" applyFont="1" applyFill="1" applyBorder="1" applyAlignment="1">
      <alignment horizontal="center" vertical="center" wrapText="1"/>
    </xf>
    <xf numFmtId="0" fontId="25" fillId="28" borderId="22" xfId="0" applyFont="1" applyFill="1" applyBorder="1" applyAlignment="1">
      <alignment horizontal="center" vertical="center" wrapText="1"/>
    </xf>
    <xf numFmtId="0" fontId="25" fillId="28" borderId="20" xfId="0" applyFont="1" applyFill="1" applyBorder="1" applyAlignment="1">
      <alignment horizontal="center" vertical="center" wrapText="1"/>
    </xf>
    <xf numFmtId="0" fontId="25" fillId="28" borderId="15" xfId="0" applyFont="1" applyFill="1" applyBorder="1" applyAlignment="1">
      <alignment horizontal="center" vertical="center" wrapText="1"/>
    </xf>
    <xf numFmtId="0" fontId="25" fillId="28" borderId="13" xfId="0" applyFont="1" applyFill="1" applyBorder="1" applyAlignment="1">
      <alignment horizontal="center" vertical="center" wrapText="1"/>
    </xf>
    <xf numFmtId="0" fontId="25" fillId="28" borderId="12" xfId="0" applyFont="1" applyFill="1" applyBorder="1" applyAlignment="1">
      <alignment horizontal="center" vertical="center" wrapText="1"/>
    </xf>
    <xf numFmtId="0" fontId="19" fillId="31" borderId="13" xfId="0" applyFont="1" applyFill="1" applyBorder="1" applyAlignment="1">
      <alignment horizontal="left" vertical="center" wrapText="1"/>
    </xf>
    <xf numFmtId="0" fontId="19" fillId="31" borderId="12" xfId="0" applyFont="1" applyFill="1" applyBorder="1" applyAlignment="1">
      <alignment horizontal="left" vertical="center" wrapText="1"/>
    </xf>
    <xf numFmtId="0" fontId="19" fillId="35" borderId="14" xfId="0" applyFont="1" applyFill="1" applyBorder="1" applyAlignment="1" applyProtection="1">
      <alignment horizontal="left" vertical="center" wrapText="1"/>
    </xf>
    <xf numFmtId="39" fontId="19" fillId="29" borderId="10" xfId="0" applyNumberFormat="1" applyFont="1" applyFill="1" applyBorder="1" applyAlignment="1" applyProtection="1">
      <alignment horizontal="left" vertical="center" wrapText="1"/>
    </xf>
    <xf numFmtId="0" fontId="25" fillId="27" borderId="14" xfId="0" applyFont="1" applyFill="1" applyBorder="1" applyAlignment="1" applyProtection="1">
      <alignment horizontal="left" vertical="center"/>
    </xf>
    <xf numFmtId="0" fontId="19" fillId="29" borderId="13" xfId="0" applyFont="1" applyFill="1" applyBorder="1" applyAlignment="1" applyProtection="1">
      <alignment horizontal="left" vertical="center"/>
    </xf>
    <xf numFmtId="0" fontId="19" fillId="29" borderId="14" xfId="0" applyFont="1" applyFill="1" applyBorder="1" applyAlignment="1" applyProtection="1">
      <alignment horizontal="left" vertical="center"/>
    </xf>
    <xf numFmtId="0" fontId="19" fillId="29" borderId="12" xfId="0" applyFont="1" applyFill="1" applyBorder="1" applyAlignment="1" applyProtection="1">
      <alignment horizontal="left" vertical="center"/>
    </xf>
    <xf numFmtId="0" fontId="25" fillId="28" borderId="13" xfId="0" applyFont="1" applyFill="1" applyBorder="1" applyAlignment="1" applyProtection="1">
      <alignment horizontal="left" vertical="center" wrapText="1"/>
    </xf>
    <xf numFmtId="0" fontId="25" fillId="28" borderId="12" xfId="0" applyFont="1" applyFill="1" applyBorder="1" applyAlignment="1" applyProtection="1">
      <alignment horizontal="left" vertical="center" wrapText="1"/>
    </xf>
    <xf numFmtId="0" fontId="25" fillId="27" borderId="14" xfId="0" applyFont="1" applyFill="1" applyBorder="1" applyAlignment="1" applyProtection="1">
      <alignment horizontal="left" vertical="center" wrapText="1"/>
    </xf>
    <xf numFmtId="0" fontId="19" fillId="29" borderId="14" xfId="0" applyFont="1" applyFill="1" applyBorder="1" applyAlignment="1" applyProtection="1">
      <alignment horizontal="left" vertical="center" wrapText="1"/>
    </xf>
    <xf numFmtId="0" fontId="19" fillId="35" borderId="10" xfId="0" applyFont="1" applyFill="1" applyBorder="1" applyAlignment="1" applyProtection="1">
      <alignment horizontal="justify" vertical="center"/>
    </xf>
    <xf numFmtId="0" fontId="25" fillId="27" borderId="10" xfId="0" applyFont="1" applyFill="1" applyBorder="1" applyAlignment="1" applyProtection="1">
      <alignment horizontal="left" vertical="center" wrapText="1"/>
    </xf>
    <xf numFmtId="0" fontId="19" fillId="35" borderId="10" xfId="0" applyFont="1" applyFill="1" applyBorder="1" applyAlignment="1" applyProtection="1">
      <alignment horizontal="left" vertical="center" wrapText="1"/>
    </xf>
    <xf numFmtId="0" fontId="19" fillId="29" borderId="10" xfId="0" applyFont="1" applyFill="1" applyBorder="1" applyAlignment="1" applyProtection="1">
      <alignment horizontal="left" vertical="center" wrapText="1"/>
    </xf>
    <xf numFmtId="0" fontId="31" fillId="25" borderId="17" xfId="0" applyFont="1" applyFill="1" applyBorder="1" applyAlignment="1" applyProtection="1">
      <alignment horizontal="left" vertical="center" wrapText="1"/>
    </xf>
    <xf numFmtId="0" fontId="25" fillId="27" borderId="10" xfId="0" applyFont="1" applyFill="1" applyBorder="1" applyAlignment="1" applyProtection="1">
      <alignment horizontal="justify" vertical="center" wrapText="1"/>
    </xf>
    <xf numFmtId="0" fontId="19" fillId="29" borderId="10" xfId="0" applyFont="1" applyFill="1" applyBorder="1" applyAlignment="1" applyProtection="1">
      <alignment horizontal="justify" vertical="center"/>
    </xf>
    <xf numFmtId="0" fontId="20" fillId="36" borderId="13" xfId="0" applyFont="1" applyFill="1" applyBorder="1" applyAlignment="1" applyProtection="1">
      <alignment horizontal="left"/>
    </xf>
    <xf numFmtId="0" fontId="20" fillId="36" borderId="14" xfId="0" applyFont="1" applyFill="1" applyBorder="1" applyAlignment="1" applyProtection="1">
      <alignment horizontal="left"/>
    </xf>
    <xf numFmtId="0" fontId="20" fillId="36" borderId="12" xfId="0" applyFont="1" applyFill="1" applyBorder="1" applyAlignment="1" applyProtection="1">
      <alignment horizontal="left"/>
    </xf>
    <xf numFmtId="0" fontId="20" fillId="31" borderId="13" xfId="0" applyFont="1" applyFill="1" applyBorder="1" applyAlignment="1" applyProtection="1">
      <alignment horizontal="left"/>
    </xf>
    <xf numFmtId="0" fontId="20" fillId="31" borderId="14" xfId="0" applyFont="1" applyFill="1" applyBorder="1" applyAlignment="1" applyProtection="1">
      <alignment horizontal="left"/>
    </xf>
    <xf numFmtId="0" fontId="20" fillId="31" borderId="12" xfId="0" applyFont="1" applyFill="1" applyBorder="1" applyAlignment="1" applyProtection="1">
      <alignment horizontal="left"/>
    </xf>
    <xf numFmtId="0" fontId="19" fillId="36" borderId="10" xfId="0" applyFont="1" applyFill="1" applyBorder="1" applyAlignment="1" applyProtection="1">
      <alignment horizontal="center"/>
    </xf>
    <xf numFmtId="0" fontId="19" fillId="31" borderId="10" xfId="0" applyFont="1" applyFill="1" applyBorder="1" applyAlignment="1" applyProtection="1">
      <alignment horizontal="right"/>
    </xf>
    <xf numFmtId="0" fontId="33" fillId="0" borderId="0" xfId="0" applyFont="1" applyBorder="1" applyAlignment="1" applyProtection="1">
      <alignment horizontal="center"/>
    </xf>
    <xf numFmtId="0" fontId="19" fillId="31" borderId="10" xfId="0" applyFont="1" applyFill="1" applyBorder="1" applyAlignment="1" applyProtection="1">
      <alignment horizontal="left" vertical="center"/>
    </xf>
    <xf numFmtId="0" fontId="19" fillId="36" borderId="10" xfId="0" applyFont="1" applyFill="1" applyBorder="1" applyAlignment="1" applyProtection="1">
      <alignment horizontal="left" vertical="center"/>
    </xf>
    <xf numFmtId="0" fontId="19" fillId="35" borderId="10" xfId="0" applyFont="1" applyFill="1" applyBorder="1" applyAlignment="1" applyProtection="1">
      <alignment horizontal="center"/>
    </xf>
    <xf numFmtId="0" fontId="19" fillId="29" borderId="10" xfId="0" applyFont="1" applyFill="1" applyBorder="1" applyAlignment="1" applyProtection="1">
      <alignment horizontal="center"/>
    </xf>
    <xf numFmtId="0" fontId="34" fillId="25" borderId="16" xfId="0" applyFont="1" applyFill="1" applyBorder="1" applyAlignment="1" applyProtection="1">
      <alignment horizontal="center" vertical="center"/>
    </xf>
    <xf numFmtId="0" fontId="19" fillId="35" borderId="10" xfId="0" applyFont="1" applyFill="1" applyBorder="1" applyAlignment="1" applyProtection="1">
      <alignment horizontal="left" wrapText="1"/>
    </xf>
    <xf numFmtId="0" fontId="25" fillId="34" borderId="10" xfId="0" applyFont="1" applyFill="1" applyBorder="1" applyAlignment="1" applyProtection="1">
      <alignment horizontal="left" vertical="center" wrapText="1"/>
    </xf>
    <xf numFmtId="0" fontId="31" fillId="25" borderId="0" xfId="0" applyFont="1" applyFill="1" applyBorder="1" applyAlignment="1" applyProtection="1">
      <alignment horizontal="justify" vertical="center" wrapText="1"/>
    </xf>
    <xf numFmtId="0" fontId="25" fillId="34" borderId="11" xfId="0" applyFont="1" applyFill="1" applyBorder="1" applyAlignment="1" applyProtection="1">
      <alignment horizontal="left" vertical="center" wrapText="1"/>
    </xf>
    <xf numFmtId="4" fontId="19" fillId="29" borderId="10" xfId="0" applyNumberFormat="1" applyFont="1" applyFill="1" applyBorder="1" applyAlignment="1" applyProtection="1">
      <alignment horizontal="left" vertical="center" wrapText="1"/>
    </xf>
    <xf numFmtId="0" fontId="19" fillId="35" borderId="11" xfId="0" applyFont="1" applyFill="1" applyBorder="1" applyAlignment="1">
      <alignment horizontal="left" vertical="center" wrapText="1"/>
    </xf>
    <xf numFmtId="0" fontId="19" fillId="29" borderId="11" xfId="0" applyFont="1" applyFill="1" applyBorder="1" applyAlignment="1">
      <alignment horizontal="left" vertical="center" wrapText="1"/>
    </xf>
    <xf numFmtId="0" fontId="24" fillId="29" borderId="10" xfId="0" applyFont="1" applyFill="1" applyBorder="1" applyAlignment="1" applyProtection="1">
      <alignment horizontal="left" vertical="center" wrapText="1" indent="1"/>
    </xf>
    <xf numFmtId="0" fontId="24" fillId="35" borderId="10" xfId="0" applyFont="1" applyFill="1" applyBorder="1" applyAlignment="1" applyProtection="1">
      <alignment horizontal="left" vertical="center" wrapText="1" indent="1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Porcentagem" xfId="43" builtinId="5"/>
    <cellStyle name="Saída" xfId="33" builtinId="21" customBuiltin="1"/>
    <cellStyle name="Texto de Aviso" xfId="34" builtinId="11" customBuiltin="1"/>
    <cellStyle name="Texto Explicativo" xfId="35" builtinId="53" customBuiltin="1"/>
    <cellStyle name="Título 1" xfId="36" builtinId="16" customBuiltin="1"/>
    <cellStyle name="Título 1 1" xfId="37"/>
    <cellStyle name="Título 1 1 1" xfId="38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2"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64efb45e7db03fb/Documentos/searp%20trabalho/PANDEMIA%20(ENVIADOS)/2021/C&#243;pia%20de%20Planilha%20-%20RUBENS%20(SEM%20DAD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RÇÃO-DE-DADOS (POSTOS)"/>
      <sheetName val="INSERÇÃO-DE-DADOS (UNIFORMES)"/>
      <sheetName val="INSERÇÃO-DE-DADOS(MATERIAIS)"/>
      <sheetName val="INSERÇÃO-DE-DADOS(EQUIPAMENTOS)"/>
      <sheetName val="INSERÇÃO-DE-DADOS (BENEFÍCIOS)"/>
      <sheetName val="DADOS-ESTATISTICOS"/>
      <sheetName val="ENCARGOS-SOCIAIS-E-TRABALHISTAS"/>
      <sheetName val="BRIGADISTA LÍDER DIURNO 12X36H"/>
      <sheetName val="BRIGADISTA DIURNO 12X36H"/>
      <sheetName val="BRIGADISTA NOTURNO 12X36H"/>
      <sheetName val="QUADRO RESUMO"/>
    </sheetNames>
    <sheetDataSet>
      <sheetData sheetId="0">
        <row r="1">
          <cell r="C1" t="str">
            <v>RAMO: MINISTÉRIO PÚBLICO DO DISTRITO FEDERAL E TERRITÓRIOS</v>
          </cell>
          <cell r="J1" t="str">
            <v>RAMO: MINISTÉRIO PÚBLICO DO DISTRITO FEDERAL E TERRITÓRIOS</v>
          </cell>
          <cell r="Q1" t="str">
            <v>RAMO: MINISTÉRIO PÚBLICO DO DISTRITO FEDERAL E TERRITÓRIOS</v>
          </cell>
        </row>
        <row r="2">
          <cell r="C2" t="str">
            <v xml:space="preserve">UNIDADE GESTORA (SIGLA): </v>
          </cell>
          <cell r="J2" t="str">
            <v>UNIDADE GESTORA (SIGLA):</v>
          </cell>
          <cell r="Q2" t="str">
            <v xml:space="preserve">UNIDADE GESTORA (SIGLA): </v>
          </cell>
        </row>
        <row r="6">
          <cell r="E6" t="str">
            <v>(X.XX.XXX.XXXXXX/XXXX-XX)</v>
          </cell>
        </row>
        <row r="7">
          <cell r="E7" t="str">
            <v>Pregão nº</v>
          </cell>
          <cell r="G7" t="str">
            <v>XX/20XX</v>
          </cell>
        </row>
        <row r="11">
          <cell r="G11" t="str">
            <v>XX/XX/20XX</v>
          </cell>
          <cell r="N11" t="str">
            <v>XX/XX/20XX</v>
          </cell>
          <cell r="U11" t="str">
            <v>XX/XX/20XX</v>
          </cell>
        </row>
        <row r="12">
          <cell r="E12" t="str">
            <v>Edifício-Sede MPDFT e Brasília II</v>
          </cell>
          <cell r="L12" t="str">
            <v>Edifício-Sede MPDFT e Brasília II</v>
          </cell>
          <cell r="S12" t="str">
            <v>Edifício-Sede MPDFT e Brasília II</v>
          </cell>
        </row>
        <row r="15">
          <cell r="G15">
            <v>12</v>
          </cell>
          <cell r="N15">
            <v>12</v>
          </cell>
          <cell r="U15">
            <v>12</v>
          </cell>
        </row>
        <row r="19">
          <cell r="F19">
            <v>2</v>
          </cell>
          <cell r="K19" t="str">
            <v>Brigadista 12X36h Diurno</v>
          </cell>
          <cell r="M19">
            <v>2</v>
          </cell>
          <cell r="R19" t="str">
            <v>Brigadista 12X36h Noturno</v>
          </cell>
          <cell r="T19">
            <v>2</v>
          </cell>
        </row>
        <row r="23">
          <cell r="E23" t="str">
            <v>Brigadista Líder 12X36h Diurno</v>
          </cell>
          <cell r="L23" t="str">
            <v>Brigadista 12X36h Diurno</v>
          </cell>
          <cell r="S23" t="str">
            <v>Brigadista 12X36h Noturno</v>
          </cell>
        </row>
        <row r="29">
          <cell r="G29">
            <v>3772.89</v>
          </cell>
          <cell r="N29">
            <v>3044.5</v>
          </cell>
          <cell r="U29">
            <v>3044.5</v>
          </cell>
        </row>
        <row r="30">
          <cell r="G30">
            <v>30</v>
          </cell>
          <cell r="N30">
            <v>30</v>
          </cell>
          <cell r="U30">
            <v>30</v>
          </cell>
        </row>
        <row r="31">
          <cell r="U31">
            <v>20</v>
          </cell>
        </row>
        <row r="37">
          <cell r="G37">
            <v>38</v>
          </cell>
          <cell r="N37">
            <v>38</v>
          </cell>
          <cell r="U37">
            <v>38</v>
          </cell>
        </row>
        <row r="38">
          <cell r="G38">
            <v>15</v>
          </cell>
          <cell r="N38">
            <v>15</v>
          </cell>
          <cell r="U38">
            <v>15</v>
          </cell>
        </row>
        <row r="43">
          <cell r="D43" t="str">
            <v>Outras Ausências (Especificar - em %)</v>
          </cell>
        </row>
        <row r="48">
          <cell r="G48">
            <v>58.89</v>
          </cell>
          <cell r="N48">
            <v>58.89</v>
          </cell>
          <cell r="U48">
            <v>58.89</v>
          </cell>
        </row>
        <row r="49">
          <cell r="G49">
            <v>17.37</v>
          </cell>
          <cell r="N49">
            <v>17.37</v>
          </cell>
          <cell r="U49">
            <v>17.37</v>
          </cell>
        </row>
        <row r="50">
          <cell r="G50">
            <v>8.14</v>
          </cell>
          <cell r="N50">
            <v>8.14</v>
          </cell>
          <cell r="U50">
            <v>8.14</v>
          </cell>
        </row>
        <row r="54">
          <cell r="G54">
            <v>1.1200000000000001</v>
          </cell>
          <cell r="N54">
            <v>1.1200000000000001</v>
          </cell>
          <cell r="U54">
            <v>1.1200000000000001</v>
          </cell>
        </row>
        <row r="55">
          <cell r="G55">
            <v>1</v>
          </cell>
          <cell r="N55">
            <v>1</v>
          </cell>
          <cell r="U55">
            <v>1</v>
          </cell>
        </row>
        <row r="56">
          <cell r="G56">
            <v>0.65</v>
          </cell>
          <cell r="N56">
            <v>0.65</v>
          </cell>
          <cell r="U56">
            <v>0.65</v>
          </cell>
        </row>
        <row r="57">
          <cell r="G57">
            <v>3</v>
          </cell>
          <cell r="N57">
            <v>3</v>
          </cell>
          <cell r="U57">
            <v>3</v>
          </cell>
        </row>
        <row r="58">
          <cell r="G58">
            <v>5</v>
          </cell>
          <cell r="N58">
            <v>5</v>
          </cell>
          <cell r="U58">
            <v>5</v>
          </cell>
        </row>
      </sheetData>
      <sheetData sheetId="1" refreshError="1"/>
      <sheetData sheetId="2" refreshError="1"/>
      <sheetData sheetId="3"/>
      <sheetData sheetId="4"/>
      <sheetData sheetId="5">
        <row r="4">
          <cell r="F4">
            <v>220</v>
          </cell>
        </row>
        <row r="5">
          <cell r="F5">
            <v>7</v>
          </cell>
        </row>
        <row r="7">
          <cell r="F7">
            <v>15.2</v>
          </cell>
        </row>
        <row r="8">
          <cell r="F8">
            <v>12</v>
          </cell>
        </row>
        <row r="9">
          <cell r="F9">
            <v>60</v>
          </cell>
        </row>
        <row r="10">
          <cell r="F10">
            <v>52.5</v>
          </cell>
        </row>
        <row r="14">
          <cell r="F14">
            <v>6</v>
          </cell>
        </row>
        <row r="18">
          <cell r="F18">
            <v>62.93</v>
          </cell>
        </row>
        <row r="19">
          <cell r="F19">
            <v>5.55</v>
          </cell>
        </row>
        <row r="20">
          <cell r="F20">
            <v>40</v>
          </cell>
        </row>
        <row r="21">
          <cell r="F21">
            <v>94.45</v>
          </cell>
        </row>
        <row r="22">
          <cell r="F22">
            <v>30</v>
          </cell>
        </row>
        <row r="27">
          <cell r="F27">
            <v>8</v>
          </cell>
        </row>
        <row r="28">
          <cell r="F28">
            <v>20</v>
          </cell>
        </row>
        <row r="29">
          <cell r="F29">
            <v>1.42</v>
          </cell>
        </row>
        <row r="30">
          <cell r="F30">
            <v>45.22</v>
          </cell>
        </row>
        <row r="31">
          <cell r="F31">
            <v>0.44</v>
          </cell>
        </row>
        <row r="32">
          <cell r="F32">
            <v>15</v>
          </cell>
        </row>
        <row r="33">
          <cell r="F33">
            <v>180</v>
          </cell>
        </row>
        <row r="34">
          <cell r="F34">
            <v>54.78</v>
          </cell>
        </row>
      </sheetData>
      <sheetData sheetId="6">
        <row r="5">
          <cell r="E5">
            <v>8.33</v>
          </cell>
        </row>
        <row r="6">
          <cell r="E6">
            <v>2.78</v>
          </cell>
        </row>
        <row r="9">
          <cell r="E9">
            <v>20</v>
          </cell>
        </row>
        <row r="10">
          <cell r="E10">
            <v>2.5</v>
          </cell>
        </row>
        <row r="11">
          <cell r="E11">
            <v>2.14</v>
          </cell>
        </row>
        <row r="12">
          <cell r="E12">
            <v>1.5</v>
          </cell>
        </row>
        <row r="13">
          <cell r="E13">
            <v>1</v>
          </cell>
        </row>
        <row r="14">
          <cell r="E14">
            <v>0.6</v>
          </cell>
        </row>
        <row r="15">
          <cell r="E15">
            <v>0.2</v>
          </cell>
        </row>
        <row r="16">
          <cell r="E16">
            <v>8</v>
          </cell>
        </row>
        <row r="17">
          <cell r="E17">
            <v>35.94</v>
          </cell>
        </row>
        <row r="20">
          <cell r="E20">
            <v>0.28999999999999998</v>
          </cell>
        </row>
        <row r="21">
          <cell r="E21">
            <v>1.1599999999999999</v>
          </cell>
        </row>
        <row r="22">
          <cell r="E22">
            <v>0.04</v>
          </cell>
        </row>
        <row r="26">
          <cell r="E26">
            <v>8.33</v>
          </cell>
        </row>
        <row r="27">
          <cell r="E27">
            <v>2.2200000000000002</v>
          </cell>
        </row>
        <row r="28">
          <cell r="E28">
            <v>0.04</v>
          </cell>
        </row>
        <row r="29">
          <cell r="E29">
            <v>0.02</v>
          </cell>
        </row>
        <row r="30">
          <cell r="E30">
            <v>0.14000000000000001</v>
          </cell>
        </row>
      </sheetData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7" workbookViewId="0">
      <selection activeCell="E44" sqref="E44"/>
    </sheetView>
  </sheetViews>
  <sheetFormatPr defaultRowHeight="16.5" x14ac:dyDescent="0.3"/>
  <cols>
    <col min="1" max="1" width="2.7109375" style="7" customWidth="1"/>
    <col min="2" max="2" width="8.85546875" style="7" customWidth="1"/>
    <col min="3" max="3" width="52.5703125" style="13" customWidth="1"/>
    <col min="4" max="4" width="13.5703125" style="13" customWidth="1"/>
    <col min="5" max="5" width="15.42578125" style="13" bestFit="1" customWidth="1"/>
    <col min="6" max="6" width="14.42578125" style="7" customWidth="1"/>
    <col min="7" max="16384" width="9.140625" style="7"/>
  </cols>
  <sheetData>
    <row r="1" spans="1:5" ht="20.25" x14ac:dyDescent="0.35">
      <c r="B1" s="176" t="s">
        <v>135</v>
      </c>
      <c r="C1" s="177"/>
      <c r="D1" s="177"/>
      <c r="E1" s="178"/>
    </row>
    <row r="2" spans="1:5" ht="20.25" x14ac:dyDescent="0.35">
      <c r="B2" s="176" t="s">
        <v>136</v>
      </c>
      <c r="C2" s="177"/>
      <c r="D2" s="105" t="s">
        <v>47</v>
      </c>
      <c r="E2" s="71" t="s">
        <v>137</v>
      </c>
    </row>
    <row r="3" spans="1:5" x14ac:dyDescent="0.3">
      <c r="B3" s="79"/>
      <c r="C3" s="79"/>
      <c r="D3" s="79"/>
      <c r="E3" s="79"/>
    </row>
    <row r="4" spans="1:5" s="79" customFormat="1" ht="25.5" x14ac:dyDescent="0.5">
      <c r="B4" s="179" t="s">
        <v>147</v>
      </c>
      <c r="C4" s="179"/>
      <c r="D4" s="179"/>
      <c r="E4" s="179"/>
    </row>
    <row r="5" spans="1:5" s="79" customFormat="1" ht="15.95" customHeight="1" x14ac:dyDescent="0.3">
      <c r="B5" s="155" t="s">
        <v>86</v>
      </c>
      <c r="C5" s="155"/>
      <c r="D5" s="155"/>
      <c r="E5" s="155"/>
    </row>
    <row r="6" spans="1:5" s="79" customFormat="1" ht="15.95" customHeight="1" x14ac:dyDescent="0.3">
      <c r="B6" s="180" t="s">
        <v>27</v>
      </c>
      <c r="C6" s="180"/>
      <c r="D6" s="181"/>
      <c r="E6" s="181"/>
    </row>
    <row r="7" spans="1:5" s="79" customFormat="1" ht="15.75" customHeight="1" x14ac:dyDescent="0.3">
      <c r="B7" s="182" t="s">
        <v>28</v>
      </c>
      <c r="C7" s="182"/>
      <c r="D7" s="111"/>
      <c r="E7" s="18" t="s">
        <v>138</v>
      </c>
    </row>
    <row r="8" spans="1:5" s="79" customFormat="1" ht="15.75" customHeight="1" x14ac:dyDescent="0.3">
      <c r="B8" s="180" t="s">
        <v>101</v>
      </c>
      <c r="C8" s="180"/>
      <c r="D8" s="110"/>
      <c r="E8" s="18" t="s">
        <v>139</v>
      </c>
    </row>
    <row r="9" spans="1:5" s="80" customFormat="1" ht="9.75" customHeight="1" x14ac:dyDescent="0.3">
      <c r="C9" s="5"/>
      <c r="D9" s="94"/>
      <c r="E9" s="95"/>
    </row>
    <row r="10" spans="1:5" s="80" customFormat="1" ht="15.75" customHeight="1" x14ac:dyDescent="0.3">
      <c r="B10" s="155" t="s">
        <v>100</v>
      </c>
      <c r="C10" s="155"/>
      <c r="D10" s="155"/>
      <c r="E10" s="155"/>
    </row>
    <row r="11" spans="1:5" s="79" customFormat="1" ht="18" customHeight="1" x14ac:dyDescent="0.3">
      <c r="B11" s="19" t="s">
        <v>2</v>
      </c>
      <c r="C11" s="180" t="s">
        <v>53</v>
      </c>
      <c r="D11" s="180"/>
      <c r="E11" s="20" t="s">
        <v>137</v>
      </c>
    </row>
    <row r="12" spans="1:5" s="79" customFormat="1" ht="15.95" customHeight="1" x14ac:dyDescent="0.15">
      <c r="B12" s="1" t="s">
        <v>3</v>
      </c>
      <c r="C12" s="58" t="s">
        <v>29</v>
      </c>
      <c r="D12" s="183"/>
      <c r="E12" s="183"/>
    </row>
    <row r="13" spans="1:5" s="79" customFormat="1" ht="15.95" customHeight="1" x14ac:dyDescent="0.3">
      <c r="B13" s="19" t="s">
        <v>4</v>
      </c>
      <c r="C13" s="180" t="s">
        <v>133</v>
      </c>
      <c r="D13" s="180"/>
      <c r="E13" s="60"/>
    </row>
    <row r="14" spans="1:5" s="79" customFormat="1" ht="18.75" customHeight="1" x14ac:dyDescent="0.3">
      <c r="B14" s="1" t="s">
        <v>5</v>
      </c>
      <c r="C14" s="184" t="s">
        <v>30</v>
      </c>
      <c r="D14" s="185"/>
      <c r="E14" s="18" t="s">
        <v>138</v>
      </c>
    </row>
    <row r="15" spans="1:5" s="79" customFormat="1" ht="15.95" customHeight="1" x14ac:dyDescent="0.3">
      <c r="B15" s="1" t="s">
        <v>6</v>
      </c>
      <c r="C15" s="180" t="s">
        <v>54</v>
      </c>
      <c r="D15" s="180"/>
      <c r="E15" s="84">
        <v>12</v>
      </c>
    </row>
    <row r="16" spans="1:5" s="79" customFormat="1" ht="15.95" customHeight="1" x14ac:dyDescent="0.3">
      <c r="A16" s="80"/>
      <c r="B16" s="80"/>
      <c r="C16" s="5"/>
      <c r="D16" s="94"/>
      <c r="E16" s="95"/>
    </row>
    <row r="17" spans="1:6" s="79" customFormat="1" x14ac:dyDescent="0.3">
      <c r="A17" s="80"/>
      <c r="B17" s="155" t="s">
        <v>102</v>
      </c>
      <c r="C17" s="155"/>
      <c r="D17" s="155"/>
      <c r="E17" s="155"/>
    </row>
    <row r="18" spans="1:6" s="96" customFormat="1" ht="33" x14ac:dyDescent="0.2">
      <c r="B18" s="72" t="s">
        <v>134</v>
      </c>
      <c r="C18" s="72" t="s">
        <v>274</v>
      </c>
      <c r="D18" s="57" t="s">
        <v>148</v>
      </c>
      <c r="E18" s="57" t="s">
        <v>103</v>
      </c>
    </row>
    <row r="19" spans="1:6" s="79" customFormat="1" ht="16.5" customHeight="1" x14ac:dyDescent="0.3">
      <c r="B19" s="19">
        <v>1</v>
      </c>
      <c r="C19" s="104" t="s">
        <v>174</v>
      </c>
      <c r="D19" s="101">
        <v>2</v>
      </c>
      <c r="E19" s="74">
        <v>1</v>
      </c>
    </row>
    <row r="20" spans="1:6" s="79" customFormat="1" ht="16.5" customHeight="1" x14ac:dyDescent="0.3">
      <c r="B20" s="19">
        <v>2</v>
      </c>
      <c r="C20" s="104" t="s">
        <v>175</v>
      </c>
      <c r="D20" s="114">
        <v>2</v>
      </c>
      <c r="E20" s="114">
        <v>5</v>
      </c>
    </row>
    <row r="21" spans="1:6" s="79" customFormat="1" ht="16.5" customHeight="1" x14ac:dyDescent="0.3">
      <c r="B21" s="19">
        <v>3</v>
      </c>
      <c r="C21" s="104" t="s">
        <v>176</v>
      </c>
      <c r="D21" s="114">
        <v>2</v>
      </c>
      <c r="E21" s="114">
        <v>2</v>
      </c>
    </row>
    <row r="22" spans="1:6" s="79" customFormat="1" ht="15.95" customHeight="1" x14ac:dyDescent="0.3">
      <c r="B22" s="97"/>
      <c r="C22" s="97"/>
      <c r="D22" s="97"/>
      <c r="E22" s="97"/>
    </row>
    <row r="23" spans="1:6" s="79" customFormat="1" ht="15" customHeight="1" x14ac:dyDescent="0.3">
      <c r="B23" s="155" t="s">
        <v>104</v>
      </c>
      <c r="C23" s="155"/>
      <c r="D23" s="155"/>
      <c r="E23" s="155"/>
    </row>
    <row r="24" spans="1:6" s="79" customFormat="1" ht="15" customHeight="1" x14ac:dyDescent="0.3">
      <c r="A24" s="80"/>
      <c r="B24" s="19">
        <v>1</v>
      </c>
      <c r="C24" s="102" t="s">
        <v>49</v>
      </c>
      <c r="D24" s="156"/>
      <c r="E24" s="156"/>
    </row>
    <row r="25" spans="1:6" s="79" customFormat="1" ht="15.95" customHeight="1" x14ac:dyDescent="0.3">
      <c r="B25" s="19">
        <v>2</v>
      </c>
      <c r="C25" s="21" t="s">
        <v>51</v>
      </c>
      <c r="D25" s="156"/>
      <c r="E25" s="156"/>
    </row>
    <row r="26" spans="1:6" s="79" customFormat="1" ht="15.95" customHeight="1" x14ac:dyDescent="0.3">
      <c r="B26" s="19">
        <v>3</v>
      </c>
      <c r="C26" s="158" t="s">
        <v>52</v>
      </c>
      <c r="D26" s="158"/>
      <c r="E26" s="20" t="s">
        <v>137</v>
      </c>
    </row>
    <row r="27" spans="1:6" s="79" customFormat="1" ht="15.95" customHeight="1" x14ac:dyDescent="0.3">
      <c r="B27" s="19">
        <v>4</v>
      </c>
      <c r="C27" s="157" t="s">
        <v>127</v>
      </c>
      <c r="D27" s="157"/>
      <c r="E27" s="59"/>
    </row>
    <row r="28" spans="1:6" s="79" customFormat="1" x14ac:dyDescent="0.3">
      <c r="B28" s="22"/>
      <c r="C28" s="23"/>
      <c r="D28" s="23"/>
      <c r="E28" s="98"/>
    </row>
    <row r="29" spans="1:6" s="79" customFormat="1" ht="25.5" x14ac:dyDescent="0.5">
      <c r="B29" s="99" t="s">
        <v>142</v>
      </c>
      <c r="C29" s="7"/>
      <c r="D29" s="7"/>
      <c r="E29" s="7"/>
    </row>
    <row r="30" spans="1:6" x14ac:dyDescent="0.3">
      <c r="B30" s="45" t="s">
        <v>8</v>
      </c>
      <c r="D30" s="8"/>
      <c r="E30" s="8"/>
    </row>
    <row r="31" spans="1:6" ht="39" customHeight="1" x14ac:dyDescent="0.3">
      <c r="B31" s="1">
        <v>1</v>
      </c>
      <c r="C31" s="161" t="s">
        <v>9</v>
      </c>
      <c r="D31" s="161"/>
      <c r="E31" s="3" t="s">
        <v>109</v>
      </c>
      <c r="F31" s="115" t="s">
        <v>183</v>
      </c>
    </row>
    <row r="32" spans="1:6" ht="16.5" customHeight="1" x14ac:dyDescent="0.3">
      <c r="B32" s="1" t="s">
        <v>2</v>
      </c>
      <c r="C32" s="162" t="s">
        <v>177</v>
      </c>
      <c r="D32" s="163"/>
      <c r="E32" s="141">
        <v>0</v>
      </c>
      <c r="F32" s="116" t="s">
        <v>184</v>
      </c>
    </row>
    <row r="33" spans="1:6" x14ac:dyDescent="0.3">
      <c r="B33" s="1" t="s">
        <v>3</v>
      </c>
      <c r="C33" s="107" t="s">
        <v>178</v>
      </c>
      <c r="D33" s="107"/>
      <c r="E33" s="141">
        <v>0</v>
      </c>
      <c r="F33" s="116" t="s">
        <v>184</v>
      </c>
    </row>
    <row r="34" spans="1:6" x14ac:dyDescent="0.3">
      <c r="B34" s="1" t="s">
        <v>4</v>
      </c>
      <c r="C34" s="112" t="s">
        <v>179</v>
      </c>
      <c r="D34" s="113"/>
      <c r="E34" s="141">
        <v>0</v>
      </c>
      <c r="F34" s="116" t="s">
        <v>185</v>
      </c>
    </row>
    <row r="35" spans="1:6" x14ac:dyDescent="0.3">
      <c r="B35" s="1" t="s">
        <v>5</v>
      </c>
      <c r="C35" s="164" t="s">
        <v>71</v>
      </c>
      <c r="D35" s="165"/>
      <c r="E35" s="68">
        <v>0</v>
      </c>
    </row>
    <row r="36" spans="1:6" x14ac:dyDescent="0.3">
      <c r="B36" s="1" t="s">
        <v>6</v>
      </c>
      <c r="C36" s="166" t="s">
        <v>73</v>
      </c>
      <c r="D36" s="166"/>
      <c r="E36" s="68">
        <v>0</v>
      </c>
    </row>
    <row r="37" spans="1:6" x14ac:dyDescent="0.3">
      <c r="B37" s="1" t="s">
        <v>7</v>
      </c>
      <c r="C37" s="159" t="s">
        <v>143</v>
      </c>
      <c r="D37" s="160"/>
      <c r="E37" s="68">
        <v>0</v>
      </c>
    </row>
    <row r="38" spans="1:6" s="89" customFormat="1" x14ac:dyDescent="0.3"/>
    <row r="39" spans="1:6" s="89" customFormat="1" x14ac:dyDescent="0.3">
      <c r="A39" s="7"/>
      <c r="B39" s="45" t="s">
        <v>55</v>
      </c>
      <c r="C39" s="13"/>
      <c r="D39" s="15"/>
      <c r="E39" s="15"/>
    </row>
    <row r="40" spans="1:6" s="89" customFormat="1" x14ac:dyDescent="0.3">
      <c r="A40" s="7"/>
      <c r="B40" s="45" t="s">
        <v>60</v>
      </c>
      <c r="C40" s="80"/>
      <c r="D40" s="80"/>
      <c r="E40" s="80"/>
    </row>
    <row r="41" spans="1:6" s="89" customFormat="1" ht="15" customHeight="1" x14ac:dyDescent="0.3">
      <c r="A41" s="7"/>
      <c r="B41" s="1" t="s">
        <v>80</v>
      </c>
      <c r="C41" s="109" t="s">
        <v>14</v>
      </c>
      <c r="D41" s="3" t="s">
        <v>31</v>
      </c>
      <c r="E41" s="3" t="s">
        <v>110</v>
      </c>
    </row>
    <row r="42" spans="1:6" s="89" customFormat="1" x14ac:dyDescent="0.3">
      <c r="A42" s="7"/>
      <c r="B42" s="73" t="s">
        <v>2</v>
      </c>
      <c r="C42" s="108" t="s">
        <v>15</v>
      </c>
      <c r="D42" s="56" t="s">
        <v>32</v>
      </c>
      <c r="E42" s="140">
        <v>0</v>
      </c>
    </row>
    <row r="43" spans="1:6" s="89" customFormat="1" x14ac:dyDescent="0.3">
      <c r="B43" s="73" t="s">
        <v>3</v>
      </c>
      <c r="C43" s="107" t="s">
        <v>59</v>
      </c>
      <c r="D43" s="24" t="s">
        <v>32</v>
      </c>
      <c r="E43" s="140">
        <v>0</v>
      </c>
    </row>
    <row r="44" spans="1:6" s="89" customFormat="1" x14ac:dyDescent="0.3">
      <c r="B44" s="73" t="s">
        <v>4</v>
      </c>
      <c r="C44" s="108" t="s">
        <v>275</v>
      </c>
      <c r="D44" s="56" t="s">
        <v>130</v>
      </c>
      <c r="E44" s="27">
        <v>0</v>
      </c>
    </row>
    <row r="45" spans="1:6" s="89" customFormat="1" x14ac:dyDescent="0.3"/>
    <row r="46" spans="1:6" s="79" customFormat="1" x14ac:dyDescent="0.3">
      <c r="B46" s="45" t="s">
        <v>62</v>
      </c>
      <c r="C46" s="6"/>
      <c r="D46" s="7"/>
      <c r="E46" s="7"/>
    </row>
    <row r="47" spans="1:6" s="79" customFormat="1" ht="15" customHeight="1" x14ac:dyDescent="0.3">
      <c r="B47" s="45" t="s">
        <v>91</v>
      </c>
      <c r="C47" s="6"/>
      <c r="D47" s="14"/>
      <c r="E47" s="14"/>
    </row>
    <row r="48" spans="1:6" x14ac:dyDescent="0.3">
      <c r="A48" s="79"/>
      <c r="B48" s="1" t="s">
        <v>18</v>
      </c>
      <c r="C48" s="152" t="s">
        <v>92</v>
      </c>
      <c r="D48" s="153"/>
      <c r="E48" s="3" t="s">
        <v>1</v>
      </c>
    </row>
    <row r="49" spans="1:5" s="89" customFormat="1" x14ac:dyDescent="0.3">
      <c r="B49" s="2" t="s">
        <v>2</v>
      </c>
      <c r="C49" s="173" t="s">
        <v>140</v>
      </c>
      <c r="D49" s="174"/>
      <c r="E49" s="69"/>
    </row>
    <row r="50" spans="1:5" x14ac:dyDescent="0.3">
      <c r="B50" s="89"/>
      <c r="C50" s="89"/>
      <c r="D50" s="89"/>
      <c r="E50" s="89"/>
    </row>
    <row r="51" spans="1:5" x14ac:dyDescent="0.3">
      <c r="B51" s="45" t="s">
        <v>168</v>
      </c>
      <c r="C51" s="6"/>
      <c r="D51" s="14"/>
      <c r="E51" s="14"/>
    </row>
    <row r="52" spans="1:5" x14ac:dyDescent="0.3">
      <c r="B52" s="1" t="s">
        <v>19</v>
      </c>
      <c r="C52" s="175" t="s">
        <v>167</v>
      </c>
      <c r="D52" s="175"/>
      <c r="E52" s="3" t="s">
        <v>163</v>
      </c>
    </row>
    <row r="53" spans="1:5" ht="15" customHeight="1" x14ac:dyDescent="0.3">
      <c r="B53" s="1" t="s">
        <v>2</v>
      </c>
      <c r="C53" s="166" t="s">
        <v>114</v>
      </c>
      <c r="D53" s="166"/>
      <c r="E53" s="68"/>
    </row>
    <row r="54" spans="1:5" s="89" customFormat="1" x14ac:dyDescent="0.3">
      <c r="B54" s="1" t="s">
        <v>3</v>
      </c>
      <c r="C54" s="164" t="s">
        <v>123</v>
      </c>
      <c r="D54" s="165"/>
      <c r="E54" s="68"/>
    </row>
    <row r="55" spans="1:5" x14ac:dyDescent="0.3">
      <c r="B55" s="89"/>
      <c r="C55" s="89"/>
      <c r="D55" s="89"/>
      <c r="E55" s="89"/>
    </row>
    <row r="56" spans="1:5" ht="15.75" customHeight="1" x14ac:dyDescent="0.3">
      <c r="B56" s="45" t="s">
        <v>66</v>
      </c>
      <c r="C56" s="6"/>
      <c r="D56" s="14"/>
      <c r="E56" s="14"/>
    </row>
    <row r="57" spans="1:5" x14ac:dyDescent="0.3">
      <c r="B57" s="43">
        <v>5</v>
      </c>
      <c r="C57" s="154" t="s">
        <v>0</v>
      </c>
      <c r="D57" s="154"/>
      <c r="E57" s="44" t="s">
        <v>13</v>
      </c>
    </row>
    <row r="58" spans="1:5" x14ac:dyDescent="0.3">
      <c r="B58" s="39" t="s">
        <v>2</v>
      </c>
      <c r="C58" s="171" t="s">
        <v>16</v>
      </c>
      <c r="D58" s="171"/>
      <c r="E58" s="70">
        <f>UNIFORME</f>
        <v>0</v>
      </c>
    </row>
    <row r="59" spans="1:5" s="90" customFormat="1" x14ac:dyDescent="0.3">
      <c r="A59" s="7"/>
      <c r="B59" s="39" t="s">
        <v>3</v>
      </c>
      <c r="C59" s="172" t="s">
        <v>180</v>
      </c>
      <c r="D59" s="172"/>
      <c r="E59" s="70">
        <f>MEDIA_MATERIAIS</f>
        <v>0</v>
      </c>
    </row>
    <row r="60" spans="1:5" s="90" customFormat="1" x14ac:dyDescent="0.3">
      <c r="A60" s="7"/>
      <c r="B60" s="39" t="s">
        <v>4</v>
      </c>
      <c r="C60" s="171" t="s">
        <v>181</v>
      </c>
      <c r="D60" s="171"/>
      <c r="E60" s="70">
        <f>MEDIA_EQUIPAMENTOS</f>
        <v>0</v>
      </c>
    </row>
    <row r="61" spans="1:5" s="89" customFormat="1" x14ac:dyDescent="0.3">
      <c r="B61" s="39" t="s">
        <v>5</v>
      </c>
      <c r="C61" s="148" t="s">
        <v>75</v>
      </c>
      <c r="D61" s="148"/>
      <c r="E61" s="67"/>
    </row>
    <row r="62" spans="1:5" s="91" customFormat="1" ht="16.5" customHeight="1" x14ac:dyDescent="0.3">
      <c r="A62" s="7"/>
      <c r="B62" s="89"/>
      <c r="C62" s="89"/>
      <c r="D62" s="89"/>
      <c r="E62" s="89"/>
    </row>
    <row r="63" spans="1:5" s="92" customFormat="1" ht="16.5" customHeight="1" x14ac:dyDescent="0.3">
      <c r="A63" s="7"/>
      <c r="B63" s="149" t="s">
        <v>65</v>
      </c>
      <c r="C63" s="149"/>
      <c r="D63" s="149"/>
      <c r="E63" s="149"/>
    </row>
    <row r="64" spans="1:5" s="92" customFormat="1" x14ac:dyDescent="0.3">
      <c r="A64" s="90"/>
      <c r="B64" s="1">
        <v>6</v>
      </c>
      <c r="C64" s="150" t="s">
        <v>20</v>
      </c>
      <c r="D64" s="151"/>
      <c r="E64" s="3" t="s">
        <v>1</v>
      </c>
    </row>
    <row r="65" spans="1:5" s="92" customFormat="1" x14ac:dyDescent="0.3">
      <c r="A65" s="90"/>
      <c r="B65" s="1" t="s">
        <v>2</v>
      </c>
      <c r="C65" s="146" t="s">
        <v>67</v>
      </c>
      <c r="D65" s="147"/>
      <c r="E65" s="142"/>
    </row>
    <row r="66" spans="1:5" s="92" customFormat="1" x14ac:dyDescent="0.3">
      <c r="A66" s="91"/>
      <c r="B66" s="2" t="s">
        <v>3</v>
      </c>
      <c r="C66" s="164" t="s">
        <v>26</v>
      </c>
      <c r="D66" s="165"/>
      <c r="E66" s="142"/>
    </row>
    <row r="67" spans="1:5" x14ac:dyDescent="0.3">
      <c r="B67" s="25" t="s">
        <v>68</v>
      </c>
      <c r="C67" s="146" t="s">
        <v>22</v>
      </c>
      <c r="D67" s="147">
        <f>PERC_PIS</f>
        <v>0</v>
      </c>
      <c r="E67" s="142"/>
    </row>
    <row r="68" spans="1:5" x14ac:dyDescent="0.3">
      <c r="B68" s="25" t="s">
        <v>69</v>
      </c>
      <c r="C68" s="164" t="s">
        <v>23</v>
      </c>
      <c r="D68" s="165">
        <f>PERC_COFINS</f>
        <v>0</v>
      </c>
      <c r="E68" s="142"/>
    </row>
    <row r="69" spans="1:5" s="89" customFormat="1" x14ac:dyDescent="0.3">
      <c r="B69" s="25" t="s">
        <v>70</v>
      </c>
      <c r="C69" s="146" t="s">
        <v>24</v>
      </c>
      <c r="D69" s="147">
        <f>PERC_ISS</f>
        <v>0</v>
      </c>
      <c r="E69" s="142"/>
    </row>
    <row r="70" spans="1:5" x14ac:dyDescent="0.3">
      <c r="B70" s="89"/>
      <c r="C70" s="89"/>
      <c r="D70" s="89"/>
      <c r="E70" s="89"/>
    </row>
    <row r="71" spans="1:5" ht="25.5" x14ac:dyDescent="0.5">
      <c r="B71" s="168" t="s">
        <v>203</v>
      </c>
      <c r="C71" s="168"/>
      <c r="D71" s="168"/>
    </row>
    <row r="72" spans="1:5" x14ac:dyDescent="0.3">
      <c r="B72" s="169" t="s">
        <v>194</v>
      </c>
      <c r="C72" s="169"/>
      <c r="D72" s="169"/>
    </row>
    <row r="73" spans="1:5" x14ac:dyDescent="0.3">
      <c r="B73" s="170"/>
      <c r="C73" s="170"/>
      <c r="D73" s="170"/>
    </row>
    <row r="74" spans="1:5" ht="82.5" x14ac:dyDescent="0.3">
      <c r="B74" s="125" t="s">
        <v>204</v>
      </c>
      <c r="C74" s="125" t="s">
        <v>205</v>
      </c>
      <c r="D74" s="125" t="s">
        <v>206</v>
      </c>
    </row>
    <row r="75" spans="1:5" x14ac:dyDescent="0.3">
      <c r="B75" s="126">
        <v>1</v>
      </c>
      <c r="C75" s="127" t="s">
        <v>207</v>
      </c>
      <c r="D75" s="143"/>
    </row>
    <row r="76" spans="1:5" x14ac:dyDescent="0.3">
      <c r="B76" s="128">
        <v>2</v>
      </c>
      <c r="C76" s="129" t="s">
        <v>208</v>
      </c>
      <c r="D76" s="144"/>
    </row>
    <row r="77" spans="1:5" x14ac:dyDescent="0.3">
      <c r="B77" s="126">
        <v>3</v>
      </c>
      <c r="C77" s="130" t="s">
        <v>209</v>
      </c>
      <c r="D77" s="143"/>
    </row>
    <row r="78" spans="1:5" x14ac:dyDescent="0.3">
      <c r="B78" s="128">
        <v>4</v>
      </c>
      <c r="C78" s="131" t="s">
        <v>210</v>
      </c>
      <c r="D78" s="144"/>
    </row>
    <row r="80" spans="1:5" ht="33.75" customHeight="1" x14ac:dyDescent="0.3">
      <c r="B80" s="28" t="s">
        <v>141</v>
      </c>
      <c r="C80" s="29"/>
      <c r="D80" s="29"/>
      <c r="E80" s="30"/>
    </row>
    <row r="81" spans="2:5" ht="32.25" customHeight="1" x14ac:dyDescent="0.3">
      <c r="B81" s="167" t="s">
        <v>164</v>
      </c>
      <c r="C81" s="167"/>
      <c r="D81" s="167"/>
      <c r="E81" s="167"/>
    </row>
  </sheetData>
  <mergeCells count="46">
    <mergeCell ref="B17:E17"/>
    <mergeCell ref="B7:C7"/>
    <mergeCell ref="B10:E10"/>
    <mergeCell ref="C11:D11"/>
    <mergeCell ref="D12:E12"/>
    <mergeCell ref="C14:D14"/>
    <mergeCell ref="B8:C8"/>
    <mergeCell ref="C13:D13"/>
    <mergeCell ref="C15:D15"/>
    <mergeCell ref="B1:E1"/>
    <mergeCell ref="B2:C2"/>
    <mergeCell ref="B4:E4"/>
    <mergeCell ref="B5:E5"/>
    <mergeCell ref="B6:C6"/>
    <mergeCell ref="D6:E6"/>
    <mergeCell ref="B81:E81"/>
    <mergeCell ref="C67:D67"/>
    <mergeCell ref="C69:D69"/>
    <mergeCell ref="C66:D66"/>
    <mergeCell ref="C68:D68"/>
    <mergeCell ref="B71:D71"/>
    <mergeCell ref="B72:D72"/>
    <mergeCell ref="B73:D73"/>
    <mergeCell ref="B23:E23"/>
    <mergeCell ref="D25:E25"/>
    <mergeCell ref="C27:D27"/>
    <mergeCell ref="C26:D26"/>
    <mergeCell ref="C37:D37"/>
    <mergeCell ref="C31:D31"/>
    <mergeCell ref="C32:D32"/>
    <mergeCell ref="C35:D35"/>
    <mergeCell ref="C36:D36"/>
    <mergeCell ref="D24:E24"/>
    <mergeCell ref="C65:D65"/>
    <mergeCell ref="C61:D61"/>
    <mergeCell ref="B63:E63"/>
    <mergeCell ref="C64:D64"/>
    <mergeCell ref="C48:D48"/>
    <mergeCell ref="C57:D57"/>
    <mergeCell ref="C58:D58"/>
    <mergeCell ref="C59:D59"/>
    <mergeCell ref="C60:D60"/>
    <mergeCell ref="C49:D49"/>
    <mergeCell ref="C52:D52"/>
    <mergeCell ref="C53:D53"/>
    <mergeCell ref="C54:D54"/>
  </mergeCells>
  <conditionalFormatting sqref="F33:F34">
    <cfRule type="cellIs" dxfId="1" priority="2" operator="equal">
      <formula>"SIM"</formula>
    </cfRule>
  </conditionalFormatting>
  <conditionalFormatting sqref="F32">
    <cfRule type="cellIs" dxfId="0" priority="1" operator="equal">
      <formula>"SIM"</formula>
    </cfRule>
  </conditionalFormatting>
  <dataValidations count="11">
    <dataValidation type="whole" allowBlank="1" showInputMessage="1" showErrorMessage="1" errorTitle="Erro na inserção de dados." error="O percentual de ISS deve estar entre 2 e 5%, conforme o inciso I do artigo 8º e o caput do art. 8º-A da Lei Complementar nº 116/2003." sqref="E69">
      <formula1>2</formula1>
      <formula2>5</formula2>
    </dataValidation>
    <dataValidation type="whole" errorStyle="warning" operator="equal" allowBlank="1" showInputMessage="1" showErrorMessage="1" errorTitle="Atentar para o percentual." error="Tem certeza que o percentual do Cofins é diferente de 3%, previsto no art. 31 da Lei nº 10.833/2003?" sqref="E68">
      <formula1>3</formula1>
    </dataValidation>
    <dataValidation type="decimal" errorStyle="warning" operator="equal" allowBlank="1" showInputMessage="1" showErrorMessage="1" errorTitle="Atentar para o percentual." error="Tem certeza que o percentual do PIS é diferente de 0,65%, previsto no art. 31 da Lei nº 10.833/2003?" sqref="E67">
      <formula1>0.65</formula1>
    </dataValidation>
    <dataValidation type="decimal" errorStyle="warning" allowBlank="1" showInputMessage="1" showErrorMessage="1" errorTitle="Erro na inserção de dados." error="O percentual recomendado de lucro é de 5,57%, conforme estudos realizados pela Auditoria Interna do MPU." sqref="E66">
      <formula1>0</formula1>
      <formula2>5.57</formula2>
    </dataValidation>
    <dataValidation type="decimal" errorStyle="warning" allowBlank="1" showInputMessage="1" showErrorMessage="1" errorTitle="Erro na inserção de dados." error="O percentual recomendado de custos indiretos é de 4,73%, conforme estudos realizados pela Auditoria Interna do MPU." sqref="E65">
      <formula1>0</formula1>
      <formula2>4.73</formula2>
    </dataValidation>
    <dataValidation type="decimal" errorStyle="warning" operator="greaterThanOrEqual" allowBlank="1" showInputMessage="1" showErrorMessage="1" errorTitle="Atentar para o valor do salário." error="Tem certeza que o valor do salário-base é menor do que o salário mínimo vigente no país?" sqref="E32:E34">
      <formula1>E27</formula1>
    </dataValidation>
    <dataValidation type="list" operator="equal" allowBlank="1" showInputMessage="1" showErrorMessage="1" errorTitle="Erro na inserção de dados." error="De acordo com o art. 192 da CLT, estão previstos somente os percentuais de 40% (máximo), 20% (médio) ou 10% (mínimo), conforme for a exposição ao risco." sqref="E37">
      <formula1>"0,10,20,40"</formula1>
    </dataValidation>
    <dataValidation type="whole" errorStyle="warning" operator="equal" allowBlank="1" showInputMessage="1" showErrorMessage="1" errorTitle="Atenção para a inclusão do item." error="Tem certeza que deseja incluir este item de custo e que o tempo de intervalo está de acordo com o previsto na CCT da categoria?" promptTitle="Intervalo Intrajornada" prompt="Segundo estudos da Audin-MPU, esse item não é usual nas planilhas do MPU. Verifique se realmente há necessidade de incluí-lo." sqref="E54">
      <formula1>0</formula1>
    </dataValidation>
    <dataValidation type="whole" errorStyle="warning" operator="equal" allowBlank="1" showInputMessage="1" showErrorMessage="1" errorTitle="Atenção para a inclusão do item." error="Tem certeza que deseja incluir este item de custo e que o percentual está de acordo com o previsto na CCT da categoria?" promptTitle="Intervalo Intrajornada" prompt="Segundo estudos da Audin-MPU, esse item não é usual nas planilhas do MPU. Verifique se realmente há necessidade de incluí-lo." sqref="E53">
      <formula1>0</formula1>
    </dataValidation>
    <dataValidation type="list" allowBlank="1" showInputMessage="1" showErrorMessage="1" sqref="E13">
      <formula1>"AC,AL,AP,AM,BA,CE,DF,ES,GO,MA,MG,MS,MT,PA,PB,PR,PE,PI,RJ,RN,RO,RR,RS,SC,SP,SE,TO"</formula1>
    </dataValidation>
    <dataValidation type="list" showInputMessage="1" showErrorMessage="1" sqref="F32:F34">
      <formula1>"SIM,NÃO"</formula1>
    </dataValidation>
  </dataValidations>
  <pageMargins left="0.17" right="0.17" top="0.46" bottom="0.33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61"/>
  <sheetViews>
    <sheetView showGridLines="0" tabSelected="1" topLeftCell="C1" zoomScaleNormal="100" zoomScaleSheetLayoutView="100" workbookViewId="0">
      <selection activeCell="F12" sqref="F12"/>
    </sheetView>
  </sheetViews>
  <sheetFormatPr defaultRowHeight="12.75" x14ac:dyDescent="0.2"/>
  <cols>
    <col min="3" max="3" width="46.28515625" customWidth="1"/>
    <col min="4" max="4" width="18" customWidth="1"/>
    <col min="5" max="5" width="13.7109375" customWidth="1"/>
    <col min="7" max="7" width="17.5703125" customWidth="1"/>
    <col min="8" max="8" width="17.140625" customWidth="1"/>
  </cols>
  <sheetData>
    <row r="1" spans="2:11" ht="25.5" x14ac:dyDescent="0.5">
      <c r="B1" s="168" t="s">
        <v>211</v>
      </c>
      <c r="C1" s="168"/>
      <c r="D1" s="168"/>
      <c r="E1" s="168"/>
      <c r="F1" s="168"/>
      <c r="G1" s="168"/>
      <c r="H1" s="168"/>
    </row>
    <row r="2" spans="2:11" ht="15" customHeight="1" x14ac:dyDescent="0.2">
      <c r="B2" s="169" t="s">
        <v>212</v>
      </c>
      <c r="C2" s="169"/>
      <c r="D2" s="169"/>
      <c r="E2" s="169"/>
      <c r="F2" s="169"/>
      <c r="G2" s="169"/>
      <c r="H2" s="169"/>
    </row>
    <row r="3" spans="2:11" ht="15" customHeight="1" x14ac:dyDescent="0.3">
      <c r="B3" s="170"/>
      <c r="C3" s="170"/>
      <c r="D3" s="170"/>
      <c r="E3" s="170"/>
      <c r="F3" s="170"/>
      <c r="G3" s="170"/>
      <c r="H3" s="170"/>
    </row>
    <row r="4" spans="2:11" ht="66" x14ac:dyDescent="0.2">
      <c r="B4" s="125" t="s">
        <v>204</v>
      </c>
      <c r="C4" s="125" t="s">
        <v>213</v>
      </c>
      <c r="D4" s="125" t="s">
        <v>214</v>
      </c>
      <c r="E4" s="125" t="s">
        <v>215</v>
      </c>
      <c r="F4" s="125" t="s">
        <v>216</v>
      </c>
      <c r="G4" s="125" t="s">
        <v>217</v>
      </c>
      <c r="H4" s="125" t="s">
        <v>218</v>
      </c>
    </row>
    <row r="5" spans="2:11" ht="22.5" customHeight="1" x14ac:dyDescent="0.2">
      <c r="B5" s="126">
        <v>1</v>
      </c>
      <c r="C5" s="127" t="s">
        <v>219</v>
      </c>
      <c r="D5" s="132" t="s">
        <v>220</v>
      </c>
      <c r="E5" s="143"/>
      <c r="F5" s="126">
        <v>15</v>
      </c>
      <c r="G5" s="133">
        <f>E5*F5</f>
        <v>0</v>
      </c>
      <c r="H5" s="133">
        <f>ROUND(G5/12,2)</f>
        <v>0</v>
      </c>
    </row>
    <row r="6" spans="2:11" ht="24" customHeight="1" x14ac:dyDescent="0.2">
      <c r="B6" s="128">
        <v>2</v>
      </c>
      <c r="C6" s="129" t="s">
        <v>221</v>
      </c>
      <c r="D6" s="134" t="s">
        <v>222</v>
      </c>
      <c r="E6" s="144"/>
      <c r="F6" s="128">
        <v>11</v>
      </c>
      <c r="G6" s="135">
        <f>E6*F6</f>
        <v>0</v>
      </c>
      <c r="H6" s="135">
        <f>ROUND(G6/12,2)</f>
        <v>0</v>
      </c>
    </row>
    <row r="7" spans="2:11" ht="25.5" customHeight="1" x14ac:dyDescent="0.2">
      <c r="B7" s="126">
        <v>3</v>
      </c>
      <c r="C7" s="130" t="s">
        <v>223</v>
      </c>
      <c r="D7" s="132" t="s">
        <v>224</v>
      </c>
      <c r="E7" s="143"/>
      <c r="F7" s="126">
        <v>13</v>
      </c>
      <c r="G7" s="133">
        <f t="shared" ref="G7:G9" si="0">E7*F7</f>
        <v>0</v>
      </c>
      <c r="H7" s="133">
        <f t="shared" ref="H7:H9" si="1">ROUND(G7/12,2)</f>
        <v>0</v>
      </c>
    </row>
    <row r="8" spans="2:11" ht="16.5" x14ac:dyDescent="0.2">
      <c r="B8" s="128">
        <v>4</v>
      </c>
      <c r="C8" s="131" t="s">
        <v>225</v>
      </c>
      <c r="D8" s="136" t="s">
        <v>224</v>
      </c>
      <c r="E8" s="144"/>
      <c r="F8" s="128">
        <v>2</v>
      </c>
      <c r="G8" s="135">
        <f t="shared" si="0"/>
        <v>0</v>
      </c>
      <c r="H8" s="135">
        <f t="shared" si="1"/>
        <v>0</v>
      </c>
    </row>
    <row r="9" spans="2:11" ht="16.5" x14ac:dyDescent="0.2">
      <c r="B9" s="126">
        <v>5</v>
      </c>
      <c r="C9" s="127" t="s">
        <v>226</v>
      </c>
      <c r="D9" s="132" t="s">
        <v>224</v>
      </c>
      <c r="E9" s="143"/>
      <c r="F9" s="126">
        <v>2</v>
      </c>
      <c r="G9" s="133">
        <f t="shared" si="0"/>
        <v>0</v>
      </c>
      <c r="H9" s="133">
        <f t="shared" si="1"/>
        <v>0</v>
      </c>
    </row>
    <row r="10" spans="2:11" ht="16.5" x14ac:dyDescent="0.3">
      <c r="B10" s="138" t="s">
        <v>2</v>
      </c>
      <c r="C10" s="189" t="s">
        <v>268</v>
      </c>
      <c r="D10" s="190"/>
      <c r="E10" s="190"/>
      <c r="F10" s="190"/>
      <c r="G10" s="191"/>
      <c r="H10" s="124">
        <f>SUM(H5:H9)</f>
        <v>0</v>
      </c>
    </row>
    <row r="11" spans="2:11" ht="49.5" x14ac:dyDescent="0.2">
      <c r="B11" s="125" t="s">
        <v>204</v>
      </c>
      <c r="C11" s="125" t="s">
        <v>213</v>
      </c>
      <c r="D11" s="125" t="s">
        <v>214</v>
      </c>
      <c r="E11" s="125" t="s">
        <v>215</v>
      </c>
      <c r="F11" s="125" t="s">
        <v>216</v>
      </c>
      <c r="G11" s="125" t="s">
        <v>272</v>
      </c>
      <c r="H11" s="125" t="s">
        <v>271</v>
      </c>
    </row>
    <row r="12" spans="2:11" ht="16.5" x14ac:dyDescent="0.2">
      <c r="B12" s="128">
        <v>1</v>
      </c>
      <c r="C12" s="131" t="s">
        <v>227</v>
      </c>
      <c r="D12" s="136" t="s">
        <v>220</v>
      </c>
      <c r="E12" s="144"/>
      <c r="F12" s="128">
        <v>8</v>
      </c>
      <c r="G12" s="135">
        <f>E12*F12</f>
        <v>0</v>
      </c>
      <c r="H12" s="137">
        <v>0.1</v>
      </c>
      <c r="K12" s="118"/>
    </row>
    <row r="13" spans="2:11" ht="16.5" x14ac:dyDescent="0.3">
      <c r="B13" s="138" t="s">
        <v>3</v>
      </c>
      <c r="C13" s="189" t="s">
        <v>268</v>
      </c>
      <c r="D13" s="190"/>
      <c r="E13" s="190"/>
      <c r="F13" s="190"/>
      <c r="G13" s="191"/>
      <c r="H13" s="124">
        <f>(G12-(G12*H12*5))/60</f>
        <v>0</v>
      </c>
    </row>
    <row r="14" spans="2:11" ht="19.5" customHeight="1" x14ac:dyDescent="0.3">
      <c r="B14" s="186" t="s">
        <v>273</v>
      </c>
      <c r="C14" s="187"/>
      <c r="D14" s="187"/>
      <c r="E14" s="187"/>
      <c r="F14" s="187"/>
      <c r="G14" s="188"/>
      <c r="H14" s="124">
        <f>H10+H13</f>
        <v>0</v>
      </c>
    </row>
    <row r="15" spans="2:11" ht="16.5" x14ac:dyDescent="0.3">
      <c r="B15" s="186" t="s">
        <v>269</v>
      </c>
      <c r="C15" s="187"/>
      <c r="D15" s="187"/>
      <c r="E15" s="187"/>
      <c r="F15" s="187"/>
      <c r="G15" s="188"/>
      <c r="H15" s="124">
        <f>SUM(QTDE_POSTOS_DIURNO,QTDE_POSTOS_LIDER,QTDE_POSTOS_NOTURNO)*2</f>
        <v>16</v>
      </c>
    </row>
    <row r="16" spans="2:11" ht="16.5" x14ac:dyDescent="0.3">
      <c r="B16" s="186" t="s">
        <v>270</v>
      </c>
      <c r="C16" s="187"/>
      <c r="D16" s="187"/>
      <c r="E16" s="187"/>
      <c r="F16" s="187"/>
      <c r="G16" s="188"/>
      <c r="H16" s="124">
        <f>IF(H14/H15&gt;0,H14/H15,0)</f>
        <v>0</v>
      </c>
    </row>
    <row r="17" spans="2:8" ht="25.5" x14ac:dyDescent="0.5">
      <c r="B17" s="168" t="s">
        <v>228</v>
      </c>
      <c r="C17" s="168"/>
      <c r="D17" s="168"/>
      <c r="E17" s="168"/>
      <c r="F17" s="168"/>
      <c r="G17" s="168"/>
      <c r="H17" s="168"/>
    </row>
    <row r="18" spans="2:8" ht="16.5" x14ac:dyDescent="0.2">
      <c r="B18" s="169" t="s">
        <v>229</v>
      </c>
      <c r="C18" s="169"/>
      <c r="D18" s="169"/>
      <c r="E18" s="169"/>
      <c r="F18" s="169"/>
      <c r="G18" s="169"/>
      <c r="H18" s="169"/>
    </row>
    <row r="19" spans="2:8" ht="16.5" x14ac:dyDescent="0.3">
      <c r="B19" s="170"/>
      <c r="C19" s="170"/>
      <c r="D19" s="170"/>
      <c r="E19" s="170"/>
      <c r="F19" s="170"/>
      <c r="G19" s="170"/>
      <c r="H19" s="170"/>
    </row>
    <row r="20" spans="2:8" ht="66" x14ac:dyDescent="0.2">
      <c r="B20" s="125" t="s">
        <v>204</v>
      </c>
      <c r="C20" s="125" t="s">
        <v>213</v>
      </c>
      <c r="D20" s="125" t="s">
        <v>214</v>
      </c>
      <c r="E20" s="125" t="s">
        <v>215</v>
      </c>
      <c r="F20" s="125" t="s">
        <v>216</v>
      </c>
      <c r="G20" s="125" t="s">
        <v>217</v>
      </c>
      <c r="H20" s="125" t="s">
        <v>218</v>
      </c>
    </row>
    <row r="21" spans="2:8" ht="33" x14ac:dyDescent="0.2">
      <c r="B21" s="126">
        <v>1</v>
      </c>
      <c r="C21" s="130" t="s">
        <v>230</v>
      </c>
      <c r="D21" s="132" t="s">
        <v>231</v>
      </c>
      <c r="E21" s="143"/>
      <c r="F21" s="126">
        <v>11</v>
      </c>
      <c r="G21" s="133">
        <f>E21*F21</f>
        <v>0</v>
      </c>
      <c r="H21" s="133">
        <f>ROUND(G21/12,2)</f>
        <v>0</v>
      </c>
    </row>
    <row r="22" spans="2:8" ht="16.5" x14ac:dyDescent="0.2">
      <c r="B22" s="128">
        <v>2</v>
      </c>
      <c r="C22" s="129" t="s">
        <v>232</v>
      </c>
      <c r="D22" s="134" t="s">
        <v>220</v>
      </c>
      <c r="E22" s="144"/>
      <c r="F22" s="128">
        <v>22</v>
      </c>
      <c r="G22" s="135">
        <f>E22*F22</f>
        <v>0</v>
      </c>
      <c r="H22" s="135">
        <f>ROUND(G22/12,2)</f>
        <v>0</v>
      </c>
    </row>
    <row r="23" spans="2:8" ht="16.5" x14ac:dyDescent="0.2">
      <c r="B23" s="126">
        <v>3</v>
      </c>
      <c r="C23" s="127" t="s">
        <v>233</v>
      </c>
      <c r="D23" s="132" t="s">
        <v>231</v>
      </c>
      <c r="E23" s="143"/>
      <c r="F23" s="126">
        <v>11</v>
      </c>
      <c r="G23" s="133">
        <f t="shared" ref="G23:G45" si="2">E23*F23</f>
        <v>0</v>
      </c>
      <c r="H23" s="133">
        <f t="shared" ref="H23:H43" si="3">ROUND(G23/12,2)</f>
        <v>0</v>
      </c>
    </row>
    <row r="24" spans="2:8" ht="16.5" x14ac:dyDescent="0.2">
      <c r="B24" s="128">
        <v>4</v>
      </c>
      <c r="C24" s="131" t="s">
        <v>234</v>
      </c>
      <c r="D24" s="136" t="s">
        <v>222</v>
      </c>
      <c r="E24" s="144"/>
      <c r="F24" s="128">
        <v>66</v>
      </c>
      <c r="G24" s="135">
        <f t="shared" si="2"/>
        <v>0</v>
      </c>
      <c r="H24" s="135">
        <f t="shared" si="3"/>
        <v>0</v>
      </c>
    </row>
    <row r="25" spans="2:8" ht="16.5" x14ac:dyDescent="0.2">
      <c r="B25" s="126">
        <v>5</v>
      </c>
      <c r="C25" s="127" t="s">
        <v>235</v>
      </c>
      <c r="D25" s="132" t="s">
        <v>222</v>
      </c>
      <c r="E25" s="143"/>
      <c r="F25" s="126">
        <v>66</v>
      </c>
      <c r="G25" s="133">
        <f t="shared" si="2"/>
        <v>0</v>
      </c>
      <c r="H25" s="133">
        <f t="shared" si="3"/>
        <v>0</v>
      </c>
    </row>
    <row r="26" spans="2:8" ht="16.5" x14ac:dyDescent="0.2">
      <c r="B26" s="128">
        <v>6</v>
      </c>
      <c r="C26" s="131" t="s">
        <v>236</v>
      </c>
      <c r="D26" s="136" t="s">
        <v>237</v>
      </c>
      <c r="E26" s="144"/>
      <c r="F26" s="128">
        <v>13</v>
      </c>
      <c r="G26" s="135">
        <f t="shared" si="2"/>
        <v>0</v>
      </c>
      <c r="H26" s="135">
        <f t="shared" si="3"/>
        <v>0</v>
      </c>
    </row>
    <row r="27" spans="2:8" ht="33" x14ac:dyDescent="0.2">
      <c r="B27" s="126">
        <v>7</v>
      </c>
      <c r="C27" s="130" t="s">
        <v>238</v>
      </c>
      <c r="D27" s="132" t="s">
        <v>220</v>
      </c>
      <c r="E27" s="143"/>
      <c r="F27" s="126">
        <v>22</v>
      </c>
      <c r="G27" s="133">
        <f t="shared" si="2"/>
        <v>0</v>
      </c>
      <c r="H27" s="133">
        <f t="shared" si="3"/>
        <v>0</v>
      </c>
    </row>
    <row r="28" spans="2:8" ht="33" x14ac:dyDescent="0.2">
      <c r="B28" s="128">
        <v>8</v>
      </c>
      <c r="C28" s="131" t="s">
        <v>239</v>
      </c>
      <c r="D28" s="136" t="s">
        <v>220</v>
      </c>
      <c r="E28" s="144"/>
      <c r="F28" s="128">
        <v>22</v>
      </c>
      <c r="G28" s="135">
        <f t="shared" si="2"/>
        <v>0</v>
      </c>
      <c r="H28" s="135">
        <f t="shared" si="3"/>
        <v>0</v>
      </c>
    </row>
    <row r="29" spans="2:8" ht="33" x14ac:dyDescent="0.2">
      <c r="B29" s="126">
        <v>9</v>
      </c>
      <c r="C29" s="130" t="s">
        <v>240</v>
      </c>
      <c r="D29" s="132" t="s">
        <v>220</v>
      </c>
      <c r="E29" s="143"/>
      <c r="F29" s="126">
        <v>22</v>
      </c>
      <c r="G29" s="133">
        <f t="shared" si="2"/>
        <v>0</v>
      </c>
      <c r="H29" s="133">
        <f t="shared" si="3"/>
        <v>0</v>
      </c>
    </row>
    <row r="30" spans="2:8" ht="33" x14ac:dyDescent="0.2">
      <c r="B30" s="128">
        <v>10</v>
      </c>
      <c r="C30" s="131" t="s">
        <v>241</v>
      </c>
      <c r="D30" s="136" t="s">
        <v>222</v>
      </c>
      <c r="E30" s="144"/>
      <c r="F30" s="128">
        <v>22</v>
      </c>
      <c r="G30" s="135">
        <f t="shared" si="2"/>
        <v>0</v>
      </c>
      <c r="H30" s="135">
        <f t="shared" si="3"/>
        <v>0</v>
      </c>
    </row>
    <row r="31" spans="2:8" ht="16.5" x14ac:dyDescent="0.2">
      <c r="B31" s="126">
        <v>11</v>
      </c>
      <c r="C31" s="127" t="s">
        <v>242</v>
      </c>
      <c r="D31" s="132" t="s">
        <v>220</v>
      </c>
      <c r="E31" s="143"/>
      <c r="F31" s="126">
        <v>33</v>
      </c>
      <c r="G31" s="133">
        <f t="shared" si="2"/>
        <v>0</v>
      </c>
      <c r="H31" s="133">
        <f t="shared" si="3"/>
        <v>0</v>
      </c>
    </row>
    <row r="32" spans="2:8" ht="33" x14ac:dyDescent="0.2">
      <c r="B32" s="128">
        <v>12</v>
      </c>
      <c r="C32" s="131" t="s">
        <v>243</v>
      </c>
      <c r="D32" s="136" t="s">
        <v>231</v>
      </c>
      <c r="E32" s="144"/>
      <c r="F32" s="128">
        <v>110</v>
      </c>
      <c r="G32" s="135">
        <f t="shared" si="2"/>
        <v>0</v>
      </c>
      <c r="H32" s="135">
        <f t="shared" si="3"/>
        <v>0</v>
      </c>
    </row>
    <row r="33" spans="2:8" ht="16.5" x14ac:dyDescent="0.2">
      <c r="B33" s="126">
        <v>13</v>
      </c>
      <c r="C33" s="127" t="s">
        <v>244</v>
      </c>
      <c r="D33" s="132" t="s">
        <v>237</v>
      </c>
      <c r="E33" s="143"/>
      <c r="F33" s="126">
        <v>11</v>
      </c>
      <c r="G33" s="133">
        <f t="shared" si="2"/>
        <v>0</v>
      </c>
      <c r="H33" s="133">
        <f t="shared" si="3"/>
        <v>0</v>
      </c>
    </row>
    <row r="34" spans="2:8" ht="16.5" x14ac:dyDescent="0.2">
      <c r="B34" s="128">
        <v>14</v>
      </c>
      <c r="C34" s="131" t="s">
        <v>245</v>
      </c>
      <c r="D34" s="136" t="s">
        <v>220</v>
      </c>
      <c r="E34" s="144"/>
      <c r="F34" s="128">
        <v>33</v>
      </c>
      <c r="G34" s="135">
        <f t="shared" si="2"/>
        <v>0</v>
      </c>
      <c r="H34" s="135">
        <f t="shared" si="3"/>
        <v>0</v>
      </c>
    </row>
    <row r="35" spans="2:8" ht="16.5" x14ac:dyDescent="0.2">
      <c r="B35" s="126">
        <v>15</v>
      </c>
      <c r="C35" s="130" t="s">
        <v>246</v>
      </c>
      <c r="D35" s="132" t="s">
        <v>220</v>
      </c>
      <c r="E35" s="143"/>
      <c r="F35" s="126">
        <v>66</v>
      </c>
      <c r="G35" s="133">
        <f t="shared" si="2"/>
        <v>0</v>
      </c>
      <c r="H35" s="133">
        <f t="shared" si="3"/>
        <v>0</v>
      </c>
    </row>
    <row r="36" spans="2:8" ht="16.5" x14ac:dyDescent="0.2">
      <c r="B36" s="128">
        <v>16</v>
      </c>
      <c r="C36" s="131" t="s">
        <v>247</v>
      </c>
      <c r="D36" s="136" t="s">
        <v>224</v>
      </c>
      <c r="E36" s="144"/>
      <c r="F36" s="128">
        <v>66</v>
      </c>
      <c r="G36" s="135">
        <f t="shared" si="2"/>
        <v>0</v>
      </c>
      <c r="H36" s="135">
        <f t="shared" si="3"/>
        <v>0</v>
      </c>
    </row>
    <row r="37" spans="2:8" ht="33" x14ac:dyDescent="0.2">
      <c r="B37" s="126">
        <v>17</v>
      </c>
      <c r="C37" s="130" t="s">
        <v>248</v>
      </c>
      <c r="D37" s="132" t="s">
        <v>237</v>
      </c>
      <c r="E37" s="143"/>
      <c r="F37" s="126">
        <v>11</v>
      </c>
      <c r="G37" s="133">
        <f t="shared" si="2"/>
        <v>0</v>
      </c>
      <c r="H37" s="133">
        <f t="shared" si="3"/>
        <v>0</v>
      </c>
    </row>
    <row r="38" spans="2:8" ht="33" x14ac:dyDescent="0.2">
      <c r="B38" s="128">
        <v>18</v>
      </c>
      <c r="C38" s="131" t="s">
        <v>249</v>
      </c>
      <c r="D38" s="136" t="s">
        <v>237</v>
      </c>
      <c r="E38" s="144"/>
      <c r="F38" s="128">
        <v>11</v>
      </c>
      <c r="G38" s="135">
        <f t="shared" si="2"/>
        <v>0</v>
      </c>
      <c r="H38" s="135">
        <f t="shared" si="3"/>
        <v>0</v>
      </c>
    </row>
    <row r="39" spans="2:8" ht="33" x14ac:dyDescent="0.2">
      <c r="B39" s="126">
        <v>19</v>
      </c>
      <c r="C39" s="130" t="s">
        <v>250</v>
      </c>
      <c r="D39" s="132" t="s">
        <v>237</v>
      </c>
      <c r="E39" s="143"/>
      <c r="F39" s="126">
        <v>11</v>
      </c>
      <c r="G39" s="133">
        <f t="shared" si="2"/>
        <v>0</v>
      </c>
      <c r="H39" s="133">
        <f t="shared" si="3"/>
        <v>0</v>
      </c>
    </row>
    <row r="40" spans="2:8" ht="16.5" x14ac:dyDescent="0.2">
      <c r="B40" s="128">
        <v>20</v>
      </c>
      <c r="C40" s="131" t="s">
        <v>251</v>
      </c>
      <c r="D40" s="136" t="s">
        <v>220</v>
      </c>
      <c r="E40" s="144"/>
      <c r="F40" s="128">
        <v>12</v>
      </c>
      <c r="G40" s="135">
        <f t="shared" si="2"/>
        <v>0</v>
      </c>
      <c r="H40" s="135">
        <f t="shared" si="3"/>
        <v>0</v>
      </c>
    </row>
    <row r="41" spans="2:8" ht="16.5" x14ac:dyDescent="0.2">
      <c r="B41" s="126">
        <v>21</v>
      </c>
      <c r="C41" s="130" t="s">
        <v>252</v>
      </c>
      <c r="D41" s="132" t="s">
        <v>220</v>
      </c>
      <c r="E41" s="143"/>
      <c r="F41" s="126">
        <v>20</v>
      </c>
      <c r="G41" s="133">
        <f t="shared" si="2"/>
        <v>0</v>
      </c>
      <c r="H41" s="133">
        <f t="shared" si="3"/>
        <v>0</v>
      </c>
    </row>
    <row r="42" spans="2:8" ht="16.5" x14ac:dyDescent="0.2">
      <c r="B42" s="128">
        <v>22</v>
      </c>
      <c r="C42" s="131" t="s">
        <v>253</v>
      </c>
      <c r="D42" s="136" t="s">
        <v>220</v>
      </c>
      <c r="E42" s="144"/>
      <c r="F42" s="128">
        <v>46</v>
      </c>
      <c r="G42" s="135">
        <f t="shared" si="2"/>
        <v>0</v>
      </c>
      <c r="H42" s="135">
        <f t="shared" si="3"/>
        <v>0</v>
      </c>
    </row>
    <row r="43" spans="2:8" ht="33" x14ac:dyDescent="0.2">
      <c r="B43" s="126">
        <v>23</v>
      </c>
      <c r="C43" s="130" t="s">
        <v>254</v>
      </c>
      <c r="D43" s="132" t="s">
        <v>220</v>
      </c>
      <c r="E43" s="143"/>
      <c r="F43" s="126">
        <v>55</v>
      </c>
      <c r="G43" s="133">
        <f t="shared" si="2"/>
        <v>0</v>
      </c>
      <c r="H43" s="133">
        <f t="shared" si="3"/>
        <v>0</v>
      </c>
    </row>
    <row r="44" spans="2:8" ht="33" x14ac:dyDescent="0.2">
      <c r="B44" s="128">
        <v>24</v>
      </c>
      <c r="C44" s="131" t="s">
        <v>255</v>
      </c>
      <c r="D44" s="136" t="s">
        <v>220</v>
      </c>
      <c r="E44" s="144"/>
      <c r="F44" s="128">
        <v>55</v>
      </c>
      <c r="G44" s="135">
        <f t="shared" si="2"/>
        <v>0</v>
      </c>
      <c r="H44" s="135">
        <f>ROUND(G44/12,2)</f>
        <v>0</v>
      </c>
    </row>
    <row r="45" spans="2:8" ht="33" x14ac:dyDescent="0.2">
      <c r="B45" s="126">
        <v>25</v>
      </c>
      <c r="C45" s="130" t="s">
        <v>256</v>
      </c>
      <c r="D45" s="132" t="s">
        <v>220</v>
      </c>
      <c r="E45" s="143"/>
      <c r="F45" s="126">
        <v>55</v>
      </c>
      <c r="G45" s="133">
        <f t="shared" si="2"/>
        <v>0</v>
      </c>
      <c r="H45" s="133">
        <f t="shared" ref="H45" si="4">ROUND(G45/12,2)</f>
        <v>0</v>
      </c>
    </row>
    <row r="46" spans="2:8" ht="33" x14ac:dyDescent="0.2">
      <c r="B46" s="128">
        <v>26</v>
      </c>
      <c r="C46" s="131" t="s">
        <v>257</v>
      </c>
      <c r="D46" s="136" t="s">
        <v>220</v>
      </c>
      <c r="E46" s="144"/>
      <c r="F46" s="128">
        <v>55</v>
      </c>
      <c r="G46" s="135">
        <f>E46*F46</f>
        <v>0</v>
      </c>
      <c r="H46" s="135">
        <f>ROUND(G46/12,2)</f>
        <v>0</v>
      </c>
    </row>
    <row r="47" spans="2:8" ht="16.5" x14ac:dyDescent="0.3">
      <c r="B47" s="186" t="s">
        <v>268</v>
      </c>
      <c r="C47" s="187"/>
      <c r="D47" s="187"/>
      <c r="E47" s="187"/>
      <c r="F47" s="187"/>
      <c r="G47" s="188"/>
      <c r="H47" s="124">
        <f>SUM(H21:H46)</f>
        <v>0</v>
      </c>
    </row>
    <row r="48" spans="2:8" ht="16.5" x14ac:dyDescent="0.3">
      <c r="B48" s="186" t="s">
        <v>269</v>
      </c>
      <c r="C48" s="187"/>
      <c r="D48" s="187"/>
      <c r="E48" s="187"/>
      <c r="F48" s="187"/>
      <c r="G48" s="188"/>
      <c r="H48" s="124">
        <f>SUM(QTDE_POSTOS_DIURNO,QTDE_POSTOS_LIDER,QTDE_POSTOS_NOTURNO)*2</f>
        <v>16</v>
      </c>
    </row>
    <row r="49" spans="2:8" ht="16.5" x14ac:dyDescent="0.3">
      <c r="B49" s="186" t="s">
        <v>270</v>
      </c>
      <c r="C49" s="187"/>
      <c r="D49" s="187"/>
      <c r="E49" s="187"/>
      <c r="F49" s="187"/>
      <c r="G49" s="188"/>
      <c r="H49" s="124">
        <f>IF(H47/H48&gt;0,H47/H48,0)</f>
        <v>0</v>
      </c>
    </row>
    <row r="50" spans="2:8" ht="25.5" x14ac:dyDescent="0.5">
      <c r="B50" s="168" t="s">
        <v>258</v>
      </c>
      <c r="C50" s="168"/>
      <c r="D50" s="168"/>
      <c r="E50" s="168"/>
      <c r="F50" s="168"/>
      <c r="G50" s="168"/>
      <c r="H50" s="168"/>
    </row>
    <row r="51" spans="2:8" ht="16.5" x14ac:dyDescent="0.2">
      <c r="B51" s="169" t="s">
        <v>259</v>
      </c>
      <c r="C51" s="169"/>
      <c r="D51" s="169"/>
      <c r="E51" s="169"/>
      <c r="F51" s="169"/>
      <c r="G51" s="169"/>
      <c r="H51" s="169"/>
    </row>
    <row r="52" spans="2:8" ht="16.5" x14ac:dyDescent="0.3">
      <c r="B52" s="170" t="s">
        <v>260</v>
      </c>
      <c r="C52" s="170"/>
      <c r="D52" s="170"/>
      <c r="E52" s="170"/>
      <c r="F52" s="170"/>
      <c r="G52" s="170"/>
      <c r="H52" s="170"/>
    </row>
    <row r="53" spans="2:8" ht="66" x14ac:dyDescent="0.2">
      <c r="B53" s="125" t="s">
        <v>204</v>
      </c>
      <c r="C53" s="125" t="s">
        <v>213</v>
      </c>
      <c r="D53" s="125" t="s">
        <v>214</v>
      </c>
      <c r="E53" s="125" t="s">
        <v>215</v>
      </c>
      <c r="F53" s="125" t="s">
        <v>216</v>
      </c>
      <c r="G53" s="125" t="s">
        <v>217</v>
      </c>
      <c r="H53" s="125" t="s">
        <v>218</v>
      </c>
    </row>
    <row r="54" spans="2:8" ht="16.5" x14ac:dyDescent="0.2">
      <c r="B54" s="126">
        <v>1</v>
      </c>
      <c r="C54" s="127" t="s">
        <v>261</v>
      </c>
      <c r="D54" s="132" t="s">
        <v>220</v>
      </c>
      <c r="E54" s="143"/>
      <c r="F54" s="126">
        <v>2</v>
      </c>
      <c r="G54" s="133">
        <f>E54*F54</f>
        <v>0</v>
      </c>
      <c r="H54" s="133">
        <f>ROUND(G54/12,2)</f>
        <v>0</v>
      </c>
    </row>
    <row r="55" spans="2:8" ht="16.5" x14ac:dyDescent="0.2">
      <c r="B55" s="128">
        <v>2</v>
      </c>
      <c r="C55" s="129" t="s">
        <v>262</v>
      </c>
      <c r="D55" s="134" t="s">
        <v>220</v>
      </c>
      <c r="E55" s="144"/>
      <c r="F55" s="128">
        <v>2</v>
      </c>
      <c r="G55" s="135">
        <f>E55*F55</f>
        <v>0</v>
      </c>
      <c r="H55" s="135">
        <f>ROUND(G55/12,2)</f>
        <v>0</v>
      </c>
    </row>
    <row r="56" spans="2:8" ht="16.5" x14ac:dyDescent="0.2">
      <c r="B56" s="126">
        <v>3</v>
      </c>
      <c r="C56" s="127" t="s">
        <v>263</v>
      </c>
      <c r="D56" s="132" t="s">
        <v>220</v>
      </c>
      <c r="E56" s="143"/>
      <c r="F56" s="126">
        <v>2</v>
      </c>
      <c r="G56" s="133">
        <f t="shared" ref="G56:G60" si="5">E56*F56</f>
        <v>0</v>
      </c>
      <c r="H56" s="133">
        <f t="shared" ref="H56:H60" si="6">ROUND(G56/12,2)</f>
        <v>0</v>
      </c>
    </row>
    <row r="57" spans="2:8" ht="33" x14ac:dyDescent="0.2">
      <c r="B57" s="128">
        <v>4</v>
      </c>
      <c r="C57" s="131" t="s">
        <v>264</v>
      </c>
      <c r="D57" s="136" t="s">
        <v>224</v>
      </c>
      <c r="E57" s="144"/>
      <c r="F57" s="128">
        <v>1</v>
      </c>
      <c r="G57" s="135">
        <f t="shared" si="5"/>
        <v>0</v>
      </c>
      <c r="H57" s="135">
        <f t="shared" si="6"/>
        <v>0</v>
      </c>
    </row>
    <row r="58" spans="2:8" ht="16.5" x14ac:dyDescent="0.2">
      <c r="B58" s="126">
        <v>5</v>
      </c>
      <c r="C58" s="127" t="s">
        <v>265</v>
      </c>
      <c r="D58" s="132" t="s">
        <v>220</v>
      </c>
      <c r="E58" s="143"/>
      <c r="F58" s="126">
        <v>1</v>
      </c>
      <c r="G58" s="133">
        <f t="shared" si="5"/>
        <v>0</v>
      </c>
      <c r="H58" s="133">
        <f t="shared" si="6"/>
        <v>0</v>
      </c>
    </row>
    <row r="59" spans="2:8" ht="16.5" x14ac:dyDescent="0.2">
      <c r="B59" s="128">
        <v>6</v>
      </c>
      <c r="C59" s="131" t="s">
        <v>266</v>
      </c>
      <c r="D59" s="136" t="s">
        <v>224</v>
      </c>
      <c r="E59" s="144"/>
      <c r="F59" s="128">
        <v>2</v>
      </c>
      <c r="G59" s="135">
        <f t="shared" si="5"/>
        <v>0</v>
      </c>
      <c r="H59" s="135">
        <f t="shared" si="6"/>
        <v>0</v>
      </c>
    </row>
    <row r="60" spans="2:8" ht="16.5" x14ac:dyDescent="0.2">
      <c r="B60" s="126">
        <v>7</v>
      </c>
      <c r="C60" s="127" t="s">
        <v>267</v>
      </c>
      <c r="D60" s="132" t="s">
        <v>220</v>
      </c>
      <c r="E60" s="143"/>
      <c r="F60" s="126">
        <v>1</v>
      </c>
      <c r="G60" s="133">
        <f t="shared" si="5"/>
        <v>0</v>
      </c>
      <c r="H60" s="133">
        <f t="shared" si="6"/>
        <v>0</v>
      </c>
    </row>
    <row r="61" spans="2:8" ht="16.5" x14ac:dyDescent="0.3">
      <c r="B61" s="186" t="s">
        <v>268</v>
      </c>
      <c r="C61" s="187"/>
      <c r="D61" s="187"/>
      <c r="E61" s="187"/>
      <c r="F61" s="187"/>
      <c r="G61" s="188"/>
      <c r="H61" s="124">
        <f>SUM(H54:H60)</f>
        <v>0</v>
      </c>
    </row>
  </sheetData>
  <mergeCells count="18">
    <mergeCell ref="B1:H1"/>
    <mergeCell ref="B2:H2"/>
    <mergeCell ref="B3:H3"/>
    <mergeCell ref="B14:G14"/>
    <mergeCell ref="B17:H17"/>
    <mergeCell ref="B15:G15"/>
    <mergeCell ref="B16:G16"/>
    <mergeCell ref="C10:G10"/>
    <mergeCell ref="C13:G13"/>
    <mergeCell ref="B18:H18"/>
    <mergeCell ref="B51:H51"/>
    <mergeCell ref="B52:H52"/>
    <mergeCell ref="B61:G61"/>
    <mergeCell ref="B48:G48"/>
    <mergeCell ref="B49:G49"/>
    <mergeCell ref="B19:H19"/>
    <mergeCell ref="B47:G47"/>
    <mergeCell ref="B50:H50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44"/>
  <sheetViews>
    <sheetView showGridLines="0" view="pageBreakPreview" topLeftCell="C3" zoomScaleNormal="100" zoomScaleSheetLayoutView="100" workbookViewId="0">
      <selection activeCell="E14" sqref="E14:E17"/>
    </sheetView>
  </sheetViews>
  <sheetFormatPr defaultRowHeight="12.75" x14ac:dyDescent="0.2"/>
  <cols>
    <col min="3" max="3" width="43.140625" customWidth="1"/>
    <col min="4" max="4" width="24" customWidth="1"/>
    <col min="5" max="5" width="27.140625" customWidth="1"/>
    <col min="6" max="6" width="29.42578125" customWidth="1"/>
    <col min="9" max="9" width="11.7109375" bestFit="1" customWidth="1"/>
  </cols>
  <sheetData>
    <row r="5" spans="2:9" ht="25.5" x14ac:dyDescent="0.5">
      <c r="B5" s="168" t="s">
        <v>186</v>
      </c>
      <c r="C5" s="168"/>
      <c r="D5" s="168"/>
      <c r="E5" s="168"/>
      <c r="F5" s="168"/>
    </row>
    <row r="6" spans="2:9" ht="15" customHeight="1" x14ac:dyDescent="0.2">
      <c r="B6" s="193" t="s">
        <v>187</v>
      </c>
      <c r="C6" s="194"/>
      <c r="D6" s="197" t="s">
        <v>188</v>
      </c>
      <c r="E6" s="199" t="s">
        <v>13</v>
      </c>
      <c r="F6" s="200"/>
    </row>
    <row r="7" spans="2:9" ht="16.5" x14ac:dyDescent="0.2">
      <c r="B7" s="195"/>
      <c r="C7" s="196"/>
      <c r="D7" s="198"/>
      <c r="E7" s="117" t="s">
        <v>189</v>
      </c>
      <c r="F7" s="117" t="s">
        <v>39</v>
      </c>
      <c r="I7" s="118"/>
    </row>
    <row r="8" spans="2:9" ht="16.5" x14ac:dyDescent="0.3">
      <c r="B8" s="192" t="s">
        <v>190</v>
      </c>
      <c r="C8" s="192"/>
      <c r="D8" s="119">
        <f>QTDE_POSTOS_LIDER</f>
        <v>1</v>
      </c>
      <c r="E8" s="120">
        <f>VALOR_TOTAL_POSTO_LIDER</f>
        <v>0</v>
      </c>
      <c r="F8" s="120">
        <f>E8*D8</f>
        <v>0</v>
      </c>
      <c r="I8" s="121"/>
    </row>
    <row r="9" spans="2:9" ht="17.25" customHeight="1" x14ac:dyDescent="0.3">
      <c r="B9" s="201" t="s">
        <v>191</v>
      </c>
      <c r="C9" s="202"/>
      <c r="D9" s="122">
        <f>QTDE_POSTOS_DIURNO</f>
        <v>5</v>
      </c>
      <c r="E9" s="123">
        <f>VALOR_TOTAL_POSTO_DIURNO</f>
        <v>0</v>
      </c>
      <c r="F9" s="123">
        <f>D9*E9</f>
        <v>0</v>
      </c>
      <c r="I9" s="121"/>
    </row>
    <row r="10" spans="2:9" ht="16.5" x14ac:dyDescent="0.3">
      <c r="B10" s="192" t="s">
        <v>192</v>
      </c>
      <c r="C10" s="192"/>
      <c r="D10" s="119">
        <f>QTDE_POSTOS_NOTURNO</f>
        <v>2</v>
      </c>
      <c r="E10" s="120">
        <f>VALOR_TOTAL_POSTO_NOTURNO</f>
        <v>0</v>
      </c>
      <c r="F10" s="120">
        <f>D10*E10</f>
        <v>0</v>
      </c>
      <c r="I10" s="121"/>
    </row>
    <row r="11" spans="2:9" ht="16.5" x14ac:dyDescent="0.3">
      <c r="B11" s="186" t="s">
        <v>193</v>
      </c>
      <c r="C11" s="187"/>
      <c r="D11" s="187"/>
      <c r="E11" s="188"/>
      <c r="F11" s="124">
        <f>SUM(F8:F10)</f>
        <v>0</v>
      </c>
    </row>
    <row r="12" spans="2:9" ht="15" customHeight="1" x14ac:dyDescent="0.2">
      <c r="B12" s="193" t="s">
        <v>194</v>
      </c>
      <c r="C12" s="194"/>
      <c r="D12" s="197" t="s">
        <v>195</v>
      </c>
      <c r="E12" s="199" t="s">
        <v>13</v>
      </c>
      <c r="F12" s="200"/>
    </row>
    <row r="13" spans="2:9" ht="16.5" x14ac:dyDescent="0.2">
      <c r="B13" s="195"/>
      <c r="C13" s="196"/>
      <c r="D13" s="198"/>
      <c r="E13" s="117" t="s">
        <v>189</v>
      </c>
      <c r="F13" s="117" t="s">
        <v>39</v>
      </c>
    </row>
    <row r="14" spans="2:9" ht="16.5" x14ac:dyDescent="0.3">
      <c r="B14" s="192" t="s">
        <v>196</v>
      </c>
      <c r="C14" s="192"/>
      <c r="D14" s="119">
        <f>SUM(D8:D10)*2</f>
        <v>16</v>
      </c>
      <c r="E14" s="120">
        <f>PLANO_SAUDE</f>
        <v>0</v>
      </c>
      <c r="F14" s="120">
        <f>D14*E14</f>
        <v>0</v>
      </c>
    </row>
    <row r="15" spans="2:9" ht="16.5" x14ac:dyDescent="0.3">
      <c r="B15" s="201" t="s">
        <v>197</v>
      </c>
      <c r="C15" s="202"/>
      <c r="D15" s="122">
        <f>D14</f>
        <v>16</v>
      </c>
      <c r="E15" s="120">
        <f>SEGURO_VIDA</f>
        <v>0</v>
      </c>
      <c r="F15" s="123">
        <f>D15*E15</f>
        <v>0</v>
      </c>
    </row>
    <row r="16" spans="2:9" ht="16.5" x14ac:dyDescent="0.3">
      <c r="B16" s="192" t="s">
        <v>198</v>
      </c>
      <c r="C16" s="192"/>
      <c r="D16" s="119">
        <f>D15</f>
        <v>16</v>
      </c>
      <c r="E16" s="120">
        <f>ODONTO</f>
        <v>0</v>
      </c>
      <c r="F16" s="120">
        <f>D16*E16</f>
        <v>0</v>
      </c>
    </row>
    <row r="17" spans="2:6" ht="16.5" x14ac:dyDescent="0.3">
      <c r="B17" s="201" t="s">
        <v>199</v>
      </c>
      <c r="C17" s="202"/>
      <c r="D17" s="122">
        <f>D16</f>
        <v>16</v>
      </c>
      <c r="E17" s="120">
        <f>AUX_CULTURA</f>
        <v>0</v>
      </c>
      <c r="F17" s="123">
        <f>D17*E17</f>
        <v>0</v>
      </c>
    </row>
    <row r="18" spans="2:6" ht="16.5" x14ac:dyDescent="0.3">
      <c r="B18" s="186" t="s">
        <v>200</v>
      </c>
      <c r="C18" s="187"/>
      <c r="D18" s="187"/>
      <c r="E18" s="188"/>
      <c r="F18" s="124">
        <f>SUM(F14:F17)</f>
        <v>0</v>
      </c>
    </row>
    <row r="19" spans="2:6" ht="16.5" x14ac:dyDescent="0.3">
      <c r="B19" s="186" t="s">
        <v>201</v>
      </c>
      <c r="C19" s="187"/>
      <c r="D19" s="187"/>
      <c r="E19" s="188"/>
      <c r="F19" s="124">
        <f>12*(F11+F18)</f>
        <v>0</v>
      </c>
    </row>
    <row r="20" spans="2:6" ht="16.5" x14ac:dyDescent="0.3">
      <c r="B20" s="186" t="s">
        <v>202</v>
      </c>
      <c r="C20" s="187"/>
      <c r="D20" s="187"/>
      <c r="E20" s="188"/>
      <c r="F20" s="124">
        <f>5%*F19</f>
        <v>0</v>
      </c>
    </row>
    <row r="32" spans="2:6" x14ac:dyDescent="0.2">
      <c r="E32">
        <v>0</v>
      </c>
    </row>
    <row r="33" spans="5:5" x14ac:dyDescent="0.2">
      <c r="E33">
        <v>0</v>
      </c>
    </row>
    <row r="34" spans="5:5" x14ac:dyDescent="0.2">
      <c r="E34">
        <v>0</v>
      </c>
    </row>
    <row r="35" spans="5:5" x14ac:dyDescent="0.2">
      <c r="E35">
        <v>0</v>
      </c>
    </row>
    <row r="36" spans="5:5" x14ac:dyDescent="0.2">
      <c r="E36">
        <v>0</v>
      </c>
    </row>
    <row r="43" spans="5:5" x14ac:dyDescent="0.2">
      <c r="E43">
        <v>0</v>
      </c>
    </row>
    <row r="44" spans="5:5" x14ac:dyDescent="0.2">
      <c r="E44">
        <v>0</v>
      </c>
    </row>
  </sheetData>
  <mergeCells count="18">
    <mergeCell ref="B9:C9"/>
    <mergeCell ref="B5:F5"/>
    <mergeCell ref="B6:C7"/>
    <mergeCell ref="D6:D7"/>
    <mergeCell ref="E6:F6"/>
    <mergeCell ref="B8:C8"/>
    <mergeCell ref="B20:E20"/>
    <mergeCell ref="B10:C10"/>
    <mergeCell ref="B11:E11"/>
    <mergeCell ref="B12:C13"/>
    <mergeCell ref="D12:D13"/>
    <mergeCell ref="E12:F12"/>
    <mergeCell ref="B14:C14"/>
    <mergeCell ref="B15:C15"/>
    <mergeCell ref="B16:C16"/>
    <mergeCell ref="B17:C17"/>
    <mergeCell ref="B18:E18"/>
    <mergeCell ref="B19:E19"/>
  </mergeCells>
  <pageMargins left="0.511811024" right="0.511811024" top="0.78740157499999996" bottom="0.78740157499999996" header="0.31496062000000002" footer="0.31496062000000002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11" sqref="G11"/>
    </sheetView>
  </sheetViews>
  <sheetFormatPr defaultRowHeight="16.5" x14ac:dyDescent="0.3"/>
  <cols>
    <col min="1" max="1" width="2.7109375" style="7" customWidth="1"/>
    <col min="2" max="2" width="8.85546875" style="7" customWidth="1"/>
    <col min="3" max="3" width="52.5703125" style="13" customWidth="1"/>
    <col min="4" max="4" width="9.5703125" style="13" customWidth="1"/>
    <col min="5" max="5" width="13.5703125" style="13" customWidth="1"/>
    <col min="6" max="6" width="15.42578125" style="13" bestFit="1" customWidth="1"/>
    <col min="7" max="7" width="20.140625" style="7" customWidth="1"/>
    <col min="8" max="16384" width="9.140625" style="7"/>
  </cols>
  <sheetData>
    <row r="1" spans="1:7" s="79" customFormat="1" ht="25.5" x14ac:dyDescent="0.5">
      <c r="B1" s="99" t="s">
        <v>149</v>
      </c>
      <c r="C1" s="7"/>
      <c r="D1" s="7"/>
      <c r="E1" s="7"/>
      <c r="F1" s="7"/>
    </row>
    <row r="2" spans="1:7" x14ac:dyDescent="0.3">
      <c r="B2" s="45" t="s">
        <v>8</v>
      </c>
      <c r="E2" s="8"/>
      <c r="F2" s="8"/>
    </row>
    <row r="3" spans="1:7" ht="33" x14ac:dyDescent="0.3">
      <c r="B3" s="1">
        <v>1</v>
      </c>
      <c r="C3" s="161" t="s">
        <v>9</v>
      </c>
      <c r="D3" s="161"/>
      <c r="E3" s="161"/>
      <c r="F3" s="3" t="s">
        <v>169</v>
      </c>
    </row>
    <row r="4" spans="1:7" x14ac:dyDescent="0.3">
      <c r="B4" s="1" t="s">
        <v>6</v>
      </c>
      <c r="C4" s="146" t="s">
        <v>112</v>
      </c>
      <c r="D4" s="203"/>
      <c r="E4" s="147"/>
      <c r="F4" s="63">
        <v>220</v>
      </c>
    </row>
    <row r="5" spans="1:7" x14ac:dyDescent="0.3">
      <c r="B5" s="1" t="s">
        <v>7</v>
      </c>
      <c r="C5" s="204" t="s">
        <v>106</v>
      </c>
      <c r="D5" s="204"/>
      <c r="E5" s="204"/>
      <c r="F5" s="61">
        <v>7</v>
      </c>
    </row>
    <row r="6" spans="1:7" x14ac:dyDescent="0.3">
      <c r="B6" s="1" t="s">
        <v>10</v>
      </c>
      <c r="C6" s="146" t="s">
        <v>105</v>
      </c>
      <c r="D6" s="203"/>
      <c r="E6" s="147"/>
      <c r="F6" s="63">
        <v>365</v>
      </c>
    </row>
    <row r="7" spans="1:7" x14ac:dyDescent="0.3">
      <c r="B7" s="1" t="s">
        <v>12</v>
      </c>
      <c r="C7" s="204" t="s">
        <v>131</v>
      </c>
      <c r="D7" s="204"/>
      <c r="E7" s="204"/>
      <c r="F7" s="62">
        <f>(36/12)*4.345</f>
        <v>13</v>
      </c>
      <c r="G7" s="7" t="s">
        <v>276</v>
      </c>
    </row>
    <row r="8" spans="1:7" x14ac:dyDescent="0.3">
      <c r="B8" s="1" t="s">
        <v>111</v>
      </c>
      <c r="C8" s="146" t="s">
        <v>113</v>
      </c>
      <c r="D8" s="203"/>
      <c r="E8" s="147"/>
      <c r="F8" s="63">
        <v>12</v>
      </c>
    </row>
    <row r="9" spans="1:7" x14ac:dyDescent="0.3">
      <c r="B9" s="1" t="s">
        <v>118</v>
      </c>
      <c r="C9" s="204" t="s">
        <v>107</v>
      </c>
      <c r="D9" s="204"/>
      <c r="E9" s="204"/>
      <c r="F9" s="61">
        <v>60</v>
      </c>
    </row>
    <row r="10" spans="1:7" s="11" customFormat="1" x14ac:dyDescent="0.3">
      <c r="A10" s="7"/>
      <c r="B10" s="1" t="s">
        <v>119</v>
      </c>
      <c r="C10" s="146" t="s">
        <v>108</v>
      </c>
      <c r="D10" s="203"/>
      <c r="E10" s="147"/>
      <c r="F10" s="64">
        <v>52.5</v>
      </c>
    </row>
    <row r="11" spans="1:7" s="89" customFormat="1" x14ac:dyDescent="0.3"/>
    <row r="12" spans="1:7" s="89" customFormat="1" x14ac:dyDescent="0.3">
      <c r="A12" s="7"/>
      <c r="B12" s="45" t="s">
        <v>60</v>
      </c>
      <c r="C12" s="80"/>
      <c r="D12" s="80"/>
      <c r="E12" s="80"/>
      <c r="F12" s="80"/>
    </row>
    <row r="13" spans="1:7" s="89" customFormat="1" ht="15" customHeight="1" x14ac:dyDescent="0.3">
      <c r="A13" s="7"/>
      <c r="B13" s="1" t="s">
        <v>80</v>
      </c>
      <c r="C13" s="209" t="s">
        <v>14</v>
      </c>
      <c r="D13" s="210"/>
      <c r="E13" s="3" t="s">
        <v>31</v>
      </c>
      <c r="F13" s="3" t="s">
        <v>1</v>
      </c>
    </row>
    <row r="14" spans="1:7" s="89" customFormat="1" x14ac:dyDescent="0.3">
      <c r="B14" s="73" t="s">
        <v>4</v>
      </c>
      <c r="C14" s="157" t="s">
        <v>132</v>
      </c>
      <c r="D14" s="157"/>
      <c r="E14" s="76" t="s">
        <v>130</v>
      </c>
      <c r="F14" s="66">
        <v>6</v>
      </c>
    </row>
    <row r="15" spans="1:7" s="89" customFormat="1" x14ac:dyDescent="0.3"/>
    <row r="16" spans="1:7" s="79" customFormat="1" x14ac:dyDescent="0.3">
      <c r="A16" s="89"/>
      <c r="B16" s="45" t="s">
        <v>61</v>
      </c>
      <c r="C16" s="6"/>
      <c r="D16" s="16"/>
      <c r="E16" s="14"/>
      <c r="F16" s="14"/>
    </row>
    <row r="17" spans="1:6" s="79" customFormat="1" x14ac:dyDescent="0.3">
      <c r="A17" s="89"/>
      <c r="B17" s="1">
        <v>3</v>
      </c>
      <c r="C17" s="150" t="s">
        <v>41</v>
      </c>
      <c r="D17" s="205"/>
      <c r="E17" s="151"/>
      <c r="F17" s="3" t="s">
        <v>170</v>
      </c>
    </row>
    <row r="18" spans="1:6" s="79" customFormat="1" x14ac:dyDescent="0.3">
      <c r="A18" s="89"/>
      <c r="B18" s="1" t="s">
        <v>2</v>
      </c>
      <c r="C18" s="146" t="s">
        <v>126</v>
      </c>
      <c r="D18" s="203"/>
      <c r="E18" s="147"/>
      <c r="F18" s="49">
        <v>62.93</v>
      </c>
    </row>
    <row r="19" spans="1:6" x14ac:dyDescent="0.3">
      <c r="A19" s="89"/>
      <c r="B19" s="2" t="s">
        <v>3</v>
      </c>
      <c r="C19" s="206" t="s">
        <v>115</v>
      </c>
      <c r="D19" s="207"/>
      <c r="E19" s="208"/>
      <c r="F19" s="31">
        <v>5.55</v>
      </c>
    </row>
    <row r="20" spans="1:6" s="79" customFormat="1" ht="15.95" customHeight="1" x14ac:dyDescent="0.15">
      <c r="B20" s="2" t="s">
        <v>4</v>
      </c>
      <c r="C20" s="146" t="s">
        <v>116</v>
      </c>
      <c r="D20" s="203"/>
      <c r="E20" s="147"/>
      <c r="F20" s="65">
        <v>40</v>
      </c>
    </row>
    <row r="21" spans="1:6" ht="16.5" customHeight="1" x14ac:dyDescent="0.3">
      <c r="A21" s="89"/>
      <c r="B21" s="2" t="s">
        <v>5</v>
      </c>
      <c r="C21" s="206" t="s">
        <v>117</v>
      </c>
      <c r="D21" s="207"/>
      <c r="E21" s="208"/>
      <c r="F21" s="66">
        <v>94.45</v>
      </c>
    </row>
    <row r="22" spans="1:6" x14ac:dyDescent="0.3">
      <c r="A22" s="89"/>
      <c r="B22" s="2" t="s">
        <v>6</v>
      </c>
      <c r="C22" s="146" t="s">
        <v>128</v>
      </c>
      <c r="D22" s="203"/>
      <c r="E22" s="147"/>
      <c r="F22" s="65">
        <v>30</v>
      </c>
    </row>
    <row r="23" spans="1:6" s="89" customFormat="1" x14ac:dyDescent="0.3"/>
    <row r="24" spans="1:6" s="79" customFormat="1" x14ac:dyDescent="0.3">
      <c r="B24" s="45" t="s">
        <v>62</v>
      </c>
      <c r="C24" s="6"/>
      <c r="D24" s="16"/>
      <c r="E24" s="7"/>
      <c r="F24" s="7"/>
    </row>
    <row r="25" spans="1:6" s="79" customFormat="1" ht="15" customHeight="1" x14ac:dyDescent="0.3">
      <c r="B25" s="45" t="s">
        <v>91</v>
      </c>
      <c r="C25" s="6"/>
      <c r="D25" s="16"/>
      <c r="E25" s="14"/>
      <c r="F25" s="14"/>
    </row>
    <row r="26" spans="1:6" s="79" customFormat="1" x14ac:dyDescent="0.15">
      <c r="B26" s="1" t="s">
        <v>18</v>
      </c>
      <c r="C26" s="152" t="s">
        <v>92</v>
      </c>
      <c r="D26" s="211"/>
      <c r="E26" s="153"/>
      <c r="F26" s="3" t="s">
        <v>170</v>
      </c>
    </row>
    <row r="27" spans="1:6" s="79" customFormat="1" x14ac:dyDescent="0.15">
      <c r="B27" s="1" t="s">
        <v>2</v>
      </c>
      <c r="C27" s="146" t="s">
        <v>120</v>
      </c>
      <c r="D27" s="203"/>
      <c r="E27" s="147"/>
      <c r="F27" s="65">
        <v>8</v>
      </c>
    </row>
    <row r="28" spans="1:6" x14ac:dyDescent="0.3">
      <c r="A28" s="79"/>
      <c r="B28" s="2" t="s">
        <v>3</v>
      </c>
      <c r="C28" s="164" t="s">
        <v>121</v>
      </c>
      <c r="D28" s="212"/>
      <c r="E28" s="165"/>
      <c r="F28" s="66">
        <v>20</v>
      </c>
    </row>
    <row r="29" spans="1:6" x14ac:dyDescent="0.3">
      <c r="A29" s="79"/>
      <c r="B29" s="2" t="s">
        <v>4</v>
      </c>
      <c r="C29" s="146" t="s">
        <v>122</v>
      </c>
      <c r="D29" s="203"/>
      <c r="E29" s="147"/>
      <c r="F29" s="49">
        <v>1.42</v>
      </c>
    </row>
    <row r="30" spans="1:6" x14ac:dyDescent="0.3">
      <c r="A30" s="79"/>
      <c r="B30" s="2" t="s">
        <v>5</v>
      </c>
      <c r="C30" s="164" t="s">
        <v>159</v>
      </c>
      <c r="D30" s="212"/>
      <c r="E30" s="165"/>
      <c r="F30" s="31">
        <v>45.22</v>
      </c>
    </row>
    <row r="31" spans="1:6" s="79" customFormat="1" ht="15.95" customHeight="1" x14ac:dyDescent="0.3">
      <c r="A31" s="7"/>
      <c r="B31" s="2" t="s">
        <v>6</v>
      </c>
      <c r="C31" s="146" t="s">
        <v>124</v>
      </c>
      <c r="D31" s="203"/>
      <c r="E31" s="147"/>
      <c r="F31" s="49">
        <f>(154800/34808000)*100</f>
        <v>0.44</v>
      </c>
    </row>
    <row r="32" spans="1:6" ht="15.75" customHeight="1" x14ac:dyDescent="0.3">
      <c r="A32" s="79"/>
      <c r="B32" s="2" t="s">
        <v>7</v>
      </c>
      <c r="C32" s="164" t="s">
        <v>129</v>
      </c>
      <c r="D32" s="212"/>
      <c r="E32" s="165"/>
      <c r="F32" s="66">
        <v>15</v>
      </c>
    </row>
    <row r="33" spans="1:6" ht="15.75" customHeight="1" x14ac:dyDescent="0.3">
      <c r="A33" s="79"/>
      <c r="B33" s="2" t="s">
        <v>10</v>
      </c>
      <c r="C33" s="146" t="s">
        <v>125</v>
      </c>
      <c r="D33" s="203"/>
      <c r="E33" s="147"/>
      <c r="F33" s="65">
        <v>180</v>
      </c>
    </row>
    <row r="34" spans="1:6" x14ac:dyDescent="0.3">
      <c r="A34" s="79"/>
      <c r="B34" s="2" t="s">
        <v>11</v>
      </c>
      <c r="C34" s="164" t="s">
        <v>160</v>
      </c>
      <c r="D34" s="212"/>
      <c r="E34" s="165"/>
      <c r="F34" s="31">
        <v>54.78</v>
      </c>
    </row>
    <row r="35" spans="1:6" s="89" customFormat="1" ht="8.25" customHeight="1" x14ac:dyDescent="0.3"/>
    <row r="36" spans="1:6" x14ac:dyDescent="0.3">
      <c r="B36" s="45" t="s">
        <v>63</v>
      </c>
      <c r="C36" s="6"/>
      <c r="D36" s="16"/>
      <c r="E36" s="14"/>
      <c r="F36" s="14"/>
    </row>
    <row r="37" spans="1:6" x14ac:dyDescent="0.3">
      <c r="B37" s="1" t="s">
        <v>19</v>
      </c>
      <c r="C37" s="175" t="s">
        <v>64</v>
      </c>
      <c r="D37" s="175"/>
      <c r="E37" s="175"/>
      <c r="F37" s="3" t="s">
        <v>171</v>
      </c>
    </row>
    <row r="38" spans="1:6" x14ac:dyDescent="0.3">
      <c r="B38" s="1" t="s">
        <v>2</v>
      </c>
      <c r="C38" s="166" t="s">
        <v>114</v>
      </c>
      <c r="D38" s="166"/>
      <c r="E38" s="166"/>
      <c r="F38" s="63">
        <f>PERC_HORA_EXTRA</f>
        <v>0</v>
      </c>
    </row>
    <row r="39" spans="1:6" ht="15" customHeight="1" x14ac:dyDescent="0.3">
      <c r="B39" s="1" t="s">
        <v>3</v>
      </c>
      <c r="C39" s="164" t="s">
        <v>123</v>
      </c>
      <c r="D39" s="212"/>
      <c r="E39" s="165"/>
      <c r="F39" s="61">
        <f>TEMPO_INTERVALO_REFEICAO</f>
        <v>0</v>
      </c>
    </row>
    <row r="40" spans="1:6" s="89" customFormat="1" x14ac:dyDescent="0.3"/>
    <row r="41" spans="1:6" ht="20.25" x14ac:dyDescent="0.3">
      <c r="B41" s="28" t="s">
        <v>141</v>
      </c>
      <c r="C41" s="29"/>
      <c r="D41" s="29"/>
      <c r="E41" s="29"/>
      <c r="F41" s="30"/>
    </row>
    <row r="42" spans="1:6" ht="33.75" customHeight="1" x14ac:dyDescent="0.3">
      <c r="B42" s="167" t="s">
        <v>164</v>
      </c>
      <c r="C42" s="167"/>
      <c r="D42" s="167"/>
      <c r="E42" s="167"/>
      <c r="F42" s="167"/>
    </row>
  </sheetData>
  <mergeCells count="29">
    <mergeCell ref="B42:F42"/>
    <mergeCell ref="C34:E34"/>
    <mergeCell ref="C37:E37"/>
    <mergeCell ref="C38:E38"/>
    <mergeCell ref="C39:E39"/>
    <mergeCell ref="C33:E33"/>
    <mergeCell ref="C20:E20"/>
    <mergeCell ref="C21:E21"/>
    <mergeCell ref="C22:E22"/>
    <mergeCell ref="C26:E26"/>
    <mergeCell ref="C27:E27"/>
    <mergeCell ref="C28:E28"/>
    <mergeCell ref="C29:E29"/>
    <mergeCell ref="C30:E30"/>
    <mergeCell ref="C31:E31"/>
    <mergeCell ref="C32:E32"/>
    <mergeCell ref="C17:E17"/>
    <mergeCell ref="C18:E18"/>
    <mergeCell ref="C19:E19"/>
    <mergeCell ref="C13:D13"/>
    <mergeCell ref="C14:D14"/>
    <mergeCell ref="C10:E10"/>
    <mergeCell ref="C3:E3"/>
    <mergeCell ref="C4:E4"/>
    <mergeCell ref="C5:E5"/>
    <mergeCell ref="C6:E6"/>
    <mergeCell ref="C7:E7"/>
    <mergeCell ref="C8:E8"/>
    <mergeCell ref="C9:E9"/>
  </mergeCells>
  <dataValidations count="1">
    <dataValidation allowBlank="1" showInputMessage="1" showErrorMessage="1" promptTitle="Intervalo Intrajornada" prompt="Segundo estudos da Audin-MPU, esse item não é usual nas planilhas do MPU. Verifique se realmente há necessidade de incluí-lo." sqref="F38:F39"/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opLeftCell="A3" workbookViewId="0">
      <selection activeCell="E11" sqref="E11"/>
    </sheetView>
  </sheetViews>
  <sheetFormatPr defaultRowHeight="16.5" x14ac:dyDescent="0.3"/>
  <cols>
    <col min="1" max="1" width="2.7109375" style="7" customWidth="1"/>
    <col min="2" max="2" width="8.85546875" style="7" customWidth="1"/>
    <col min="3" max="3" width="52.5703125" style="13" customWidth="1"/>
    <col min="4" max="4" width="22" style="13" customWidth="1"/>
    <col min="5" max="5" width="13.5703125" style="13" customWidth="1"/>
    <col min="6" max="6" width="43.85546875" style="7" customWidth="1"/>
    <col min="7" max="7" width="51.7109375" style="7" customWidth="1"/>
    <col min="8" max="16384" width="9.140625" style="7"/>
  </cols>
  <sheetData>
    <row r="1" spans="2:7" s="79" customFormat="1" ht="25.5" x14ac:dyDescent="0.5">
      <c r="B1" s="99" t="s">
        <v>150</v>
      </c>
      <c r="C1" s="7"/>
      <c r="D1" s="7"/>
      <c r="E1" s="7"/>
      <c r="F1" s="7"/>
      <c r="G1" s="7"/>
    </row>
    <row r="2" spans="2:7" x14ac:dyDescent="0.3">
      <c r="B2" s="45" t="s">
        <v>55</v>
      </c>
      <c r="E2" s="15"/>
    </row>
    <row r="3" spans="2:7" x14ac:dyDescent="0.3">
      <c r="B3" s="45" t="s">
        <v>99</v>
      </c>
      <c r="C3" s="6"/>
      <c r="D3" s="16"/>
      <c r="E3" s="14"/>
    </row>
    <row r="4" spans="2:7" x14ac:dyDescent="0.3">
      <c r="B4" s="1" t="s">
        <v>56</v>
      </c>
      <c r="C4" s="175" t="s">
        <v>82</v>
      </c>
      <c r="D4" s="175"/>
      <c r="E4" s="3" t="s">
        <v>1</v>
      </c>
      <c r="F4" s="3" t="s">
        <v>151</v>
      </c>
    </row>
    <row r="5" spans="2:7" x14ac:dyDescent="0.3">
      <c r="B5" s="1" t="s">
        <v>2</v>
      </c>
      <c r="C5" s="215" t="s">
        <v>40</v>
      </c>
      <c r="D5" s="215"/>
      <c r="E5" s="50">
        <f>(1/MESES_NO_ANO)*100</f>
        <v>8.33</v>
      </c>
      <c r="F5" s="50" t="s">
        <v>152</v>
      </c>
    </row>
    <row r="6" spans="2:7" s="11" customFormat="1" x14ac:dyDescent="0.3">
      <c r="B6" s="2" t="s">
        <v>3</v>
      </c>
      <c r="C6" s="216" t="s">
        <v>84</v>
      </c>
      <c r="D6" s="216"/>
      <c r="E6" s="33">
        <f>(1/3)/MESES_NO_ANO*100</f>
        <v>2.78</v>
      </c>
      <c r="F6" s="33" t="s">
        <v>153</v>
      </c>
    </row>
    <row r="7" spans="2:7" s="89" customFormat="1" x14ac:dyDescent="0.3">
      <c r="B7" s="217" t="s">
        <v>57</v>
      </c>
      <c r="C7" s="217"/>
      <c r="D7" s="217"/>
      <c r="E7" s="217"/>
      <c r="F7" s="217"/>
    </row>
    <row r="8" spans="2:7" s="89" customFormat="1" ht="34.5" customHeight="1" x14ac:dyDescent="0.3">
      <c r="B8" s="1" t="s">
        <v>58</v>
      </c>
      <c r="C8" s="218" t="s">
        <v>85</v>
      </c>
      <c r="D8" s="218"/>
      <c r="E8" s="3" t="s">
        <v>1</v>
      </c>
    </row>
    <row r="9" spans="2:7" x14ac:dyDescent="0.3">
      <c r="B9" s="1" t="s">
        <v>2</v>
      </c>
      <c r="C9" s="215" t="s">
        <v>34</v>
      </c>
      <c r="D9" s="215"/>
      <c r="E9" s="50">
        <v>20</v>
      </c>
    </row>
    <row r="10" spans="2:7" s="79" customFormat="1" x14ac:dyDescent="0.15">
      <c r="B10" s="2" t="s">
        <v>3</v>
      </c>
      <c r="C10" s="216" t="s">
        <v>36</v>
      </c>
      <c r="D10" s="216"/>
      <c r="E10" s="40">
        <v>2.5</v>
      </c>
    </row>
    <row r="11" spans="2:7" s="79" customFormat="1" x14ac:dyDescent="0.15">
      <c r="B11" s="2" t="s">
        <v>4</v>
      </c>
      <c r="C11" s="215" t="s">
        <v>79</v>
      </c>
      <c r="D11" s="215"/>
      <c r="E11" s="145">
        <v>3</v>
      </c>
    </row>
    <row r="12" spans="2:7" s="79" customFormat="1" x14ac:dyDescent="0.15">
      <c r="B12" s="2" t="s">
        <v>5</v>
      </c>
      <c r="C12" s="216" t="s">
        <v>77</v>
      </c>
      <c r="D12" s="216"/>
      <c r="E12" s="33">
        <v>1.5</v>
      </c>
    </row>
    <row r="13" spans="2:7" s="79" customFormat="1" x14ac:dyDescent="0.15">
      <c r="B13" s="2" t="s">
        <v>6</v>
      </c>
      <c r="C13" s="215" t="s">
        <v>78</v>
      </c>
      <c r="D13" s="215"/>
      <c r="E13" s="50">
        <v>1</v>
      </c>
    </row>
    <row r="14" spans="2:7" s="80" customFormat="1" x14ac:dyDescent="0.15">
      <c r="B14" s="2" t="s">
        <v>7</v>
      </c>
      <c r="C14" s="216" t="s">
        <v>38</v>
      </c>
      <c r="D14" s="216"/>
      <c r="E14" s="40">
        <v>0.6</v>
      </c>
    </row>
    <row r="15" spans="2:7" s="80" customFormat="1" x14ac:dyDescent="0.15">
      <c r="B15" s="2" t="s">
        <v>10</v>
      </c>
      <c r="C15" s="215" t="s">
        <v>35</v>
      </c>
      <c r="D15" s="215"/>
      <c r="E15" s="50">
        <v>0.2</v>
      </c>
    </row>
    <row r="16" spans="2:7" x14ac:dyDescent="0.3">
      <c r="B16" s="2" t="s">
        <v>11</v>
      </c>
      <c r="C16" s="216" t="s">
        <v>37</v>
      </c>
      <c r="D16" s="216"/>
      <c r="E16" s="40">
        <v>8</v>
      </c>
    </row>
    <row r="17" spans="2:6" x14ac:dyDescent="0.3">
      <c r="B17" s="175" t="s">
        <v>39</v>
      </c>
      <c r="C17" s="175"/>
      <c r="D17" s="175"/>
      <c r="E17" s="34">
        <f>SUM(E9:E16)</f>
        <v>36.799999999999997</v>
      </c>
    </row>
    <row r="18" spans="2:6" s="89" customFormat="1" x14ac:dyDescent="0.3">
      <c r="B18" s="45" t="s">
        <v>61</v>
      </c>
      <c r="C18" s="6"/>
      <c r="D18" s="16"/>
      <c r="E18" s="14"/>
    </row>
    <row r="19" spans="2:6" s="89" customFormat="1" ht="15" customHeight="1" x14ac:dyDescent="0.3">
      <c r="B19" s="1">
        <v>3</v>
      </c>
      <c r="C19" s="175" t="s">
        <v>41</v>
      </c>
      <c r="D19" s="175"/>
      <c r="E19" s="3" t="s">
        <v>1</v>
      </c>
      <c r="F19" s="3" t="s">
        <v>151</v>
      </c>
    </row>
    <row r="20" spans="2:6" s="89" customFormat="1" x14ac:dyDescent="0.3">
      <c r="B20" s="1" t="s">
        <v>2</v>
      </c>
      <c r="C20" s="213" t="s">
        <v>42</v>
      </c>
      <c r="D20" s="213"/>
      <c r="E20" s="50">
        <f>PERC_EMPREG_DEMIT_SEM_JUSTA_CAUSA_TOTAL_DESLIG%*PERC_EMPREG_AVISO_PREVIO_IND%*1/MESES_NO_ANO*100</f>
        <v>0.28999999999999998</v>
      </c>
      <c r="F20" s="50" t="s">
        <v>154</v>
      </c>
    </row>
    <row r="21" spans="2:6" s="89" customFormat="1" x14ac:dyDescent="0.3">
      <c r="B21" s="2" t="s">
        <v>3</v>
      </c>
      <c r="C21" s="219" t="s">
        <v>43</v>
      </c>
      <c r="D21" s="219"/>
      <c r="E21" s="40">
        <f>PERC_EMPREG_DEMIT_SEM_JUSTA_CAUSA_TOTAL_DESLIG%*PERC_EMPREG_AVISO_PREVIO_TRAB%*(DIAS_NA_SEMANA/DIAS_NO_MES)/MESES_NO_ANO*100</f>
        <v>1.1599999999999999</v>
      </c>
      <c r="F21" s="33" t="s">
        <v>158</v>
      </c>
    </row>
    <row r="22" spans="2:6" s="79" customFormat="1" ht="16.5" customHeight="1" x14ac:dyDescent="0.15">
      <c r="B22" s="2" t="s">
        <v>4</v>
      </c>
      <c r="C22" s="213" t="s">
        <v>173</v>
      </c>
      <c r="D22" s="213"/>
      <c r="E22" s="50">
        <f>ROUNDUP(PERC_AVISO_PREVIO_TRAB%*(PERC_MULTA_FGTS%)*PERC_FGTS%*100,2)</f>
        <v>0.04</v>
      </c>
      <c r="F22" s="50" t="s">
        <v>172</v>
      </c>
    </row>
    <row r="23" spans="2:6" s="79" customFormat="1" ht="15.95" customHeight="1" x14ac:dyDescent="0.3">
      <c r="B23" s="45" t="s">
        <v>62</v>
      </c>
      <c r="C23" s="6"/>
      <c r="D23" s="16"/>
      <c r="E23" s="7"/>
    </row>
    <row r="24" spans="2:6" s="79" customFormat="1" ht="15.95" customHeight="1" x14ac:dyDescent="0.3">
      <c r="B24" s="45" t="s">
        <v>91</v>
      </c>
      <c r="C24" s="6"/>
      <c r="D24" s="16"/>
      <c r="E24" s="14"/>
    </row>
    <row r="25" spans="2:6" s="79" customFormat="1" x14ac:dyDescent="0.15">
      <c r="B25" s="1" t="s">
        <v>18</v>
      </c>
      <c r="C25" s="214" t="s">
        <v>92</v>
      </c>
      <c r="D25" s="214"/>
      <c r="E25" s="3" t="s">
        <v>1</v>
      </c>
      <c r="F25" s="3" t="s">
        <v>151</v>
      </c>
    </row>
    <row r="26" spans="2:6" s="79" customFormat="1" ht="15.95" customHeight="1" x14ac:dyDescent="0.15">
      <c r="B26" s="2" t="s">
        <v>2</v>
      </c>
      <c r="C26" s="215" t="s">
        <v>93</v>
      </c>
      <c r="D26" s="215"/>
      <c r="E26" s="50">
        <f>(1/MESES_NO_ANO)*100</f>
        <v>8.33</v>
      </c>
      <c r="F26" s="50" t="s">
        <v>155</v>
      </c>
    </row>
    <row r="27" spans="2:6" s="79" customFormat="1" ht="15.95" customHeight="1" x14ac:dyDescent="0.15">
      <c r="B27" s="2" t="s">
        <v>3</v>
      </c>
      <c r="C27" s="75" t="s">
        <v>94</v>
      </c>
      <c r="D27" s="75"/>
      <c r="E27" s="40">
        <f>(DIAS_AUSENCIAS_LEGAIS/DIAS_NO_MES)/MESES_NO_ANO*100</f>
        <v>2.2200000000000002</v>
      </c>
      <c r="F27" s="33" t="s">
        <v>156</v>
      </c>
    </row>
    <row r="28" spans="2:6" s="79" customFormat="1" ht="15.95" customHeight="1" x14ac:dyDescent="0.15">
      <c r="B28" s="2" t="s">
        <v>4</v>
      </c>
      <c r="C28" s="215" t="s">
        <v>95</v>
      </c>
      <c r="D28" s="215"/>
      <c r="E28" s="50">
        <f>(((DIAS_LICENCA_PATERNIDADE/DIAS_NO_MES)/MESES_NO_ANO)*PERC_NASCIDOS_VIVOS_POPUL_FEM%*PERC_PARTIC_MASC_VIGIL%)*100</f>
        <v>0.04</v>
      </c>
      <c r="F28" s="50" t="s">
        <v>161</v>
      </c>
    </row>
    <row r="29" spans="2:6" s="79" customFormat="1" x14ac:dyDescent="0.15">
      <c r="B29" s="2" t="s">
        <v>5</v>
      </c>
      <c r="C29" s="216" t="s">
        <v>96</v>
      </c>
      <c r="D29" s="216"/>
      <c r="E29" s="40">
        <f>(DIAS_PAGOS_EMPRESA_ACID_TRAB/DIAS_NO_MES)/MESES_NO_ANO*PERC_EMPREG_AFAST_TRAB%*100</f>
        <v>0.02</v>
      </c>
      <c r="F29" s="33" t="s">
        <v>157</v>
      </c>
    </row>
    <row r="30" spans="2:6" s="79" customFormat="1" ht="33" x14ac:dyDescent="0.15">
      <c r="B30" s="2" t="s">
        <v>6</v>
      </c>
      <c r="C30" s="215" t="s">
        <v>97</v>
      </c>
      <c r="D30" s="215"/>
      <c r="E30" s="50">
        <f>(((DIAS_LICENCA_MATERNIDADE/DIAS_NO_MES)/MESES_NO_ANO)*PERC_NASCIDOS_VIVOS_POPUL_FEM%*PERC_PARTIC_FEM_VIGIL%*PERC_GPS_FGTS%*100)</f>
        <v>0.14000000000000001</v>
      </c>
      <c r="F30" s="50" t="s">
        <v>162</v>
      </c>
    </row>
    <row r="31" spans="2:6" s="79" customFormat="1" x14ac:dyDescent="0.15">
      <c r="B31" s="2" t="s">
        <v>7</v>
      </c>
      <c r="C31" s="216" t="str">
        <f>OUTRAS_AUSENCIAS_DESCRICAO</f>
        <v>Outras Ausências (Especificar - em %)</v>
      </c>
      <c r="D31" s="216"/>
      <c r="E31" s="40">
        <f>PERC_SUBSTITUTO_OUTRAS_AUSENCIAS</f>
        <v>0</v>
      </c>
      <c r="F31" s="33"/>
    </row>
    <row r="33" spans="2:7" ht="20.25" x14ac:dyDescent="0.3">
      <c r="B33" s="28" t="s">
        <v>141</v>
      </c>
    </row>
    <row r="34" spans="2:7" ht="42.75" customHeight="1" x14ac:dyDescent="0.3">
      <c r="B34" s="167" t="s">
        <v>164</v>
      </c>
      <c r="C34" s="167"/>
      <c r="D34" s="167"/>
      <c r="E34" s="167"/>
      <c r="G34" s="100"/>
    </row>
  </sheetData>
  <mergeCells count="25">
    <mergeCell ref="B34:E34"/>
    <mergeCell ref="C31:D31"/>
    <mergeCell ref="C8:D8"/>
    <mergeCell ref="C9:D9"/>
    <mergeCell ref="C12:D12"/>
    <mergeCell ref="C13:D13"/>
    <mergeCell ref="C14:D14"/>
    <mergeCell ref="C15:D15"/>
    <mergeCell ref="C19:D19"/>
    <mergeCell ref="C20:D20"/>
    <mergeCell ref="C21:D21"/>
    <mergeCell ref="C16:D16"/>
    <mergeCell ref="B17:D17"/>
    <mergeCell ref="C28:D28"/>
    <mergeCell ref="C29:D29"/>
    <mergeCell ref="C30:D30"/>
    <mergeCell ref="C22:D22"/>
    <mergeCell ref="C25:D25"/>
    <mergeCell ref="C26:D26"/>
    <mergeCell ref="C4:D4"/>
    <mergeCell ref="C5:D5"/>
    <mergeCell ref="C6:D6"/>
    <mergeCell ref="C10:D10"/>
    <mergeCell ref="C11:D11"/>
    <mergeCell ref="B7:F7"/>
  </mergeCells>
  <dataValidations count="2"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20">
      <formula1>0</formula1>
      <formula2>0.46</formula2>
    </dataValidation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21">
      <formula1>0</formula1>
      <formula2>1.94</formula2>
    </dataValidation>
  </dataValidations>
  <pageMargins left="0.18" right="0.17" top="0.1" bottom="0.03" header="0.14000000000000001" footer="0.04"/>
  <pageSetup paperSize="9" orientation="landscape" r:id="rId1"/>
  <ignoredErrors>
    <ignoredError sqref="E3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8"/>
  <sheetViews>
    <sheetView topLeftCell="C1" zoomScaleNormal="100" zoomScaleSheetLayoutView="100" workbookViewId="0">
      <selection activeCell="F12" sqref="F12"/>
    </sheetView>
  </sheetViews>
  <sheetFormatPr defaultRowHeight="16.5" x14ac:dyDescent="0.3"/>
  <cols>
    <col min="1" max="1" width="2.7109375" style="7" customWidth="1"/>
    <col min="2" max="2" width="8.85546875" style="7" customWidth="1"/>
    <col min="3" max="3" width="52.5703125" style="13" customWidth="1"/>
    <col min="4" max="4" width="7.85546875" style="13" customWidth="1"/>
    <col min="5" max="5" width="13.5703125" style="13" customWidth="1"/>
    <col min="6" max="6" width="15.42578125" style="13" bestFit="1" customWidth="1"/>
    <col min="7" max="16384" width="9.140625" style="7"/>
  </cols>
  <sheetData>
    <row r="1" spans="2:6" ht="20.25" x14ac:dyDescent="0.35">
      <c r="B1" s="220" t="str">
        <f>RAMO</f>
        <v>RAMO:</v>
      </c>
      <c r="C1" s="221"/>
      <c r="D1" s="221"/>
      <c r="E1" s="221"/>
      <c r="F1" s="222"/>
    </row>
    <row r="2" spans="2:6" ht="20.25" x14ac:dyDescent="0.35">
      <c r="B2" s="223" t="str">
        <f>UG</f>
        <v>UNIDADE GESTORA (SIGLA):</v>
      </c>
      <c r="C2" s="224"/>
      <c r="D2" s="225"/>
      <c r="E2" s="77" t="s">
        <v>47</v>
      </c>
      <c r="F2" s="78" t="str">
        <f>DATA_DO_ORCAMENTO_ESTIMATIVO</f>
        <v>XX/XX/20XX</v>
      </c>
    </row>
    <row r="3" spans="2:6" s="79" customFormat="1" ht="25.5" x14ac:dyDescent="0.5">
      <c r="B3" s="179" t="s">
        <v>146</v>
      </c>
      <c r="C3" s="179"/>
      <c r="D3" s="179"/>
      <c r="E3" s="179"/>
      <c r="F3" s="179"/>
    </row>
    <row r="4" spans="2:6" s="79" customFormat="1" ht="15.95" customHeight="1" x14ac:dyDescent="0.3">
      <c r="B4" s="155" t="s">
        <v>86</v>
      </c>
      <c r="C4" s="155"/>
      <c r="D4" s="155"/>
      <c r="E4" s="155"/>
      <c r="F4" s="155"/>
    </row>
    <row r="5" spans="2:6" s="79" customFormat="1" ht="15.95" customHeight="1" x14ac:dyDescent="0.3">
      <c r="B5" s="180" t="s">
        <v>165</v>
      </c>
      <c r="C5" s="180"/>
      <c r="D5" s="226" t="e">
        <f>NUMERO_PROCESSO</f>
        <v>#REF!</v>
      </c>
      <c r="E5" s="226"/>
      <c r="F5" s="226"/>
    </row>
    <row r="6" spans="2:6" s="79" customFormat="1" ht="15.75" customHeight="1" x14ac:dyDescent="0.3">
      <c r="B6" s="182" t="s">
        <v>166</v>
      </c>
      <c r="C6" s="182"/>
      <c r="D6" s="227" t="e">
        <f>MODALIDADE_DE_LICITACAO</f>
        <v>#REF!</v>
      </c>
      <c r="E6" s="227"/>
      <c r="F6" s="106" t="str">
        <f>NUMERO_PREGAO</f>
        <v>XX/20XX</v>
      </c>
    </row>
    <row r="7" spans="2:6" s="80" customFormat="1" ht="15.75" customHeight="1" x14ac:dyDescent="0.3">
      <c r="B7" s="228" t="s">
        <v>48</v>
      </c>
      <c r="C7" s="228"/>
      <c r="D7" s="228"/>
      <c r="E7" s="228"/>
      <c r="F7" s="228"/>
    </row>
    <row r="8" spans="2:6" s="79" customFormat="1" ht="18" customHeight="1" x14ac:dyDescent="0.3">
      <c r="B8" s="19" t="s">
        <v>2</v>
      </c>
      <c r="C8" s="180" t="s">
        <v>53</v>
      </c>
      <c r="D8" s="180"/>
      <c r="E8" s="180"/>
      <c r="F8" s="81" t="str">
        <f>DATA_APRESENTACAO_PROPOSTA</f>
        <v>XX/XX/20XX</v>
      </c>
    </row>
    <row r="9" spans="2:6" s="79" customFormat="1" ht="15.95" customHeight="1" x14ac:dyDescent="0.15">
      <c r="B9" s="1" t="s">
        <v>3</v>
      </c>
      <c r="C9" s="58" t="s">
        <v>29</v>
      </c>
      <c r="D9" s="229" t="e">
        <f>IF(LOCAL_DE_EXECUCAO="","",LOCAL_DE_EXECUCAO)</f>
        <v>#REF!</v>
      </c>
      <c r="E9" s="229"/>
      <c r="F9" s="229"/>
    </row>
    <row r="10" spans="2:6" s="79" customFormat="1" ht="18.75" customHeight="1" x14ac:dyDescent="0.3">
      <c r="B10" s="19" t="s">
        <v>4</v>
      </c>
      <c r="C10" s="180" t="s">
        <v>30</v>
      </c>
      <c r="D10" s="180"/>
      <c r="E10" s="180"/>
      <c r="F10" s="82" t="str">
        <f>ACORDO_COLETIVO</f>
        <v>XX/20XX</v>
      </c>
    </row>
    <row r="11" spans="2:6" s="79" customFormat="1" ht="15.95" customHeight="1" x14ac:dyDescent="0.3">
      <c r="B11" s="1" t="s">
        <v>5</v>
      </c>
      <c r="C11" s="229" t="s">
        <v>54</v>
      </c>
      <c r="D11" s="229"/>
      <c r="E11" s="229"/>
      <c r="F11" s="83">
        <f>NUMERO_MESES_EXEC_CONTRATUAL</f>
        <v>12</v>
      </c>
    </row>
    <row r="12" spans="2:6" s="79" customFormat="1" x14ac:dyDescent="0.3">
      <c r="B12" s="1" t="s">
        <v>6</v>
      </c>
      <c r="C12" s="230" t="s">
        <v>74</v>
      </c>
      <c r="D12" s="230"/>
      <c r="E12" s="230"/>
      <c r="F12" s="84">
        <f>IF(QTDE_POSTOS_LIDER="","",QTDE_POSTOS_LIDER)</f>
        <v>1</v>
      </c>
    </row>
    <row r="13" spans="2:6" s="87" customFormat="1" ht="15" customHeight="1" x14ac:dyDescent="0.2">
      <c r="B13" s="85" t="s">
        <v>142</v>
      </c>
      <c r="C13" s="86"/>
      <c r="D13" s="86"/>
      <c r="E13" s="86"/>
      <c r="F13" s="86"/>
    </row>
    <row r="14" spans="2:6" s="79" customFormat="1" x14ac:dyDescent="0.3">
      <c r="B14" s="19">
        <v>1</v>
      </c>
      <c r="C14" s="158" t="s">
        <v>50</v>
      </c>
      <c r="D14" s="158"/>
      <c r="E14" s="231" t="str">
        <f>IF(TIPO_DE_SERVICO="","",TIPO_DE_SERVICO)</f>
        <v>Tipo de Serviço - Contratação Brigadistas</v>
      </c>
      <c r="F14" s="231"/>
    </row>
    <row r="15" spans="2:6" s="80" customFormat="1" x14ac:dyDescent="0.3">
      <c r="B15" s="19">
        <v>2</v>
      </c>
      <c r="C15" s="21" t="s">
        <v>49</v>
      </c>
      <c r="D15" s="232"/>
      <c r="E15" s="232"/>
      <c r="F15" s="232"/>
    </row>
    <row r="16" spans="2:6" s="79" customFormat="1" ht="15" customHeight="1" x14ac:dyDescent="0.3">
      <c r="B16" s="19">
        <v>3</v>
      </c>
      <c r="C16" s="102" t="s">
        <v>51</v>
      </c>
      <c r="D16" s="231"/>
      <c r="E16" s="231"/>
      <c r="F16" s="231"/>
    </row>
    <row r="17" spans="2:6" s="79" customFormat="1" ht="15" customHeight="1" x14ac:dyDescent="0.3">
      <c r="B17" s="19">
        <v>4</v>
      </c>
      <c r="C17" s="157" t="s">
        <v>52</v>
      </c>
      <c r="D17" s="157"/>
      <c r="E17" s="157"/>
      <c r="F17" s="103" t="str">
        <f>DATA_BASE_CATEGORIA</f>
        <v>XX/XX/20XX</v>
      </c>
    </row>
    <row r="18" spans="2:6" s="88" customFormat="1" ht="20.25" customHeight="1" x14ac:dyDescent="0.3">
      <c r="B18" s="233" t="s">
        <v>33</v>
      </c>
      <c r="C18" s="233"/>
      <c r="D18" s="233"/>
      <c r="E18" s="233"/>
      <c r="F18" s="233"/>
    </row>
    <row r="19" spans="2:6" x14ac:dyDescent="0.3">
      <c r="B19" s="175" t="s">
        <v>45</v>
      </c>
      <c r="C19" s="175"/>
      <c r="D19" s="175"/>
      <c r="E19" s="175"/>
      <c r="F19" s="93">
        <f>IF(UNID_EMPR_POSTO_LIDER="","",UNID_EMPR_POSTO_LIDER)</f>
        <v>2</v>
      </c>
    </row>
    <row r="20" spans="2:6" x14ac:dyDescent="0.3">
      <c r="B20" s="45" t="s">
        <v>8</v>
      </c>
      <c r="E20" s="8"/>
      <c r="F20" s="8"/>
    </row>
    <row r="21" spans="2:6" x14ac:dyDescent="0.3">
      <c r="B21" s="1">
        <v>1</v>
      </c>
      <c r="C21" s="161" t="s">
        <v>9</v>
      </c>
      <c r="D21" s="161"/>
      <c r="E21" s="161"/>
      <c r="F21" s="3" t="s">
        <v>13</v>
      </c>
    </row>
    <row r="22" spans="2:6" x14ac:dyDescent="0.3">
      <c r="B22" s="1" t="s">
        <v>2</v>
      </c>
      <c r="C22" s="166" t="s">
        <v>81</v>
      </c>
      <c r="D22" s="166"/>
      <c r="E22" s="166"/>
      <c r="F22" s="48">
        <f>BRIGADISTA_LIDER_12X36H_SALARIO_BASE</f>
        <v>0</v>
      </c>
    </row>
    <row r="23" spans="2:6" x14ac:dyDescent="0.3">
      <c r="B23" s="1" t="s">
        <v>3</v>
      </c>
      <c r="C23" s="216" t="s">
        <v>83</v>
      </c>
      <c r="D23" s="216"/>
      <c r="E23" s="216"/>
      <c r="F23" s="4">
        <f>PERC_ADIC_PERIC%*BRIGADISTA_LIDER_12X36H_SALARIO_BASE</f>
        <v>0</v>
      </c>
    </row>
    <row r="24" spans="2:6" ht="15.75" customHeight="1" x14ac:dyDescent="0.3">
      <c r="B24" s="1" t="s">
        <v>4</v>
      </c>
      <c r="C24" s="234" t="s">
        <v>72</v>
      </c>
      <c r="D24" s="234"/>
      <c r="E24" s="234"/>
      <c r="F24" s="48">
        <f>IF(COND_AD_NOTURNO_LIDER="SIM",((AL_1_A_SAL_BASE+AL_1_B_ADIC_PERIC)/DIVISOR_DE_HORAS)*DIAS_NA_SEMANA*MEDIA_ANUAL_DIAS_TRABALHO_MES*PERC_ADIC_NOT%,0)</f>
        <v>0</v>
      </c>
    </row>
    <row r="25" spans="2:6" ht="15.75" customHeight="1" x14ac:dyDescent="0.3">
      <c r="B25" s="1" t="s">
        <v>5</v>
      </c>
      <c r="C25" s="216" t="s">
        <v>76</v>
      </c>
      <c r="D25" s="216"/>
      <c r="E25" s="216"/>
      <c r="F25" s="4">
        <f>IF(AL_1_C_ADIC_NOT&gt;0,((AL_1_A_SAL_BASE+AL_1_B_ADIC_PERIC)/DIVISOR_DE_HORAS)*((HORA_NORMAL-HORA_NOTURNA)/HORA_NOTURNA)*DIAS_NA_SEMANA*MEDIA_ANUAL_DIAS_TRABALHO_MES*PERC_ADIC_NOT%,0)</f>
        <v>0</v>
      </c>
    </row>
    <row r="26" spans="2:6" ht="15.75" customHeight="1" x14ac:dyDescent="0.3">
      <c r="B26" s="1" t="s">
        <v>6</v>
      </c>
      <c r="C26" s="146" t="s">
        <v>144</v>
      </c>
      <c r="D26" s="203"/>
      <c r="E26" s="147"/>
      <c r="F26" s="48">
        <f>PERC_ADIC_INS%*SAL_MINIMO</f>
        <v>0</v>
      </c>
    </row>
    <row r="27" spans="2:6" x14ac:dyDescent="0.3">
      <c r="B27" s="235" t="s">
        <v>39</v>
      </c>
      <c r="C27" s="235"/>
      <c r="D27" s="235"/>
      <c r="E27" s="235"/>
      <c r="F27" s="35">
        <f>SUM(F22:F26)</f>
        <v>0</v>
      </c>
    </row>
    <row r="28" spans="2:6" x14ac:dyDescent="0.3">
      <c r="B28" s="45" t="s">
        <v>55</v>
      </c>
      <c r="E28" s="15"/>
      <c r="F28" s="15"/>
    </row>
    <row r="29" spans="2:6" x14ac:dyDescent="0.3">
      <c r="B29" s="45" t="s">
        <v>99</v>
      </c>
      <c r="C29" s="6"/>
      <c r="D29" s="16"/>
      <c r="E29" s="14"/>
      <c r="F29" s="14"/>
    </row>
    <row r="30" spans="2:6" x14ac:dyDescent="0.3">
      <c r="B30" s="1" t="s">
        <v>56</v>
      </c>
      <c r="C30" s="175" t="s">
        <v>82</v>
      </c>
      <c r="D30" s="175"/>
      <c r="E30" s="3" t="s">
        <v>1</v>
      </c>
      <c r="F30" s="3" t="s">
        <v>13</v>
      </c>
    </row>
    <row r="31" spans="2:6" x14ac:dyDescent="0.3">
      <c r="B31" s="1" t="s">
        <v>2</v>
      </c>
      <c r="C31" s="215" t="s">
        <v>40</v>
      </c>
      <c r="D31" s="215"/>
      <c r="E31" s="50">
        <f>PERC_DEC_TERC</f>
        <v>8.33</v>
      </c>
      <c r="F31" s="49">
        <f>PERC_DEC_TERC%*MOD_1_REMUNERACAO</f>
        <v>0</v>
      </c>
    </row>
    <row r="32" spans="2:6" s="11" customFormat="1" x14ac:dyDescent="0.3">
      <c r="B32" s="2" t="s">
        <v>3</v>
      </c>
      <c r="C32" s="216" t="s">
        <v>84</v>
      </c>
      <c r="D32" s="216"/>
      <c r="E32" s="33">
        <f>PERC_ADIC_FERIAS</f>
        <v>2.78</v>
      </c>
      <c r="F32" s="31">
        <f>PERC_ADIC_FERIAS%*MOD_1_REMUNERACAO</f>
        <v>0</v>
      </c>
    </row>
    <row r="33" spans="2:6" s="89" customFormat="1" x14ac:dyDescent="0.3">
      <c r="B33" s="150" t="s">
        <v>39</v>
      </c>
      <c r="C33" s="205"/>
      <c r="D33" s="205"/>
      <c r="E33" s="151"/>
      <c r="F33" s="36">
        <f>SUM(F31:F32)</f>
        <v>0</v>
      </c>
    </row>
    <row r="34" spans="2:6" s="89" customFormat="1" ht="31.5" customHeight="1" x14ac:dyDescent="0.3">
      <c r="B34" s="236" t="s">
        <v>57</v>
      </c>
      <c r="C34" s="236"/>
      <c r="D34" s="236"/>
      <c r="E34" s="236"/>
      <c r="F34" s="236"/>
    </row>
    <row r="35" spans="2:6" s="89" customFormat="1" ht="34.5" customHeight="1" x14ac:dyDescent="0.3">
      <c r="B35" s="1" t="s">
        <v>58</v>
      </c>
      <c r="C35" s="218" t="s">
        <v>85</v>
      </c>
      <c r="D35" s="218"/>
      <c r="E35" s="3" t="s">
        <v>1</v>
      </c>
      <c r="F35" s="3" t="s">
        <v>13</v>
      </c>
    </row>
    <row r="36" spans="2:6" x14ac:dyDescent="0.3">
      <c r="B36" s="1" t="s">
        <v>2</v>
      </c>
      <c r="C36" s="215" t="s">
        <v>34</v>
      </c>
      <c r="D36" s="215"/>
      <c r="E36" s="50">
        <f>PERC_INSS</f>
        <v>20</v>
      </c>
      <c r="F36" s="49">
        <f>PERC_INSS%*(MOD_1_REMUNERACAO+SUBMOD_2_1_DEC_TERC_ADIC_FERIAS)</f>
        <v>0</v>
      </c>
    </row>
    <row r="37" spans="2:6" s="79" customFormat="1" x14ac:dyDescent="0.15">
      <c r="B37" s="2" t="s">
        <v>3</v>
      </c>
      <c r="C37" s="216" t="s">
        <v>36</v>
      </c>
      <c r="D37" s="216"/>
      <c r="E37" s="40">
        <f>PERC_SAL_EDUCACAO</f>
        <v>2.5</v>
      </c>
      <c r="F37" s="31">
        <f>PERC_SAL_EDUCACAO%*(MOD_1_REMUNERACAO+SUBMOD_2_1_DEC_TERC_ADIC_FERIAS)</f>
        <v>0</v>
      </c>
    </row>
    <row r="38" spans="2:6" s="79" customFormat="1" x14ac:dyDescent="0.15">
      <c r="B38" s="2" t="s">
        <v>4</v>
      </c>
      <c r="C38" s="215" t="s">
        <v>79</v>
      </c>
      <c r="D38" s="215"/>
      <c r="E38" s="50">
        <f>PERC_RAT</f>
        <v>3</v>
      </c>
      <c r="F38" s="49">
        <f>PERC_RAT%*(MOD_1_REMUNERACAO+SUBMOD_2_1_DEC_TERC_ADIC_FERIAS)</f>
        <v>0</v>
      </c>
    </row>
    <row r="39" spans="2:6" s="79" customFormat="1" x14ac:dyDescent="0.15">
      <c r="B39" s="2" t="s">
        <v>5</v>
      </c>
      <c r="C39" s="216" t="s">
        <v>77</v>
      </c>
      <c r="D39" s="216"/>
      <c r="E39" s="33">
        <f>PERC_SESC</f>
        <v>1.5</v>
      </c>
      <c r="F39" s="31">
        <f>PERC_SESC%*(MOD_1_REMUNERACAO+SUBMOD_2_1_DEC_TERC_ADIC_FERIAS)</f>
        <v>0</v>
      </c>
    </row>
    <row r="40" spans="2:6" s="79" customFormat="1" x14ac:dyDescent="0.15">
      <c r="B40" s="2" t="s">
        <v>6</v>
      </c>
      <c r="C40" s="215" t="s">
        <v>78</v>
      </c>
      <c r="D40" s="215"/>
      <c r="E40" s="50">
        <f>PERC_SENAC</f>
        <v>1</v>
      </c>
      <c r="F40" s="49">
        <f>PERC_SENAC%*(MOD_1_REMUNERACAO+SUBMOD_2_1_DEC_TERC_ADIC_FERIAS)</f>
        <v>0</v>
      </c>
    </row>
    <row r="41" spans="2:6" s="80" customFormat="1" x14ac:dyDescent="0.15">
      <c r="B41" s="2" t="s">
        <v>7</v>
      </c>
      <c r="C41" s="216" t="s">
        <v>38</v>
      </c>
      <c r="D41" s="216"/>
      <c r="E41" s="40">
        <f>PERC_SEBRAE</f>
        <v>0.6</v>
      </c>
      <c r="F41" s="31">
        <f>PERC_SEBRAE%*(MOD_1_REMUNERACAO+SUBMOD_2_1_DEC_TERC_ADIC_FERIAS)</f>
        <v>0</v>
      </c>
    </row>
    <row r="42" spans="2:6" s="80" customFormat="1" x14ac:dyDescent="0.15">
      <c r="B42" s="2" t="s">
        <v>10</v>
      </c>
      <c r="C42" s="215" t="s">
        <v>35</v>
      </c>
      <c r="D42" s="215"/>
      <c r="E42" s="50">
        <f>PERC_INCRA</f>
        <v>0.2</v>
      </c>
      <c r="F42" s="49">
        <f>PERC_INCRA%*(MOD_1_REMUNERACAO+SUBMOD_2_1_DEC_TERC_ADIC_FERIAS)</f>
        <v>0</v>
      </c>
    </row>
    <row r="43" spans="2:6" x14ac:dyDescent="0.3">
      <c r="B43" s="2" t="s">
        <v>11</v>
      </c>
      <c r="C43" s="216" t="s">
        <v>37</v>
      </c>
      <c r="D43" s="216"/>
      <c r="E43" s="40">
        <f>PERC_FGTS</f>
        <v>8</v>
      </c>
      <c r="F43" s="31">
        <f>PERC_FGTS%*(MOD_1_REMUNERACAO+SUBMOD_2_1_DEC_TERC_ADIC_FERIAS)</f>
        <v>0</v>
      </c>
    </row>
    <row r="44" spans="2:6" x14ac:dyDescent="0.3">
      <c r="B44" s="150" t="s">
        <v>39</v>
      </c>
      <c r="C44" s="205"/>
      <c r="D44" s="205"/>
      <c r="E44" s="151"/>
      <c r="F44" s="37">
        <f>SUM(F36:F43)</f>
        <v>0</v>
      </c>
    </row>
    <row r="45" spans="2:6" ht="15.75" customHeight="1" x14ac:dyDescent="0.3">
      <c r="B45" s="45" t="s">
        <v>60</v>
      </c>
      <c r="C45" s="80"/>
      <c r="D45" s="80"/>
      <c r="E45" s="80"/>
      <c r="F45" s="80"/>
    </row>
    <row r="46" spans="2:6" ht="15.75" customHeight="1" x14ac:dyDescent="0.3">
      <c r="B46" s="1" t="s">
        <v>80</v>
      </c>
      <c r="C46" s="161" t="s">
        <v>14</v>
      </c>
      <c r="D46" s="161"/>
      <c r="E46" s="161"/>
      <c r="F46" s="3" t="s">
        <v>13</v>
      </c>
    </row>
    <row r="47" spans="2:6" x14ac:dyDescent="0.3">
      <c r="B47" s="19" t="s">
        <v>2</v>
      </c>
      <c r="C47" s="215" t="s">
        <v>15</v>
      </c>
      <c r="D47" s="215"/>
      <c r="E47" s="215"/>
      <c r="F47" s="49">
        <f>IF(((TRANSPORTE_POR_DIA*DIAS_TRABALHADOS_NO_MES)-(PERC_DESC_TRANSP_REMUNERACAO%*(AL_1_A_SAL_BASE/2)))&gt;0,((TRANSPORTE_POR_DIA*DIAS_TRABALHADOS_NO_MES)-(PERC_DESC_TRANSP_REMUNERACAO%*(AL_1_A_SAL_BASE/2))),0)</f>
        <v>0</v>
      </c>
    </row>
    <row r="48" spans="2:6" s="89" customFormat="1" x14ac:dyDescent="0.3">
      <c r="B48" s="19" t="s">
        <v>3</v>
      </c>
      <c r="C48" s="216" t="s">
        <v>59</v>
      </c>
      <c r="D48" s="216"/>
      <c r="E48" s="216"/>
      <c r="F48" s="31">
        <f>ALIMENTACAO_POR_DIA*DIAS_TRABALHADOS_NO_MES</f>
        <v>0</v>
      </c>
    </row>
    <row r="49" spans="2:6" s="89" customFormat="1" ht="15" customHeight="1" x14ac:dyDescent="0.3">
      <c r="B49" s="235" t="s">
        <v>39</v>
      </c>
      <c r="C49" s="235"/>
      <c r="D49" s="235"/>
      <c r="E49" s="235"/>
      <c r="F49" s="35">
        <f>SUM(F47:F48)</f>
        <v>0</v>
      </c>
    </row>
    <row r="50" spans="2:6" s="89" customFormat="1" x14ac:dyDescent="0.3">
      <c r="B50" s="45" t="s">
        <v>61</v>
      </c>
      <c r="C50" s="6"/>
      <c r="D50" s="16"/>
      <c r="E50" s="14"/>
      <c r="F50" s="14"/>
    </row>
    <row r="51" spans="2:6" s="89" customFormat="1" ht="15" customHeight="1" x14ac:dyDescent="0.3">
      <c r="B51" s="1">
        <v>3</v>
      </c>
      <c r="C51" s="175" t="s">
        <v>41</v>
      </c>
      <c r="D51" s="175"/>
      <c r="E51" s="3" t="s">
        <v>1</v>
      </c>
      <c r="F51" s="3" t="s">
        <v>13</v>
      </c>
    </row>
    <row r="52" spans="2:6" s="89" customFormat="1" x14ac:dyDescent="0.3">
      <c r="B52" s="1" t="s">
        <v>2</v>
      </c>
      <c r="C52" s="213" t="s">
        <v>42</v>
      </c>
      <c r="D52" s="213"/>
      <c r="E52" s="50">
        <f>PERC_AVISO_PREVIO_IND</f>
        <v>0.28999999999999998</v>
      </c>
      <c r="F52" s="49">
        <f>PERC_AVISO_PREVIO_IND%*(MOD_1_REMUNERACAO+SUBMOD_2_1_DEC_TERC_ADIC_FERIAS+AL_2_2_FGTS+SUBMOD_2_3_BENEFICIOS)</f>
        <v>0</v>
      </c>
    </row>
    <row r="53" spans="2:6" s="89" customFormat="1" x14ac:dyDescent="0.3">
      <c r="B53" s="2" t="s">
        <v>3</v>
      </c>
      <c r="C53" s="219" t="s">
        <v>43</v>
      </c>
      <c r="D53" s="219"/>
      <c r="E53" s="40">
        <f>PERC_AVISO_PREVIO_TRAB</f>
        <v>1.1599999999999999</v>
      </c>
      <c r="F53" s="31">
        <f>PERC_AVISO_PREVIO_TRAB%*(MOD_1_REMUNERACAO+SUBMOD_2_1_DEC_TERC_ADIC_FERIAS+SUBMOD_2_2_GPS_FGTS+SUBMOD_2_3_BENEFICIOS)</f>
        <v>0</v>
      </c>
    </row>
    <row r="54" spans="2:6" s="79" customFormat="1" x14ac:dyDescent="0.15">
      <c r="B54" s="2" t="s">
        <v>4</v>
      </c>
      <c r="C54" s="213" t="s">
        <v>173</v>
      </c>
      <c r="D54" s="213"/>
      <c r="E54" s="50">
        <f>PERC_MULTA_FGTS_AV_PREV_TRAB</f>
        <v>0.04</v>
      </c>
      <c r="F54" s="49">
        <f>PERC_MULTA_FGTS_AV_PREV_TRAB%*(MOD_1_REMUNERACAO+SUBMOD_2_1_DEC_TERC_ADIC_FERIAS)</f>
        <v>0</v>
      </c>
    </row>
    <row r="55" spans="2:6" s="79" customFormat="1" x14ac:dyDescent="0.3">
      <c r="B55" s="150" t="s">
        <v>39</v>
      </c>
      <c r="C55" s="205"/>
      <c r="D55" s="205"/>
      <c r="E55" s="151"/>
      <c r="F55" s="36">
        <f>SUM(F52:F54)</f>
        <v>0</v>
      </c>
    </row>
    <row r="56" spans="2:6" ht="7.5" customHeight="1" x14ac:dyDescent="0.3">
      <c r="B56" s="10"/>
      <c r="C56" s="11"/>
      <c r="D56" s="12"/>
      <c r="E56" s="8"/>
      <c r="F56" s="8"/>
    </row>
    <row r="57" spans="2:6" s="79" customFormat="1" ht="15.95" customHeight="1" x14ac:dyDescent="0.3">
      <c r="B57" s="45" t="s">
        <v>62</v>
      </c>
      <c r="C57" s="6"/>
      <c r="D57" s="16"/>
      <c r="E57" s="7"/>
      <c r="F57" s="7"/>
    </row>
    <row r="58" spans="2:6" s="79" customFormat="1" ht="15.95" customHeight="1" x14ac:dyDescent="0.3">
      <c r="B58" s="45" t="s">
        <v>91</v>
      </c>
      <c r="C58" s="6"/>
      <c r="D58" s="16"/>
      <c r="E58" s="14"/>
      <c r="F58" s="14"/>
    </row>
    <row r="59" spans="2:6" s="79" customFormat="1" x14ac:dyDescent="0.15">
      <c r="B59" s="1" t="s">
        <v>18</v>
      </c>
      <c r="C59" s="214" t="s">
        <v>92</v>
      </c>
      <c r="D59" s="214"/>
      <c r="E59" s="3" t="s">
        <v>1</v>
      </c>
      <c r="F59" s="3" t="s">
        <v>13</v>
      </c>
    </row>
    <row r="60" spans="2:6" s="79" customFormat="1" ht="15.95" customHeight="1" x14ac:dyDescent="0.15">
      <c r="B60" s="2" t="s">
        <v>2</v>
      </c>
      <c r="C60" s="215" t="s">
        <v>93</v>
      </c>
      <c r="D60" s="215"/>
      <c r="E60" s="50">
        <f>PERC_SUBSTITUTO_FERIAS</f>
        <v>8.33</v>
      </c>
      <c r="F60" s="49">
        <f>PERC_SUBSTITUTO_FERIAS%*(MOD_1_REMUNERACAO+MOD_2_ENCARGOS_BENEFICIOS+MOD_3_PROVISAO_RESCISAO)</f>
        <v>0</v>
      </c>
    </row>
    <row r="61" spans="2:6" s="79" customFormat="1" ht="15.95" customHeight="1" x14ac:dyDescent="0.15">
      <c r="B61" s="2" t="s">
        <v>3</v>
      </c>
      <c r="C61" s="216" t="s">
        <v>94</v>
      </c>
      <c r="D61" s="216"/>
      <c r="E61" s="40">
        <f>PERC_SUBSTITUTO_AUSENCIAS_LEGAIS</f>
        <v>2.2200000000000002</v>
      </c>
      <c r="F61" s="31">
        <f>PERC_SUBSTITUTO_AUSENCIAS_LEGAIS%*(MOD_1_REMUNERACAO+MOD_2_ENCARGOS_BENEFICIOS+MOD_3_PROVISAO_RESCISAO)</f>
        <v>0</v>
      </c>
    </row>
    <row r="62" spans="2:6" s="79" customFormat="1" ht="15.95" customHeight="1" x14ac:dyDescent="0.15">
      <c r="B62" s="2" t="s">
        <v>4</v>
      </c>
      <c r="C62" s="215" t="s">
        <v>95</v>
      </c>
      <c r="D62" s="215"/>
      <c r="E62" s="50">
        <f>PERC_SUBSTITUTO_LICENCA_PATERNIDADE</f>
        <v>0.04</v>
      </c>
      <c r="F62" s="49">
        <f>PERC_SUBSTITUTO_LICENCA_PATERNIDADE%*(MOD_1_REMUNERACAO+MOD_2_ENCARGOS_BENEFICIOS+MOD_3_PROVISAO_RESCISAO)</f>
        <v>0</v>
      </c>
    </row>
    <row r="63" spans="2:6" s="79" customFormat="1" x14ac:dyDescent="0.15">
      <c r="B63" s="2" t="s">
        <v>5</v>
      </c>
      <c r="C63" s="216" t="s">
        <v>96</v>
      </c>
      <c r="D63" s="216"/>
      <c r="E63" s="40">
        <f>PERC_SUBSTITUTO_ACID_TRAB</f>
        <v>0.02</v>
      </c>
      <c r="F63" s="31">
        <f>PERC_SUBSTITUTO_ACID_TRAB%*(MOD_1_REMUNERACAO+MOD_2_ENCARGOS_BENEFICIOS+MOD_3_PROVISAO_RESCISAO)</f>
        <v>0</v>
      </c>
    </row>
    <row r="64" spans="2:6" s="79" customFormat="1" x14ac:dyDescent="0.15">
      <c r="B64" s="2" t="s">
        <v>6</v>
      </c>
      <c r="C64" s="215" t="s">
        <v>97</v>
      </c>
      <c r="D64" s="215"/>
      <c r="E64" s="50">
        <f>PERC_SUBSTITUTO_AFAST_MATERN</f>
        <v>0.14000000000000001</v>
      </c>
      <c r="F64" s="49">
        <f>PERC_SUBSTITUTO_AFAST_MATERN%*(MOD_1_REMUNERACAO+MOD_2_ENCARGOS_BENEFICIOS+MOD_3_PROVISAO_RESCISAO)</f>
        <v>0</v>
      </c>
    </row>
    <row r="65" spans="2:6" s="79" customFormat="1" x14ac:dyDescent="0.15">
      <c r="B65" s="2" t="s">
        <v>7</v>
      </c>
      <c r="C65" s="238" t="str">
        <f>OUTRAS_AUSENCIAS_DESCRICAO</f>
        <v>Outras Ausências (Especificar - em %)</v>
      </c>
      <c r="D65" s="216"/>
      <c r="E65" s="47">
        <f>PERC_SUBSTITUTO_OUTRAS_AUSENCIAS</f>
        <v>0</v>
      </c>
      <c r="F65" s="31">
        <f>PERC_SUBSTITUTO_OUTRAS_AUSENCIAS%*(MOD_1_REMUNERACAO+MOD_2_ENCARGOS_BENEFICIOS+MOD_3_PROVISAO_RESCISAO)</f>
        <v>0</v>
      </c>
    </row>
    <row r="66" spans="2:6" s="79" customFormat="1" x14ac:dyDescent="0.3">
      <c r="B66" s="150" t="s">
        <v>39</v>
      </c>
      <c r="C66" s="205"/>
      <c r="D66" s="205"/>
      <c r="E66" s="151"/>
      <c r="F66" s="36">
        <f>SUM(F60:F65)</f>
        <v>0</v>
      </c>
    </row>
    <row r="67" spans="2:6" s="79" customFormat="1" ht="15" customHeight="1" x14ac:dyDescent="0.3">
      <c r="B67" s="45" t="s">
        <v>168</v>
      </c>
      <c r="C67" s="6"/>
      <c r="D67" s="16"/>
      <c r="E67" s="14"/>
      <c r="F67" s="14"/>
    </row>
    <row r="68" spans="2:6" s="79" customFormat="1" x14ac:dyDescent="0.15">
      <c r="B68" s="1" t="s">
        <v>19</v>
      </c>
      <c r="C68" s="175" t="s">
        <v>167</v>
      </c>
      <c r="D68" s="175"/>
      <c r="E68" s="175"/>
      <c r="F68" s="3" t="s">
        <v>13</v>
      </c>
    </row>
    <row r="69" spans="2:6" s="79" customFormat="1" x14ac:dyDescent="0.15">
      <c r="B69" s="1" t="s">
        <v>2</v>
      </c>
      <c r="C69" s="215" t="s">
        <v>98</v>
      </c>
      <c r="D69" s="215"/>
      <c r="E69" s="215"/>
      <c r="F69" s="48">
        <f>IF(DIAS_TRABALHADOS_NO_MES=15,((MOD_1_REMUNERACAO+MOD_2_ENCARGOS_BENEFICIOS+MOD_3_PROVISAO_RESCISAO)/DIVISOR_DE_HORAS)*((TEMPO_INTERVALO_REFEICAO/HORA_NORMAL)+PERC_HORA_EXTRA%)*DIAS_TRABALHADOS_NO_MES,0)</f>
        <v>0</v>
      </c>
    </row>
    <row r="70" spans="2:6" s="79" customFormat="1" x14ac:dyDescent="0.3">
      <c r="B70" s="175" t="s">
        <v>39</v>
      </c>
      <c r="C70" s="175"/>
      <c r="D70" s="175"/>
      <c r="E70" s="175"/>
      <c r="F70" s="36">
        <f>SUM(F69)</f>
        <v>0</v>
      </c>
    </row>
    <row r="71" spans="2:6" ht="7.5" customHeight="1" x14ac:dyDescent="0.3">
      <c r="B71" s="10"/>
      <c r="C71" s="11"/>
      <c r="D71" s="12"/>
      <c r="E71" s="8"/>
      <c r="F71" s="8"/>
    </row>
    <row r="72" spans="2:6" x14ac:dyDescent="0.3">
      <c r="B72" s="45" t="s">
        <v>66</v>
      </c>
      <c r="C72" s="6"/>
      <c r="D72" s="6"/>
      <c r="E72" s="14"/>
      <c r="F72" s="14"/>
    </row>
    <row r="73" spans="2:6" ht="15.75" customHeight="1" x14ac:dyDescent="0.3">
      <c r="B73" s="43">
        <v>5</v>
      </c>
      <c r="C73" s="154" t="s">
        <v>0</v>
      </c>
      <c r="D73" s="154"/>
      <c r="E73" s="154"/>
      <c r="F73" s="44" t="s">
        <v>13</v>
      </c>
    </row>
    <row r="74" spans="2:6" x14ac:dyDescent="0.3">
      <c r="B74" s="39" t="s">
        <v>2</v>
      </c>
      <c r="C74" s="239" t="s">
        <v>182</v>
      </c>
      <c r="D74" s="239"/>
      <c r="E74" s="239"/>
      <c r="F74" s="51">
        <f>UNIFORMES</f>
        <v>0</v>
      </c>
    </row>
    <row r="75" spans="2:6" x14ac:dyDescent="0.3">
      <c r="B75" s="39" t="s">
        <v>3</v>
      </c>
      <c r="C75" s="240" t="s">
        <v>180</v>
      </c>
      <c r="D75" s="240"/>
      <c r="E75" s="240"/>
      <c r="F75" s="41">
        <f>MATERIAIS</f>
        <v>0</v>
      </c>
    </row>
    <row r="76" spans="2:6" x14ac:dyDescent="0.3">
      <c r="B76" s="39" t="s">
        <v>4</v>
      </c>
      <c r="C76" s="239" t="s">
        <v>181</v>
      </c>
      <c r="D76" s="239"/>
      <c r="E76" s="239"/>
      <c r="F76" s="51">
        <f>EQUIPAMENTOS</f>
        <v>0</v>
      </c>
    </row>
    <row r="77" spans="2:6" x14ac:dyDescent="0.3">
      <c r="B77" s="237" t="s">
        <v>39</v>
      </c>
      <c r="C77" s="237"/>
      <c r="D77" s="237"/>
      <c r="E77" s="237"/>
      <c r="F77" s="38">
        <f>SUM(F74:F76)</f>
        <v>0</v>
      </c>
    </row>
    <row r="78" spans="2:6" ht="7.5" customHeight="1" x14ac:dyDescent="0.3">
      <c r="B78" s="10"/>
      <c r="C78" s="11"/>
      <c r="D78" s="12"/>
      <c r="E78" s="8"/>
      <c r="F78" s="8"/>
    </row>
    <row r="79" spans="2:6" ht="15" customHeight="1" x14ac:dyDescent="0.3">
      <c r="B79" s="149" t="s">
        <v>65</v>
      </c>
      <c r="C79" s="149"/>
      <c r="D79" s="149"/>
      <c r="E79" s="149"/>
      <c r="F79" s="149"/>
    </row>
    <row r="80" spans="2:6" x14ac:dyDescent="0.3">
      <c r="B80" s="1">
        <v>6</v>
      </c>
      <c r="C80" s="175" t="s">
        <v>20</v>
      </c>
      <c r="D80" s="175"/>
      <c r="E80" s="3" t="s">
        <v>1</v>
      </c>
      <c r="F80" s="3" t="s">
        <v>13</v>
      </c>
    </row>
    <row r="81" spans="2:6" x14ac:dyDescent="0.3">
      <c r="B81" s="1" t="s">
        <v>2</v>
      </c>
      <c r="C81" s="215" t="s">
        <v>67</v>
      </c>
      <c r="D81" s="215"/>
      <c r="E81" s="52">
        <f>PERC_CUSTOS_INDIRETOS</f>
        <v>0</v>
      </c>
      <c r="F81" s="49">
        <f>PERC_CUSTOS_INDIRETOS%*(MOD_1_REMUNERACAO+MOD_2_ENCARGOS_BENEFICIOS+MOD_3_PROVISAO_RESCISAO+MOD_4_CUSTO_REPOSICAO+MOD_5_INSUMOS)</f>
        <v>0</v>
      </c>
    </row>
    <row r="82" spans="2:6" ht="15.75" customHeight="1" x14ac:dyDescent="0.3">
      <c r="B82" s="2" t="s">
        <v>3</v>
      </c>
      <c r="C82" s="216" t="s">
        <v>26</v>
      </c>
      <c r="D82" s="216"/>
      <c r="E82" s="42">
        <f>PERC_LUCRO</f>
        <v>0</v>
      </c>
      <c r="F82" s="31">
        <f>PERC_LUCRO%*(MOD_1_REMUNERACAO+MOD_2_ENCARGOS_BENEFICIOS+MOD_3_PROVISAO_RESCISAO+MOD_4_CUSTO_REPOSICAO+MOD_5_INSUMOS+AL_6_A_CUSTOS_INDIRETOS)</f>
        <v>0</v>
      </c>
    </row>
    <row r="83" spans="2:6" x14ac:dyDescent="0.3">
      <c r="B83" s="2" t="s">
        <v>4</v>
      </c>
      <c r="C83" s="215" t="s">
        <v>21</v>
      </c>
      <c r="D83" s="215"/>
      <c r="E83" s="52">
        <f>SUM(E84:E86)</f>
        <v>0</v>
      </c>
      <c r="F83" s="49">
        <f>SUM(F84:F86)</f>
        <v>0</v>
      </c>
    </row>
    <row r="84" spans="2:6" ht="15.75" customHeight="1" x14ac:dyDescent="0.3">
      <c r="B84" s="25" t="s">
        <v>68</v>
      </c>
      <c r="C84" s="241" t="s">
        <v>22</v>
      </c>
      <c r="D84" s="241"/>
      <c r="E84" s="26">
        <f>PERC_PIS</f>
        <v>0</v>
      </c>
      <c r="F84" s="54">
        <f>((MOD_1_REMUNERACAO+MOD_2_ENCARGOS_BENEFICIOS+MOD_3_PROVISAO_RESCISAO+MOD_4_CUSTO_REPOSICAO+MOD_5_INSUMOS+AL_6_A_CUSTOS_INDIRETOS+AL_6_B_LUCRO)*PERC_PIS%)/(1-PERC_TRIBUTOS%)</f>
        <v>0</v>
      </c>
    </row>
    <row r="85" spans="2:6" x14ac:dyDescent="0.3">
      <c r="B85" s="25" t="s">
        <v>69</v>
      </c>
      <c r="C85" s="242" t="s">
        <v>23</v>
      </c>
      <c r="D85" s="242"/>
      <c r="E85" s="53">
        <f>PERC_COFINS</f>
        <v>0</v>
      </c>
      <c r="F85" s="55">
        <f>((MOD_1_REMUNERACAO+MOD_2_ENCARGOS_BENEFICIOS+MOD_3_PROVISAO_RESCISAO+MOD_4_CUSTO_REPOSICAO+MOD_5_INSUMOS+AL_6_A_CUSTOS_INDIRETOS+AL_6_B_LUCRO)*PERC_COFINS%)/(1-PERC_TRIBUTOS%)</f>
        <v>0</v>
      </c>
    </row>
    <row r="86" spans="2:6" s="90" customFormat="1" x14ac:dyDescent="0.3">
      <c r="B86" s="25" t="s">
        <v>70</v>
      </c>
      <c r="C86" s="241" t="s">
        <v>24</v>
      </c>
      <c r="D86" s="241"/>
      <c r="E86" s="26">
        <f>PERC_ISS</f>
        <v>0</v>
      </c>
      <c r="F86" s="54">
        <f>((MOD_1_REMUNERACAO+MOD_2_ENCARGOS_BENEFICIOS+MOD_3_PROVISAO_RESCISAO+MOD_4_CUSTO_REPOSICAO+MOD_5_INSUMOS+AL_6_A_CUSTOS_INDIRETOS+AL_6_B_LUCRO)*PERC_ISS%)/(1-PERC_TRIBUTOS%)</f>
        <v>0</v>
      </c>
    </row>
    <row r="87" spans="2:6" s="90" customFormat="1" x14ac:dyDescent="0.3">
      <c r="B87" s="150" t="s">
        <v>39</v>
      </c>
      <c r="C87" s="205"/>
      <c r="D87" s="205"/>
      <c r="E87" s="151"/>
      <c r="F87" s="32">
        <f>AL_6_A_CUSTOS_INDIRETOS+AL_6_B_LUCRO+AL_6_C_TRIBUTOS</f>
        <v>0</v>
      </c>
    </row>
    <row r="88" spans="2:6" s="90" customFormat="1" ht="20.25" x14ac:dyDescent="0.3">
      <c r="B88" s="46" t="s">
        <v>46</v>
      </c>
      <c r="C88" s="9"/>
      <c r="D88" s="9"/>
      <c r="E88" s="9"/>
      <c r="F88" s="17"/>
    </row>
    <row r="89" spans="2:6" s="91" customFormat="1" ht="16.5" customHeight="1" x14ac:dyDescent="0.3">
      <c r="B89" s="2" t="s">
        <v>87</v>
      </c>
      <c r="C89" s="152" t="s">
        <v>88</v>
      </c>
      <c r="D89" s="211"/>
      <c r="E89" s="153"/>
      <c r="F89" s="3" t="s">
        <v>17</v>
      </c>
    </row>
    <row r="90" spans="2:6" s="90" customFormat="1" x14ac:dyDescent="0.3">
      <c r="B90" s="1">
        <v>1</v>
      </c>
      <c r="C90" s="215" t="s">
        <v>9</v>
      </c>
      <c r="D90" s="215"/>
      <c r="E90" s="215"/>
      <c r="F90" s="49">
        <f>MOD_1_REMUNERACAO</f>
        <v>0</v>
      </c>
    </row>
    <row r="91" spans="2:6" s="92" customFormat="1" ht="16.5" customHeight="1" x14ac:dyDescent="0.3">
      <c r="B91" s="2">
        <v>2</v>
      </c>
      <c r="C91" s="216" t="s">
        <v>89</v>
      </c>
      <c r="D91" s="216"/>
      <c r="E91" s="216"/>
      <c r="F91" s="31">
        <f>MOD_2_ENCARGOS_BENEFICIOS</f>
        <v>0</v>
      </c>
    </row>
    <row r="92" spans="2:6" s="92" customFormat="1" x14ac:dyDescent="0.3">
      <c r="B92" s="2">
        <v>3</v>
      </c>
      <c r="C92" s="215" t="s">
        <v>41</v>
      </c>
      <c r="D92" s="215"/>
      <c r="E92" s="215"/>
      <c r="F92" s="49">
        <f>MOD_3_PROVISAO_RESCISAO</f>
        <v>0</v>
      </c>
    </row>
    <row r="93" spans="2:6" s="92" customFormat="1" x14ac:dyDescent="0.3">
      <c r="B93" s="2">
        <v>4</v>
      </c>
      <c r="C93" s="216" t="s">
        <v>44</v>
      </c>
      <c r="D93" s="216"/>
      <c r="E93" s="216"/>
      <c r="F93" s="31">
        <f>MOD_4_CUSTO_REPOSICAO</f>
        <v>0</v>
      </c>
    </row>
    <row r="94" spans="2:6" s="92" customFormat="1" x14ac:dyDescent="0.3">
      <c r="B94" s="2">
        <v>5</v>
      </c>
      <c r="C94" s="215" t="s">
        <v>0</v>
      </c>
      <c r="D94" s="215"/>
      <c r="E94" s="215"/>
      <c r="F94" s="49">
        <f>MOD_5_INSUMOS</f>
        <v>0</v>
      </c>
    </row>
    <row r="95" spans="2:6" s="92" customFormat="1" x14ac:dyDescent="0.3">
      <c r="B95" s="2">
        <v>6</v>
      </c>
      <c r="C95" s="216" t="s">
        <v>20</v>
      </c>
      <c r="D95" s="216"/>
      <c r="E95" s="216"/>
      <c r="F95" s="31">
        <f>MOD_6_CUSTOS_IND_LUCRO_TRIB</f>
        <v>0</v>
      </c>
    </row>
    <row r="96" spans="2:6" ht="16.5" customHeight="1" x14ac:dyDescent="0.3">
      <c r="B96" s="214" t="s">
        <v>90</v>
      </c>
      <c r="C96" s="214"/>
      <c r="D96" s="214"/>
      <c r="E96" s="214"/>
      <c r="F96" s="32">
        <f>SUM(F90:F95)</f>
        <v>0</v>
      </c>
    </row>
    <row r="97" spans="2:6" ht="16.5" customHeight="1" x14ac:dyDescent="0.3">
      <c r="B97" s="214" t="s">
        <v>25</v>
      </c>
      <c r="C97" s="214"/>
      <c r="D97" s="214"/>
      <c r="E97" s="214"/>
      <c r="F97" s="32">
        <f>VALOR_TOTAL_EMPREG_LIDER*UNID_EMPR_POSTO_LIDER</f>
        <v>0</v>
      </c>
    </row>
    <row r="98" spans="2:6" x14ac:dyDescent="0.3">
      <c r="B98" s="214" t="s">
        <v>145</v>
      </c>
      <c r="C98" s="214"/>
      <c r="D98" s="214"/>
      <c r="E98" s="214"/>
      <c r="F98" s="32">
        <f>VALOR_TOTAL_EMPREG_LIDER*UNID_EMPR_POSTO_LIDER*QTDE_POSTOS_LIDER</f>
        <v>0</v>
      </c>
    </row>
  </sheetData>
  <mergeCells count="87">
    <mergeCell ref="B98:E98"/>
    <mergeCell ref="C92:E92"/>
    <mergeCell ref="C93:E93"/>
    <mergeCell ref="C94:E94"/>
    <mergeCell ref="C95:E95"/>
    <mergeCell ref="B96:E96"/>
    <mergeCell ref="B97:E97"/>
    <mergeCell ref="C91:E91"/>
    <mergeCell ref="B79:F79"/>
    <mergeCell ref="C80:D80"/>
    <mergeCell ref="C81:D81"/>
    <mergeCell ref="C82:D82"/>
    <mergeCell ref="C83:D83"/>
    <mergeCell ref="C84:D84"/>
    <mergeCell ref="C85:D85"/>
    <mergeCell ref="C86:D86"/>
    <mergeCell ref="B87:E87"/>
    <mergeCell ref="C89:E89"/>
    <mergeCell ref="C90:E90"/>
    <mergeCell ref="B77:E77"/>
    <mergeCell ref="C64:D64"/>
    <mergeCell ref="C65:D65"/>
    <mergeCell ref="B66:E66"/>
    <mergeCell ref="C68:E68"/>
    <mergeCell ref="C69:E69"/>
    <mergeCell ref="B70:E70"/>
    <mergeCell ref="C73:E73"/>
    <mergeCell ref="C74:E74"/>
    <mergeCell ref="C75:E75"/>
    <mergeCell ref="C76:E76"/>
    <mergeCell ref="C63:D63"/>
    <mergeCell ref="C52:D52"/>
    <mergeCell ref="C54:D54"/>
    <mergeCell ref="C53:D53"/>
    <mergeCell ref="B55:E55"/>
    <mergeCell ref="C59:D59"/>
    <mergeCell ref="C60:D60"/>
    <mergeCell ref="C61:D61"/>
    <mergeCell ref="C62:D62"/>
    <mergeCell ref="C51:D51"/>
    <mergeCell ref="C41:D41"/>
    <mergeCell ref="C42:D42"/>
    <mergeCell ref="C43:D43"/>
    <mergeCell ref="B44:E44"/>
    <mergeCell ref="C46:E46"/>
    <mergeCell ref="C47:E47"/>
    <mergeCell ref="C48:E48"/>
    <mergeCell ref="B49:E49"/>
    <mergeCell ref="C40:D40"/>
    <mergeCell ref="B27:E27"/>
    <mergeCell ref="C30:D30"/>
    <mergeCell ref="C31:D31"/>
    <mergeCell ref="C32:D32"/>
    <mergeCell ref="B33:E33"/>
    <mergeCell ref="B34:F34"/>
    <mergeCell ref="C35:D35"/>
    <mergeCell ref="C36:D36"/>
    <mergeCell ref="C37:D37"/>
    <mergeCell ref="C38:D38"/>
    <mergeCell ref="C39:D39"/>
    <mergeCell ref="D15:F15"/>
    <mergeCell ref="C26:E26"/>
    <mergeCell ref="D16:F16"/>
    <mergeCell ref="C17:E17"/>
    <mergeCell ref="B18:F18"/>
    <mergeCell ref="B19:E19"/>
    <mergeCell ref="C21:E21"/>
    <mergeCell ref="C22:E22"/>
    <mergeCell ref="C23:E23"/>
    <mergeCell ref="C24:E24"/>
    <mergeCell ref="C25:E25"/>
    <mergeCell ref="C10:E10"/>
    <mergeCell ref="C11:E11"/>
    <mergeCell ref="C12:E12"/>
    <mergeCell ref="C14:D14"/>
    <mergeCell ref="E14:F14"/>
    <mergeCell ref="B6:C6"/>
    <mergeCell ref="D6:E6"/>
    <mergeCell ref="B7:F7"/>
    <mergeCell ref="C8:E8"/>
    <mergeCell ref="D9:F9"/>
    <mergeCell ref="B1:F1"/>
    <mergeCell ref="B2:D2"/>
    <mergeCell ref="B3:F3"/>
    <mergeCell ref="B4:F4"/>
    <mergeCell ref="B5:C5"/>
    <mergeCell ref="D5:F5"/>
  </mergeCells>
  <printOptions horizontalCentered="1"/>
  <pageMargins left="0.08" right="0.05" top="0.19685039370078741" bottom="0.15748031496062992" header="0.19685039370078741" footer="0.15748031496062992"/>
  <pageSetup paperSize="9" orientation="portrait" r:id="rId1"/>
  <ignoredErrors>
    <ignoredError sqref="B1:F1 B13:F13 B4:F4 C3:F3 B2:F2 B10:F11 B9:D9 E9:F9 B12:E12 C17:F17 B14:D14 F14 B15:C15 C16 B7:F8 C6:F6 C5:F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8"/>
  <sheetViews>
    <sheetView zoomScaleNormal="100" zoomScaleSheetLayoutView="100" workbookViewId="0">
      <selection activeCell="E14" sqref="E14:F14"/>
    </sheetView>
  </sheetViews>
  <sheetFormatPr defaultRowHeight="16.5" x14ac:dyDescent="0.3"/>
  <cols>
    <col min="1" max="1" width="2.7109375" style="7" customWidth="1"/>
    <col min="2" max="2" width="8.85546875" style="7" customWidth="1"/>
    <col min="3" max="3" width="52.5703125" style="13" customWidth="1"/>
    <col min="4" max="4" width="7.85546875" style="13" customWidth="1"/>
    <col min="5" max="5" width="13.5703125" style="13" customWidth="1"/>
    <col min="6" max="6" width="15.42578125" style="13" bestFit="1" customWidth="1"/>
    <col min="7" max="16384" width="9.140625" style="7"/>
  </cols>
  <sheetData>
    <row r="1" spans="2:6" ht="20.25" x14ac:dyDescent="0.35">
      <c r="B1" s="220" t="str">
        <f>RAMO</f>
        <v>RAMO:</v>
      </c>
      <c r="C1" s="221"/>
      <c r="D1" s="221"/>
      <c r="E1" s="221"/>
      <c r="F1" s="222"/>
    </row>
    <row r="2" spans="2:6" ht="20.25" x14ac:dyDescent="0.35">
      <c r="B2" s="223" t="str">
        <f>UG</f>
        <v>UNIDADE GESTORA (SIGLA):</v>
      </c>
      <c r="C2" s="224"/>
      <c r="D2" s="225"/>
      <c r="E2" s="77" t="s">
        <v>47</v>
      </c>
      <c r="F2" s="78" t="str">
        <f>DATA_DO_ORCAMENTO_ESTIMATIVO</f>
        <v>XX/XX/20XX</v>
      </c>
    </row>
    <row r="3" spans="2:6" s="79" customFormat="1" ht="25.5" x14ac:dyDescent="0.5">
      <c r="B3" s="179" t="s">
        <v>146</v>
      </c>
      <c r="C3" s="179"/>
      <c r="D3" s="179"/>
      <c r="E3" s="179"/>
      <c r="F3" s="179"/>
    </row>
    <row r="4" spans="2:6" s="79" customFormat="1" ht="15.95" customHeight="1" x14ac:dyDescent="0.3">
      <c r="B4" s="155" t="s">
        <v>86</v>
      </c>
      <c r="C4" s="155"/>
      <c r="D4" s="155"/>
      <c r="E4" s="155"/>
      <c r="F4" s="155"/>
    </row>
    <row r="5" spans="2:6" s="79" customFormat="1" ht="15.95" customHeight="1" x14ac:dyDescent="0.3">
      <c r="B5" s="180" t="s">
        <v>165</v>
      </c>
      <c r="C5" s="180"/>
      <c r="D5" s="226" t="e">
        <f>NUMERO_PROCESSO</f>
        <v>#REF!</v>
      </c>
      <c r="E5" s="226"/>
      <c r="F5" s="226"/>
    </row>
    <row r="6" spans="2:6" s="79" customFormat="1" ht="15.75" customHeight="1" x14ac:dyDescent="0.3">
      <c r="B6" s="182" t="s">
        <v>166</v>
      </c>
      <c r="C6" s="182"/>
      <c r="D6" s="227" t="e">
        <f>MODALIDADE_DE_LICITACAO</f>
        <v>#REF!</v>
      </c>
      <c r="E6" s="227"/>
      <c r="F6" s="106" t="str">
        <f>NUMERO_PREGAO</f>
        <v>XX/20XX</v>
      </c>
    </row>
    <row r="7" spans="2:6" s="80" customFormat="1" ht="15.75" customHeight="1" x14ac:dyDescent="0.3">
      <c r="B7" s="228" t="s">
        <v>48</v>
      </c>
      <c r="C7" s="228"/>
      <c r="D7" s="228"/>
      <c r="E7" s="228"/>
      <c r="F7" s="228"/>
    </row>
    <row r="8" spans="2:6" s="79" customFormat="1" ht="18" customHeight="1" x14ac:dyDescent="0.3">
      <c r="B8" s="19" t="s">
        <v>2</v>
      </c>
      <c r="C8" s="180" t="s">
        <v>53</v>
      </c>
      <c r="D8" s="180"/>
      <c r="E8" s="180"/>
      <c r="F8" s="81" t="str">
        <f>DATA_APRESENTACAO_PROPOSTA</f>
        <v>XX/XX/20XX</v>
      </c>
    </row>
    <row r="9" spans="2:6" s="79" customFormat="1" ht="15.95" customHeight="1" x14ac:dyDescent="0.15">
      <c r="B9" s="1" t="s">
        <v>3</v>
      </c>
      <c r="C9" s="58" t="s">
        <v>29</v>
      </c>
      <c r="D9" s="229" t="e">
        <f>IF(LOCAL_DE_EXECUCAO="","",LOCAL_DE_EXECUCAO)</f>
        <v>#REF!</v>
      </c>
      <c r="E9" s="229"/>
      <c r="F9" s="229"/>
    </row>
    <row r="10" spans="2:6" s="79" customFormat="1" ht="18.75" customHeight="1" x14ac:dyDescent="0.3">
      <c r="B10" s="19" t="s">
        <v>4</v>
      </c>
      <c r="C10" s="180" t="s">
        <v>30</v>
      </c>
      <c r="D10" s="180"/>
      <c r="E10" s="180"/>
      <c r="F10" s="82" t="str">
        <f>ACORDO_COLETIVO</f>
        <v>XX/20XX</v>
      </c>
    </row>
    <row r="11" spans="2:6" s="79" customFormat="1" ht="15.95" customHeight="1" x14ac:dyDescent="0.3">
      <c r="B11" s="1" t="s">
        <v>5</v>
      </c>
      <c r="C11" s="229" t="s">
        <v>54</v>
      </c>
      <c r="D11" s="229"/>
      <c r="E11" s="229"/>
      <c r="F11" s="83">
        <f>NUMERO_MESES_EXEC_CONTRATUAL</f>
        <v>12</v>
      </c>
    </row>
    <row r="12" spans="2:6" s="79" customFormat="1" x14ac:dyDescent="0.3">
      <c r="B12" s="1" t="s">
        <v>6</v>
      </c>
      <c r="C12" s="230" t="s">
        <v>74</v>
      </c>
      <c r="D12" s="230"/>
      <c r="E12" s="230"/>
      <c r="F12" s="84">
        <f>IF(QTDE_POSTOS_DIURNO="","",QTDE_POSTOS_DIURNO)</f>
        <v>5</v>
      </c>
    </row>
    <row r="13" spans="2:6" s="87" customFormat="1" ht="15" customHeight="1" x14ac:dyDescent="0.2">
      <c r="B13" s="85" t="s">
        <v>142</v>
      </c>
      <c r="C13" s="86"/>
      <c r="D13" s="86"/>
      <c r="E13" s="86"/>
      <c r="F13" s="86"/>
    </row>
    <row r="14" spans="2:6" s="79" customFormat="1" x14ac:dyDescent="0.3">
      <c r="B14" s="19">
        <v>1</v>
      </c>
      <c r="C14" s="158" t="s">
        <v>50</v>
      </c>
      <c r="D14" s="158"/>
      <c r="E14" s="231" t="str">
        <f>IF(TIPO_DE_SERVICO="","",TIPO_DE_SERVICO)</f>
        <v>Tipo de Serviço - Contratação Brigadistas</v>
      </c>
      <c r="F14" s="231"/>
    </row>
    <row r="15" spans="2:6" s="80" customFormat="1" x14ac:dyDescent="0.3">
      <c r="B15" s="19">
        <v>2</v>
      </c>
      <c r="C15" s="21" t="s">
        <v>49</v>
      </c>
      <c r="D15" s="232"/>
      <c r="E15" s="232"/>
      <c r="F15" s="232"/>
    </row>
    <row r="16" spans="2:6" s="79" customFormat="1" ht="15" customHeight="1" x14ac:dyDescent="0.3">
      <c r="B16" s="19">
        <v>3</v>
      </c>
      <c r="C16" s="102" t="s">
        <v>51</v>
      </c>
      <c r="D16" s="231"/>
      <c r="E16" s="231"/>
      <c r="F16" s="231"/>
    </row>
    <row r="17" spans="2:6" s="79" customFormat="1" ht="15" customHeight="1" x14ac:dyDescent="0.3">
      <c r="B17" s="19">
        <v>4</v>
      </c>
      <c r="C17" s="157" t="s">
        <v>52</v>
      </c>
      <c r="D17" s="157"/>
      <c r="E17" s="157"/>
      <c r="F17" s="103" t="str">
        <f>DATA_BASE_CATEGORIA</f>
        <v>XX/XX/20XX</v>
      </c>
    </row>
    <row r="18" spans="2:6" s="88" customFormat="1" ht="20.25" customHeight="1" x14ac:dyDescent="0.3">
      <c r="B18" s="233" t="s">
        <v>33</v>
      </c>
      <c r="C18" s="233"/>
      <c r="D18" s="233"/>
      <c r="E18" s="233"/>
      <c r="F18" s="233"/>
    </row>
    <row r="19" spans="2:6" x14ac:dyDescent="0.3">
      <c r="B19" s="175" t="s">
        <v>45</v>
      </c>
      <c r="C19" s="175"/>
      <c r="D19" s="175"/>
      <c r="E19" s="175"/>
      <c r="F19" s="93">
        <f>IF(UNID_EMPR_POSTO_LIDER="","",UNID_EMPR_POSTO_LIDER)</f>
        <v>2</v>
      </c>
    </row>
    <row r="20" spans="2:6" x14ac:dyDescent="0.3">
      <c r="B20" s="45" t="s">
        <v>8</v>
      </c>
      <c r="E20" s="8"/>
      <c r="F20" s="8"/>
    </row>
    <row r="21" spans="2:6" x14ac:dyDescent="0.3">
      <c r="B21" s="1">
        <v>1</v>
      </c>
      <c r="C21" s="161" t="s">
        <v>9</v>
      </c>
      <c r="D21" s="161"/>
      <c r="E21" s="161"/>
      <c r="F21" s="3" t="s">
        <v>13</v>
      </c>
    </row>
    <row r="22" spans="2:6" x14ac:dyDescent="0.3">
      <c r="B22" s="1" t="s">
        <v>2</v>
      </c>
      <c r="C22" s="166" t="s">
        <v>81</v>
      </c>
      <c r="D22" s="166"/>
      <c r="E22" s="166"/>
      <c r="F22" s="48">
        <f>BRIGADISTA_DIURNO_12X36H_SALARIO_BASE</f>
        <v>0</v>
      </c>
    </row>
    <row r="23" spans="2:6" x14ac:dyDescent="0.3">
      <c r="B23" s="1" t="s">
        <v>3</v>
      </c>
      <c r="C23" s="216" t="s">
        <v>83</v>
      </c>
      <c r="D23" s="216"/>
      <c r="E23" s="216"/>
      <c r="F23" s="4">
        <f>PERC_ADIC_PERIC%*BRIGADISTA_DIURNO_12X36H_SALARIO_BASE</f>
        <v>0</v>
      </c>
    </row>
    <row r="24" spans="2:6" ht="15.75" customHeight="1" x14ac:dyDescent="0.3">
      <c r="B24" s="1" t="s">
        <v>4</v>
      </c>
      <c r="C24" s="234" t="s">
        <v>72</v>
      </c>
      <c r="D24" s="234"/>
      <c r="E24" s="234"/>
      <c r="F24" s="48">
        <f>IF(COND_AD_NOTURNO_DIRUNO="SIM",((AL_1_A_SAL_BASE+AL_1_B_ADIC_PERIC)/DIVISOR_DE_HORAS)*DIAS_NA_SEMANA*MEDIA_ANUAL_DIAS_TRABALHO_MES*PERC_ADIC_NOT%,0)</f>
        <v>0</v>
      </c>
    </row>
    <row r="25" spans="2:6" ht="15.75" customHeight="1" x14ac:dyDescent="0.3">
      <c r="B25" s="1" t="s">
        <v>5</v>
      </c>
      <c r="C25" s="216" t="s">
        <v>76</v>
      </c>
      <c r="D25" s="216"/>
      <c r="E25" s="216"/>
      <c r="F25" s="4">
        <f>IF(AL_1_C_ADIC_NOT&gt;0,((AL_1_A_SAL_BASE+AL_1_B_ADIC_PERIC)/DIVISOR_DE_HORAS)*((HORA_NORMAL-HORA_NOTURNA)/HORA_NOTURNA)*DIAS_NA_SEMANA*MEDIA_ANUAL_DIAS_TRABALHO_MES*PERC_ADIC_NOT%,0)</f>
        <v>0</v>
      </c>
    </row>
    <row r="26" spans="2:6" ht="15.75" customHeight="1" x14ac:dyDescent="0.3">
      <c r="B26" s="1" t="s">
        <v>6</v>
      </c>
      <c r="C26" s="146" t="s">
        <v>144</v>
      </c>
      <c r="D26" s="203"/>
      <c r="E26" s="147"/>
      <c r="F26" s="48">
        <f>PERC_ADIC_INS%*SAL_MINIMO</f>
        <v>0</v>
      </c>
    </row>
    <row r="27" spans="2:6" x14ac:dyDescent="0.3">
      <c r="B27" s="235" t="s">
        <v>39</v>
      </c>
      <c r="C27" s="235"/>
      <c r="D27" s="235"/>
      <c r="E27" s="235"/>
      <c r="F27" s="35">
        <f>SUM(F22:F26)</f>
        <v>0</v>
      </c>
    </row>
    <row r="28" spans="2:6" x14ac:dyDescent="0.3">
      <c r="B28" s="45" t="s">
        <v>55</v>
      </c>
      <c r="E28" s="15"/>
      <c r="F28" s="15"/>
    </row>
    <row r="29" spans="2:6" x14ac:dyDescent="0.3">
      <c r="B29" s="45" t="s">
        <v>99</v>
      </c>
      <c r="C29" s="6"/>
      <c r="D29" s="16"/>
      <c r="E29" s="14"/>
      <c r="F29" s="14"/>
    </row>
    <row r="30" spans="2:6" x14ac:dyDescent="0.3">
      <c r="B30" s="1" t="s">
        <v>56</v>
      </c>
      <c r="C30" s="175" t="s">
        <v>82</v>
      </c>
      <c r="D30" s="175"/>
      <c r="E30" s="3" t="s">
        <v>1</v>
      </c>
      <c r="F30" s="3" t="s">
        <v>13</v>
      </c>
    </row>
    <row r="31" spans="2:6" x14ac:dyDescent="0.3">
      <c r="B31" s="1" t="s">
        <v>2</v>
      </c>
      <c r="C31" s="215" t="s">
        <v>40</v>
      </c>
      <c r="D31" s="215"/>
      <c r="E31" s="50">
        <f>PERC_DEC_TERC</f>
        <v>8.33</v>
      </c>
      <c r="F31" s="49">
        <f>PERC_DEC_TERC%*MOD_1_REMUNERACAO</f>
        <v>0</v>
      </c>
    </row>
    <row r="32" spans="2:6" s="11" customFormat="1" x14ac:dyDescent="0.3">
      <c r="B32" s="2" t="s">
        <v>3</v>
      </c>
      <c r="C32" s="216" t="s">
        <v>84</v>
      </c>
      <c r="D32" s="216"/>
      <c r="E32" s="33">
        <f>PERC_ADIC_FERIAS</f>
        <v>2.78</v>
      </c>
      <c r="F32" s="31">
        <f>PERC_ADIC_FERIAS%*MOD_1_REMUNERACAO</f>
        <v>0</v>
      </c>
    </row>
    <row r="33" spans="2:6" s="89" customFormat="1" x14ac:dyDescent="0.3">
      <c r="B33" s="150" t="s">
        <v>39</v>
      </c>
      <c r="C33" s="205"/>
      <c r="D33" s="205"/>
      <c r="E33" s="151"/>
      <c r="F33" s="36">
        <f>SUM(F31:F32)</f>
        <v>0</v>
      </c>
    </row>
    <row r="34" spans="2:6" s="89" customFormat="1" ht="31.5" customHeight="1" x14ac:dyDescent="0.3">
      <c r="B34" s="236" t="s">
        <v>57</v>
      </c>
      <c r="C34" s="236"/>
      <c r="D34" s="236"/>
      <c r="E34" s="236"/>
      <c r="F34" s="236"/>
    </row>
    <row r="35" spans="2:6" s="89" customFormat="1" ht="34.5" customHeight="1" x14ac:dyDescent="0.3">
      <c r="B35" s="1" t="s">
        <v>58</v>
      </c>
      <c r="C35" s="218" t="s">
        <v>85</v>
      </c>
      <c r="D35" s="218"/>
      <c r="E35" s="3" t="s">
        <v>1</v>
      </c>
      <c r="F35" s="3" t="s">
        <v>13</v>
      </c>
    </row>
    <row r="36" spans="2:6" x14ac:dyDescent="0.3">
      <c r="B36" s="1" t="s">
        <v>2</v>
      </c>
      <c r="C36" s="215" t="s">
        <v>34</v>
      </c>
      <c r="D36" s="215"/>
      <c r="E36" s="50">
        <f>PERC_INSS</f>
        <v>20</v>
      </c>
      <c r="F36" s="49">
        <f>PERC_INSS%*(MOD_1_REMUNERACAO+SUBMOD_2_1_DEC_TERC_ADIC_FERIAS)</f>
        <v>0</v>
      </c>
    </row>
    <row r="37" spans="2:6" s="79" customFormat="1" x14ac:dyDescent="0.15">
      <c r="B37" s="2" t="s">
        <v>3</v>
      </c>
      <c r="C37" s="216" t="s">
        <v>36</v>
      </c>
      <c r="D37" s="216"/>
      <c r="E37" s="40">
        <f>PERC_SAL_EDUCACAO</f>
        <v>2.5</v>
      </c>
      <c r="F37" s="31">
        <f>PERC_SAL_EDUCACAO%*(MOD_1_REMUNERACAO+SUBMOD_2_1_DEC_TERC_ADIC_FERIAS)</f>
        <v>0</v>
      </c>
    </row>
    <row r="38" spans="2:6" s="79" customFormat="1" x14ac:dyDescent="0.15">
      <c r="B38" s="2" t="s">
        <v>4</v>
      </c>
      <c r="C38" s="215" t="s">
        <v>79</v>
      </c>
      <c r="D38" s="215"/>
      <c r="E38" s="50">
        <f>PERC_RAT</f>
        <v>3</v>
      </c>
      <c r="F38" s="49">
        <f>PERC_RAT%*(MOD_1_REMUNERACAO+SUBMOD_2_1_DEC_TERC_ADIC_FERIAS)</f>
        <v>0</v>
      </c>
    </row>
    <row r="39" spans="2:6" s="79" customFormat="1" x14ac:dyDescent="0.15">
      <c r="B39" s="2" t="s">
        <v>5</v>
      </c>
      <c r="C39" s="216" t="s">
        <v>77</v>
      </c>
      <c r="D39" s="216"/>
      <c r="E39" s="33">
        <f>PERC_SESC</f>
        <v>1.5</v>
      </c>
      <c r="F39" s="31">
        <f>PERC_SESC%*(MOD_1_REMUNERACAO+SUBMOD_2_1_DEC_TERC_ADIC_FERIAS)</f>
        <v>0</v>
      </c>
    </row>
    <row r="40" spans="2:6" s="79" customFormat="1" x14ac:dyDescent="0.15">
      <c r="B40" s="2" t="s">
        <v>6</v>
      </c>
      <c r="C40" s="215" t="s">
        <v>78</v>
      </c>
      <c r="D40" s="215"/>
      <c r="E40" s="50">
        <f>PERC_SENAC</f>
        <v>1</v>
      </c>
      <c r="F40" s="49">
        <f>PERC_SENAC%*(MOD_1_REMUNERACAO+SUBMOD_2_1_DEC_TERC_ADIC_FERIAS)</f>
        <v>0</v>
      </c>
    </row>
    <row r="41" spans="2:6" s="80" customFormat="1" x14ac:dyDescent="0.15">
      <c r="B41" s="2" t="s">
        <v>7</v>
      </c>
      <c r="C41" s="216" t="s">
        <v>38</v>
      </c>
      <c r="D41" s="216"/>
      <c r="E41" s="40">
        <f>PERC_SEBRAE</f>
        <v>0.6</v>
      </c>
      <c r="F41" s="31">
        <f>PERC_SEBRAE%*(MOD_1_REMUNERACAO+SUBMOD_2_1_DEC_TERC_ADIC_FERIAS)</f>
        <v>0</v>
      </c>
    </row>
    <row r="42" spans="2:6" s="80" customFormat="1" x14ac:dyDescent="0.15">
      <c r="B42" s="2" t="s">
        <v>10</v>
      </c>
      <c r="C42" s="215" t="s">
        <v>35</v>
      </c>
      <c r="D42" s="215"/>
      <c r="E42" s="50">
        <f>PERC_INCRA</f>
        <v>0.2</v>
      </c>
      <c r="F42" s="49">
        <f>PERC_INCRA%*(MOD_1_REMUNERACAO+SUBMOD_2_1_DEC_TERC_ADIC_FERIAS)</f>
        <v>0</v>
      </c>
    </row>
    <row r="43" spans="2:6" x14ac:dyDescent="0.3">
      <c r="B43" s="2" t="s">
        <v>11</v>
      </c>
      <c r="C43" s="216" t="s">
        <v>37</v>
      </c>
      <c r="D43" s="216"/>
      <c r="E43" s="40">
        <f>PERC_FGTS</f>
        <v>8</v>
      </c>
      <c r="F43" s="31">
        <f>PERC_FGTS%*(MOD_1_REMUNERACAO+SUBMOD_2_1_DEC_TERC_ADIC_FERIAS)</f>
        <v>0</v>
      </c>
    </row>
    <row r="44" spans="2:6" x14ac:dyDescent="0.3">
      <c r="B44" s="150" t="s">
        <v>39</v>
      </c>
      <c r="C44" s="205"/>
      <c r="D44" s="205"/>
      <c r="E44" s="151"/>
      <c r="F44" s="37">
        <f>SUM(F36:F43)</f>
        <v>0</v>
      </c>
    </row>
    <row r="45" spans="2:6" ht="15.75" customHeight="1" x14ac:dyDescent="0.3">
      <c r="B45" s="45" t="s">
        <v>60</v>
      </c>
      <c r="C45" s="80"/>
      <c r="D45" s="80"/>
      <c r="E45" s="80"/>
      <c r="F45" s="80"/>
    </row>
    <row r="46" spans="2:6" ht="15.75" customHeight="1" x14ac:dyDescent="0.3">
      <c r="B46" s="1" t="s">
        <v>80</v>
      </c>
      <c r="C46" s="161" t="s">
        <v>14</v>
      </c>
      <c r="D46" s="161"/>
      <c r="E46" s="161"/>
      <c r="F46" s="3" t="s">
        <v>13</v>
      </c>
    </row>
    <row r="47" spans="2:6" x14ac:dyDescent="0.3">
      <c r="B47" s="19" t="s">
        <v>2</v>
      </c>
      <c r="C47" s="215" t="s">
        <v>15</v>
      </c>
      <c r="D47" s="215"/>
      <c r="E47" s="215"/>
      <c r="F47" s="49">
        <f>IF(((TRANSPORTE_POR_DIA*DIAS_TRABALHADOS_NO_MES)-(PERC_DESC_TRANSP_REMUNERACAO%*(AL_1_A_SAL_BASE/2)))&gt;0,((TRANSPORTE_POR_DIA*DIAS_TRABALHADOS_NO_MES)-(PERC_DESC_TRANSP_REMUNERACAO%*(AL_1_A_SAL_BASE/2))),0)</f>
        <v>0</v>
      </c>
    </row>
    <row r="48" spans="2:6" s="89" customFormat="1" x14ac:dyDescent="0.3">
      <c r="B48" s="19" t="s">
        <v>3</v>
      </c>
      <c r="C48" s="216" t="s">
        <v>59</v>
      </c>
      <c r="D48" s="216"/>
      <c r="E48" s="216"/>
      <c r="F48" s="31">
        <f>ALIMENTACAO_POR_DIA*DIAS_TRABALHADOS_NO_MES</f>
        <v>0</v>
      </c>
    </row>
    <row r="49" spans="2:6" s="89" customFormat="1" ht="15" customHeight="1" x14ac:dyDescent="0.3">
      <c r="B49" s="235" t="s">
        <v>39</v>
      </c>
      <c r="C49" s="235"/>
      <c r="D49" s="235"/>
      <c r="E49" s="235"/>
      <c r="F49" s="35">
        <f>SUM(F47:F48)</f>
        <v>0</v>
      </c>
    </row>
    <row r="50" spans="2:6" s="89" customFormat="1" x14ac:dyDescent="0.3">
      <c r="B50" s="45" t="s">
        <v>61</v>
      </c>
      <c r="C50" s="6"/>
      <c r="D50" s="16"/>
      <c r="E50" s="14"/>
      <c r="F50" s="14"/>
    </row>
    <row r="51" spans="2:6" s="89" customFormat="1" ht="15" customHeight="1" x14ac:dyDescent="0.3">
      <c r="B51" s="1">
        <v>3</v>
      </c>
      <c r="C51" s="175" t="s">
        <v>41</v>
      </c>
      <c r="D51" s="175"/>
      <c r="E51" s="3" t="s">
        <v>1</v>
      </c>
      <c r="F51" s="3" t="s">
        <v>13</v>
      </c>
    </row>
    <row r="52" spans="2:6" s="89" customFormat="1" x14ac:dyDescent="0.3">
      <c r="B52" s="1" t="s">
        <v>2</v>
      </c>
      <c r="C52" s="213" t="s">
        <v>42</v>
      </c>
      <c r="D52" s="213"/>
      <c r="E52" s="50">
        <f>PERC_AVISO_PREVIO_IND</f>
        <v>0.28999999999999998</v>
      </c>
      <c r="F52" s="49">
        <f>PERC_AVISO_PREVIO_IND%*(MOD_1_REMUNERACAO+SUBMOD_2_1_DEC_TERC_ADIC_FERIAS+AL_2_2_FGTS+SUBMOD_2_3_BENEFICIOS)</f>
        <v>0</v>
      </c>
    </row>
    <row r="53" spans="2:6" s="89" customFormat="1" x14ac:dyDescent="0.3">
      <c r="B53" s="2" t="s">
        <v>3</v>
      </c>
      <c r="C53" s="219" t="s">
        <v>43</v>
      </c>
      <c r="D53" s="219"/>
      <c r="E53" s="40">
        <f>PERC_AVISO_PREVIO_TRAB</f>
        <v>1.1599999999999999</v>
      </c>
      <c r="F53" s="31">
        <f>PERC_AVISO_PREVIO_TRAB%*(MOD_1_REMUNERACAO+SUBMOD_2_1_DEC_TERC_ADIC_FERIAS+SUBMOD_2_2_GPS_FGTS+SUBMOD_2_3_BENEFICIOS)</f>
        <v>0</v>
      </c>
    </row>
    <row r="54" spans="2:6" s="79" customFormat="1" x14ac:dyDescent="0.15">
      <c r="B54" s="2" t="s">
        <v>4</v>
      </c>
      <c r="C54" s="213" t="s">
        <v>173</v>
      </c>
      <c r="D54" s="213"/>
      <c r="E54" s="50">
        <f>PERC_MULTA_FGTS_AV_PREV_TRAB</f>
        <v>0.04</v>
      </c>
      <c r="F54" s="49">
        <f>PERC_MULTA_FGTS_AV_PREV_TRAB%*(MOD_1_REMUNERACAO+SUBMOD_2_1_DEC_TERC_ADIC_FERIAS)</f>
        <v>0</v>
      </c>
    </row>
    <row r="55" spans="2:6" s="79" customFormat="1" x14ac:dyDescent="0.3">
      <c r="B55" s="150" t="s">
        <v>39</v>
      </c>
      <c r="C55" s="205"/>
      <c r="D55" s="205"/>
      <c r="E55" s="151"/>
      <c r="F55" s="36">
        <f>SUM(F52:F54)</f>
        <v>0</v>
      </c>
    </row>
    <row r="56" spans="2:6" ht="7.5" customHeight="1" x14ac:dyDescent="0.3">
      <c r="B56" s="10"/>
      <c r="C56" s="11"/>
      <c r="D56" s="12"/>
      <c r="E56" s="8"/>
      <c r="F56" s="8"/>
    </row>
    <row r="57" spans="2:6" s="79" customFormat="1" ht="15.95" customHeight="1" x14ac:dyDescent="0.3">
      <c r="B57" s="45" t="s">
        <v>62</v>
      </c>
      <c r="C57" s="6"/>
      <c r="D57" s="16"/>
      <c r="E57" s="7"/>
      <c r="F57" s="7"/>
    </row>
    <row r="58" spans="2:6" s="79" customFormat="1" ht="15.95" customHeight="1" x14ac:dyDescent="0.3">
      <c r="B58" s="45" t="s">
        <v>91</v>
      </c>
      <c r="C58" s="6"/>
      <c r="D58" s="16"/>
      <c r="E58" s="14"/>
      <c r="F58" s="14"/>
    </row>
    <row r="59" spans="2:6" s="79" customFormat="1" x14ac:dyDescent="0.15">
      <c r="B59" s="1" t="s">
        <v>18</v>
      </c>
      <c r="C59" s="214" t="s">
        <v>92</v>
      </c>
      <c r="D59" s="214"/>
      <c r="E59" s="3" t="s">
        <v>1</v>
      </c>
      <c r="F59" s="3" t="s">
        <v>13</v>
      </c>
    </row>
    <row r="60" spans="2:6" s="79" customFormat="1" ht="15.95" customHeight="1" x14ac:dyDescent="0.15">
      <c r="B60" s="2" t="s">
        <v>2</v>
      </c>
      <c r="C60" s="215" t="s">
        <v>93</v>
      </c>
      <c r="D60" s="215"/>
      <c r="E60" s="50">
        <f>PERC_SUBSTITUTO_FERIAS</f>
        <v>8.33</v>
      </c>
      <c r="F60" s="49">
        <f>PERC_SUBSTITUTO_FERIAS%*(MOD_1_REMUNERACAO+MOD_2_ENCARGOS_BENEFICIOS+MOD_3_PROVISAO_RESCISAO)</f>
        <v>0</v>
      </c>
    </row>
    <row r="61" spans="2:6" s="79" customFormat="1" ht="15.95" customHeight="1" x14ac:dyDescent="0.15">
      <c r="B61" s="2" t="s">
        <v>3</v>
      </c>
      <c r="C61" s="216" t="s">
        <v>94</v>
      </c>
      <c r="D61" s="216"/>
      <c r="E61" s="40">
        <f>PERC_SUBSTITUTO_AUSENCIAS_LEGAIS</f>
        <v>2.2200000000000002</v>
      </c>
      <c r="F61" s="31">
        <f>PERC_SUBSTITUTO_AUSENCIAS_LEGAIS%*(MOD_1_REMUNERACAO+MOD_2_ENCARGOS_BENEFICIOS+MOD_3_PROVISAO_RESCISAO)</f>
        <v>0</v>
      </c>
    </row>
    <row r="62" spans="2:6" s="79" customFormat="1" ht="15.95" customHeight="1" x14ac:dyDescent="0.15">
      <c r="B62" s="2" t="s">
        <v>4</v>
      </c>
      <c r="C62" s="215" t="s">
        <v>95</v>
      </c>
      <c r="D62" s="215"/>
      <c r="E62" s="50">
        <f>PERC_SUBSTITUTO_LICENCA_PATERNIDADE</f>
        <v>0.04</v>
      </c>
      <c r="F62" s="49">
        <f>PERC_SUBSTITUTO_LICENCA_PATERNIDADE%*(MOD_1_REMUNERACAO+MOD_2_ENCARGOS_BENEFICIOS+MOD_3_PROVISAO_RESCISAO)</f>
        <v>0</v>
      </c>
    </row>
    <row r="63" spans="2:6" s="79" customFormat="1" x14ac:dyDescent="0.15">
      <c r="B63" s="2" t="s">
        <v>5</v>
      </c>
      <c r="C63" s="216" t="s">
        <v>96</v>
      </c>
      <c r="D63" s="216"/>
      <c r="E63" s="40">
        <f>PERC_SUBSTITUTO_ACID_TRAB</f>
        <v>0.02</v>
      </c>
      <c r="F63" s="31">
        <f>PERC_SUBSTITUTO_ACID_TRAB%*(MOD_1_REMUNERACAO+MOD_2_ENCARGOS_BENEFICIOS+MOD_3_PROVISAO_RESCISAO)</f>
        <v>0</v>
      </c>
    </row>
    <row r="64" spans="2:6" s="79" customFormat="1" x14ac:dyDescent="0.15">
      <c r="B64" s="2" t="s">
        <v>6</v>
      </c>
      <c r="C64" s="215" t="s">
        <v>97</v>
      </c>
      <c r="D64" s="215"/>
      <c r="E64" s="50">
        <f>PERC_SUBSTITUTO_AFAST_MATERN</f>
        <v>0.14000000000000001</v>
      </c>
      <c r="F64" s="49">
        <f>PERC_SUBSTITUTO_AFAST_MATERN%*(MOD_1_REMUNERACAO+MOD_2_ENCARGOS_BENEFICIOS+MOD_3_PROVISAO_RESCISAO)</f>
        <v>0</v>
      </c>
    </row>
    <row r="65" spans="2:6" s="79" customFormat="1" x14ac:dyDescent="0.15">
      <c r="B65" s="2" t="s">
        <v>7</v>
      </c>
      <c r="C65" s="238" t="str">
        <f>OUTRAS_AUSENCIAS_DESCRICAO</f>
        <v>Outras Ausências (Especificar - em %)</v>
      </c>
      <c r="D65" s="216"/>
      <c r="E65" s="47">
        <f>PERC_SUBSTITUTO_OUTRAS_AUSENCIAS</f>
        <v>0</v>
      </c>
      <c r="F65" s="31">
        <f>PERC_SUBSTITUTO_OUTRAS_AUSENCIAS%*(MOD_1_REMUNERACAO+MOD_2_ENCARGOS_BENEFICIOS+MOD_3_PROVISAO_RESCISAO)</f>
        <v>0</v>
      </c>
    </row>
    <row r="66" spans="2:6" s="79" customFormat="1" x14ac:dyDescent="0.3">
      <c r="B66" s="150" t="s">
        <v>39</v>
      </c>
      <c r="C66" s="205"/>
      <c r="D66" s="205"/>
      <c r="E66" s="151"/>
      <c r="F66" s="36">
        <f>SUM(F60:F65)</f>
        <v>0</v>
      </c>
    </row>
    <row r="67" spans="2:6" s="79" customFormat="1" ht="15" customHeight="1" x14ac:dyDescent="0.3">
      <c r="B67" s="45" t="s">
        <v>168</v>
      </c>
      <c r="C67" s="6"/>
      <c r="D67" s="16"/>
      <c r="E67" s="14"/>
      <c r="F67" s="14"/>
    </row>
    <row r="68" spans="2:6" s="79" customFormat="1" x14ac:dyDescent="0.15">
      <c r="B68" s="1" t="s">
        <v>19</v>
      </c>
      <c r="C68" s="175" t="s">
        <v>167</v>
      </c>
      <c r="D68" s="175"/>
      <c r="E68" s="175"/>
      <c r="F68" s="3" t="s">
        <v>13</v>
      </c>
    </row>
    <row r="69" spans="2:6" s="79" customFormat="1" x14ac:dyDescent="0.15">
      <c r="B69" s="1" t="s">
        <v>2</v>
      </c>
      <c r="C69" s="215" t="s">
        <v>98</v>
      </c>
      <c r="D69" s="215"/>
      <c r="E69" s="215"/>
      <c r="F69" s="48">
        <f>IF(DIAS_TRABALHADOS_NO_MES=15,((MOD_1_REMUNERACAO+MOD_2_ENCARGOS_BENEFICIOS+MOD_3_PROVISAO_RESCISAO)/DIVISOR_DE_HORAS)*((TEMPO_INTERVALO_REFEICAO/HORA_NORMAL)+PERC_HORA_EXTRA%)*DIAS_TRABALHADOS_NO_MES,0)</f>
        <v>0</v>
      </c>
    </row>
    <row r="70" spans="2:6" s="79" customFormat="1" x14ac:dyDescent="0.3">
      <c r="B70" s="175" t="s">
        <v>39</v>
      </c>
      <c r="C70" s="175"/>
      <c r="D70" s="175"/>
      <c r="E70" s="175"/>
      <c r="F70" s="36">
        <f>SUM(F69)</f>
        <v>0</v>
      </c>
    </row>
    <row r="71" spans="2:6" ht="7.5" customHeight="1" x14ac:dyDescent="0.3">
      <c r="B71" s="10"/>
      <c r="C71" s="11"/>
      <c r="D71" s="12"/>
      <c r="E71" s="8"/>
      <c r="F71" s="8"/>
    </row>
    <row r="72" spans="2:6" x14ac:dyDescent="0.3">
      <c r="B72" s="45" t="s">
        <v>66</v>
      </c>
      <c r="C72" s="6"/>
      <c r="D72" s="6"/>
      <c r="E72" s="14"/>
      <c r="F72" s="14"/>
    </row>
    <row r="73" spans="2:6" ht="15.75" customHeight="1" x14ac:dyDescent="0.3">
      <c r="B73" s="43">
        <v>5</v>
      </c>
      <c r="C73" s="154" t="s">
        <v>0</v>
      </c>
      <c r="D73" s="154"/>
      <c r="E73" s="154"/>
      <c r="F73" s="44" t="s">
        <v>13</v>
      </c>
    </row>
    <row r="74" spans="2:6" x14ac:dyDescent="0.3">
      <c r="B74" s="39" t="s">
        <v>2</v>
      </c>
      <c r="C74" s="239" t="s">
        <v>182</v>
      </c>
      <c r="D74" s="239"/>
      <c r="E74" s="239"/>
      <c r="F74" s="51">
        <f>UNIFORMES</f>
        <v>0</v>
      </c>
    </row>
    <row r="75" spans="2:6" x14ac:dyDescent="0.3">
      <c r="B75" s="39" t="s">
        <v>3</v>
      </c>
      <c r="C75" s="240" t="s">
        <v>180</v>
      </c>
      <c r="D75" s="240"/>
      <c r="E75" s="240"/>
      <c r="F75" s="41">
        <f>MATERIAIS</f>
        <v>0</v>
      </c>
    </row>
    <row r="76" spans="2:6" x14ac:dyDescent="0.3">
      <c r="B76" s="39" t="s">
        <v>4</v>
      </c>
      <c r="C76" s="239" t="s">
        <v>181</v>
      </c>
      <c r="D76" s="239"/>
      <c r="E76" s="239"/>
      <c r="F76" s="51">
        <f>EQUIPAMENTOS</f>
        <v>0</v>
      </c>
    </row>
    <row r="77" spans="2:6" x14ac:dyDescent="0.3">
      <c r="B77" s="237" t="s">
        <v>39</v>
      </c>
      <c r="C77" s="237"/>
      <c r="D77" s="237"/>
      <c r="E77" s="237"/>
      <c r="F77" s="38">
        <f>SUM(F74:F76)</f>
        <v>0</v>
      </c>
    </row>
    <row r="78" spans="2:6" ht="7.5" customHeight="1" x14ac:dyDescent="0.3">
      <c r="B78" s="10"/>
      <c r="C78" s="11"/>
      <c r="D78" s="12"/>
      <c r="E78" s="8"/>
      <c r="F78" s="8"/>
    </row>
    <row r="79" spans="2:6" ht="15" customHeight="1" x14ac:dyDescent="0.3">
      <c r="B79" s="149" t="s">
        <v>65</v>
      </c>
      <c r="C79" s="149"/>
      <c r="D79" s="149"/>
      <c r="E79" s="149"/>
      <c r="F79" s="149"/>
    </row>
    <row r="80" spans="2:6" x14ac:dyDescent="0.3">
      <c r="B80" s="1">
        <v>6</v>
      </c>
      <c r="C80" s="175" t="s">
        <v>20</v>
      </c>
      <c r="D80" s="175"/>
      <c r="E80" s="3" t="s">
        <v>1</v>
      </c>
      <c r="F80" s="3" t="s">
        <v>13</v>
      </c>
    </row>
    <row r="81" spans="2:6" x14ac:dyDescent="0.3">
      <c r="B81" s="1" t="s">
        <v>2</v>
      </c>
      <c r="C81" s="215" t="s">
        <v>67</v>
      </c>
      <c r="D81" s="215"/>
      <c r="E81" s="52">
        <f>PERC_CUSTOS_INDIRETOS</f>
        <v>0</v>
      </c>
      <c r="F81" s="49">
        <f>PERC_CUSTOS_INDIRETOS%*(MOD_1_REMUNERACAO+MOD_2_ENCARGOS_BENEFICIOS+MOD_3_PROVISAO_RESCISAO+MOD_4_CUSTO_REPOSICAO+MOD_5_INSUMOS)</f>
        <v>0</v>
      </c>
    </row>
    <row r="82" spans="2:6" ht="15.75" customHeight="1" x14ac:dyDescent="0.3">
      <c r="B82" s="2" t="s">
        <v>3</v>
      </c>
      <c r="C82" s="216" t="s">
        <v>26</v>
      </c>
      <c r="D82" s="216"/>
      <c r="E82" s="42">
        <f>PERC_LUCRO</f>
        <v>0</v>
      </c>
      <c r="F82" s="31">
        <f>PERC_LUCRO%*(MOD_1_REMUNERACAO+MOD_2_ENCARGOS_BENEFICIOS+MOD_3_PROVISAO_RESCISAO+MOD_4_CUSTO_REPOSICAO+MOD_5_INSUMOS+AL_6_A_CUSTOS_INDIRETOS)</f>
        <v>0</v>
      </c>
    </row>
    <row r="83" spans="2:6" x14ac:dyDescent="0.3">
      <c r="B83" s="2" t="s">
        <v>4</v>
      </c>
      <c r="C83" s="215" t="s">
        <v>21</v>
      </c>
      <c r="D83" s="215"/>
      <c r="E83" s="52">
        <f>SUM(E84:E86)</f>
        <v>0</v>
      </c>
      <c r="F83" s="49">
        <f>SUM(F84:F86)</f>
        <v>0</v>
      </c>
    </row>
    <row r="84" spans="2:6" ht="15.75" customHeight="1" x14ac:dyDescent="0.3">
      <c r="B84" s="25" t="s">
        <v>68</v>
      </c>
      <c r="C84" s="241" t="s">
        <v>22</v>
      </c>
      <c r="D84" s="241"/>
      <c r="E84" s="26">
        <f>PERC_PIS</f>
        <v>0</v>
      </c>
      <c r="F84" s="54">
        <f>((MOD_1_REMUNERACAO+MOD_2_ENCARGOS_BENEFICIOS+MOD_3_PROVISAO_RESCISAO+MOD_4_CUSTO_REPOSICAO+MOD_5_INSUMOS+AL_6_A_CUSTOS_INDIRETOS+AL_6_B_LUCRO)*PERC_PIS%)/(1-PERC_TRIBUTOS%)</f>
        <v>0</v>
      </c>
    </row>
    <row r="85" spans="2:6" x14ac:dyDescent="0.3">
      <c r="B85" s="25" t="s">
        <v>69</v>
      </c>
      <c r="C85" s="242" t="s">
        <v>23</v>
      </c>
      <c r="D85" s="242"/>
      <c r="E85" s="53">
        <f>PERC_COFINS</f>
        <v>0</v>
      </c>
      <c r="F85" s="55">
        <f>((MOD_1_REMUNERACAO+MOD_2_ENCARGOS_BENEFICIOS+MOD_3_PROVISAO_RESCISAO+MOD_4_CUSTO_REPOSICAO+MOD_5_INSUMOS+AL_6_A_CUSTOS_INDIRETOS+AL_6_B_LUCRO)*PERC_COFINS%)/(1-PERC_TRIBUTOS%)</f>
        <v>0</v>
      </c>
    </row>
    <row r="86" spans="2:6" s="90" customFormat="1" x14ac:dyDescent="0.3">
      <c r="B86" s="25" t="s">
        <v>70</v>
      </c>
      <c r="C86" s="241" t="s">
        <v>24</v>
      </c>
      <c r="D86" s="241"/>
      <c r="E86" s="26">
        <f>PERC_ISS</f>
        <v>0</v>
      </c>
      <c r="F86" s="54">
        <f>((MOD_1_REMUNERACAO+MOD_2_ENCARGOS_BENEFICIOS+MOD_3_PROVISAO_RESCISAO+MOD_4_CUSTO_REPOSICAO+MOD_5_INSUMOS+AL_6_A_CUSTOS_INDIRETOS+AL_6_B_LUCRO)*PERC_ISS%)/(1-PERC_TRIBUTOS%)</f>
        <v>0</v>
      </c>
    </row>
    <row r="87" spans="2:6" s="90" customFormat="1" x14ac:dyDescent="0.3">
      <c r="B87" s="150" t="s">
        <v>39</v>
      </c>
      <c r="C87" s="205"/>
      <c r="D87" s="205"/>
      <c r="E87" s="151"/>
      <c r="F87" s="32">
        <f>AL_6_A_CUSTOS_INDIRETOS+AL_6_B_LUCRO+AL_6_C_TRIBUTOS</f>
        <v>0</v>
      </c>
    </row>
    <row r="88" spans="2:6" s="90" customFormat="1" ht="20.25" x14ac:dyDescent="0.3">
      <c r="B88" s="46" t="s">
        <v>46</v>
      </c>
      <c r="C88" s="9"/>
      <c r="D88" s="9"/>
      <c r="E88" s="9"/>
      <c r="F88" s="17"/>
    </row>
    <row r="89" spans="2:6" s="91" customFormat="1" ht="16.5" customHeight="1" x14ac:dyDescent="0.3">
      <c r="B89" s="2" t="s">
        <v>87</v>
      </c>
      <c r="C89" s="152" t="s">
        <v>88</v>
      </c>
      <c r="D89" s="211"/>
      <c r="E89" s="153"/>
      <c r="F89" s="3" t="s">
        <v>17</v>
      </c>
    </row>
    <row r="90" spans="2:6" s="90" customFormat="1" x14ac:dyDescent="0.3">
      <c r="B90" s="1">
        <v>1</v>
      </c>
      <c r="C90" s="215" t="s">
        <v>9</v>
      </c>
      <c r="D90" s="215"/>
      <c r="E90" s="215"/>
      <c r="F90" s="49">
        <f>MOD_1_REMUNERACAO</f>
        <v>0</v>
      </c>
    </row>
    <row r="91" spans="2:6" s="92" customFormat="1" ht="16.5" customHeight="1" x14ac:dyDescent="0.3">
      <c r="B91" s="2">
        <v>2</v>
      </c>
      <c r="C91" s="216" t="s">
        <v>89</v>
      </c>
      <c r="D91" s="216"/>
      <c r="E91" s="216"/>
      <c r="F91" s="31">
        <f>MOD_2_ENCARGOS_BENEFICIOS</f>
        <v>0</v>
      </c>
    </row>
    <row r="92" spans="2:6" s="92" customFormat="1" x14ac:dyDescent="0.3">
      <c r="B92" s="2">
        <v>3</v>
      </c>
      <c r="C92" s="215" t="s">
        <v>41</v>
      </c>
      <c r="D92" s="215"/>
      <c r="E92" s="215"/>
      <c r="F92" s="49">
        <f>MOD_3_PROVISAO_RESCISAO</f>
        <v>0</v>
      </c>
    </row>
    <row r="93" spans="2:6" s="92" customFormat="1" x14ac:dyDescent="0.3">
      <c r="B93" s="2">
        <v>4</v>
      </c>
      <c r="C93" s="216" t="s">
        <v>44</v>
      </c>
      <c r="D93" s="216"/>
      <c r="E93" s="216"/>
      <c r="F93" s="31">
        <f>MOD_4_CUSTO_REPOSICAO</f>
        <v>0</v>
      </c>
    </row>
    <row r="94" spans="2:6" s="92" customFormat="1" x14ac:dyDescent="0.3">
      <c r="B94" s="2">
        <v>5</v>
      </c>
      <c r="C94" s="215" t="s">
        <v>0</v>
      </c>
      <c r="D94" s="215"/>
      <c r="E94" s="215"/>
      <c r="F94" s="49">
        <f>MOD_5_INSUMOS</f>
        <v>0</v>
      </c>
    </row>
    <row r="95" spans="2:6" s="92" customFormat="1" x14ac:dyDescent="0.3">
      <c r="B95" s="2">
        <v>6</v>
      </c>
      <c r="C95" s="216" t="s">
        <v>20</v>
      </c>
      <c r="D95" s="216"/>
      <c r="E95" s="216"/>
      <c r="F95" s="31">
        <f>MOD_6_CUSTOS_IND_LUCRO_TRIB</f>
        <v>0</v>
      </c>
    </row>
    <row r="96" spans="2:6" ht="16.5" customHeight="1" x14ac:dyDescent="0.3">
      <c r="B96" s="214" t="s">
        <v>90</v>
      </c>
      <c r="C96" s="214"/>
      <c r="D96" s="214"/>
      <c r="E96" s="214"/>
      <c r="F96" s="32">
        <f>SUM(F90:F95)</f>
        <v>0</v>
      </c>
    </row>
    <row r="97" spans="2:6" ht="16.5" customHeight="1" x14ac:dyDescent="0.3">
      <c r="B97" s="214" t="s">
        <v>25</v>
      </c>
      <c r="C97" s="214"/>
      <c r="D97" s="214"/>
      <c r="E97" s="214"/>
      <c r="F97" s="32">
        <f>VALOR_TOTAL_EMPREG_DIURNO*UNID_EMPR_POSTO_DIRUNO</f>
        <v>0</v>
      </c>
    </row>
    <row r="98" spans="2:6" x14ac:dyDescent="0.3">
      <c r="B98" s="214" t="s">
        <v>145</v>
      </c>
      <c r="C98" s="214"/>
      <c r="D98" s="214"/>
      <c r="E98" s="214"/>
      <c r="F98" s="32">
        <f>VALOR_TOTAL_EMPREG_DIURNO*UNID_EMPR_POSTO_DIRUNO*QTDE_POSTOS_DIURNO</f>
        <v>0</v>
      </c>
    </row>
  </sheetData>
  <mergeCells count="87">
    <mergeCell ref="B1:F1"/>
    <mergeCell ref="B2:D2"/>
    <mergeCell ref="B3:F3"/>
    <mergeCell ref="B4:F4"/>
    <mergeCell ref="B5:C5"/>
    <mergeCell ref="D5:F5"/>
    <mergeCell ref="D16:F16"/>
    <mergeCell ref="B6:C6"/>
    <mergeCell ref="D6:E6"/>
    <mergeCell ref="B7:F7"/>
    <mergeCell ref="C8:E8"/>
    <mergeCell ref="D9:F9"/>
    <mergeCell ref="C10:E10"/>
    <mergeCell ref="C11:E11"/>
    <mergeCell ref="C12:E12"/>
    <mergeCell ref="C14:D14"/>
    <mergeCell ref="E14:F14"/>
    <mergeCell ref="D15:F15"/>
    <mergeCell ref="C31:D31"/>
    <mergeCell ref="C17:E17"/>
    <mergeCell ref="B18:F18"/>
    <mergeCell ref="B19:E19"/>
    <mergeCell ref="C21:E21"/>
    <mergeCell ref="C22:E22"/>
    <mergeCell ref="C23:E23"/>
    <mergeCell ref="C24:E24"/>
    <mergeCell ref="C25:E25"/>
    <mergeCell ref="C26:E26"/>
    <mergeCell ref="B27:E27"/>
    <mergeCell ref="C30:D30"/>
    <mergeCell ref="C43:D43"/>
    <mergeCell ref="C32:D32"/>
    <mergeCell ref="B33:E33"/>
    <mergeCell ref="B34:F34"/>
    <mergeCell ref="C35:D35"/>
    <mergeCell ref="C36:D36"/>
    <mergeCell ref="C37:D37"/>
    <mergeCell ref="C38:D38"/>
    <mergeCell ref="C39:D39"/>
    <mergeCell ref="C40:D40"/>
    <mergeCell ref="C41:D41"/>
    <mergeCell ref="C42:D42"/>
    <mergeCell ref="C60:D60"/>
    <mergeCell ref="B44:E44"/>
    <mergeCell ref="C46:E46"/>
    <mergeCell ref="C47:E47"/>
    <mergeCell ref="C48:E48"/>
    <mergeCell ref="B49:E49"/>
    <mergeCell ref="C51:D51"/>
    <mergeCell ref="C52:D52"/>
    <mergeCell ref="C53:D53"/>
    <mergeCell ref="C54:D54"/>
    <mergeCell ref="B55:E55"/>
    <mergeCell ref="C59:D59"/>
    <mergeCell ref="C75:E75"/>
    <mergeCell ref="C61:D61"/>
    <mergeCell ref="C62:D62"/>
    <mergeCell ref="C63:D63"/>
    <mergeCell ref="C64:D64"/>
    <mergeCell ref="C65:D65"/>
    <mergeCell ref="B66:E66"/>
    <mergeCell ref="C68:E68"/>
    <mergeCell ref="C69:E69"/>
    <mergeCell ref="B70:E70"/>
    <mergeCell ref="C73:E73"/>
    <mergeCell ref="C74:E74"/>
    <mergeCell ref="C89:E89"/>
    <mergeCell ref="C76:E76"/>
    <mergeCell ref="B77:E77"/>
    <mergeCell ref="B79:F79"/>
    <mergeCell ref="C80:D80"/>
    <mergeCell ref="C81:D81"/>
    <mergeCell ref="C82:D82"/>
    <mergeCell ref="C83:D83"/>
    <mergeCell ref="C84:D84"/>
    <mergeCell ref="C85:D85"/>
    <mergeCell ref="C86:D86"/>
    <mergeCell ref="B87:E87"/>
    <mergeCell ref="B96:E96"/>
    <mergeCell ref="B97:E97"/>
    <mergeCell ref="B98:E98"/>
    <mergeCell ref="C90:E90"/>
    <mergeCell ref="C91:E91"/>
    <mergeCell ref="C92:E92"/>
    <mergeCell ref="C93:E93"/>
    <mergeCell ref="C94:E94"/>
    <mergeCell ref="C95:E95"/>
  </mergeCells>
  <printOptions horizontalCentered="1"/>
  <pageMargins left="0.08" right="0.05" top="0.19685039370078741" bottom="0.15748031496062992" header="0.19685039370078741" footer="0.1574803149606299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8"/>
  <sheetViews>
    <sheetView zoomScaleNormal="100" zoomScaleSheetLayoutView="100" workbookViewId="0">
      <selection activeCell="E14" sqref="E14:F14"/>
    </sheetView>
  </sheetViews>
  <sheetFormatPr defaultRowHeight="16.5" x14ac:dyDescent="0.3"/>
  <cols>
    <col min="1" max="1" width="2.7109375" style="7" customWidth="1"/>
    <col min="2" max="2" width="8.85546875" style="7" customWidth="1"/>
    <col min="3" max="3" width="52.5703125" style="13" customWidth="1"/>
    <col min="4" max="4" width="7.85546875" style="13" customWidth="1"/>
    <col min="5" max="5" width="13.5703125" style="13" customWidth="1"/>
    <col min="6" max="6" width="15.42578125" style="13" bestFit="1" customWidth="1"/>
    <col min="7" max="7" width="11" style="7" bestFit="1" customWidth="1"/>
    <col min="8" max="16384" width="9.140625" style="7"/>
  </cols>
  <sheetData>
    <row r="1" spans="2:6" ht="20.25" x14ac:dyDescent="0.35">
      <c r="B1" s="220" t="str">
        <f>RAMO</f>
        <v>RAMO:</v>
      </c>
      <c r="C1" s="221"/>
      <c r="D1" s="221"/>
      <c r="E1" s="221"/>
      <c r="F1" s="222"/>
    </row>
    <row r="2" spans="2:6" ht="20.25" x14ac:dyDescent="0.35">
      <c r="B2" s="223" t="str">
        <f>UG</f>
        <v>UNIDADE GESTORA (SIGLA):</v>
      </c>
      <c r="C2" s="224"/>
      <c r="D2" s="225"/>
      <c r="E2" s="77" t="s">
        <v>47</v>
      </c>
      <c r="F2" s="78" t="str">
        <f>DATA_DO_ORCAMENTO_ESTIMATIVO</f>
        <v>XX/XX/20XX</v>
      </c>
    </row>
    <row r="3" spans="2:6" s="79" customFormat="1" ht="25.5" x14ac:dyDescent="0.5">
      <c r="B3" s="179" t="s">
        <v>146</v>
      </c>
      <c r="C3" s="179"/>
      <c r="D3" s="179"/>
      <c r="E3" s="179"/>
      <c r="F3" s="179"/>
    </row>
    <row r="4" spans="2:6" s="79" customFormat="1" ht="15.95" customHeight="1" x14ac:dyDescent="0.3">
      <c r="B4" s="155" t="s">
        <v>86</v>
      </c>
      <c r="C4" s="155"/>
      <c r="D4" s="155"/>
      <c r="E4" s="155"/>
      <c r="F4" s="155"/>
    </row>
    <row r="5" spans="2:6" s="79" customFormat="1" ht="15.95" customHeight="1" x14ac:dyDescent="0.3">
      <c r="B5" s="180" t="s">
        <v>165</v>
      </c>
      <c r="C5" s="180"/>
      <c r="D5" s="226" t="e">
        <f>NUMERO_PROCESSO</f>
        <v>#REF!</v>
      </c>
      <c r="E5" s="226"/>
      <c r="F5" s="226"/>
    </row>
    <row r="6" spans="2:6" s="79" customFormat="1" ht="15.75" customHeight="1" x14ac:dyDescent="0.3">
      <c r="B6" s="182" t="s">
        <v>166</v>
      </c>
      <c r="C6" s="182"/>
      <c r="D6" s="227" t="e">
        <f>MODALIDADE_DE_LICITACAO</f>
        <v>#REF!</v>
      </c>
      <c r="E6" s="227"/>
      <c r="F6" s="106" t="str">
        <f>NUMERO_PREGAO</f>
        <v>XX/20XX</v>
      </c>
    </row>
    <row r="7" spans="2:6" s="80" customFormat="1" ht="15.75" customHeight="1" x14ac:dyDescent="0.3">
      <c r="B7" s="228" t="s">
        <v>48</v>
      </c>
      <c r="C7" s="228"/>
      <c r="D7" s="228"/>
      <c r="E7" s="228"/>
      <c r="F7" s="228"/>
    </row>
    <row r="8" spans="2:6" s="79" customFormat="1" ht="18" customHeight="1" x14ac:dyDescent="0.3">
      <c r="B8" s="19" t="s">
        <v>2</v>
      </c>
      <c r="C8" s="180" t="s">
        <v>53</v>
      </c>
      <c r="D8" s="180"/>
      <c r="E8" s="180"/>
      <c r="F8" s="81" t="str">
        <f>DATA_APRESENTACAO_PROPOSTA</f>
        <v>XX/XX/20XX</v>
      </c>
    </row>
    <row r="9" spans="2:6" s="79" customFormat="1" ht="15.95" customHeight="1" x14ac:dyDescent="0.15">
      <c r="B9" s="1" t="s">
        <v>3</v>
      </c>
      <c r="C9" s="58" t="s">
        <v>29</v>
      </c>
      <c r="D9" s="229" t="e">
        <f>IF(LOCAL_DE_EXECUCAO="","",LOCAL_DE_EXECUCAO)</f>
        <v>#REF!</v>
      </c>
      <c r="E9" s="229"/>
      <c r="F9" s="229"/>
    </row>
    <row r="10" spans="2:6" s="79" customFormat="1" ht="18.75" customHeight="1" x14ac:dyDescent="0.3">
      <c r="B10" s="19" t="s">
        <v>4</v>
      </c>
      <c r="C10" s="180" t="s">
        <v>30</v>
      </c>
      <c r="D10" s="180"/>
      <c r="E10" s="180"/>
      <c r="F10" s="82" t="str">
        <f>ACORDO_COLETIVO</f>
        <v>XX/20XX</v>
      </c>
    </row>
    <row r="11" spans="2:6" s="79" customFormat="1" ht="15.95" customHeight="1" x14ac:dyDescent="0.3">
      <c r="B11" s="1" t="s">
        <v>5</v>
      </c>
      <c r="C11" s="229" t="s">
        <v>54</v>
      </c>
      <c r="D11" s="229"/>
      <c r="E11" s="229"/>
      <c r="F11" s="83">
        <f>NUMERO_MESES_EXEC_CONTRATUAL</f>
        <v>12</v>
      </c>
    </row>
    <row r="12" spans="2:6" s="79" customFormat="1" x14ac:dyDescent="0.3">
      <c r="B12" s="1" t="s">
        <v>6</v>
      </c>
      <c r="C12" s="230" t="s">
        <v>74</v>
      </c>
      <c r="D12" s="230"/>
      <c r="E12" s="230"/>
      <c r="F12" s="84">
        <f>IF(QTDE_POSTOS_NOTURNO="","",QTDE_POSTOS_NOTURNO)</f>
        <v>2</v>
      </c>
    </row>
    <row r="13" spans="2:6" s="87" customFormat="1" ht="15" customHeight="1" x14ac:dyDescent="0.2">
      <c r="B13" s="85" t="s">
        <v>142</v>
      </c>
      <c r="C13" s="86"/>
      <c r="D13" s="86"/>
      <c r="E13" s="86"/>
      <c r="F13" s="86"/>
    </row>
    <row r="14" spans="2:6" s="79" customFormat="1" x14ac:dyDescent="0.3">
      <c r="B14" s="19">
        <v>1</v>
      </c>
      <c r="C14" s="158" t="s">
        <v>50</v>
      </c>
      <c r="D14" s="158"/>
      <c r="E14" s="231" t="str">
        <f>IF(TIPO_DE_SERVICO="","",TIPO_DE_SERVICO)</f>
        <v>Tipo de Serviço - Contratação Brigadistas</v>
      </c>
      <c r="F14" s="231"/>
    </row>
    <row r="15" spans="2:6" s="80" customFormat="1" x14ac:dyDescent="0.3">
      <c r="B15" s="19">
        <v>2</v>
      </c>
      <c r="C15" s="21" t="s">
        <v>49</v>
      </c>
      <c r="D15" s="232"/>
      <c r="E15" s="232"/>
      <c r="F15" s="232"/>
    </row>
    <row r="16" spans="2:6" s="79" customFormat="1" ht="15" customHeight="1" x14ac:dyDescent="0.3">
      <c r="B16" s="19">
        <v>3</v>
      </c>
      <c r="C16" s="102" t="s">
        <v>51</v>
      </c>
      <c r="D16" s="231"/>
      <c r="E16" s="231"/>
      <c r="F16" s="231"/>
    </row>
    <row r="17" spans="2:7" s="79" customFormat="1" ht="15" customHeight="1" x14ac:dyDescent="0.3">
      <c r="B17" s="19">
        <v>4</v>
      </c>
      <c r="C17" s="157" t="s">
        <v>52</v>
      </c>
      <c r="D17" s="157"/>
      <c r="E17" s="157"/>
      <c r="F17" s="103" t="str">
        <f>DATA_BASE_CATEGORIA</f>
        <v>XX/XX/20XX</v>
      </c>
    </row>
    <row r="18" spans="2:7" s="88" customFormat="1" ht="20.25" customHeight="1" x14ac:dyDescent="0.3">
      <c r="B18" s="233" t="s">
        <v>33</v>
      </c>
      <c r="C18" s="233"/>
      <c r="D18" s="233"/>
      <c r="E18" s="233"/>
      <c r="F18" s="233"/>
    </row>
    <row r="19" spans="2:7" x14ac:dyDescent="0.3">
      <c r="B19" s="175" t="s">
        <v>45</v>
      </c>
      <c r="C19" s="175"/>
      <c r="D19" s="175"/>
      <c r="E19" s="175"/>
      <c r="F19" s="93">
        <f>IF(UNID_EMPR_POSTO_LIDER="","",UNID_EMPR_POSTO_LIDER)</f>
        <v>2</v>
      </c>
    </row>
    <row r="20" spans="2:7" x14ac:dyDescent="0.3">
      <c r="B20" s="45" t="s">
        <v>8</v>
      </c>
      <c r="E20" s="8"/>
      <c r="F20" s="8"/>
    </row>
    <row r="21" spans="2:7" x14ac:dyDescent="0.3">
      <c r="B21" s="1">
        <v>1</v>
      </c>
      <c r="C21" s="161" t="s">
        <v>9</v>
      </c>
      <c r="D21" s="161"/>
      <c r="E21" s="161"/>
      <c r="F21" s="3" t="s">
        <v>13</v>
      </c>
    </row>
    <row r="22" spans="2:7" x14ac:dyDescent="0.3">
      <c r="B22" s="1" t="s">
        <v>2</v>
      </c>
      <c r="C22" s="166" t="s">
        <v>81</v>
      </c>
      <c r="D22" s="166"/>
      <c r="E22" s="166"/>
      <c r="F22" s="48">
        <f>BRIGADISTA_NOTURNO_12X36H_SALARIO_BASE</f>
        <v>0</v>
      </c>
    </row>
    <row r="23" spans="2:7" x14ac:dyDescent="0.3">
      <c r="B23" s="1" t="s">
        <v>3</v>
      </c>
      <c r="C23" s="216" t="s">
        <v>83</v>
      </c>
      <c r="D23" s="216"/>
      <c r="E23" s="216"/>
      <c r="F23" s="4">
        <f>PERC_ADIC_PERIC%*BRIGADISTA_NOTURNO_12X36H_SALARIO_BASE</f>
        <v>0</v>
      </c>
      <c r="G23" s="139"/>
    </row>
    <row r="24" spans="2:7" ht="15.75" customHeight="1" x14ac:dyDescent="0.3">
      <c r="B24" s="1" t="s">
        <v>4</v>
      </c>
      <c r="C24" s="234" t="s">
        <v>72</v>
      </c>
      <c r="D24" s="234"/>
      <c r="E24" s="234"/>
      <c r="F24" s="48">
        <f>IF(COND_AD_NOTURNO_NOTURNO="SIM",((AL_1_A_SAL_BASE+AL_1_B_ADIC_PERIC)/DIVISOR_DE_HORAS)*DIAS_NA_SEMANA*MEDIA_ANUAL_DIAS_TRABALHO_MES*PERC_ADIC_NOT%,0)</f>
        <v>0</v>
      </c>
    </row>
    <row r="25" spans="2:7" ht="15.75" customHeight="1" x14ac:dyDescent="0.3">
      <c r="B25" s="1" t="s">
        <v>5</v>
      </c>
      <c r="C25" s="216" t="s">
        <v>76</v>
      </c>
      <c r="D25" s="216"/>
      <c r="E25" s="216"/>
      <c r="F25" s="4">
        <f>IF(AL_1_C_ADIC_NOT&gt;0,((AL_1_A_SAL_BASE+AL_1_B_ADIC_PERIC)/DIVISOR_DE_HORAS)*((HORA_NORMAL-HORA_NOTURNA)/HORA_NOTURNA)*DIAS_NA_SEMANA*MEDIA_ANUAL_DIAS_TRABALHO_MES*PERC_ADIC_NOT%,0)</f>
        <v>0</v>
      </c>
    </row>
    <row r="26" spans="2:7" ht="15.75" customHeight="1" x14ac:dyDescent="0.3">
      <c r="B26" s="1" t="s">
        <v>6</v>
      </c>
      <c r="C26" s="146" t="s">
        <v>144</v>
      </c>
      <c r="D26" s="203"/>
      <c r="E26" s="147"/>
      <c r="F26" s="48">
        <f>PERC_ADIC_INS%*SAL_MINIMO</f>
        <v>0</v>
      </c>
    </row>
    <row r="27" spans="2:7" x14ac:dyDescent="0.3">
      <c r="B27" s="235" t="s">
        <v>39</v>
      </c>
      <c r="C27" s="235"/>
      <c r="D27" s="235"/>
      <c r="E27" s="235"/>
      <c r="F27" s="35">
        <f>SUM(F22:F26)</f>
        <v>0</v>
      </c>
    </row>
    <row r="28" spans="2:7" x14ac:dyDescent="0.3">
      <c r="B28" s="45" t="s">
        <v>55</v>
      </c>
      <c r="E28" s="15"/>
      <c r="F28" s="15"/>
    </row>
    <row r="29" spans="2:7" x14ac:dyDescent="0.3">
      <c r="B29" s="45" t="s">
        <v>99</v>
      </c>
      <c r="C29" s="6"/>
      <c r="D29" s="16"/>
      <c r="E29" s="14"/>
      <c r="F29" s="14"/>
    </row>
    <row r="30" spans="2:7" x14ac:dyDescent="0.3">
      <c r="B30" s="1" t="s">
        <v>56</v>
      </c>
      <c r="C30" s="175" t="s">
        <v>82</v>
      </c>
      <c r="D30" s="175"/>
      <c r="E30" s="3" t="s">
        <v>1</v>
      </c>
      <c r="F30" s="3" t="s">
        <v>13</v>
      </c>
    </row>
    <row r="31" spans="2:7" x14ac:dyDescent="0.3">
      <c r="B31" s="1" t="s">
        <v>2</v>
      </c>
      <c r="C31" s="215" t="s">
        <v>40</v>
      </c>
      <c r="D31" s="215"/>
      <c r="E31" s="50">
        <f>PERC_DEC_TERC</f>
        <v>8.33</v>
      </c>
      <c r="F31" s="49">
        <f>PERC_DEC_TERC%*MOD_1_REMUNERACAO</f>
        <v>0</v>
      </c>
    </row>
    <row r="32" spans="2:7" s="11" customFormat="1" x14ac:dyDescent="0.3">
      <c r="B32" s="2" t="s">
        <v>3</v>
      </c>
      <c r="C32" s="216" t="s">
        <v>84</v>
      </c>
      <c r="D32" s="216"/>
      <c r="E32" s="33">
        <f>PERC_ADIC_FERIAS</f>
        <v>2.78</v>
      </c>
      <c r="F32" s="31">
        <f>PERC_ADIC_FERIAS%*MOD_1_REMUNERACAO</f>
        <v>0</v>
      </c>
    </row>
    <row r="33" spans="2:6" s="89" customFormat="1" x14ac:dyDescent="0.3">
      <c r="B33" s="150" t="s">
        <v>39</v>
      </c>
      <c r="C33" s="205"/>
      <c r="D33" s="205"/>
      <c r="E33" s="151"/>
      <c r="F33" s="36">
        <f>SUM(F31:F32)</f>
        <v>0</v>
      </c>
    </row>
    <row r="34" spans="2:6" s="89" customFormat="1" ht="31.5" customHeight="1" x14ac:dyDescent="0.3">
      <c r="B34" s="236" t="s">
        <v>57</v>
      </c>
      <c r="C34" s="236"/>
      <c r="D34" s="236"/>
      <c r="E34" s="236"/>
      <c r="F34" s="236"/>
    </row>
    <row r="35" spans="2:6" s="89" customFormat="1" ht="34.5" customHeight="1" x14ac:dyDescent="0.3">
      <c r="B35" s="1" t="s">
        <v>58</v>
      </c>
      <c r="C35" s="218" t="s">
        <v>85</v>
      </c>
      <c r="D35" s="218"/>
      <c r="E35" s="3" t="s">
        <v>1</v>
      </c>
      <c r="F35" s="3" t="s">
        <v>13</v>
      </c>
    </row>
    <row r="36" spans="2:6" x14ac:dyDescent="0.3">
      <c r="B36" s="1" t="s">
        <v>2</v>
      </c>
      <c r="C36" s="215" t="s">
        <v>34</v>
      </c>
      <c r="D36" s="215"/>
      <c r="E36" s="50">
        <f>PERC_INSS</f>
        <v>20</v>
      </c>
      <c r="F36" s="49">
        <f>PERC_INSS%*(MOD_1_REMUNERACAO+SUBMOD_2_1_DEC_TERC_ADIC_FERIAS)</f>
        <v>0</v>
      </c>
    </row>
    <row r="37" spans="2:6" s="79" customFormat="1" x14ac:dyDescent="0.15">
      <c r="B37" s="2" t="s">
        <v>3</v>
      </c>
      <c r="C37" s="216" t="s">
        <v>36</v>
      </c>
      <c r="D37" s="216"/>
      <c r="E37" s="40">
        <f>PERC_SAL_EDUCACAO</f>
        <v>2.5</v>
      </c>
      <c r="F37" s="31">
        <f>PERC_SAL_EDUCACAO%*(MOD_1_REMUNERACAO+SUBMOD_2_1_DEC_TERC_ADIC_FERIAS)</f>
        <v>0</v>
      </c>
    </row>
    <row r="38" spans="2:6" s="79" customFormat="1" x14ac:dyDescent="0.15">
      <c r="B38" s="2" t="s">
        <v>4</v>
      </c>
      <c r="C38" s="215" t="s">
        <v>79</v>
      </c>
      <c r="D38" s="215"/>
      <c r="E38" s="50">
        <f>PERC_RAT</f>
        <v>3</v>
      </c>
      <c r="F38" s="49">
        <f>PERC_RAT%*(MOD_1_REMUNERACAO+SUBMOD_2_1_DEC_TERC_ADIC_FERIAS)</f>
        <v>0</v>
      </c>
    </row>
    <row r="39" spans="2:6" s="79" customFormat="1" x14ac:dyDescent="0.15">
      <c r="B39" s="2" t="s">
        <v>5</v>
      </c>
      <c r="C39" s="216" t="s">
        <v>77</v>
      </c>
      <c r="D39" s="216"/>
      <c r="E39" s="33">
        <f>PERC_SESC</f>
        <v>1.5</v>
      </c>
      <c r="F39" s="31">
        <f>PERC_SESC%*(MOD_1_REMUNERACAO+SUBMOD_2_1_DEC_TERC_ADIC_FERIAS)</f>
        <v>0</v>
      </c>
    </row>
    <row r="40" spans="2:6" s="79" customFormat="1" x14ac:dyDescent="0.15">
      <c r="B40" s="2" t="s">
        <v>6</v>
      </c>
      <c r="C40" s="215" t="s">
        <v>78</v>
      </c>
      <c r="D40" s="215"/>
      <c r="E40" s="50">
        <f>PERC_SENAC</f>
        <v>1</v>
      </c>
      <c r="F40" s="49">
        <f>PERC_SENAC%*(MOD_1_REMUNERACAO+SUBMOD_2_1_DEC_TERC_ADIC_FERIAS)</f>
        <v>0</v>
      </c>
    </row>
    <row r="41" spans="2:6" s="80" customFormat="1" x14ac:dyDescent="0.15">
      <c r="B41" s="2" t="s">
        <v>7</v>
      </c>
      <c r="C41" s="216" t="s">
        <v>38</v>
      </c>
      <c r="D41" s="216"/>
      <c r="E41" s="40">
        <f>PERC_SEBRAE</f>
        <v>0.6</v>
      </c>
      <c r="F41" s="31">
        <f>PERC_SEBRAE%*(MOD_1_REMUNERACAO+SUBMOD_2_1_DEC_TERC_ADIC_FERIAS)</f>
        <v>0</v>
      </c>
    </row>
    <row r="42" spans="2:6" s="80" customFormat="1" x14ac:dyDescent="0.15">
      <c r="B42" s="2" t="s">
        <v>10</v>
      </c>
      <c r="C42" s="215" t="s">
        <v>35</v>
      </c>
      <c r="D42" s="215"/>
      <c r="E42" s="50">
        <f>PERC_INCRA</f>
        <v>0.2</v>
      </c>
      <c r="F42" s="49">
        <f>PERC_INCRA%*(MOD_1_REMUNERACAO+SUBMOD_2_1_DEC_TERC_ADIC_FERIAS)</f>
        <v>0</v>
      </c>
    </row>
    <row r="43" spans="2:6" x14ac:dyDescent="0.3">
      <c r="B43" s="2" t="s">
        <v>11</v>
      </c>
      <c r="C43" s="216" t="s">
        <v>37</v>
      </c>
      <c r="D43" s="216"/>
      <c r="E43" s="40">
        <f>PERC_FGTS</f>
        <v>8</v>
      </c>
      <c r="F43" s="31">
        <f>PERC_FGTS%*(MOD_1_REMUNERACAO+SUBMOD_2_1_DEC_TERC_ADIC_FERIAS)</f>
        <v>0</v>
      </c>
    </row>
    <row r="44" spans="2:6" x14ac:dyDescent="0.3">
      <c r="B44" s="150" t="s">
        <v>39</v>
      </c>
      <c r="C44" s="205"/>
      <c r="D44" s="205"/>
      <c r="E44" s="151"/>
      <c r="F44" s="37">
        <f>SUM(F36:F43)</f>
        <v>0</v>
      </c>
    </row>
    <row r="45" spans="2:6" ht="15.75" customHeight="1" x14ac:dyDescent="0.3">
      <c r="B45" s="45" t="s">
        <v>60</v>
      </c>
      <c r="C45" s="80"/>
      <c r="D45" s="80"/>
      <c r="E45" s="80"/>
      <c r="F45" s="80"/>
    </row>
    <row r="46" spans="2:6" ht="15.75" customHeight="1" x14ac:dyDescent="0.3">
      <c r="B46" s="1" t="s">
        <v>80</v>
      </c>
      <c r="C46" s="161" t="s">
        <v>14</v>
      </c>
      <c r="D46" s="161"/>
      <c r="E46" s="161"/>
      <c r="F46" s="3" t="s">
        <v>13</v>
      </c>
    </row>
    <row r="47" spans="2:6" x14ac:dyDescent="0.3">
      <c r="B47" s="19" t="s">
        <v>2</v>
      </c>
      <c r="C47" s="215" t="s">
        <v>15</v>
      </c>
      <c r="D47" s="215"/>
      <c r="E47" s="215"/>
      <c r="F47" s="49">
        <f>IF(((TRANSPORTE_POR_DIA*DIAS_TRABALHADOS_NO_MES)-(PERC_DESC_TRANSP_REMUNERACAO%*(AL_1_A_SAL_BASE/2)))&gt;0,((TRANSPORTE_POR_DIA*DIAS_TRABALHADOS_NO_MES)-(PERC_DESC_TRANSP_REMUNERACAO%*(AL_1_A_SAL_BASE/2))),0)</f>
        <v>0</v>
      </c>
    </row>
    <row r="48" spans="2:6" s="89" customFormat="1" x14ac:dyDescent="0.3">
      <c r="B48" s="19" t="s">
        <v>3</v>
      </c>
      <c r="C48" s="216" t="s">
        <v>59</v>
      </c>
      <c r="D48" s="216"/>
      <c r="E48" s="216"/>
      <c r="F48" s="31">
        <f>ALIMENTACAO_POR_DIA*DIAS_TRABALHADOS_NO_MES</f>
        <v>0</v>
      </c>
    </row>
    <row r="49" spans="2:6" s="89" customFormat="1" ht="15" customHeight="1" x14ac:dyDescent="0.3">
      <c r="B49" s="235" t="s">
        <v>39</v>
      </c>
      <c r="C49" s="235"/>
      <c r="D49" s="235"/>
      <c r="E49" s="235"/>
      <c r="F49" s="35">
        <f>SUM(F47:F48)</f>
        <v>0</v>
      </c>
    </row>
    <row r="50" spans="2:6" s="89" customFormat="1" x14ac:dyDescent="0.3">
      <c r="B50" s="45" t="s">
        <v>61</v>
      </c>
      <c r="C50" s="6"/>
      <c r="D50" s="16"/>
      <c r="E50" s="14"/>
      <c r="F50" s="14"/>
    </row>
    <row r="51" spans="2:6" s="89" customFormat="1" ht="15" customHeight="1" x14ac:dyDescent="0.3">
      <c r="B51" s="1">
        <v>3</v>
      </c>
      <c r="C51" s="175" t="s">
        <v>41</v>
      </c>
      <c r="D51" s="175"/>
      <c r="E51" s="3" t="s">
        <v>1</v>
      </c>
      <c r="F51" s="3" t="s">
        <v>13</v>
      </c>
    </row>
    <row r="52" spans="2:6" s="89" customFormat="1" x14ac:dyDescent="0.3">
      <c r="B52" s="1" t="s">
        <v>2</v>
      </c>
      <c r="C52" s="213" t="s">
        <v>42</v>
      </c>
      <c r="D52" s="213"/>
      <c r="E52" s="50">
        <f>PERC_AVISO_PREVIO_IND</f>
        <v>0.28999999999999998</v>
      </c>
      <c r="F52" s="49">
        <f>PERC_AVISO_PREVIO_IND%*(MOD_1_REMUNERACAO+SUBMOD_2_1_DEC_TERC_ADIC_FERIAS+AL_2_2_FGTS+SUBMOD_2_3_BENEFICIOS)</f>
        <v>0</v>
      </c>
    </row>
    <row r="53" spans="2:6" s="89" customFormat="1" x14ac:dyDescent="0.3">
      <c r="B53" s="2" t="s">
        <v>3</v>
      </c>
      <c r="C53" s="219" t="s">
        <v>43</v>
      </c>
      <c r="D53" s="219"/>
      <c r="E53" s="40">
        <f>PERC_AVISO_PREVIO_TRAB</f>
        <v>1.1599999999999999</v>
      </c>
      <c r="F53" s="31">
        <f>PERC_AVISO_PREVIO_TRAB%*(MOD_1_REMUNERACAO+SUBMOD_2_1_DEC_TERC_ADIC_FERIAS+SUBMOD_2_2_GPS_FGTS+SUBMOD_2_3_BENEFICIOS)</f>
        <v>0</v>
      </c>
    </row>
    <row r="54" spans="2:6" s="79" customFormat="1" x14ac:dyDescent="0.15">
      <c r="B54" s="2" t="s">
        <v>4</v>
      </c>
      <c r="C54" s="213" t="s">
        <v>173</v>
      </c>
      <c r="D54" s="213"/>
      <c r="E54" s="50">
        <f>PERC_MULTA_FGTS_AV_PREV_TRAB</f>
        <v>0.04</v>
      </c>
      <c r="F54" s="49">
        <f>PERC_MULTA_FGTS_AV_PREV_TRAB%*(MOD_1_REMUNERACAO+SUBMOD_2_1_DEC_TERC_ADIC_FERIAS)</f>
        <v>0</v>
      </c>
    </row>
    <row r="55" spans="2:6" s="79" customFormat="1" x14ac:dyDescent="0.3">
      <c r="B55" s="150" t="s">
        <v>39</v>
      </c>
      <c r="C55" s="205"/>
      <c r="D55" s="205"/>
      <c r="E55" s="151"/>
      <c r="F55" s="36">
        <f>SUM(F52:F54)</f>
        <v>0</v>
      </c>
    </row>
    <row r="56" spans="2:6" ht="7.5" customHeight="1" x14ac:dyDescent="0.3">
      <c r="B56" s="10"/>
      <c r="C56" s="11"/>
      <c r="D56" s="12"/>
      <c r="E56" s="8"/>
      <c r="F56" s="8"/>
    </row>
    <row r="57" spans="2:6" s="79" customFormat="1" ht="15.95" customHeight="1" x14ac:dyDescent="0.3">
      <c r="B57" s="45" t="s">
        <v>62</v>
      </c>
      <c r="C57" s="6"/>
      <c r="D57" s="16"/>
      <c r="E57" s="7"/>
      <c r="F57" s="7"/>
    </row>
    <row r="58" spans="2:6" s="79" customFormat="1" ht="15.95" customHeight="1" x14ac:dyDescent="0.3">
      <c r="B58" s="45" t="s">
        <v>91</v>
      </c>
      <c r="C58" s="6"/>
      <c r="D58" s="16"/>
      <c r="E58" s="14"/>
      <c r="F58" s="14"/>
    </row>
    <row r="59" spans="2:6" s="79" customFormat="1" x14ac:dyDescent="0.15">
      <c r="B59" s="1" t="s">
        <v>18</v>
      </c>
      <c r="C59" s="214" t="s">
        <v>92</v>
      </c>
      <c r="D59" s="214"/>
      <c r="E59" s="3" t="s">
        <v>1</v>
      </c>
      <c r="F59" s="3" t="s">
        <v>13</v>
      </c>
    </row>
    <row r="60" spans="2:6" s="79" customFormat="1" ht="15.95" customHeight="1" x14ac:dyDescent="0.15">
      <c r="B60" s="2" t="s">
        <v>2</v>
      </c>
      <c r="C60" s="215" t="s">
        <v>93</v>
      </c>
      <c r="D60" s="215"/>
      <c r="E60" s="50">
        <f>PERC_SUBSTITUTO_FERIAS</f>
        <v>8.33</v>
      </c>
      <c r="F60" s="49">
        <f>PERC_SUBSTITUTO_FERIAS%*(MOD_1_REMUNERACAO+MOD_2_ENCARGOS_BENEFICIOS+MOD_3_PROVISAO_RESCISAO)</f>
        <v>0</v>
      </c>
    </row>
    <row r="61" spans="2:6" s="79" customFormat="1" ht="15.95" customHeight="1" x14ac:dyDescent="0.15">
      <c r="B61" s="2" t="s">
        <v>3</v>
      </c>
      <c r="C61" s="216" t="s">
        <v>94</v>
      </c>
      <c r="D61" s="216"/>
      <c r="E61" s="40">
        <f>PERC_SUBSTITUTO_AUSENCIAS_LEGAIS</f>
        <v>2.2200000000000002</v>
      </c>
      <c r="F61" s="31">
        <f>PERC_SUBSTITUTO_AUSENCIAS_LEGAIS%*(MOD_1_REMUNERACAO+MOD_2_ENCARGOS_BENEFICIOS+MOD_3_PROVISAO_RESCISAO)</f>
        <v>0</v>
      </c>
    </row>
    <row r="62" spans="2:6" s="79" customFormat="1" ht="15.95" customHeight="1" x14ac:dyDescent="0.15">
      <c r="B62" s="2" t="s">
        <v>4</v>
      </c>
      <c r="C62" s="215" t="s">
        <v>95</v>
      </c>
      <c r="D62" s="215"/>
      <c r="E62" s="50">
        <f>PERC_SUBSTITUTO_LICENCA_PATERNIDADE</f>
        <v>0.04</v>
      </c>
      <c r="F62" s="49">
        <f>PERC_SUBSTITUTO_LICENCA_PATERNIDADE%*(MOD_1_REMUNERACAO+MOD_2_ENCARGOS_BENEFICIOS+MOD_3_PROVISAO_RESCISAO)</f>
        <v>0</v>
      </c>
    </row>
    <row r="63" spans="2:6" s="79" customFormat="1" x14ac:dyDescent="0.15">
      <c r="B63" s="2" t="s">
        <v>5</v>
      </c>
      <c r="C63" s="216" t="s">
        <v>96</v>
      </c>
      <c r="D63" s="216"/>
      <c r="E63" s="40">
        <f>PERC_SUBSTITUTO_ACID_TRAB</f>
        <v>0.02</v>
      </c>
      <c r="F63" s="31">
        <f>PERC_SUBSTITUTO_ACID_TRAB%*(MOD_1_REMUNERACAO+MOD_2_ENCARGOS_BENEFICIOS+MOD_3_PROVISAO_RESCISAO)</f>
        <v>0</v>
      </c>
    </row>
    <row r="64" spans="2:6" s="79" customFormat="1" x14ac:dyDescent="0.15">
      <c r="B64" s="2" t="s">
        <v>6</v>
      </c>
      <c r="C64" s="215" t="s">
        <v>97</v>
      </c>
      <c r="D64" s="215"/>
      <c r="E64" s="50">
        <f>PERC_SUBSTITUTO_AFAST_MATERN</f>
        <v>0.14000000000000001</v>
      </c>
      <c r="F64" s="49">
        <f>PERC_SUBSTITUTO_AFAST_MATERN%*(MOD_1_REMUNERACAO+MOD_2_ENCARGOS_BENEFICIOS+MOD_3_PROVISAO_RESCISAO)</f>
        <v>0</v>
      </c>
    </row>
    <row r="65" spans="2:6" s="79" customFormat="1" x14ac:dyDescent="0.15">
      <c r="B65" s="2" t="s">
        <v>7</v>
      </c>
      <c r="C65" s="238" t="str">
        <f>OUTRAS_AUSENCIAS_DESCRICAO</f>
        <v>Outras Ausências (Especificar - em %)</v>
      </c>
      <c r="D65" s="216"/>
      <c r="E65" s="47">
        <f>PERC_SUBSTITUTO_OUTRAS_AUSENCIAS</f>
        <v>0</v>
      </c>
      <c r="F65" s="31">
        <f>PERC_SUBSTITUTO_OUTRAS_AUSENCIAS%*(MOD_1_REMUNERACAO+MOD_2_ENCARGOS_BENEFICIOS+MOD_3_PROVISAO_RESCISAO)</f>
        <v>0</v>
      </c>
    </row>
    <row r="66" spans="2:6" s="79" customFormat="1" x14ac:dyDescent="0.3">
      <c r="B66" s="150" t="s">
        <v>39</v>
      </c>
      <c r="C66" s="205"/>
      <c r="D66" s="205"/>
      <c r="E66" s="151"/>
      <c r="F66" s="36">
        <f>SUM(F60:F65)</f>
        <v>0</v>
      </c>
    </row>
    <row r="67" spans="2:6" s="79" customFormat="1" ht="15" customHeight="1" x14ac:dyDescent="0.3">
      <c r="B67" s="45" t="s">
        <v>168</v>
      </c>
      <c r="C67" s="6"/>
      <c r="D67" s="16"/>
      <c r="E67" s="14"/>
      <c r="F67" s="14"/>
    </row>
    <row r="68" spans="2:6" s="79" customFormat="1" x14ac:dyDescent="0.15">
      <c r="B68" s="1" t="s">
        <v>19</v>
      </c>
      <c r="C68" s="175" t="s">
        <v>167</v>
      </c>
      <c r="D68" s="175"/>
      <c r="E68" s="175"/>
      <c r="F68" s="3" t="s">
        <v>13</v>
      </c>
    </row>
    <row r="69" spans="2:6" s="79" customFormat="1" x14ac:dyDescent="0.15">
      <c r="B69" s="1" t="s">
        <v>2</v>
      </c>
      <c r="C69" s="215" t="s">
        <v>98</v>
      </c>
      <c r="D69" s="215"/>
      <c r="E69" s="215"/>
      <c r="F69" s="48">
        <f>IF(DIAS_TRABALHADOS_NO_MES=15,((MOD_1_REMUNERACAO+MOD_2_ENCARGOS_BENEFICIOS+MOD_3_PROVISAO_RESCISAO)/DIVISOR_DE_HORAS)*((TEMPO_INTERVALO_REFEICAO/HORA_NORMAL)+PERC_HORA_EXTRA%)*DIAS_TRABALHADOS_NO_MES,0)</f>
        <v>0</v>
      </c>
    </row>
    <row r="70" spans="2:6" s="79" customFormat="1" x14ac:dyDescent="0.3">
      <c r="B70" s="175" t="s">
        <v>39</v>
      </c>
      <c r="C70" s="175"/>
      <c r="D70" s="175"/>
      <c r="E70" s="175"/>
      <c r="F70" s="36">
        <f>SUM(F69)</f>
        <v>0</v>
      </c>
    </row>
    <row r="71" spans="2:6" ht="7.5" customHeight="1" x14ac:dyDescent="0.3">
      <c r="B71" s="10"/>
      <c r="C71" s="11"/>
      <c r="D71" s="12"/>
      <c r="E71" s="8"/>
      <c r="F71" s="8"/>
    </row>
    <row r="72" spans="2:6" x14ac:dyDescent="0.3">
      <c r="B72" s="45" t="s">
        <v>66</v>
      </c>
      <c r="C72" s="6"/>
      <c r="D72" s="6"/>
      <c r="E72" s="14"/>
      <c r="F72" s="14"/>
    </row>
    <row r="73" spans="2:6" ht="15.75" customHeight="1" x14ac:dyDescent="0.3">
      <c r="B73" s="43">
        <v>5</v>
      </c>
      <c r="C73" s="154" t="s">
        <v>0</v>
      </c>
      <c r="D73" s="154"/>
      <c r="E73" s="154"/>
      <c r="F73" s="44" t="s">
        <v>13</v>
      </c>
    </row>
    <row r="74" spans="2:6" x14ac:dyDescent="0.3">
      <c r="B74" s="39" t="s">
        <v>2</v>
      </c>
      <c r="C74" s="239" t="s">
        <v>182</v>
      </c>
      <c r="D74" s="239"/>
      <c r="E74" s="239"/>
      <c r="F74" s="51">
        <f>UNIFORMES</f>
        <v>0</v>
      </c>
    </row>
    <row r="75" spans="2:6" x14ac:dyDescent="0.3">
      <c r="B75" s="39" t="s">
        <v>3</v>
      </c>
      <c r="C75" s="240" t="s">
        <v>180</v>
      </c>
      <c r="D75" s="240"/>
      <c r="E75" s="240"/>
      <c r="F75" s="41">
        <f>MATERIAIS</f>
        <v>0</v>
      </c>
    </row>
    <row r="76" spans="2:6" x14ac:dyDescent="0.3">
      <c r="B76" s="39" t="s">
        <v>4</v>
      </c>
      <c r="C76" s="239" t="s">
        <v>181</v>
      </c>
      <c r="D76" s="239"/>
      <c r="E76" s="239"/>
      <c r="F76" s="51">
        <f>EQUIPAMENTOS</f>
        <v>0</v>
      </c>
    </row>
    <row r="77" spans="2:6" x14ac:dyDescent="0.3">
      <c r="B77" s="237" t="s">
        <v>39</v>
      </c>
      <c r="C77" s="237"/>
      <c r="D77" s="237"/>
      <c r="E77" s="237"/>
      <c r="F77" s="38">
        <f>SUM(F74:F76)</f>
        <v>0</v>
      </c>
    </row>
    <row r="78" spans="2:6" ht="7.5" customHeight="1" x14ac:dyDescent="0.3">
      <c r="B78" s="10"/>
      <c r="C78" s="11"/>
      <c r="D78" s="12"/>
      <c r="E78" s="8"/>
      <c r="F78" s="8"/>
    </row>
    <row r="79" spans="2:6" ht="15" customHeight="1" x14ac:dyDescent="0.3">
      <c r="B79" s="149" t="s">
        <v>65</v>
      </c>
      <c r="C79" s="149"/>
      <c r="D79" s="149"/>
      <c r="E79" s="149"/>
      <c r="F79" s="149"/>
    </row>
    <row r="80" spans="2:6" x14ac:dyDescent="0.3">
      <c r="B80" s="1">
        <v>6</v>
      </c>
      <c r="C80" s="175" t="s">
        <v>20</v>
      </c>
      <c r="D80" s="175"/>
      <c r="E80" s="3" t="s">
        <v>1</v>
      </c>
      <c r="F80" s="3" t="s">
        <v>13</v>
      </c>
    </row>
    <row r="81" spans="2:6" x14ac:dyDescent="0.3">
      <c r="B81" s="1" t="s">
        <v>2</v>
      </c>
      <c r="C81" s="215" t="s">
        <v>67</v>
      </c>
      <c r="D81" s="215"/>
      <c r="E81" s="52">
        <f>PERC_CUSTOS_INDIRETOS</f>
        <v>0</v>
      </c>
      <c r="F81" s="49">
        <f>PERC_CUSTOS_INDIRETOS%*(MOD_1_REMUNERACAO+MOD_2_ENCARGOS_BENEFICIOS+MOD_3_PROVISAO_RESCISAO+MOD_4_CUSTO_REPOSICAO+MOD_5_INSUMOS)</f>
        <v>0</v>
      </c>
    </row>
    <row r="82" spans="2:6" ht="15.75" customHeight="1" x14ac:dyDescent="0.3">
      <c r="B82" s="2" t="s">
        <v>3</v>
      </c>
      <c r="C82" s="216" t="s">
        <v>26</v>
      </c>
      <c r="D82" s="216"/>
      <c r="E82" s="42">
        <f>PERC_LUCRO</f>
        <v>0</v>
      </c>
      <c r="F82" s="31">
        <f>PERC_LUCRO%*(MOD_1_REMUNERACAO+MOD_2_ENCARGOS_BENEFICIOS+MOD_3_PROVISAO_RESCISAO+MOD_4_CUSTO_REPOSICAO+MOD_5_INSUMOS+AL_6_A_CUSTOS_INDIRETOS)</f>
        <v>0</v>
      </c>
    </row>
    <row r="83" spans="2:6" x14ac:dyDescent="0.3">
      <c r="B83" s="2" t="s">
        <v>4</v>
      </c>
      <c r="C83" s="215" t="s">
        <v>21</v>
      </c>
      <c r="D83" s="215"/>
      <c r="E83" s="52">
        <f>SUM(E84:E86)</f>
        <v>0</v>
      </c>
      <c r="F83" s="49">
        <f>SUM(F84:F86)</f>
        <v>0</v>
      </c>
    </row>
    <row r="84" spans="2:6" ht="15.75" customHeight="1" x14ac:dyDescent="0.3">
      <c r="B84" s="25" t="s">
        <v>68</v>
      </c>
      <c r="C84" s="241" t="s">
        <v>22</v>
      </c>
      <c r="D84" s="241"/>
      <c r="E84" s="26">
        <f>PERC_PIS</f>
        <v>0</v>
      </c>
      <c r="F84" s="54">
        <f>((MOD_1_REMUNERACAO+MOD_2_ENCARGOS_BENEFICIOS+MOD_3_PROVISAO_RESCISAO+MOD_4_CUSTO_REPOSICAO+MOD_5_INSUMOS+AL_6_A_CUSTOS_INDIRETOS+AL_6_B_LUCRO)*PERC_PIS%)/(1-PERC_TRIBUTOS%)</f>
        <v>0</v>
      </c>
    </row>
    <row r="85" spans="2:6" x14ac:dyDescent="0.3">
      <c r="B85" s="25" t="s">
        <v>69</v>
      </c>
      <c r="C85" s="242" t="s">
        <v>23</v>
      </c>
      <c r="D85" s="242"/>
      <c r="E85" s="53">
        <f>PERC_COFINS</f>
        <v>0</v>
      </c>
      <c r="F85" s="55">
        <f>((MOD_1_REMUNERACAO+MOD_2_ENCARGOS_BENEFICIOS+MOD_3_PROVISAO_RESCISAO+MOD_4_CUSTO_REPOSICAO+MOD_5_INSUMOS+AL_6_A_CUSTOS_INDIRETOS+AL_6_B_LUCRO)*PERC_COFINS%)/(1-PERC_TRIBUTOS%)</f>
        <v>0</v>
      </c>
    </row>
    <row r="86" spans="2:6" s="90" customFormat="1" x14ac:dyDescent="0.3">
      <c r="B86" s="25" t="s">
        <v>70</v>
      </c>
      <c r="C86" s="241" t="s">
        <v>24</v>
      </c>
      <c r="D86" s="241"/>
      <c r="E86" s="26">
        <f>PERC_ISS</f>
        <v>0</v>
      </c>
      <c r="F86" s="54">
        <f>((MOD_1_REMUNERACAO+MOD_2_ENCARGOS_BENEFICIOS+MOD_3_PROVISAO_RESCISAO+MOD_4_CUSTO_REPOSICAO+MOD_5_INSUMOS+AL_6_A_CUSTOS_INDIRETOS+AL_6_B_LUCRO)*PERC_ISS%)/(1-PERC_TRIBUTOS%)</f>
        <v>0</v>
      </c>
    </row>
    <row r="87" spans="2:6" s="90" customFormat="1" x14ac:dyDescent="0.3">
      <c r="B87" s="150" t="s">
        <v>39</v>
      </c>
      <c r="C87" s="205"/>
      <c r="D87" s="205"/>
      <c r="E87" s="151"/>
      <c r="F87" s="32">
        <f>AL_6_A_CUSTOS_INDIRETOS+AL_6_B_LUCRO+AL_6_C_TRIBUTOS</f>
        <v>0</v>
      </c>
    </row>
    <row r="88" spans="2:6" s="90" customFormat="1" ht="20.25" x14ac:dyDescent="0.3">
      <c r="B88" s="46" t="s">
        <v>46</v>
      </c>
      <c r="C88" s="9"/>
      <c r="D88" s="9"/>
      <c r="E88" s="9"/>
      <c r="F88" s="17"/>
    </row>
    <row r="89" spans="2:6" s="91" customFormat="1" ht="16.5" customHeight="1" x14ac:dyDescent="0.3">
      <c r="B89" s="2" t="s">
        <v>87</v>
      </c>
      <c r="C89" s="152" t="s">
        <v>88</v>
      </c>
      <c r="D89" s="211"/>
      <c r="E89" s="153"/>
      <c r="F89" s="3" t="s">
        <v>17</v>
      </c>
    </row>
    <row r="90" spans="2:6" s="90" customFormat="1" x14ac:dyDescent="0.3">
      <c r="B90" s="1">
        <v>1</v>
      </c>
      <c r="C90" s="215" t="s">
        <v>9</v>
      </c>
      <c r="D90" s="215"/>
      <c r="E90" s="215"/>
      <c r="F90" s="49">
        <f>MOD_1_REMUNERACAO</f>
        <v>0</v>
      </c>
    </row>
    <row r="91" spans="2:6" s="92" customFormat="1" ht="16.5" customHeight="1" x14ac:dyDescent="0.3">
      <c r="B91" s="2">
        <v>2</v>
      </c>
      <c r="C91" s="216" t="s">
        <v>89</v>
      </c>
      <c r="D91" s="216"/>
      <c r="E91" s="216"/>
      <c r="F91" s="31">
        <f>MOD_2_ENCARGOS_BENEFICIOS</f>
        <v>0</v>
      </c>
    </row>
    <row r="92" spans="2:6" s="92" customFormat="1" x14ac:dyDescent="0.3">
      <c r="B92" s="2">
        <v>3</v>
      </c>
      <c r="C92" s="215" t="s">
        <v>41</v>
      </c>
      <c r="D92" s="215"/>
      <c r="E92" s="215"/>
      <c r="F92" s="49">
        <f>MOD_3_PROVISAO_RESCISAO</f>
        <v>0</v>
      </c>
    </row>
    <row r="93" spans="2:6" s="92" customFormat="1" x14ac:dyDescent="0.3">
      <c r="B93" s="2">
        <v>4</v>
      </c>
      <c r="C93" s="216" t="s">
        <v>44</v>
      </c>
      <c r="D93" s="216"/>
      <c r="E93" s="216"/>
      <c r="F93" s="31">
        <f>MOD_4_CUSTO_REPOSICAO</f>
        <v>0</v>
      </c>
    </row>
    <row r="94" spans="2:6" s="92" customFormat="1" x14ac:dyDescent="0.3">
      <c r="B94" s="2">
        <v>5</v>
      </c>
      <c r="C94" s="215" t="s">
        <v>0</v>
      </c>
      <c r="D94" s="215"/>
      <c r="E94" s="215"/>
      <c r="F94" s="49">
        <f>MOD_5_INSUMOS</f>
        <v>0</v>
      </c>
    </row>
    <row r="95" spans="2:6" s="92" customFormat="1" x14ac:dyDescent="0.3">
      <c r="B95" s="2">
        <v>6</v>
      </c>
      <c r="C95" s="216" t="s">
        <v>20</v>
      </c>
      <c r="D95" s="216"/>
      <c r="E95" s="216"/>
      <c r="F95" s="31">
        <f>MOD_6_CUSTOS_IND_LUCRO_TRIB</f>
        <v>0</v>
      </c>
    </row>
    <row r="96" spans="2:6" ht="16.5" customHeight="1" x14ac:dyDescent="0.3">
      <c r="B96" s="214" t="s">
        <v>90</v>
      </c>
      <c r="C96" s="214"/>
      <c r="D96" s="214"/>
      <c r="E96" s="214"/>
      <c r="F96" s="32">
        <f>SUM(F90:F95)</f>
        <v>0</v>
      </c>
    </row>
    <row r="97" spans="2:6" ht="16.5" customHeight="1" x14ac:dyDescent="0.3">
      <c r="B97" s="214" t="s">
        <v>25</v>
      </c>
      <c r="C97" s="214"/>
      <c r="D97" s="214"/>
      <c r="E97" s="214"/>
      <c r="F97" s="32">
        <f>VALOR_TOTAL_EMPREG_NOTURNO*UNID_EMPR_POSTO_NOTURNO</f>
        <v>0</v>
      </c>
    </row>
    <row r="98" spans="2:6" x14ac:dyDescent="0.3">
      <c r="B98" s="214" t="s">
        <v>145</v>
      </c>
      <c r="C98" s="214"/>
      <c r="D98" s="214"/>
      <c r="E98" s="214"/>
      <c r="F98" s="32">
        <f>VALOR_TOTAL_EMPREG_NOTURNO*UNID_EMPR_POSTO_NOTURNO*QTDE_POSTOS_NOTURNO</f>
        <v>0</v>
      </c>
    </row>
  </sheetData>
  <mergeCells count="87">
    <mergeCell ref="B1:F1"/>
    <mergeCell ref="B2:D2"/>
    <mergeCell ref="B3:F3"/>
    <mergeCell ref="B4:F4"/>
    <mergeCell ref="B5:C5"/>
    <mergeCell ref="D5:F5"/>
    <mergeCell ref="D16:F16"/>
    <mergeCell ref="B6:C6"/>
    <mergeCell ref="D6:E6"/>
    <mergeCell ref="B7:F7"/>
    <mergeCell ref="C8:E8"/>
    <mergeCell ref="D9:F9"/>
    <mergeCell ref="C10:E10"/>
    <mergeCell ref="C11:E11"/>
    <mergeCell ref="C12:E12"/>
    <mergeCell ref="C14:D14"/>
    <mergeCell ref="E14:F14"/>
    <mergeCell ref="D15:F15"/>
    <mergeCell ref="C31:D31"/>
    <mergeCell ref="C17:E17"/>
    <mergeCell ref="B18:F18"/>
    <mergeCell ref="B19:E19"/>
    <mergeCell ref="C21:E21"/>
    <mergeCell ref="C22:E22"/>
    <mergeCell ref="C23:E23"/>
    <mergeCell ref="C24:E24"/>
    <mergeCell ref="C25:E25"/>
    <mergeCell ref="C26:E26"/>
    <mergeCell ref="B27:E27"/>
    <mergeCell ref="C30:D30"/>
    <mergeCell ref="C43:D43"/>
    <mergeCell ref="C32:D32"/>
    <mergeCell ref="B33:E33"/>
    <mergeCell ref="B34:F34"/>
    <mergeCell ref="C35:D35"/>
    <mergeCell ref="C36:D36"/>
    <mergeCell ref="C37:D37"/>
    <mergeCell ref="C38:D38"/>
    <mergeCell ref="C39:D39"/>
    <mergeCell ref="C40:D40"/>
    <mergeCell ref="C41:D41"/>
    <mergeCell ref="C42:D42"/>
    <mergeCell ref="C60:D60"/>
    <mergeCell ref="B44:E44"/>
    <mergeCell ref="C46:E46"/>
    <mergeCell ref="C47:E47"/>
    <mergeCell ref="C48:E48"/>
    <mergeCell ref="B49:E49"/>
    <mergeCell ref="C51:D51"/>
    <mergeCell ref="C52:D52"/>
    <mergeCell ref="C53:D53"/>
    <mergeCell ref="C54:D54"/>
    <mergeCell ref="B55:E55"/>
    <mergeCell ref="C59:D59"/>
    <mergeCell ref="C75:E75"/>
    <mergeCell ref="C61:D61"/>
    <mergeCell ref="C62:D62"/>
    <mergeCell ref="C63:D63"/>
    <mergeCell ref="C64:D64"/>
    <mergeCell ref="C65:D65"/>
    <mergeCell ref="B66:E66"/>
    <mergeCell ref="C68:E68"/>
    <mergeCell ref="C69:E69"/>
    <mergeCell ref="B70:E70"/>
    <mergeCell ref="C73:E73"/>
    <mergeCell ref="C74:E74"/>
    <mergeCell ref="C89:E89"/>
    <mergeCell ref="C76:E76"/>
    <mergeCell ref="B77:E77"/>
    <mergeCell ref="B79:F79"/>
    <mergeCell ref="C80:D80"/>
    <mergeCell ref="C81:D81"/>
    <mergeCell ref="C82:D82"/>
    <mergeCell ref="C83:D83"/>
    <mergeCell ref="C84:D84"/>
    <mergeCell ref="C85:D85"/>
    <mergeCell ref="C86:D86"/>
    <mergeCell ref="B87:E87"/>
    <mergeCell ref="B96:E96"/>
    <mergeCell ref="B97:E97"/>
    <mergeCell ref="B98:E98"/>
    <mergeCell ref="C90:E90"/>
    <mergeCell ref="C91:E91"/>
    <mergeCell ref="C92:E92"/>
    <mergeCell ref="C93:E93"/>
    <mergeCell ref="C94:E94"/>
    <mergeCell ref="C95:E95"/>
  </mergeCells>
  <printOptions horizontalCentered="1"/>
  <pageMargins left="0.08" right="0.05" top="0.19685039370078741" bottom="0.15748031496062992" header="0.19685039370078741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183</vt:i4>
      </vt:variant>
    </vt:vector>
  </HeadingPairs>
  <TitlesOfParts>
    <vt:vector size="191" baseType="lpstr">
      <vt:lpstr>INSERÇÃO-POSTOS</vt:lpstr>
      <vt:lpstr>INSERÇÃO(EQUIP_UNIF_MAT)</vt:lpstr>
      <vt:lpstr>QUADRO RESUMO</vt:lpstr>
      <vt:lpstr>DADOS-ESTATISTICOS</vt:lpstr>
      <vt:lpstr>ENCARGOS-SOCIAIS-E-TRABALHISTAS</vt:lpstr>
      <vt:lpstr>BRIGADISTA LÍDER DIURNO 12X36H</vt:lpstr>
      <vt:lpstr>BRIGADISTA DIURNO 12X36H</vt:lpstr>
      <vt:lpstr>BRIGADISTA NOTURNO 12X36H</vt:lpstr>
      <vt:lpstr>ACORDO_COLETIVO</vt:lpstr>
      <vt:lpstr>'BRIGADISTA DIURNO 12X36H'!AL_1_A_SAL_BASE</vt:lpstr>
      <vt:lpstr>'BRIGADISTA LÍDER DIURNO 12X36H'!AL_1_A_SAL_BASE</vt:lpstr>
      <vt:lpstr>'BRIGADISTA NOTURNO 12X36H'!AL_1_A_SAL_BASE</vt:lpstr>
      <vt:lpstr>'BRIGADISTA DIURNO 12X36H'!AL_1_B_ADIC_PERIC</vt:lpstr>
      <vt:lpstr>'BRIGADISTA LÍDER DIURNO 12X36H'!AL_1_B_ADIC_PERIC</vt:lpstr>
      <vt:lpstr>'BRIGADISTA NOTURNO 12X36H'!AL_1_B_ADIC_PERIC</vt:lpstr>
      <vt:lpstr>'BRIGADISTA DIURNO 12X36H'!AL_1_C_ADIC_NOT</vt:lpstr>
      <vt:lpstr>'BRIGADISTA LÍDER DIURNO 12X36H'!AL_1_C_ADIC_NOT</vt:lpstr>
      <vt:lpstr>'BRIGADISTA NOTURNO 12X36H'!AL_1_C_ADIC_NOT</vt:lpstr>
      <vt:lpstr>'BRIGADISTA DIURNO 12X36H'!AL_1_D_ADIC_NOT_RED</vt:lpstr>
      <vt:lpstr>'BRIGADISTA LÍDER DIURNO 12X36H'!AL_1_D_ADIC_NOT_RED</vt:lpstr>
      <vt:lpstr>'BRIGADISTA NOTURNO 12X36H'!AL_1_D_ADIC_NOT_RED</vt:lpstr>
      <vt:lpstr>'BRIGADISTA DIURNO 12X36H'!AL_2_1_A_DEC_TERC</vt:lpstr>
      <vt:lpstr>'BRIGADISTA LÍDER DIURNO 12X36H'!AL_2_1_A_DEC_TERC</vt:lpstr>
      <vt:lpstr>'BRIGADISTA NOTURNO 12X36H'!AL_2_1_A_DEC_TERC</vt:lpstr>
      <vt:lpstr>'BRIGADISTA DIURNO 12X36H'!AL_2_1_B_ADIC_FERIAS</vt:lpstr>
      <vt:lpstr>'BRIGADISTA LÍDER DIURNO 12X36H'!AL_2_1_B_ADIC_FERIAS</vt:lpstr>
      <vt:lpstr>'BRIGADISTA NOTURNO 12X36H'!AL_2_1_B_ADIC_FERIAS</vt:lpstr>
      <vt:lpstr>'BRIGADISTA DIURNO 12X36H'!AL_2_2_FGTS</vt:lpstr>
      <vt:lpstr>'BRIGADISTA LÍDER DIURNO 12X36H'!AL_2_2_FGTS</vt:lpstr>
      <vt:lpstr>'BRIGADISTA NOTURNO 12X36H'!AL_2_2_FGTS</vt:lpstr>
      <vt:lpstr>'BRIGADISTA DIURNO 12X36H'!AL_2_3_A_TRANSP</vt:lpstr>
      <vt:lpstr>'BRIGADISTA LÍDER DIURNO 12X36H'!AL_2_3_A_TRANSP</vt:lpstr>
      <vt:lpstr>'BRIGADISTA NOTURNO 12X36H'!AL_2_3_A_TRANSP</vt:lpstr>
      <vt:lpstr>'BRIGADISTA DIURNO 12X36H'!AL_2_3_B_AUX_ALIMENT</vt:lpstr>
      <vt:lpstr>'BRIGADISTA LÍDER DIURNO 12X36H'!AL_2_3_B_AUX_ALIMENT</vt:lpstr>
      <vt:lpstr>'BRIGADISTA NOTURNO 12X36H'!AL_2_3_B_AUX_ALIMENT</vt:lpstr>
      <vt:lpstr>'BRIGADISTA DIURNO 12X36H'!AL_2_A_ATE_2_G_GPS</vt:lpstr>
      <vt:lpstr>'BRIGADISTA LÍDER DIURNO 12X36H'!AL_2_A_ATE_2_G_GPS</vt:lpstr>
      <vt:lpstr>'BRIGADISTA NOTURNO 12X36H'!AL_2_A_ATE_2_G_GPS</vt:lpstr>
      <vt:lpstr>'BRIGADISTA DIURNO 12X36H'!AL_6_A_CUSTOS_INDIRETOS</vt:lpstr>
      <vt:lpstr>'BRIGADISTA LÍDER DIURNO 12X36H'!AL_6_A_CUSTOS_INDIRETOS</vt:lpstr>
      <vt:lpstr>'BRIGADISTA NOTURNO 12X36H'!AL_6_A_CUSTOS_INDIRETOS</vt:lpstr>
      <vt:lpstr>'BRIGADISTA DIURNO 12X36H'!AL_6_B_LUCRO</vt:lpstr>
      <vt:lpstr>'BRIGADISTA LÍDER DIURNO 12X36H'!AL_6_B_LUCRO</vt:lpstr>
      <vt:lpstr>'BRIGADISTA NOTURNO 12X36H'!AL_6_B_LUCRO</vt:lpstr>
      <vt:lpstr>'BRIGADISTA DIURNO 12X36H'!AL_6_C_1_PIS</vt:lpstr>
      <vt:lpstr>'BRIGADISTA LÍDER DIURNO 12X36H'!AL_6_C_1_PIS</vt:lpstr>
      <vt:lpstr>'BRIGADISTA NOTURNO 12X36H'!AL_6_C_1_PIS</vt:lpstr>
      <vt:lpstr>'BRIGADISTA DIURNO 12X36H'!AL_6_C_2_COFINS</vt:lpstr>
      <vt:lpstr>'BRIGADISTA LÍDER DIURNO 12X36H'!AL_6_C_2_COFINS</vt:lpstr>
      <vt:lpstr>'BRIGADISTA NOTURNO 12X36H'!AL_6_C_2_COFINS</vt:lpstr>
      <vt:lpstr>'BRIGADISTA DIURNO 12X36H'!AL_6_C_3_ISS</vt:lpstr>
      <vt:lpstr>'BRIGADISTA LÍDER DIURNO 12X36H'!AL_6_C_3_ISS</vt:lpstr>
      <vt:lpstr>'BRIGADISTA NOTURNO 12X36H'!AL_6_C_3_ISS</vt:lpstr>
      <vt:lpstr>'BRIGADISTA DIURNO 12X36H'!AL_6_C_TRIBUTOS</vt:lpstr>
      <vt:lpstr>'BRIGADISTA LÍDER DIURNO 12X36H'!AL_6_C_TRIBUTOS</vt:lpstr>
      <vt:lpstr>'BRIGADISTA NOTURNO 12X36H'!AL_6_C_TRIBUTOS</vt:lpstr>
      <vt:lpstr>ALIMENTACAO_POR_DIA</vt:lpstr>
      <vt:lpstr>'INSERÇÃO(EQUIP_UNIF_MAT)'!Area_de_impressao</vt:lpstr>
      <vt:lpstr>'QUADRO RESUMO'!Area_de_impressao</vt:lpstr>
      <vt:lpstr>AUX_CULTURA</vt:lpstr>
      <vt:lpstr>BRIGADISTA_DIURNO_12X36H_SALARIO_BASE</vt:lpstr>
      <vt:lpstr>BRIGADISTA_LIDER_12X36H_SALARIO_BASE</vt:lpstr>
      <vt:lpstr>BRIGADISTA_NOTURNO_12X36H_SALARIO_BASE</vt:lpstr>
      <vt:lpstr>COND_AD_NOTURNO_DIRUNO</vt:lpstr>
      <vt:lpstr>COND_AD_NOTURNO_LIDER</vt:lpstr>
      <vt:lpstr>COND_AD_NOTURNO_NOTURNO</vt:lpstr>
      <vt:lpstr>DATA_APRESENTACAO_PROPOSTA</vt:lpstr>
      <vt:lpstr>DATA_BASE_CATEGORIA</vt:lpstr>
      <vt:lpstr>DATA_DO_ORCAMENTO_ESTIMATIVO</vt:lpstr>
      <vt:lpstr>DIAS_AUSENCIAS_LEGAIS</vt:lpstr>
      <vt:lpstr>DIAS_LICENCA_MATERNIDADE</vt:lpstr>
      <vt:lpstr>DIAS_LICENCA_PATERNIDADE</vt:lpstr>
      <vt:lpstr>DIAS_NA_SEMANA</vt:lpstr>
      <vt:lpstr>DIAS_NO_ANO</vt:lpstr>
      <vt:lpstr>DIAS_NO_MES</vt:lpstr>
      <vt:lpstr>DIAS_PAGOS_EMPRESA_ACID_TRAB</vt:lpstr>
      <vt:lpstr>DIAS_TRABALHADOS_NO_MES</vt:lpstr>
      <vt:lpstr>DIVISOR_DE_HORAS</vt:lpstr>
      <vt:lpstr>EQUIPAMENTOS</vt:lpstr>
      <vt:lpstr>HORA_NORMAL</vt:lpstr>
      <vt:lpstr>HORA_NOTURNA</vt:lpstr>
      <vt:lpstr>HORARIO_LICITACAO</vt:lpstr>
      <vt:lpstr>MATERIAIS</vt:lpstr>
      <vt:lpstr>MEDIA_ANUAL_DIAS_TRABALHO_MES</vt:lpstr>
      <vt:lpstr>MEDIA_EQUIPAMENTOS</vt:lpstr>
      <vt:lpstr>MEDIA_MATERIAIS</vt:lpstr>
      <vt:lpstr>MESES_NO_ANO</vt:lpstr>
      <vt:lpstr>'BRIGADISTA DIURNO 12X36H'!MOD_1_REMUNERACAO</vt:lpstr>
      <vt:lpstr>'BRIGADISTA LÍDER DIURNO 12X36H'!MOD_1_REMUNERACAO</vt:lpstr>
      <vt:lpstr>'BRIGADISTA NOTURNO 12X36H'!MOD_1_REMUNERACAO</vt:lpstr>
      <vt:lpstr>'BRIGADISTA DIURNO 12X36H'!MOD_3_PROVISAO_RESCISAO</vt:lpstr>
      <vt:lpstr>'BRIGADISTA LÍDER DIURNO 12X36H'!MOD_3_PROVISAO_RESCISAO</vt:lpstr>
      <vt:lpstr>'BRIGADISTA NOTURNO 12X36H'!MOD_3_PROVISAO_RESCISAO</vt:lpstr>
      <vt:lpstr>'BRIGADISTA DIURNO 12X36H'!MOD_5_INSUMOS</vt:lpstr>
      <vt:lpstr>'BRIGADISTA LÍDER DIURNO 12X36H'!MOD_5_INSUMOS</vt:lpstr>
      <vt:lpstr>'BRIGADISTA NOTURNO 12X36H'!MOD_5_INSUMOS</vt:lpstr>
      <vt:lpstr>'BRIGADISTA DIURNO 12X36H'!MOD_6_CUSTOS_IND_LUCRO_TRIB</vt:lpstr>
      <vt:lpstr>'BRIGADISTA LÍDER DIURNO 12X36H'!MOD_6_CUSTOS_IND_LUCRO_TRIB</vt:lpstr>
      <vt:lpstr>'BRIGADISTA NOTURNO 12X36H'!MOD_6_CUSTOS_IND_LUCRO_TRIB</vt:lpstr>
      <vt:lpstr>NUMERO_MESES_EXEC_CONTRATUAL</vt:lpstr>
      <vt:lpstr>NUMERO_PREGAO</vt:lpstr>
      <vt:lpstr>ODONTO</vt:lpstr>
      <vt:lpstr>OUTRAS_AUSENCIAS</vt:lpstr>
      <vt:lpstr>OUTRAS_AUSENCIAS_DESCRICAO</vt:lpstr>
      <vt:lpstr>OUTROS_INSUMOS</vt:lpstr>
      <vt:lpstr>OUTROS_INSUMOS_DESCRICAO</vt:lpstr>
      <vt:lpstr>PERC_ADIC_FERIAS</vt:lpstr>
      <vt:lpstr>PERC_ADIC_INS</vt:lpstr>
      <vt:lpstr>PERC_ADIC_NOT</vt:lpstr>
      <vt:lpstr>PERC_ADIC_PERIC</vt:lpstr>
      <vt:lpstr>PERC_AVISO_PREVIO_IND</vt:lpstr>
      <vt:lpstr>PERC_AVISO_PREVIO_TRAB</vt:lpstr>
      <vt:lpstr>PERC_COFINS</vt:lpstr>
      <vt:lpstr>PERC_CUSTOS_INDIRETOS</vt:lpstr>
      <vt:lpstr>PERC_DEC_TERC</vt:lpstr>
      <vt:lpstr>PERC_DESC_TRANSP_REMUNERACAO</vt:lpstr>
      <vt:lpstr>PERC_EMPREG_AFAST_TRAB</vt:lpstr>
      <vt:lpstr>PERC_EMPREG_AVISO_PREVIO_IND</vt:lpstr>
      <vt:lpstr>PERC_EMPREG_AVISO_PREVIO_TRAB</vt:lpstr>
      <vt:lpstr>PERC_EMPREG_DEMIT_SEM_JUSTA_CAUSA_TOTAL_DESLIG</vt:lpstr>
      <vt:lpstr>PERC_FGTS</vt:lpstr>
      <vt:lpstr>PERC_GPS_FGTS</vt:lpstr>
      <vt:lpstr>PERC_HORA_EXTRA</vt:lpstr>
      <vt:lpstr>PERC_INCRA</vt:lpstr>
      <vt:lpstr>PERC_INSS</vt:lpstr>
      <vt:lpstr>PERC_ISS</vt:lpstr>
      <vt:lpstr>PERC_LUCRO</vt:lpstr>
      <vt:lpstr>'BRIGADISTA DIURNO 12X36H'!PERC_MOD_3_PROVISAO_RESCISAO</vt:lpstr>
      <vt:lpstr>'BRIGADISTA LÍDER DIURNO 12X36H'!PERC_MOD_3_PROVISAO_RESCISAO</vt:lpstr>
      <vt:lpstr>'BRIGADISTA NOTURNO 12X36H'!PERC_MOD_3_PROVISAO_RESCISAO</vt:lpstr>
      <vt:lpstr>PERC_MULTA_FGTS</vt:lpstr>
      <vt:lpstr>PERC_MULTA_FGTS_AV_PREV_TRAB</vt:lpstr>
      <vt:lpstr>PERC_NASCIDOS_VIVOS_POPUL_FEM</vt:lpstr>
      <vt:lpstr>PERC_PARTIC_FEM_VIGIL</vt:lpstr>
      <vt:lpstr>PERC_PARTIC_MASC_VIGIL</vt:lpstr>
      <vt:lpstr>PERC_PIS</vt:lpstr>
      <vt:lpstr>PERC_RAT</vt:lpstr>
      <vt:lpstr>PERC_SAL_EDUCACAO</vt:lpstr>
      <vt:lpstr>PERC_SEBRAE</vt:lpstr>
      <vt:lpstr>PERC_SENAC</vt:lpstr>
      <vt:lpstr>PERC_SESC</vt:lpstr>
      <vt:lpstr>PERC_SUBSTITUTO_ACID_TRAB</vt:lpstr>
      <vt:lpstr>PERC_SUBSTITUTO_AFAST_MATERN</vt:lpstr>
      <vt:lpstr>PERC_SUBSTITUTO_AUSENCIAS_LEGAIS</vt:lpstr>
      <vt:lpstr>PERC_SUBSTITUTO_FERIAS</vt:lpstr>
      <vt:lpstr>PERC_SUBSTITUTO_LICENCA_PATERNIDADE</vt:lpstr>
      <vt:lpstr>PERC_SUBSTITUTO_OUTRAS_AUSENCIAS</vt:lpstr>
      <vt:lpstr>'BRIGADISTA DIURNO 12X36H'!PERC_TRIBUTOS</vt:lpstr>
      <vt:lpstr>'BRIGADISTA LÍDER DIURNO 12X36H'!PERC_TRIBUTOS</vt:lpstr>
      <vt:lpstr>'BRIGADISTA NOTURNO 12X36H'!PERC_TRIBUTOS</vt:lpstr>
      <vt:lpstr>PLANO_SAUDE</vt:lpstr>
      <vt:lpstr>'BRIGADISTA LÍDER DIURNO 12X36H'!QTDE_POSTOS_DIURNO</vt:lpstr>
      <vt:lpstr>QTDE_POSTOS_DIURNO</vt:lpstr>
      <vt:lpstr>'BRIGADISTA DIURNO 12X36H'!QTDE_POSTOS_LIDER</vt:lpstr>
      <vt:lpstr>QTDE_POSTOS_LIDER</vt:lpstr>
      <vt:lpstr>'BRIGADISTA NOTURNO 12X36H'!QTDE_POSTOS_NOTURNO</vt:lpstr>
      <vt:lpstr>QTDE_POSTOS_NOTURNO</vt:lpstr>
      <vt:lpstr>RAMO</vt:lpstr>
      <vt:lpstr>SAL_MINIMO</vt:lpstr>
      <vt:lpstr>SEGURO_VIDA</vt:lpstr>
      <vt:lpstr>'BRIGADISTA DIURNO 12X36H'!SUBMOD_2_1_DEC_TERC_ADIC_FERIAS</vt:lpstr>
      <vt:lpstr>'BRIGADISTA LÍDER DIURNO 12X36H'!SUBMOD_2_1_DEC_TERC_ADIC_FERIAS</vt:lpstr>
      <vt:lpstr>'BRIGADISTA NOTURNO 12X36H'!SUBMOD_2_1_DEC_TERC_ADIC_FERIAS</vt:lpstr>
      <vt:lpstr>'BRIGADISTA DIURNO 12X36H'!SUBMOD_2_2_GPS_FGTS</vt:lpstr>
      <vt:lpstr>'BRIGADISTA LÍDER DIURNO 12X36H'!SUBMOD_2_2_GPS_FGTS</vt:lpstr>
      <vt:lpstr>'BRIGADISTA NOTURNO 12X36H'!SUBMOD_2_2_GPS_FGTS</vt:lpstr>
      <vt:lpstr>'BRIGADISTA DIURNO 12X36H'!SUBMOD_2_3_BENEFICIOS</vt:lpstr>
      <vt:lpstr>'BRIGADISTA LÍDER DIURNO 12X36H'!SUBMOD_2_3_BENEFICIOS</vt:lpstr>
      <vt:lpstr>'BRIGADISTA NOTURNO 12X36H'!SUBMOD_2_3_BENEFICIOS</vt:lpstr>
      <vt:lpstr>'BRIGADISTA DIURNO 12X36H'!SUBMOD_4_1_SUBSTITUTO</vt:lpstr>
      <vt:lpstr>'BRIGADISTA LÍDER DIURNO 12X36H'!SUBMOD_4_1_SUBSTITUTO</vt:lpstr>
      <vt:lpstr>'BRIGADISTA NOTURNO 12X36H'!SUBMOD_4_1_SUBSTITUTO</vt:lpstr>
      <vt:lpstr>'BRIGADISTA DIURNO 12X36H'!SUBMOD_4_2_INTRAJORNADA</vt:lpstr>
      <vt:lpstr>'BRIGADISTA LÍDER DIURNO 12X36H'!SUBMOD_4_2_INTRAJORNADA</vt:lpstr>
      <vt:lpstr>'BRIGADISTA NOTURNO 12X36H'!SUBMOD_4_2_INTRAJORNADA</vt:lpstr>
      <vt:lpstr>TEMPO_INTERVALO_REFEICAO</vt:lpstr>
      <vt:lpstr>TIPO_DE_SERVICO</vt:lpstr>
      <vt:lpstr>TRANSPORTE_POR_DIA</vt:lpstr>
      <vt:lpstr>UG</vt:lpstr>
      <vt:lpstr>UNID_EMPR_POSTO_DIRUNO</vt:lpstr>
      <vt:lpstr>UNID_EMPR_POSTO_LIDER</vt:lpstr>
      <vt:lpstr>UNID_EMPR_POSTO_NOTURNO</vt:lpstr>
      <vt:lpstr>UNIFORME</vt:lpstr>
      <vt:lpstr>UNIFORMES</vt:lpstr>
      <vt:lpstr>'BRIGADISTA DIURNO 12X36H'!VALOR_TOTAL_EMPREG_DIURNO</vt:lpstr>
      <vt:lpstr>'BRIGADISTA LÍDER DIURNO 12X36H'!VALOR_TOTAL_EMPREG_LIDER</vt:lpstr>
      <vt:lpstr>'BRIGADISTA NOTURNO 12X36H'!VALOR_TOTAL_EMPREG_NOTURNO</vt:lpstr>
      <vt:lpstr>VALOR_TOTAL_POSTO_DIURNO</vt:lpstr>
      <vt:lpstr>VALOR_TOTAL_POSTO_LIDER</vt:lpstr>
      <vt:lpstr>VALOR_TOTAL_POSTO_NOTURNO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Felipe Flores da Silva</dc:creator>
  <cp:lastModifiedBy>Cristiano Costa Magalhaes</cp:lastModifiedBy>
  <cp:lastPrinted>2019-08-28T14:06:04Z</cp:lastPrinted>
  <dcterms:created xsi:type="dcterms:W3CDTF">2014-02-07T18:14:59Z</dcterms:created>
  <dcterms:modified xsi:type="dcterms:W3CDTF">2022-10-05T19:06:46Z</dcterms:modified>
</cp:coreProperties>
</file>