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040" tabRatio="802"/>
  </bookViews>
  <sheets>
    <sheet name="Planilha Resumo" sheetId="1" r:id="rId1"/>
    <sheet name="Supervisor" sheetId="3" r:id="rId2"/>
    <sheet name="Tec. Eletricista" sheetId="5" r:id="rId3"/>
    <sheet name="Tec. Rede" sheetId="6" r:id="rId4"/>
    <sheet name="Bombeiro Hidráulico" sheetId="7" r:id="rId5"/>
    <sheet name="Marceneiro" sheetId="8" r:id="rId6"/>
    <sheet name="Auxiliar de Manutenção" sheetId="9" r:id="rId7"/>
    <sheet name="Auxiliar Administrativo" sheetId="10" r:id="rId8"/>
    <sheet name="Pedreiro" sheetId="11" r:id="rId9"/>
    <sheet name="Eletrotécnico" sheetId="12" r:id="rId10"/>
    <sheet name="Serralheiro" sheetId="13" r:id="rId11"/>
    <sheet name="Eng. Eletricista" sheetId="14" r:id="rId12"/>
    <sheet name="Eng. Civil" sheetId="15" r:id="rId13"/>
    <sheet name="Tec. Segurança" sheetId="16" r:id="rId14"/>
    <sheet name="Peças e Materiais" sheetId="19" r:id="rId15"/>
    <sheet name="Serv. Especializados" sheetId="20" r:id="rId16"/>
    <sheet name="Veículos" sheetId="18" r:id="rId17"/>
  </sheets>
  <externalReferences>
    <externalReference r:id="rId18"/>
  </externalReferences>
  <definedNames>
    <definedName name="_xlnm.Print_Area" localSheetId="7">'Auxiliar Administrativo'!$B$1:$F$89</definedName>
    <definedName name="_xlnm.Print_Area" localSheetId="6">'Auxiliar de Manutenção'!$B$1:$F$89</definedName>
    <definedName name="_xlnm.Print_Area" localSheetId="4">'Bombeiro Hidráulico'!$B$1:$F$89</definedName>
    <definedName name="_xlnm.Print_Area" localSheetId="9">Eletrotécnico!$B$1:$F$89</definedName>
    <definedName name="_xlnm.Print_Area" localSheetId="12">'Eng. Civil'!$B$1:$F$89</definedName>
    <definedName name="_xlnm.Print_Area" localSheetId="11">'Eng. Eletricista'!$B$1:$F$89</definedName>
    <definedName name="_xlnm.Print_Area" localSheetId="5">Marceneiro!$B$1:$F$89</definedName>
    <definedName name="_xlnm.Print_Area" localSheetId="14">'Peças e Materiais'!$B$1:$I$232</definedName>
    <definedName name="_xlnm.Print_Area" localSheetId="8">Pedreiro!$B$1:$F$89</definedName>
    <definedName name="_xlnm.Print_Area" localSheetId="0">'Planilha Resumo'!$B$1:$F$78</definedName>
    <definedName name="_xlnm.Print_Area" localSheetId="10">Serralheiro!$B$1:$F$89</definedName>
    <definedName name="_xlnm.Print_Area" localSheetId="15">'Serv. Especializados'!$B$1:$G$94</definedName>
    <definedName name="_xlnm.Print_Area" localSheetId="1">Supervisor!$B$1:$F$89</definedName>
    <definedName name="_xlnm.Print_Area" localSheetId="2">'Tec. Eletricista'!$B$1:$F$89</definedName>
    <definedName name="_xlnm.Print_Area" localSheetId="3">'Tec. Rede'!$B$1:$F$89</definedName>
    <definedName name="_xlnm.Print_Area" localSheetId="13">'Tec. Segurança'!$B$1:$F$89</definedName>
    <definedName name="_xlnm.Print_Area" localSheetId="16">Veículos!$B$1:$I$63</definedName>
    <definedName name="dias">'[1]Planilha de Custos e Formação'!$K$35</definedName>
    <definedName name="Excel_BuiltIn_Print_Area_1" localSheetId="16">#REF!</definedName>
    <definedName name="Excel_BuiltIn_Print_Area_1">#REF!</definedName>
    <definedName name="Excel_BuiltIn_Print_Area_1_1" localSheetId="16">#REF!</definedName>
    <definedName name="Excel_BuiltIn_Print_Area_1_1">#REF!</definedName>
    <definedName name="Excel_BuiltIn_Print_Area_1_1_1" localSheetId="16">#REF!</definedName>
    <definedName name="Excel_BuiltIn_Print_Area_1_1_1">#REF!</definedName>
    <definedName name="Excel_BuiltIn_Print_Area_1_1_1_1" localSheetId="16">#REF!</definedName>
    <definedName name="Excel_BuiltIn_Print_Area_1_1_1_1">#REF!</definedName>
    <definedName name="Excel_BuiltIn_Print_Area_1_1_1_1_1" localSheetId="16">#REF!</definedName>
    <definedName name="Excel_BuiltIn_Print_Area_1_1_1_1_1">#REF!</definedName>
    <definedName name="Excel_BuiltIn_Print_Area_1_1_1_1_1_1" localSheetId="16">#REF!</definedName>
    <definedName name="Excel_BuiltIn_Print_Area_1_1_1_1_1_1">#REF!</definedName>
    <definedName name="Excel_BuiltIn_Print_Area_1_1_1_1_1_1_1_1" localSheetId="16">#REF!</definedName>
    <definedName name="Excel_BuiltIn_Print_Area_1_1_1_1_1_1_1_1">#REF!</definedName>
    <definedName name="Excel_BuiltIn_Print_Area_2" localSheetId="16">#REF!</definedName>
    <definedName name="Excel_BuiltIn_Print_Area_2">#REF!</definedName>
    <definedName name="Excel_BuiltIn_Print_Area_2_1" localSheetId="16">#REF!</definedName>
    <definedName name="Excel_BuiltIn_Print_Area_2_1">#REF!</definedName>
    <definedName name="Excel_BuiltIn_Print_Area_2_1_1" localSheetId="16">#REF!</definedName>
    <definedName name="Excel_BuiltIn_Print_Area_2_1_1">#REF!</definedName>
    <definedName name="Excel_BuiltIn_Print_Area_2_1_1_1" localSheetId="16">#REF!</definedName>
    <definedName name="Excel_BuiltIn_Print_Area_2_1_1_1">#REF!</definedName>
    <definedName name="Excel_BuiltIn_Print_Area_4_1" localSheetId="16">#REF!</definedName>
    <definedName name="Excel_BuiltIn_Print_Area_4_1">#REF!</definedName>
    <definedName name="Excel_BuiltIn_Print_Area_4_1_1" localSheetId="16">#REF!</definedName>
    <definedName name="Excel_BuiltIn_Print_Area_4_1_1">#REF!</definedName>
    <definedName name="Excel_BuiltIn_Print_Area_4_1_1_1" localSheetId="16">#REF!</definedName>
    <definedName name="Excel_BuiltIn_Print_Area_4_1_1_1">#REF!</definedName>
    <definedName name="Excel_BuiltIn_Print_Area_5_1" localSheetId="16">#REF!</definedName>
    <definedName name="Excel_BuiltIn_Print_Area_5_1">#REF!</definedName>
    <definedName name="Excel_BuiltIn_Print_Area_5_1_1" localSheetId="16">#REF!</definedName>
    <definedName name="Excel_BuiltIn_Print_Area_5_1_1">#REF!</definedName>
    <definedName name="Excel_BuiltIn_Print_Area_6_1" localSheetId="16">#REF!</definedName>
    <definedName name="Excel_BuiltIn_Print_Area_6_1">#REF!</definedName>
    <definedName name="Excel_BuiltIn_Print_Titles_1" localSheetId="16">#REF!</definedName>
    <definedName name="Excel_BuiltIn_Print_Titles_1">#REF!</definedName>
    <definedName name="Excel_BuiltIn_Print_Titles_1_1" localSheetId="16">#REF!</definedName>
    <definedName name="Excel_BuiltIn_Print_Titles_1_1">#REF!</definedName>
    <definedName name="Excel_BuiltIn_Print_Titles_1_1_1" localSheetId="16">#REF!</definedName>
    <definedName name="Excel_BuiltIn_Print_Titles_1_1_1">#REF!</definedName>
    <definedName name="Excel_BuiltIn_Print_Titles_2" localSheetId="16">#REF!</definedName>
    <definedName name="Excel_BuiltIn_Print_Titles_2">#REF!</definedName>
    <definedName name="Excel_BuiltIn_Print_Titles_2_1" localSheetId="16">#REF!</definedName>
    <definedName name="Excel_BuiltIn_Print_Titles_2_1">#REF!</definedName>
    <definedName name="Excel_BuiltIn_Print_Titles_2_1_1" localSheetId="16">#REF!</definedName>
    <definedName name="Excel_BuiltIn_Print_Titles_2_1_1">#REF!</definedName>
    <definedName name="Excel_BuiltIn_Print_Titles_2_1_1_1" localSheetId="16">#REF!</definedName>
    <definedName name="Excel_BuiltIn_Print_Titles_2_1_1_1">#REF!</definedName>
    <definedName name="Excel_BuiltIn_Print_Titles_2_1_1_1_1" localSheetId="16">#REF!</definedName>
    <definedName name="Excel_BuiltIn_Print_Titles_2_1_1_1_1">#REF!</definedName>
    <definedName name="Excel_BuiltIn_Print_Titles_2_1_1_1_1_1" localSheetId="16">#REF!</definedName>
    <definedName name="Excel_BuiltIn_Print_Titles_2_1_1_1_1_1">#REF!</definedName>
    <definedName name="Excel_BuiltIn_Print_Titles_4" localSheetId="16">#REF!</definedName>
    <definedName name="Excel_BuiltIn_Print_Titles_4">#REF!</definedName>
    <definedName name="Excel_BuiltIn_Print_Titles_4_1" localSheetId="16">#REF!</definedName>
    <definedName name="Excel_BuiltIn_Print_Titles_4_1">#REF!</definedName>
    <definedName name="Excel_BuiltIn_Print_Titles_5" localSheetId="16">#REF!</definedName>
    <definedName name="Excel_BuiltIn_Print_Titles_5">#REF!</definedName>
    <definedName name="Excel_BuiltIn_Print_Titles_5_1" localSheetId="16">#REF!</definedName>
    <definedName name="Excel_BuiltIn_Print_Titles_5_1">#REF!</definedName>
    <definedName name="_xlnm.Print_Titles" localSheetId="14">'Peças e Materiais'!$1:$2</definedName>
    <definedName name="_xlnm.Print_Titles" localSheetId="15">'Serv. Especializados'!$1:$2</definedName>
    <definedName name="Z_A9F9385B_93FA_4B7E_B557_8A6B9B68FCE5_.wvu.PrintArea" localSheetId="16" hidden="1">Veículos!$B$1:$I$47</definedName>
  </definedNames>
  <calcPr calcId="101716" fullCalcOnLoad="1"/>
</workbook>
</file>

<file path=xl/calcChain.xml><?xml version="1.0" encoding="utf-8"?>
<calcChain xmlns="http://schemas.openxmlformats.org/spreadsheetml/2006/main">
  <c r="E77" i="1"/>
  <c r="F77"/>
  <c r="E32"/>
  <c r="E31"/>
  <c r="E30"/>
  <c r="E29"/>
  <c r="E28"/>
  <c r="H27" i="18"/>
  <c r="D6"/>
  <c r="D27"/>
  <c r="F67" i="16"/>
  <c r="F66"/>
  <c r="F5" i="3"/>
  <c r="F5" i="5"/>
  <c r="F5" i="6"/>
  <c r="F5" i="7"/>
  <c r="F5" i="8"/>
  <c r="F5" i="9"/>
  <c r="F5" i="10"/>
  <c r="F5" i="11"/>
  <c r="F5" i="12"/>
  <c r="F5" i="13"/>
  <c r="F5" i="14"/>
  <c r="F5" i="15"/>
  <c r="F5" i="16"/>
  <c r="F64"/>
  <c r="F64" i="15"/>
  <c r="F67"/>
  <c r="F64" i="14"/>
  <c r="F67"/>
  <c r="F64" i="13"/>
  <c r="F67"/>
  <c r="F64" i="12"/>
  <c r="F67"/>
  <c r="F64" i="11"/>
  <c r="F67"/>
  <c r="F64" i="10"/>
  <c r="F67"/>
  <c r="F64" i="9"/>
  <c r="F67"/>
  <c r="F64" i="8"/>
  <c r="F67"/>
  <c r="F64" i="7"/>
  <c r="F67"/>
  <c r="F64" i="6"/>
  <c r="F67"/>
  <c r="F64" i="5"/>
  <c r="F67"/>
  <c r="F64" i="3"/>
  <c r="F67"/>
  <c r="I42" i="18"/>
  <c r="H28"/>
  <c r="G188" i="19"/>
  <c r="I114"/>
  <c r="I115"/>
  <c r="I116"/>
  <c r="I200"/>
  <c r="I202"/>
  <c r="I137"/>
  <c r="I138"/>
  <c r="I84"/>
  <c r="I15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132"/>
  <c r="I131"/>
  <c r="I130"/>
  <c r="I129"/>
  <c r="I128"/>
  <c r="I127"/>
  <c r="I126"/>
  <c r="I125"/>
  <c r="I124"/>
  <c r="I123"/>
  <c r="I122"/>
  <c r="I121"/>
  <c r="I120"/>
  <c r="I119"/>
  <c r="I118"/>
  <c r="I117"/>
  <c r="I113"/>
  <c r="I112"/>
  <c r="I111"/>
  <c r="I110"/>
  <c r="I109"/>
  <c r="I108"/>
  <c r="I107"/>
  <c r="I106"/>
  <c r="I105"/>
  <c r="I104"/>
  <c r="I103"/>
  <c r="I102"/>
  <c r="I101"/>
  <c r="I100"/>
  <c r="I99"/>
  <c r="I98"/>
  <c r="I159"/>
  <c r="I143"/>
  <c r="I204"/>
  <c r="I203"/>
  <c r="I196"/>
  <c r="I209"/>
  <c r="G78" i="20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2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G55"/>
  <c r="C82"/>
  <c r="F82"/>
  <c r="C83"/>
  <c r="F83"/>
  <c r="C85"/>
  <c r="F85"/>
  <c r="C86"/>
  <c r="F86"/>
  <c r="C87"/>
  <c r="F87"/>
  <c r="C88"/>
  <c r="B93"/>
  <c r="C230" i="19"/>
  <c r="C229"/>
  <c r="C228"/>
  <c r="C227"/>
  <c r="C226"/>
  <c r="C225"/>
  <c r="C221"/>
  <c r="C220"/>
  <c r="C219"/>
  <c r="C218"/>
  <c r="C216"/>
  <c r="C215"/>
  <c r="B226"/>
  <c r="B227"/>
  <c r="B228"/>
  <c r="B229"/>
  <c r="B230"/>
  <c r="B231"/>
  <c r="H220"/>
  <c r="H219"/>
  <c r="H218"/>
  <c r="H216"/>
  <c r="H21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80"/>
  <c r="B81"/>
  <c r="B82"/>
  <c r="B83"/>
  <c r="B84"/>
  <c r="G26" i="20"/>
  <c r="I97" i="19"/>
  <c r="I228"/>
  <c r="I4"/>
  <c r="I225"/>
  <c r="I207"/>
  <c r="I206"/>
  <c r="I191"/>
  <c r="I193"/>
  <c r="I195"/>
  <c r="I205"/>
  <c r="I190"/>
  <c r="I208"/>
  <c r="I201"/>
  <c r="I199"/>
  <c r="I198"/>
  <c r="I197"/>
  <c r="I194"/>
  <c r="I192"/>
  <c r="I183"/>
  <c r="I179"/>
  <c r="I175"/>
  <c r="I181"/>
  <c r="I180"/>
  <c r="I185"/>
  <c r="I182"/>
  <c r="I187"/>
  <c r="I184"/>
  <c r="I178"/>
  <c r="I142"/>
  <c r="I177"/>
  <c r="I186"/>
  <c r="I176"/>
  <c r="I140"/>
  <c r="I136"/>
  <c r="I141"/>
  <c r="I139"/>
  <c r="I135"/>
  <c r="I82"/>
  <c r="I81"/>
  <c r="I80"/>
  <c r="I150"/>
  <c r="I188"/>
  <c r="I83"/>
  <c r="B87"/>
  <c r="B88"/>
  <c r="B89"/>
  <c r="B90"/>
  <c r="B91"/>
  <c r="B92"/>
  <c r="B93"/>
  <c r="B94"/>
  <c r="B95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I146"/>
  <c r="I170"/>
  <c r="I155"/>
  <c r="I168"/>
  <c r="I189"/>
  <c r="I174"/>
  <c r="I173"/>
  <c r="I172"/>
  <c r="I171"/>
  <c r="I169"/>
  <c r="I167"/>
  <c r="I166"/>
  <c r="I165"/>
  <c r="I162"/>
  <c r="I161"/>
  <c r="I160"/>
  <c r="I157"/>
  <c r="I156"/>
  <c r="I154"/>
  <c r="I153"/>
  <c r="I152"/>
  <c r="I151"/>
  <c r="I149"/>
  <c r="I148"/>
  <c r="I147"/>
  <c r="I144"/>
  <c r="I145"/>
  <c r="I95"/>
  <c r="I94"/>
  <c r="I93"/>
  <c r="I92"/>
  <c r="I91"/>
  <c r="I90"/>
  <c r="I89"/>
  <c r="I88"/>
  <c r="I87"/>
  <c r="C75" i="3"/>
  <c r="C75" i="5"/>
  <c r="C75" i="6"/>
  <c r="C75" i="7"/>
  <c r="C75" i="8"/>
  <c r="C75" i="9"/>
  <c r="C75" i="10"/>
  <c r="C75" i="11"/>
  <c r="C75" i="12"/>
  <c r="C75" i="13"/>
  <c r="C75" i="14"/>
  <c r="C75" i="15"/>
  <c r="C75" i="16"/>
  <c r="I41" i="18"/>
  <c r="G4" i="20"/>
  <c r="G92"/>
  <c r="I164" i="19"/>
  <c r="I230"/>
  <c r="I134"/>
  <c r="I229"/>
  <c r="I86"/>
  <c r="I227"/>
  <c r="I79"/>
  <c r="I226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5"/>
  <c r="B166"/>
  <c r="B167"/>
  <c r="B168"/>
  <c r="B169"/>
  <c r="B170"/>
  <c r="B171"/>
  <c r="B172"/>
  <c r="B173"/>
  <c r="B174"/>
  <c r="B175"/>
  <c r="C56" i="18"/>
  <c r="H55"/>
  <c r="C55"/>
  <c r="H54"/>
  <c r="C54"/>
  <c r="H53"/>
  <c r="C53"/>
  <c r="H51"/>
  <c r="C51"/>
  <c r="H50"/>
  <c r="C50"/>
  <c r="E78" i="3"/>
  <c r="E78" i="5"/>
  <c r="E78" i="6"/>
  <c r="E78" i="7"/>
  <c r="E78" i="8"/>
  <c r="E78" i="9"/>
  <c r="E78" i="10"/>
  <c r="E78" i="11"/>
  <c r="E78" i="12"/>
  <c r="E78" i="13"/>
  <c r="E78" i="14"/>
  <c r="E78" i="15"/>
  <c r="E78" i="16"/>
  <c r="E77" i="3"/>
  <c r="E77" i="5"/>
  <c r="E77" i="6"/>
  <c r="E77" i="7"/>
  <c r="E77" i="8"/>
  <c r="E77" i="9"/>
  <c r="E77" i="10"/>
  <c r="E77" i="11"/>
  <c r="E77" i="12"/>
  <c r="E77" i="13"/>
  <c r="E77" i="14"/>
  <c r="E77" i="15"/>
  <c r="E77" i="16"/>
  <c r="E76" i="3"/>
  <c r="E76" i="5"/>
  <c r="E76" i="6"/>
  <c r="E76" i="7"/>
  <c r="E76" i="8"/>
  <c r="E76" i="9"/>
  <c r="E76" i="10"/>
  <c r="E76" i="11"/>
  <c r="E76" i="12"/>
  <c r="E76" i="13"/>
  <c r="E76" i="14"/>
  <c r="E76" i="15"/>
  <c r="E76" i="16"/>
  <c r="E74" i="3"/>
  <c r="E74" i="5"/>
  <c r="E74" i="6"/>
  <c r="E74" i="7"/>
  <c r="E74" i="8"/>
  <c r="E74" i="9"/>
  <c r="E74" i="10"/>
  <c r="E74" i="11"/>
  <c r="E74" i="12"/>
  <c r="E74" i="13"/>
  <c r="E74" i="14"/>
  <c r="E74" i="15"/>
  <c r="E74" i="16"/>
  <c r="E73" i="3"/>
  <c r="E73" i="5"/>
  <c r="E73" i="6"/>
  <c r="E73" i="7"/>
  <c r="E73" i="8"/>
  <c r="E73" i="9"/>
  <c r="E73" i="10"/>
  <c r="E73" i="11"/>
  <c r="E73" i="12"/>
  <c r="E73" i="13"/>
  <c r="E73" i="14"/>
  <c r="E73" i="15"/>
  <c r="E73" i="16"/>
  <c r="C79" i="3"/>
  <c r="C79" i="5"/>
  <c r="C79" i="6"/>
  <c r="C79" i="7"/>
  <c r="C79" i="8"/>
  <c r="C79" i="9"/>
  <c r="C79" i="10"/>
  <c r="C79" i="11"/>
  <c r="C79" i="12"/>
  <c r="C79" i="13"/>
  <c r="C79" i="14"/>
  <c r="C79" i="15"/>
  <c r="C79" i="16"/>
  <c r="C78" i="3"/>
  <c r="C78" i="5"/>
  <c r="C78" i="6"/>
  <c r="C78" i="7"/>
  <c r="C78" i="8"/>
  <c r="C78" i="9"/>
  <c r="C78" i="10"/>
  <c r="C78" i="11"/>
  <c r="C78" i="12"/>
  <c r="C78" i="13"/>
  <c r="C78" i="14"/>
  <c r="C78" i="15"/>
  <c r="C78" i="16"/>
  <c r="C77" i="3"/>
  <c r="C77" i="5"/>
  <c r="C77" i="6"/>
  <c r="C77" i="7"/>
  <c r="C77" i="8"/>
  <c r="C77" i="9"/>
  <c r="C77" i="10"/>
  <c r="C77" i="11"/>
  <c r="C77" i="12"/>
  <c r="C77" i="13"/>
  <c r="C77" i="14"/>
  <c r="C77" i="15"/>
  <c r="C77" i="16"/>
  <c r="C76" i="3"/>
  <c r="C76" i="5"/>
  <c r="C76" i="6"/>
  <c r="C76" i="7"/>
  <c r="C76" i="8"/>
  <c r="C76" i="9"/>
  <c r="C76" i="10"/>
  <c r="C76" i="11"/>
  <c r="C76" i="12"/>
  <c r="C76" i="13"/>
  <c r="C76" i="14"/>
  <c r="C76" i="15"/>
  <c r="C76" i="16"/>
  <c r="C74" i="3"/>
  <c r="C74" i="5"/>
  <c r="C74" i="6"/>
  <c r="C74" i="7"/>
  <c r="C74" i="8"/>
  <c r="C74" i="9"/>
  <c r="C74" i="10"/>
  <c r="C74" i="11"/>
  <c r="C74" i="12"/>
  <c r="C74" i="13"/>
  <c r="C74" i="14"/>
  <c r="C74" i="15"/>
  <c r="C74" i="16"/>
  <c r="C73" i="3"/>
  <c r="C73" i="5"/>
  <c r="C73" i="6"/>
  <c r="C73" i="7"/>
  <c r="C73" i="8"/>
  <c r="C73" i="9"/>
  <c r="C73" i="10"/>
  <c r="C73" i="11"/>
  <c r="C73" i="12"/>
  <c r="C73" i="13"/>
  <c r="C73" i="14"/>
  <c r="C73" i="15"/>
  <c r="C73" i="16"/>
  <c r="H35" i="18"/>
  <c r="I35"/>
  <c r="H29"/>
  <c r="I29"/>
  <c r="I21"/>
  <c r="I20"/>
  <c r="H14"/>
  <c r="H8"/>
  <c r="I8"/>
  <c r="C64" i="1"/>
  <c r="F12" i="16"/>
  <c r="E59"/>
  <c r="E58"/>
  <c r="E57"/>
  <c r="E56"/>
  <c r="E55"/>
  <c r="E48"/>
  <c r="E49"/>
  <c r="E47"/>
  <c r="F41"/>
  <c r="F38"/>
  <c r="F39"/>
  <c r="F36"/>
  <c r="E25"/>
  <c r="E33"/>
  <c r="E21"/>
  <c r="E20"/>
  <c r="F14"/>
  <c r="C60" i="1"/>
  <c r="E59" i="15"/>
  <c r="E58"/>
  <c r="E57"/>
  <c r="E56"/>
  <c r="E55"/>
  <c r="E48"/>
  <c r="E49"/>
  <c r="E47"/>
  <c r="F40"/>
  <c r="F38"/>
  <c r="F39"/>
  <c r="E25"/>
  <c r="E33"/>
  <c r="E21"/>
  <c r="E20"/>
  <c r="F14"/>
  <c r="F13"/>
  <c r="F12"/>
  <c r="C59" i="1"/>
  <c r="E59" i="14"/>
  <c r="E58"/>
  <c r="E57"/>
  <c r="E56"/>
  <c r="E55"/>
  <c r="E48"/>
  <c r="E49"/>
  <c r="E47"/>
  <c r="F40"/>
  <c r="F38"/>
  <c r="F39"/>
  <c r="E25"/>
  <c r="E33"/>
  <c r="E21"/>
  <c r="E20"/>
  <c r="F14"/>
  <c r="F13"/>
  <c r="F12"/>
  <c r="C58" i="1"/>
  <c r="E59" i="13"/>
  <c r="E58"/>
  <c r="E57"/>
  <c r="E56"/>
  <c r="E55"/>
  <c r="E48"/>
  <c r="E49"/>
  <c r="E47"/>
  <c r="F40"/>
  <c r="F38"/>
  <c r="F39"/>
  <c r="E25"/>
  <c r="E33"/>
  <c r="E21"/>
  <c r="E20"/>
  <c r="F14"/>
  <c r="F13"/>
  <c r="F12"/>
  <c r="C57" i="1"/>
  <c r="E59" i="12"/>
  <c r="E58"/>
  <c r="E57"/>
  <c r="E56"/>
  <c r="E55"/>
  <c r="E48"/>
  <c r="E49"/>
  <c r="E47"/>
  <c r="F40"/>
  <c r="F41"/>
  <c r="E25"/>
  <c r="E33"/>
  <c r="E21"/>
  <c r="E20"/>
  <c r="F14"/>
  <c r="F13"/>
  <c r="F12"/>
  <c r="C56" i="1"/>
  <c r="E59" i="11"/>
  <c r="E58"/>
  <c r="E57"/>
  <c r="E56"/>
  <c r="E55"/>
  <c r="E48"/>
  <c r="E49"/>
  <c r="E47"/>
  <c r="F40"/>
  <c r="F38"/>
  <c r="F39"/>
  <c r="E25"/>
  <c r="E33"/>
  <c r="E21"/>
  <c r="E20"/>
  <c r="F14"/>
  <c r="F13"/>
  <c r="F12"/>
  <c r="C55" i="1"/>
  <c r="E59" i="10"/>
  <c r="E58"/>
  <c r="E57"/>
  <c r="E56"/>
  <c r="E55"/>
  <c r="E48"/>
  <c r="E49"/>
  <c r="E47"/>
  <c r="F40"/>
  <c r="F41"/>
  <c r="E25"/>
  <c r="E33"/>
  <c r="E21"/>
  <c r="E20"/>
  <c r="F14"/>
  <c r="F13"/>
  <c r="F12"/>
  <c r="C54" i="1"/>
  <c r="E59" i="9"/>
  <c r="E58"/>
  <c r="E57"/>
  <c r="E56"/>
  <c r="E55"/>
  <c r="E48"/>
  <c r="E49"/>
  <c r="E47"/>
  <c r="F40"/>
  <c r="F36"/>
  <c r="E25"/>
  <c r="E33"/>
  <c r="E21"/>
  <c r="E20"/>
  <c r="F14"/>
  <c r="F13"/>
  <c r="F12"/>
  <c r="C53" i="1"/>
  <c r="E59" i="8"/>
  <c r="E58"/>
  <c r="E57"/>
  <c r="E56"/>
  <c r="E55"/>
  <c r="E48"/>
  <c r="E49"/>
  <c r="E47"/>
  <c r="F40"/>
  <c r="F38"/>
  <c r="F39"/>
  <c r="E25"/>
  <c r="E33"/>
  <c r="E21"/>
  <c r="E20"/>
  <c r="F14"/>
  <c r="F13"/>
  <c r="F12"/>
  <c r="C52" i="1"/>
  <c r="G82" i="20"/>
  <c r="G83"/>
  <c r="F15" i="10"/>
  <c r="F83"/>
  <c r="F20"/>
  <c r="F38" i="12"/>
  <c r="F39"/>
  <c r="F36" i="14"/>
  <c r="F37"/>
  <c r="F36" i="12"/>
  <c r="F37"/>
  <c r="B176" i="19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I211"/>
  <c r="I215"/>
  <c r="H36" i="18"/>
  <c r="H37"/>
  <c r="H15"/>
  <c r="I14"/>
  <c r="F15" i="13"/>
  <c r="F83"/>
  <c r="F21"/>
  <c r="F36" i="15"/>
  <c r="F37"/>
  <c r="F15" i="8"/>
  <c r="F83"/>
  <c r="F21"/>
  <c r="F15" i="11"/>
  <c r="F83"/>
  <c r="F20"/>
  <c r="F36" i="13"/>
  <c r="F37"/>
  <c r="F15" i="15"/>
  <c r="F83"/>
  <c r="F21"/>
  <c r="F13" i="16"/>
  <c r="F15"/>
  <c r="F83"/>
  <c r="F37"/>
  <c r="F43"/>
  <c r="F41" i="15"/>
  <c r="F15" i="14"/>
  <c r="F83"/>
  <c r="F20"/>
  <c r="F41"/>
  <c r="F41" i="13"/>
  <c r="F15" i="12"/>
  <c r="F83"/>
  <c r="F20"/>
  <c r="F36" i="11"/>
  <c r="F41"/>
  <c r="F21" i="10"/>
  <c r="F38"/>
  <c r="F39"/>
  <c r="F36"/>
  <c r="F15" i="9"/>
  <c r="F83"/>
  <c r="F21"/>
  <c r="F37"/>
  <c r="F41"/>
  <c r="F38"/>
  <c r="F39"/>
  <c r="F36" i="8"/>
  <c r="F41"/>
  <c r="E59" i="7"/>
  <c r="E58"/>
  <c r="E57"/>
  <c r="E56"/>
  <c r="E55"/>
  <c r="E48"/>
  <c r="E49"/>
  <c r="E47"/>
  <c r="F40"/>
  <c r="F38"/>
  <c r="F39"/>
  <c r="E25"/>
  <c r="E33"/>
  <c r="E21"/>
  <c r="E20"/>
  <c r="F14"/>
  <c r="F13"/>
  <c r="F12"/>
  <c r="C51" i="1"/>
  <c r="E59" i="6"/>
  <c r="E58"/>
  <c r="E57"/>
  <c r="E56"/>
  <c r="E55"/>
  <c r="E48"/>
  <c r="E49"/>
  <c r="E47"/>
  <c r="F40"/>
  <c r="F38"/>
  <c r="F39"/>
  <c r="E25"/>
  <c r="E33"/>
  <c r="E21"/>
  <c r="E20"/>
  <c r="F14"/>
  <c r="F13"/>
  <c r="F12"/>
  <c r="F40" i="5"/>
  <c r="F38"/>
  <c r="F39"/>
  <c r="F40" i="3"/>
  <c r="C50" i="1"/>
  <c r="E59" i="5"/>
  <c r="E58"/>
  <c r="E57"/>
  <c r="E56"/>
  <c r="E55"/>
  <c r="E48"/>
  <c r="E49"/>
  <c r="E47"/>
  <c r="E25"/>
  <c r="E33"/>
  <c r="E21"/>
  <c r="E20"/>
  <c r="F14"/>
  <c r="F13"/>
  <c r="F12"/>
  <c r="E25" i="3"/>
  <c r="F43" i="1"/>
  <c r="D65"/>
  <c r="D61"/>
  <c r="C49"/>
  <c r="F20" i="15"/>
  <c r="F21" i="14"/>
  <c r="F22"/>
  <c r="F29"/>
  <c r="F21" i="11"/>
  <c r="F22"/>
  <c r="F28"/>
  <c r="F43" i="15"/>
  <c r="F43" i="12"/>
  <c r="I7" i="18"/>
  <c r="I28"/>
  <c r="I216" i="19"/>
  <c r="F22" i="15"/>
  <c r="F26"/>
  <c r="F20" i="13"/>
  <c r="F22"/>
  <c r="F21" i="12"/>
  <c r="F20" i="8"/>
  <c r="F22"/>
  <c r="B194" i="19"/>
  <c r="B195"/>
  <c r="F39" i="1"/>
  <c r="F88" i="20"/>
  <c r="H221" i="19"/>
  <c r="F43" i="13"/>
  <c r="H56" i="18"/>
  <c r="H52"/>
  <c r="E79" i="3"/>
  <c r="E79" i="8"/>
  <c r="E75"/>
  <c r="E79" i="12"/>
  <c r="E75"/>
  <c r="E79" i="16"/>
  <c r="E75"/>
  <c r="E79" i="5"/>
  <c r="E75"/>
  <c r="E79" i="9"/>
  <c r="E75"/>
  <c r="E79" i="13"/>
  <c r="E75"/>
  <c r="E79" i="11"/>
  <c r="E75"/>
  <c r="E79" i="6"/>
  <c r="E75"/>
  <c r="E79" i="10"/>
  <c r="E75"/>
  <c r="E79" i="14"/>
  <c r="E75"/>
  <c r="E79" i="7"/>
  <c r="E75"/>
  <c r="E79" i="15"/>
  <c r="E75"/>
  <c r="I36" i="18"/>
  <c r="I15"/>
  <c r="H16"/>
  <c r="H38"/>
  <c r="I37"/>
  <c r="F20" i="9"/>
  <c r="F22"/>
  <c r="F22" i="12"/>
  <c r="F31"/>
  <c r="F15" i="7"/>
  <c r="F83"/>
  <c r="F21"/>
  <c r="F43" i="9"/>
  <c r="F21" i="16"/>
  <c r="F20"/>
  <c r="F43" i="14"/>
  <c r="F37" i="11"/>
  <c r="F43"/>
  <c r="F37" i="10"/>
  <c r="F43"/>
  <c r="F22"/>
  <c r="F37" i="8"/>
  <c r="F43"/>
  <c r="F15" i="6"/>
  <c r="F83"/>
  <c r="F20"/>
  <c r="F36" i="7"/>
  <c r="F41"/>
  <c r="F41" i="6"/>
  <c r="F36"/>
  <c r="F36" i="5"/>
  <c r="F37"/>
  <c r="F41"/>
  <c r="F15"/>
  <c r="F83"/>
  <c r="F20"/>
  <c r="F15" i="1"/>
  <c r="F20" i="7"/>
  <c r="F49" i="12"/>
  <c r="F49" i="11"/>
  <c r="F29"/>
  <c r="F21" i="6"/>
  <c r="F32" i="11"/>
  <c r="F47"/>
  <c r="F31"/>
  <c r="F27"/>
  <c r="F26"/>
  <c r="F49" i="15"/>
  <c r="F25" i="11"/>
  <c r="F30"/>
  <c r="F29" i="15"/>
  <c r="F32"/>
  <c r="F47"/>
  <c r="F31"/>
  <c r="F30"/>
  <c r="F27"/>
  <c r="F32" i="14"/>
  <c r="F47"/>
  <c r="F25"/>
  <c r="F26"/>
  <c r="F31"/>
  <c r="F30"/>
  <c r="F28"/>
  <c r="F27"/>
  <c r="F49"/>
  <c r="F26" i="12"/>
  <c r="F28"/>
  <c r="F27"/>
  <c r="F30"/>
  <c r="F32"/>
  <c r="F29"/>
  <c r="F25"/>
  <c r="F21" i="5"/>
  <c r="F22"/>
  <c r="F47" i="12"/>
  <c r="F25" i="15"/>
  <c r="F28"/>
  <c r="F6" i="18"/>
  <c r="I6"/>
  <c r="F27"/>
  <c r="I27"/>
  <c r="F49" i="13"/>
  <c r="F26"/>
  <c r="F25"/>
  <c r="F27"/>
  <c r="F31"/>
  <c r="F29"/>
  <c r="F30"/>
  <c r="F32"/>
  <c r="F47"/>
  <c r="F28"/>
  <c r="F25" i="9"/>
  <c r="F32"/>
  <c r="F47"/>
  <c r="F27"/>
  <c r="F29"/>
  <c r="F49"/>
  <c r="F22" i="6"/>
  <c r="F28"/>
  <c r="B196" i="19"/>
  <c r="B197"/>
  <c r="B198"/>
  <c r="B199"/>
  <c r="B200"/>
  <c r="B201"/>
  <c r="B202"/>
  <c r="B203"/>
  <c r="B204"/>
  <c r="B205"/>
  <c r="B206"/>
  <c r="B207"/>
  <c r="B208"/>
  <c r="B209"/>
  <c r="H217"/>
  <c r="I218"/>
  <c r="F84" i="20"/>
  <c r="H39" i="18"/>
  <c r="I39"/>
  <c r="I38"/>
  <c r="H17"/>
  <c r="I16"/>
  <c r="F28" i="9"/>
  <c r="F31"/>
  <c r="F22" i="7"/>
  <c r="F30"/>
  <c r="F30" i="9"/>
  <c r="F26"/>
  <c r="F22" i="16"/>
  <c r="F32"/>
  <c r="F47"/>
  <c r="F32" i="10"/>
  <c r="F47"/>
  <c r="F29"/>
  <c r="F30"/>
  <c r="F27"/>
  <c r="F28"/>
  <c r="F49"/>
  <c r="F26"/>
  <c r="F25"/>
  <c r="F31"/>
  <c r="F29" i="8"/>
  <c r="F27"/>
  <c r="F31"/>
  <c r="F25"/>
  <c r="F28"/>
  <c r="F30"/>
  <c r="F32"/>
  <c r="F47"/>
  <c r="F49"/>
  <c r="F26"/>
  <c r="F37" i="7"/>
  <c r="F43"/>
  <c r="F29"/>
  <c r="F31" i="6"/>
  <c r="F37"/>
  <c r="F43"/>
  <c r="F43" i="5"/>
  <c r="F30" i="6"/>
  <c r="F33" i="11"/>
  <c r="F84"/>
  <c r="F48"/>
  <c r="F50"/>
  <c r="F85"/>
  <c r="F29" i="6"/>
  <c r="F32"/>
  <c r="F47"/>
  <c r="F27"/>
  <c r="F33" i="15"/>
  <c r="F84"/>
  <c r="F48"/>
  <c r="F50"/>
  <c r="F85"/>
  <c r="F57"/>
  <c r="F33" i="12"/>
  <c r="F84"/>
  <c r="F26" i="6"/>
  <c r="F49"/>
  <c r="F25"/>
  <c r="F30" i="16"/>
  <c r="F33" i="14"/>
  <c r="F84"/>
  <c r="F48"/>
  <c r="F50"/>
  <c r="F85"/>
  <c r="F56"/>
  <c r="F26" i="16"/>
  <c r="F31"/>
  <c r="I219" i="19"/>
  <c r="F33" i="13"/>
  <c r="F84"/>
  <c r="F48"/>
  <c r="F50"/>
  <c r="F85"/>
  <c r="F59"/>
  <c r="G86" i="20"/>
  <c r="G85"/>
  <c r="G87"/>
  <c r="F25" i="16"/>
  <c r="F33" i="9"/>
  <c r="F84"/>
  <c r="F48"/>
  <c r="F50"/>
  <c r="F85"/>
  <c r="F59"/>
  <c r="I221" i="19"/>
  <c r="G88" i="20"/>
  <c r="F49" i="7"/>
  <c r="F28" i="16"/>
  <c r="F27"/>
  <c r="I220" i="19"/>
  <c r="I40" i="18"/>
  <c r="I43"/>
  <c r="H30"/>
  <c r="I30"/>
  <c r="I31"/>
  <c r="I17"/>
  <c r="H18"/>
  <c r="I18"/>
  <c r="F31" i="7"/>
  <c r="F26"/>
  <c r="F32"/>
  <c r="F47"/>
  <c r="F29" i="16"/>
  <c r="F49"/>
  <c r="F27" i="7"/>
  <c r="F28"/>
  <c r="F25"/>
  <c r="F48" i="12"/>
  <c r="F50"/>
  <c r="F85"/>
  <c r="F55"/>
  <c r="F33" i="10"/>
  <c r="F84"/>
  <c r="F33" i="8"/>
  <c r="F84"/>
  <c r="F29" i="5"/>
  <c r="F28"/>
  <c r="F31"/>
  <c r="F49"/>
  <c r="F25"/>
  <c r="F30"/>
  <c r="F27"/>
  <c r="F32"/>
  <c r="F47"/>
  <c r="F26"/>
  <c r="F33" i="6"/>
  <c r="F84"/>
  <c r="F33" i="16"/>
  <c r="F84"/>
  <c r="F48"/>
  <c r="F50"/>
  <c r="F85"/>
  <c r="F55"/>
  <c r="F55" i="13"/>
  <c r="F56" i="9"/>
  <c r="F57"/>
  <c r="F58"/>
  <c r="F33" i="7"/>
  <c r="F84"/>
  <c r="F48"/>
  <c r="F50"/>
  <c r="F85"/>
  <c r="F55"/>
  <c r="I217" i="19"/>
  <c r="I222"/>
  <c r="I231"/>
  <c r="I232"/>
  <c r="F74" i="1"/>
  <c r="F58" i="15"/>
  <c r="G84" i="20"/>
  <c r="G89"/>
  <c r="G93"/>
  <c r="G94"/>
  <c r="F75" i="1"/>
  <c r="F56" i="15"/>
  <c r="F55"/>
  <c r="F55" i="9"/>
  <c r="F57" i="13"/>
  <c r="F59" i="15"/>
  <c r="I61" i="18"/>
  <c r="I19"/>
  <c r="I22"/>
  <c r="H9"/>
  <c r="I9"/>
  <c r="I10"/>
  <c r="F58" i="14"/>
  <c r="F59"/>
  <c r="F57"/>
  <c r="F55"/>
  <c r="F56" i="13"/>
  <c r="F58"/>
  <c r="F59" i="12"/>
  <c r="F58"/>
  <c r="F57"/>
  <c r="F56"/>
  <c r="F58" i="11"/>
  <c r="F56"/>
  <c r="F55"/>
  <c r="F59"/>
  <c r="F57"/>
  <c r="F48" i="10"/>
  <c r="F50"/>
  <c r="F85"/>
  <c r="F58"/>
  <c r="F48" i="8"/>
  <c r="F50"/>
  <c r="F85"/>
  <c r="F48" i="6"/>
  <c r="F50"/>
  <c r="F85"/>
  <c r="F33" i="5"/>
  <c r="F84"/>
  <c r="F58" i="16"/>
  <c r="F60" i="9"/>
  <c r="F86"/>
  <c r="F57" i="16"/>
  <c r="F60" i="15"/>
  <c r="F86"/>
  <c r="F60" i="12"/>
  <c r="F86"/>
  <c r="F56" i="16"/>
  <c r="F59"/>
  <c r="I60" i="18"/>
  <c r="I50"/>
  <c r="F56" i="7"/>
  <c r="F60" i="13"/>
  <c r="F86"/>
  <c r="F58" i="7"/>
  <c r="F60" i="14"/>
  <c r="F86"/>
  <c r="F60" i="11"/>
  <c r="F86"/>
  <c r="F57" i="10"/>
  <c r="F55"/>
  <c r="F56"/>
  <c r="F59"/>
  <c r="F56" i="8"/>
  <c r="F57"/>
  <c r="F59"/>
  <c r="F55"/>
  <c r="F58"/>
  <c r="F57" i="7"/>
  <c r="F59"/>
  <c r="F56" i="6"/>
  <c r="F55"/>
  <c r="F59"/>
  <c r="F58"/>
  <c r="F57"/>
  <c r="F48" i="5"/>
  <c r="F50"/>
  <c r="F85"/>
  <c r="F58"/>
  <c r="F60" i="16"/>
  <c r="F86"/>
  <c r="I51" i="18"/>
  <c r="I56"/>
  <c r="F60" i="10"/>
  <c r="F86"/>
  <c r="F60" i="8"/>
  <c r="F86"/>
  <c r="F60" i="7"/>
  <c r="F86"/>
  <c r="F60" i="6"/>
  <c r="F86"/>
  <c r="F55" i="5"/>
  <c r="F59"/>
  <c r="F57"/>
  <c r="F56"/>
  <c r="I54" i="18"/>
  <c r="I53"/>
  <c r="I55"/>
  <c r="F60" i="5"/>
  <c r="F86"/>
  <c r="F65" i="16"/>
  <c r="F69"/>
  <c r="F87"/>
  <c r="F65" i="12"/>
  <c r="F69"/>
  <c r="F87"/>
  <c r="F65" i="8"/>
  <c r="F69"/>
  <c r="F87"/>
  <c r="F65" i="3"/>
  <c r="F69"/>
  <c r="F65" i="14"/>
  <c r="F69"/>
  <c r="F87"/>
  <c r="F65" i="10"/>
  <c r="F69"/>
  <c r="F87"/>
  <c r="F65" i="6"/>
  <c r="F69"/>
  <c r="F87"/>
  <c r="F65" i="13"/>
  <c r="F69"/>
  <c r="F87"/>
  <c r="F65" i="9"/>
  <c r="F69"/>
  <c r="F87"/>
  <c r="F65" i="5"/>
  <c r="F69"/>
  <c r="F87"/>
  <c r="F65" i="15"/>
  <c r="F69"/>
  <c r="F87"/>
  <c r="F65" i="11"/>
  <c r="F69"/>
  <c r="F87"/>
  <c r="F65" i="7"/>
  <c r="F69"/>
  <c r="F87"/>
  <c r="F14" i="3"/>
  <c r="F73" i="5"/>
  <c r="F73" i="8"/>
  <c r="F73" i="9"/>
  <c r="F73" i="6"/>
  <c r="F73" i="11"/>
  <c r="F73" i="12"/>
  <c r="F73" i="7"/>
  <c r="F74"/>
  <c r="F79"/>
  <c r="F73" i="14"/>
  <c r="F73" i="15"/>
  <c r="F73" i="10"/>
  <c r="F74"/>
  <c r="F73" i="16"/>
  <c r="F73" i="13"/>
  <c r="F87" i="3"/>
  <c r="F13"/>
  <c r="F12"/>
  <c r="F41"/>
  <c r="E20"/>
  <c r="E21"/>
  <c r="F38"/>
  <c r="F39"/>
  <c r="F36"/>
  <c r="F37"/>
  <c r="E59"/>
  <c r="E58"/>
  <c r="E57"/>
  <c r="E48"/>
  <c r="E47"/>
  <c r="E55"/>
  <c r="E56"/>
  <c r="E42" i="1"/>
  <c r="E41"/>
  <c r="E40"/>
  <c r="F74" i="15"/>
  <c r="F76"/>
  <c r="F78" i="7"/>
  <c r="F76"/>
  <c r="F74" i="12"/>
  <c r="F76"/>
  <c r="F74" i="8"/>
  <c r="F76"/>
  <c r="F76" i="10"/>
  <c r="F77"/>
  <c r="F74" i="13"/>
  <c r="F76"/>
  <c r="F79" i="10"/>
  <c r="F74" i="14"/>
  <c r="F77"/>
  <c r="F74" i="11"/>
  <c r="F76"/>
  <c r="F74" i="9"/>
  <c r="F76"/>
  <c r="F78" i="10"/>
  <c r="F77" i="7"/>
  <c r="F74" i="6"/>
  <c r="F79"/>
  <c r="F74" i="5"/>
  <c r="F76"/>
  <c r="F74" i="16"/>
  <c r="F77"/>
  <c r="E75" i="3"/>
  <c r="E49"/>
  <c r="F15"/>
  <c r="F83"/>
  <c r="F43"/>
  <c r="E33"/>
  <c r="F79" i="15"/>
  <c r="F77" i="8"/>
  <c r="F79" i="13"/>
  <c r="F78" i="15"/>
  <c r="F78" i="11"/>
  <c r="F77" i="13"/>
  <c r="F77" i="15"/>
  <c r="F77" i="6"/>
  <c r="F79" i="14"/>
  <c r="F75" i="7"/>
  <c r="F77" i="12"/>
  <c r="F79"/>
  <c r="F78"/>
  <c r="F78" i="8"/>
  <c r="F79"/>
  <c r="F77" i="11"/>
  <c r="F76" i="16"/>
  <c r="F78"/>
  <c r="F78" i="9"/>
  <c r="F77"/>
  <c r="F79"/>
  <c r="F79" i="5"/>
  <c r="F79" i="11"/>
  <c r="F75" i="10"/>
  <c r="F80"/>
  <c r="F88"/>
  <c r="F89"/>
  <c r="E55" i="1"/>
  <c r="F55"/>
  <c r="F78" i="13"/>
  <c r="F76" i="14"/>
  <c r="F78"/>
  <c r="F78" i="5"/>
  <c r="F76" i="6"/>
  <c r="F78"/>
  <c r="F79" i="16"/>
  <c r="F77" i="5"/>
  <c r="F20" i="3"/>
  <c r="F21"/>
  <c r="F75" i="13"/>
  <c r="F80"/>
  <c r="F88"/>
  <c r="F89"/>
  <c r="E58" i="1"/>
  <c r="F58"/>
  <c r="F75" i="15"/>
  <c r="F80"/>
  <c r="F88"/>
  <c r="F89"/>
  <c r="E60" i="1"/>
  <c r="F60"/>
  <c r="F75" i="6"/>
  <c r="F80"/>
  <c r="F88"/>
  <c r="F89"/>
  <c r="E51" i="1"/>
  <c r="F51"/>
  <c r="F75" i="8"/>
  <c r="F80"/>
  <c r="F88"/>
  <c r="F89"/>
  <c r="E53" i="1"/>
  <c r="F53"/>
  <c r="F75" i="12"/>
  <c r="F80"/>
  <c r="F88"/>
  <c r="F89"/>
  <c r="E57" i="1"/>
  <c r="F57"/>
  <c r="F75" i="11"/>
  <c r="F80"/>
  <c r="F88"/>
  <c r="F89"/>
  <c r="E56" i="1"/>
  <c r="F56"/>
  <c r="F75" i="14"/>
  <c r="F80"/>
  <c r="F88"/>
  <c r="F89"/>
  <c r="E59" i="1"/>
  <c r="F59"/>
  <c r="F75" i="16"/>
  <c r="F80"/>
  <c r="F88"/>
  <c r="F89"/>
  <c r="F75" i="9"/>
  <c r="F80"/>
  <c r="F88"/>
  <c r="F89"/>
  <c r="E54" i="1"/>
  <c r="F54"/>
  <c r="F75" i="5"/>
  <c r="F80"/>
  <c r="F88"/>
  <c r="F89"/>
  <c r="E50" i="1"/>
  <c r="F50"/>
  <c r="F80" i="7"/>
  <c r="F88"/>
  <c r="F89"/>
  <c r="E52" i="1"/>
  <c r="F52"/>
  <c r="F22" i="3"/>
  <c r="E64" i="1"/>
  <c r="F64"/>
  <c r="F65"/>
  <c r="F29" i="3"/>
  <c r="F30"/>
  <c r="F27"/>
  <c r="F31"/>
  <c r="F32"/>
  <c r="F47"/>
  <c r="F26"/>
  <c r="F25"/>
  <c r="F49"/>
  <c r="F28"/>
  <c r="E65" i="1"/>
  <c r="F33" i="3"/>
  <c r="F84"/>
  <c r="F48"/>
  <c r="F50"/>
  <c r="F85"/>
  <c r="F57"/>
  <c r="F56"/>
  <c r="F58"/>
  <c r="F55"/>
  <c r="F59"/>
  <c r="F60"/>
  <c r="F86"/>
  <c r="F73"/>
  <c r="F74"/>
  <c r="F76"/>
  <c r="F78"/>
  <c r="F77"/>
  <c r="F79"/>
  <c r="F75"/>
  <c r="F80"/>
  <c r="F88"/>
  <c r="F89"/>
  <c r="E49" i="1"/>
  <c r="F49"/>
  <c r="F61"/>
  <c r="F62"/>
  <c r="F66"/>
  <c r="F72"/>
  <c r="E61"/>
  <c r="E62"/>
  <c r="E66"/>
  <c r="E72"/>
  <c r="I52" i="18"/>
  <c r="I57"/>
  <c r="I62"/>
  <c r="I63"/>
  <c r="E73" i="1"/>
  <c r="F73"/>
  <c r="F78"/>
  <c r="D77"/>
  <c r="E78"/>
  <c r="D76"/>
  <c r="D73"/>
  <c r="D75"/>
  <c r="D72"/>
  <c r="D74"/>
</calcChain>
</file>

<file path=xl/sharedStrings.xml><?xml version="1.0" encoding="utf-8"?>
<sst xmlns="http://schemas.openxmlformats.org/spreadsheetml/2006/main" count="2919" uniqueCount="752">
  <si>
    <t>Tachão bidirecional amarelo, com reflexivo amarelo, em forma de tronco prismático e dimensões 25x15x5cm</t>
  </si>
  <si>
    <t>Tachão refletivo monodirecional, confeccionado em resina, cor amarela, forma tronco prismático, comprimento 25 cm, largura 15 cm, espessura 5 cm, com pino de fixação. Dimensões do elemento refletivo: 13 x 3,5 cm</t>
  </si>
  <si>
    <t>G0180</t>
  </si>
  <si>
    <t>Tampa de ferro fundido T 16 - 30 x 30 cm</t>
  </si>
  <si>
    <t>Telha Ondulada 2,44 x 1,10 x 6 mm</t>
  </si>
  <si>
    <t>Marca: ETERNIT ou similar</t>
  </si>
  <si>
    <t>Tijolo maciço aparente medindo 5x10x20 cm</t>
  </si>
  <si>
    <t>CUSTO TOTAL</t>
  </si>
  <si>
    <t>QUADRO RESUMO - CUSTO PEÇAS E MATERIAIS DE REPOSIÇÃO (APLICADOS SOB DEMANDA)</t>
  </si>
  <si>
    <t>VALOR TOTAL PEÇAS E MATERIAIS DE REPOSIÇÃO (APLICADOS SOB DEMANDA)</t>
  </si>
  <si>
    <t>-</t>
  </si>
  <si>
    <t>Custo total com veículos</t>
  </si>
  <si>
    <t>Custo total de Peças e Materiais de Reposição</t>
  </si>
  <si>
    <t>SERVIÇOS TÉCNICOS ESPECIALIZADOS (EXECUTADOS SOB DEMANDA)</t>
  </si>
  <si>
    <t>Recarga de extintores classe PQS-ABC de 6kg</t>
  </si>
  <si>
    <t>Recarga de extintores classe PQS ABC de 12kg</t>
  </si>
  <si>
    <t>Recarga de Extintores Classe PQS BC de 6 kg</t>
  </si>
  <si>
    <t>Recarga de Extintores PQS BC 50 KG</t>
  </si>
  <si>
    <t>Recarga de extintores classe CO2 de 6kg</t>
  </si>
  <si>
    <t>Recarga de extintores classe ÁGUA 10L</t>
  </si>
  <si>
    <t>Teste hidr.e ver. geral de ext.inc.PQS-ABC 6Kg</t>
  </si>
  <si>
    <t>Teste hidr.e ver. geral de ext.inc.PQS-ABC 12Kg</t>
  </si>
  <si>
    <t>Teste hidr.e ver. geral de ext.inc.PQS-BC 6Kg</t>
  </si>
  <si>
    <t>Teste hidrostático e verificação geral dos extintores de incêndio PQS-BC 50Kg</t>
  </si>
  <si>
    <t>Teste hidr.e ver. geral de ext.inc.CO2 6Kg</t>
  </si>
  <si>
    <t>Teste hidr.e ver. geral de ext.inc.ÁGUA 10L</t>
  </si>
  <si>
    <t>Teste Hidrostático de Mangueiras com 15m</t>
  </si>
  <si>
    <t>Forro de gesso acartonado, tipo teto Knauf, ref. D112, fab. Knauf ou similar equivalente</t>
  </si>
  <si>
    <t>Locação de empilhadeira + operador + frete</t>
  </si>
  <si>
    <t>diária</t>
  </si>
  <si>
    <t>Vistoria técnica para automação pelo credenciado Trane de toda a instalação do edifícío. (laudo e reparos dos pontos e configurações que se fizerem necessárias).</t>
  </si>
  <si>
    <t>Locação de andaime metálico tubular tipo torre</t>
  </si>
  <si>
    <t>m/mês</t>
  </si>
  <si>
    <t>Locação de container para transporte de entulho</t>
  </si>
  <si>
    <t>Análise físico-quimica em óleo isolante de transformador</t>
  </si>
  <si>
    <t>Análise cromatográfica em óleo isolante</t>
  </si>
  <si>
    <t>Vistoria técnica para automação pelo credenciado Johnson Controls de toda a instalação do edifícío. (laudo e reparos dos pontos e configurações que se fizerem necessárias).</t>
  </si>
  <si>
    <t>2 diárias</t>
  </si>
  <si>
    <t>Aplicação e lixamento de massa látex em teto, duas demãos.AF_06/2014</t>
  </si>
  <si>
    <t>Aplicação e lixamento de massa látex em paredes, duas demãos. AF_06/2014</t>
  </si>
  <si>
    <t>Aplicação manual de pintura com tinta látex acrílica em paredes, duas demãos. AF_06/2014</t>
  </si>
  <si>
    <t xml:space="preserve">Aplicação manual de massa acrílica em fachada sem presença de vãos, duas demãos. </t>
  </si>
  <si>
    <t>Aplicação manual de pintura com tinta texturizada acrílica em panos cegos de fachada (sem presença de vãos) de edifícios de múltiplos pavimentos, uma cor. af_06/2014</t>
  </si>
  <si>
    <t>Pintura de sinalização vertical em faixas amarelo e preto</t>
  </si>
  <si>
    <t xml:space="preserve"> m² </t>
  </si>
  <si>
    <t>Sinalização horizontal com tinta retrorrefletiva a base de resina acrilica com microesferas de vidro - Pintura de Faixa de Estacionamento L=0,10</t>
  </si>
  <si>
    <t>Sinalização horizontal com tinta retrorrefletiva a base de resina acrilica com microesferas de vidro - Pintura de Faixa de Pedestre</t>
  </si>
  <si>
    <t>Sinalização horizontal com tinta retrorrefletiva a base de resina acrilica com microesferas de vidro - Pintura de Seta Reta</t>
  </si>
  <si>
    <t>Sinalização horizontal com tinta retrorrefletiva a base de resina acrilica com microesferas de vidro - Pintura de Fundo e Símbolo de PNE padrão</t>
  </si>
  <si>
    <t>Sinalização horizontal com tinta retrorrefletiva a base de resina acrilica com microesferas de vidro - Pintura de zebrado para vaga de PNE</t>
  </si>
  <si>
    <t>Sinalização horizontal com tinta retrorrefletiva a base de resina acrilica com microesferas de vidro - Pintura de Fundo azul e texto IDOSO - padrão</t>
  </si>
  <si>
    <t>Análise físico-quimica de água - Potabilidade de Água</t>
  </si>
  <si>
    <t>Fornecimento e instalação de vidro laminado refletivo, na cor bronze, com espessura de 8 mm.</t>
  </si>
  <si>
    <t xml:space="preserve">Fornecimento e instalação de vidro laminado refletivo, na cor bronze, com espessura de 10 mm. </t>
  </si>
  <si>
    <t>Fornecimento e instalação de vidro temperado, na cor bronze, com espessura de 10 mm</t>
  </si>
  <si>
    <t>Fornecimento e instalação de vidro laminado refletivo, incolor, com espessura de 10 mm.</t>
  </si>
  <si>
    <t>Fornecimento e instalação de vidro comum, incolor, com espessura de 4 mm.</t>
  </si>
  <si>
    <t>Fornecimento e instalação de vidro comum, incolor, com espessura de 6 mm.</t>
  </si>
  <si>
    <t>Fornecimento e instalação de vidro comum, na cor bronze, CRISTAL PLANO BRONZE, com espessura de 4 mm. Marca Vitral, código 7101099. A marca e o modelo estão sendo exigidos a fim de manter o padrão existente na Promotoria de Justiça de Ceilândia.</t>
  </si>
  <si>
    <t>Fornecimento e instalação de espelho, cor cristal, com espessura de 4 mm</t>
  </si>
  <si>
    <t>Reprogramação Horária em software supervisório ou controlador</t>
  </si>
  <si>
    <t>Alteração de Parâmetros de Operação em software supervisório ou controlador</t>
  </si>
  <si>
    <t>Substituição e Parametrização de Sensores Passivos</t>
  </si>
  <si>
    <t>Calibração de Sensores</t>
  </si>
  <si>
    <t>Configuração de Parâmetros de Variadores de Frequência</t>
  </si>
  <si>
    <t>Diagnóstico de falha e Configuração em Redes de Automação Serial</t>
  </si>
  <si>
    <t>Alteração de Parâmetros de Configuração em software supervisório ou controlador</t>
  </si>
  <si>
    <t>Manutenção preventiva em Quadro de automação (inclui controladores)</t>
  </si>
  <si>
    <t>Substituição e Parametrização Sensores Ativos</t>
  </si>
  <si>
    <t>Modificação em Tela Gráfica de software supervisório</t>
  </si>
  <si>
    <t>Modificação de Programação Existente em software supervisório ou controlador</t>
  </si>
  <si>
    <t>Diagnóstico de falha de Lógica de Controle em Sistemas de Controle em Malha Fechada</t>
  </si>
  <si>
    <t>Substituição de Variadores de Frequência ou Soft-Starter com Configuração de Parâmetros</t>
  </si>
  <si>
    <t>Substituição de Controlador de Campo com Reprogramação e Reconfiguração de Parâmetros</t>
  </si>
  <si>
    <t>Elaboração de Lógica de Controle em Sistemas de Controle em Malha Fechada</t>
  </si>
  <si>
    <t>Elaboração de Tela Gráfica em software supervisório ou controlador</t>
  </si>
  <si>
    <t>Diagnóstico de falha e Configuração de Rede de Automação IP</t>
  </si>
  <si>
    <t>Restauração de Base de Dados em software supervisório ou controlador</t>
  </si>
  <si>
    <t>Diagnóstico de falha e Configuração em Rede KNX</t>
  </si>
  <si>
    <t>Manutenção Corretiva em Quadros de Automação  (não inclui controladores)</t>
  </si>
  <si>
    <t>Diagnóstico de falhas em atuadores, sensores ativos e sensores passivos</t>
  </si>
  <si>
    <t>Substituição e Parametrização de Atuadores</t>
  </si>
  <si>
    <t>QUADRO RESUMO - CUSTO SERVIÇOS TÉCNICOS ESPECIALIZADOS (EXECUTADOS SOB DEMANDA)</t>
  </si>
  <si>
    <t>VALOR TOTAL SERVIÇOS TÉCNICOS ESPECIALIZADOS (EXECUTADOS SOB DEMANDA)</t>
  </si>
  <si>
    <t>Custo total de Serviços Técnicos Especializados</t>
  </si>
  <si>
    <t>Custo direto de Serviços Técnicos Especializados</t>
  </si>
  <si>
    <t>SERVIÇOS TÉCNICOS ESPECIALIZADOS</t>
  </si>
  <si>
    <t xml:space="preserve">Placa vinílica semiflexível para revestimento de piso. Tamanho: 60 cm x 60 cm. Espessura: 2mm. </t>
  </si>
  <si>
    <t>Cantoneira em Aço, Astm-A36, medindo 1" x 1/8"</t>
  </si>
  <si>
    <t>Marca: Sikaflex ou similar</t>
  </si>
  <si>
    <t>Selante elástico universal na cor cinza, para juntas de movimentação e concreto, bisnagas 300ml</t>
  </si>
  <si>
    <t>Curva 90º Ø 3//4" eletroduto galvanizado</t>
  </si>
  <si>
    <t>Mecanismo universal de duplo acionamento, Hydra Duo, p/ caixa acoplada, kit completo, marca DECA</t>
  </si>
  <si>
    <t>Forro de gesso em placas de 60 x 60cm, espessura 1,2cm, material e mão de obra, inclusive fixação com arame (somente quando a área dos serviços for superior a uma placa de 60 x 60cm)</t>
  </si>
  <si>
    <t>Locação de caminhão Munck CAP. 6T + operador</t>
  </si>
  <si>
    <t>Aplicação manual de pintura com tinta látex acrílica em teto, duas demãos. AF_06/2014</t>
  </si>
  <si>
    <t>Pintura com tinta alquídica de acabamento (esmalte sintético brilhante) aplicada a rolo ou pincel sobre superfícies metálicas (exceto perfil) executado em obra (02 demãos). Af_01/2020</t>
  </si>
  <si>
    <t>Pintura com tinta alquídica de fundo e acabamento (esmalte sintético grafite) aplicada a rolo ou pincel sobre superfícies metálicas (exceto perfil) executado em obra (por demão). Af_01/2020</t>
  </si>
  <si>
    <t>Pintura de piso com tinta acrílica, aplicação manual, 2 demãos, incluso fundo preparador. Af_05/2021</t>
  </si>
  <si>
    <t>Copia da SINAPI (94990) - Calçada/ passeio em concreto Fck=15 MPa, espessura de 7cm, incluindo lastro de brita, desempenamento e corte para junta de dilatação</t>
  </si>
  <si>
    <t>Preparo de fundo de vala com largura maior ou igual a 1,5 m e menor que 2,5 m (acerto do solo natural). Af_08/2020</t>
  </si>
  <si>
    <t>Pick-up leve - Referência - FIAT - Strada Endurance 1.4 Flex 8V CD</t>
  </si>
  <si>
    <t>pc</t>
  </si>
  <si>
    <t>m3</t>
  </si>
  <si>
    <t>Cópia da Sinapi (100762) - Pintura esmalte sobre tubulação, intervalo de Ø 75mm - 85mm, 2 demãos</t>
  </si>
  <si>
    <t>Pintura de piso com tinta epóxi, aplicação manual, 2 demãos, incluso primer epóxi. Af_05/2021</t>
  </si>
  <si>
    <t>Validade da proposta:</t>
  </si>
  <si>
    <t>XX/XX/2022</t>
  </si>
  <si>
    <t>SIM</t>
  </si>
  <si>
    <t>BPR</t>
  </si>
  <si>
    <t>Benefícios pagos por ressarcimento</t>
  </si>
  <si>
    <t>Q. Postos</t>
  </si>
  <si>
    <t>BPR.1</t>
  </si>
  <si>
    <t>BPR.2</t>
  </si>
  <si>
    <t>BPR.3</t>
  </si>
  <si>
    <t>Seguro de vida e assistência funeral</t>
  </si>
  <si>
    <t>BPR.4</t>
  </si>
  <si>
    <t>Assistência odontológica</t>
  </si>
  <si>
    <t>BPR.5</t>
  </si>
  <si>
    <t>Auxílio saúde</t>
  </si>
  <si>
    <t>Insumos, materiais, peças de reposição e serviços especializados eventuais (Item 3.1 - Capítulo IX - Edital)</t>
  </si>
  <si>
    <t>42/2022</t>
  </si>
  <si>
    <t>Seac / Sintec - 2021/2022</t>
  </si>
  <si>
    <t>Sinduscon / Sticombe - 2022/2023 (2º TA)</t>
  </si>
  <si>
    <t>Sinduscon / Senge - 2021/2023</t>
  </si>
  <si>
    <t>Dados referentes à licitação</t>
  </si>
  <si>
    <t>Pregão nº</t>
  </si>
  <si>
    <t>Data / Horário</t>
  </si>
  <si>
    <t>HH:MM</t>
  </si>
  <si>
    <t>Dados referentes à contratação</t>
  </si>
  <si>
    <t>A</t>
  </si>
  <si>
    <t>B</t>
  </si>
  <si>
    <t>C</t>
  </si>
  <si>
    <t>Unidade da Federação</t>
  </si>
  <si>
    <t>D</t>
  </si>
  <si>
    <t>E</t>
  </si>
  <si>
    <t>Número de Meses de Execução Contratual</t>
  </si>
  <si>
    <t>Identificação do serviço</t>
  </si>
  <si>
    <t>Item</t>
  </si>
  <si>
    <t>Tipo de Serviço</t>
  </si>
  <si>
    <t>Unidade de Medida</t>
  </si>
  <si>
    <t>Empregados por Posto</t>
  </si>
  <si>
    <t>Qtde Total a Contratar</t>
  </si>
  <si>
    <t>Mão de obra</t>
  </si>
  <si>
    <t>Classificação Brasileira de Ocupações (CBO)</t>
  </si>
  <si>
    <t>Categoria Profissional (vinculada à execução contratual)</t>
  </si>
  <si>
    <t>Salário Mínimo vigente no país (em R$)</t>
  </si>
  <si>
    <t>CUSTOS POR EMPREGADO</t>
  </si>
  <si>
    <t>MÓDULO 1: COMPOSIÇÃO DA REMUNERAÇÃO</t>
  </si>
  <si>
    <t>Composição da Remuneração</t>
  </si>
  <si>
    <t>Salário-Base (em R$)</t>
  </si>
  <si>
    <t>Adicional de Periculosidade (em %)</t>
  </si>
  <si>
    <t>Adicional Noturno (em %)</t>
  </si>
  <si>
    <t>Adicional de Insalubridade (em %)</t>
  </si>
  <si>
    <t>F</t>
  </si>
  <si>
    <t>G</t>
  </si>
  <si>
    <t>MÓDULO 2: ENCARGOS E BENEFÍCIOS ANUAIS, MENSAIS E DIÁRIOS</t>
  </si>
  <si>
    <t>Submódulo 2.3 - Benefícios Mensais e Diários</t>
  </si>
  <si>
    <t>2.3</t>
  </si>
  <si>
    <t>Benefícios Mensais e Diários</t>
  </si>
  <si>
    <t>Valor (em R$)</t>
  </si>
  <si>
    <t>MÓDULO 4: CUSTO DE REPOSIÇÃO DO PROFISSIONAL AUSENTE</t>
  </si>
  <si>
    <t>Submódulo 4.1 - Substituto nas Ausências Legais</t>
  </si>
  <si>
    <t>4.1</t>
  </si>
  <si>
    <t>Substituto nas Ausências Legais</t>
  </si>
  <si>
    <t>%</t>
  </si>
  <si>
    <t>MÓDULO 5: INSUMOS DIVERSOS</t>
  </si>
  <si>
    <t>Insumos Diversos</t>
  </si>
  <si>
    <t>Valor (R$)</t>
  </si>
  <si>
    <t>Uniformes</t>
  </si>
  <si>
    <t>MÓDULO 6: CUSTOS INDIRETOS, TRIBUTOS E LUCRO</t>
  </si>
  <si>
    <t>Custos Indiretos, Tributos e Lucro</t>
  </si>
  <si>
    <t>Custos Indiretos</t>
  </si>
  <si>
    <t>Lucro</t>
  </si>
  <si>
    <t>C.1</t>
  </si>
  <si>
    <t>PIS</t>
  </si>
  <si>
    <t>C.2</t>
  </si>
  <si>
    <t>Cofins</t>
  </si>
  <si>
    <t>C.3</t>
  </si>
  <si>
    <t>ISS</t>
  </si>
  <si>
    <t xml:space="preserve"> 08191.042212/2021-17</t>
  </si>
  <si>
    <t>Nº do Processo</t>
  </si>
  <si>
    <t>Modalidade de Licitação nº</t>
  </si>
  <si>
    <t>Data de Apresentação da Proposta</t>
  </si>
  <si>
    <t>Diversos Edifícios do MPDFT</t>
  </si>
  <si>
    <t>DF</t>
  </si>
  <si>
    <t>Manutenção preventiva e corretiva nas instalações prediais do MPDFT</t>
  </si>
  <si>
    <t>posto</t>
  </si>
  <si>
    <t>Dias Trabalhados no mês</t>
  </si>
  <si>
    <t>H</t>
  </si>
  <si>
    <t>TOTAL</t>
  </si>
  <si>
    <t>Submódulo 2.1 - 13º (décimo terceiro) Salário e Adicional de Férias</t>
  </si>
  <si>
    <t>2.1</t>
  </si>
  <si>
    <t>13º Salário e Adicional de Férias</t>
  </si>
  <si>
    <t>13º Salário</t>
  </si>
  <si>
    <t>Adicional de Férias</t>
  </si>
  <si>
    <t>Submódulo 2.2 - Encargos Previdencários (GPS), Fundo de Garantia por Tempo de Serviço (FGTS) e Outras Contribuições</t>
  </si>
  <si>
    <t>2.2</t>
  </si>
  <si>
    <t>Encargos Previdenciários (GPS), Fundo de Garantia por Tempo de Serviço (FGTS) e outras contribuições</t>
  </si>
  <si>
    <t>INSS</t>
  </si>
  <si>
    <t>Salário Educação</t>
  </si>
  <si>
    <t>Riscos Ambientas do Trabalho</t>
  </si>
  <si>
    <t>SESC</t>
  </si>
  <si>
    <t>SENAC</t>
  </si>
  <si>
    <t>SEBRAE</t>
  </si>
  <si>
    <t>INCRA</t>
  </si>
  <si>
    <t>FGTS</t>
  </si>
  <si>
    <t>MÓDULO 3: PROVISÃO PARA RESCISÃO</t>
  </si>
  <si>
    <t>Provisão para Rescisão</t>
  </si>
  <si>
    <t>Aviso Prévio Indenizado</t>
  </si>
  <si>
    <t>Aviso Prévio Trabalhado</t>
  </si>
  <si>
    <t>Multa do FGTS sobre o Aviso Prévio Trabalhado</t>
  </si>
  <si>
    <t xml:space="preserve">Substituto na Cobertura de Férias 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</si>
  <si>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</si>
  <si>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</si>
  <si>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</si>
  <si>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</si>
  <si>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Tributos</t>
  </si>
  <si>
    <t>QUADRO RESUMO - CUSTO POR EMPREGADO</t>
  </si>
  <si>
    <t>MÓD.</t>
  </si>
  <si>
    <t>Mão-de-obra vinculada à execução contratual (valor por empregado)</t>
  </si>
  <si>
    <t>Valor    (R$)</t>
  </si>
  <si>
    <t>Encargos e Benefícios Anuais, Mensais e Diários</t>
  </si>
  <si>
    <t>Custo de Reposição do Profissional Ausente</t>
  </si>
  <si>
    <t>VALOR TOTAL DO EMPREGADO</t>
  </si>
  <si>
    <t>Local de Execução</t>
  </si>
  <si>
    <t>Data-Base da Categoria</t>
  </si>
  <si>
    <t>Transporte (diário)</t>
  </si>
  <si>
    <t>Auxílio-Refeição/Alimentação (diário)</t>
  </si>
  <si>
    <t>Seguro de vida e acidentes pessoais em grupo</t>
  </si>
  <si>
    <t>Exames</t>
  </si>
  <si>
    <t>A.1</t>
  </si>
  <si>
    <t>B.1</t>
  </si>
  <si>
    <t>Desconto transporte</t>
  </si>
  <si>
    <t>Desconto alimentação</t>
  </si>
  <si>
    <t>R$ / %</t>
  </si>
  <si>
    <t>Café da manhã (diário)</t>
  </si>
  <si>
    <t>Supervisor de manutenção</t>
  </si>
  <si>
    <t>9501-10</t>
  </si>
  <si>
    <t>ITEM</t>
  </si>
  <si>
    <t>DESCRIÇÃO</t>
  </si>
  <si>
    <t>QUANT. 
ANUAL</t>
  </si>
  <si>
    <t>kg</t>
  </si>
  <si>
    <t>litro</t>
  </si>
  <si>
    <t>un</t>
  </si>
  <si>
    <t>m</t>
  </si>
  <si>
    <t>1</t>
  </si>
  <si>
    <t>Insumos</t>
  </si>
  <si>
    <t>Ferramentas</t>
  </si>
  <si>
    <t>EPI's</t>
  </si>
  <si>
    <t>Dados referentes ao licitante</t>
  </si>
  <si>
    <t xml:space="preserve">Razão Social: </t>
  </si>
  <si>
    <t xml:space="preserve">Endereço: </t>
  </si>
  <si>
    <t>e-mail:</t>
  </si>
  <si>
    <t>Telefone:</t>
  </si>
  <si>
    <t>Contato:</t>
  </si>
  <si>
    <t>Dados referente à Proposta</t>
  </si>
  <si>
    <t xml:space="preserve"> dias</t>
  </si>
  <si>
    <r>
      <t xml:space="preserve">CPRB </t>
    </r>
    <r>
      <rPr>
        <i/>
        <sz val="11"/>
        <rFont val="Segoe UI Light"/>
        <family val="2"/>
      </rPr>
      <t>(Somente se empresa optante pela desoneração fiscal)</t>
    </r>
  </si>
  <si>
    <t>Profissional</t>
  </si>
  <si>
    <t>Residentes</t>
  </si>
  <si>
    <t>Quant. de Postos</t>
  </si>
  <si>
    <t>Mensal</t>
  </si>
  <si>
    <t>Anual</t>
  </si>
  <si>
    <t>I</t>
  </si>
  <si>
    <t>II</t>
  </si>
  <si>
    <t>III</t>
  </si>
  <si>
    <t>IX</t>
  </si>
  <si>
    <t>IV</t>
  </si>
  <si>
    <t>V</t>
  </si>
  <si>
    <t>VI</t>
  </si>
  <si>
    <t>VII</t>
  </si>
  <si>
    <t>VIII</t>
  </si>
  <si>
    <t>X</t>
  </si>
  <si>
    <t>XI</t>
  </si>
  <si>
    <t>XII</t>
  </si>
  <si>
    <t>Horas Extras (estimativa máxima)</t>
  </si>
  <si>
    <t>Não Residentes</t>
  </si>
  <si>
    <t>TOTAL MÃO DE OBRA RESIDENTE</t>
  </si>
  <si>
    <t>TOTAL MÃO DE OBRA NÃO RESIDENTE</t>
  </si>
  <si>
    <t>QUADRO RESUMO DE MÃO DE OBRA - VALOR GLOBAL DA CONTRATAÇÃO</t>
  </si>
  <si>
    <t>CONSOLIDAÇÃO DAS PLANILHAS INDIVIDUALIZADAS DE CUSTOS E FORMAÇÃO DE PREÇO</t>
  </si>
  <si>
    <t>Descrição</t>
  </si>
  <si>
    <t>VALOR TOTAL MÃO DE OBRA</t>
  </si>
  <si>
    <t>Mão de Obra</t>
  </si>
  <si>
    <t>VALOR TOTAL DO CONTRATO</t>
  </si>
  <si>
    <t>Veículos para execução dos serviços de manutenção</t>
  </si>
  <si>
    <t>Peças e materiais de reposição (aplicados sob demanda)</t>
  </si>
  <si>
    <t>Serviços Especializados (executados sob demanda)</t>
  </si>
  <si>
    <t>Proposta desonerada</t>
  </si>
  <si>
    <t>Técnico Eletricista</t>
  </si>
  <si>
    <t>Número de dias trabalhados no mês</t>
  </si>
  <si>
    <t>Técnico de Rede</t>
  </si>
  <si>
    <t>3133-10</t>
  </si>
  <si>
    <t>Bombeiro Hidráulico</t>
  </si>
  <si>
    <t>7241-10</t>
  </si>
  <si>
    <t>9511-05</t>
  </si>
  <si>
    <t>Curso de Capacitação</t>
  </si>
  <si>
    <t>Marceneiro Modelista</t>
  </si>
  <si>
    <t>7711-10</t>
  </si>
  <si>
    <t>Auxiliar de Manutenção</t>
  </si>
  <si>
    <t>5143-25</t>
  </si>
  <si>
    <t>Auxiliar Administrativo</t>
  </si>
  <si>
    <t>4110-05</t>
  </si>
  <si>
    <t>Pedreiro de Acabamento</t>
  </si>
  <si>
    <t>7152-10</t>
  </si>
  <si>
    <t>Convenção Coletiva</t>
  </si>
  <si>
    <t>Eletrotécnico</t>
  </si>
  <si>
    <t>Serralheiro</t>
  </si>
  <si>
    <t>7244-40</t>
  </si>
  <si>
    <t>Engenheiro Eletricista</t>
  </si>
  <si>
    <t>2143-15</t>
  </si>
  <si>
    <t>Engenheiro Civil</t>
  </si>
  <si>
    <t>2142-15</t>
  </si>
  <si>
    <t>3516-05</t>
  </si>
  <si>
    <t>Técnico de Segurança do Trabalho</t>
  </si>
  <si>
    <t>Km</t>
  </si>
  <si>
    <t>VALOR DE DEPRECIAÇÃO E MANUTENÇÃO DOS VEÍCULOS PARA PRESTAÇÃO DOS SERVIÇOS</t>
  </si>
  <si>
    <t>Veículo 1:</t>
  </si>
  <si>
    <t xml:space="preserve">Veículo Popular - Referência - FIAT - Uno Attractive 1.0 Fire Flex 8V 5P </t>
  </si>
  <si>
    <t>Valor inicial (zero km):</t>
  </si>
  <si>
    <t>Valor final (5 anos de uso):</t>
  </si>
  <si>
    <t>INTERVALO</t>
  </si>
  <si>
    <t>QUANT.</t>
  </si>
  <si>
    <t>UNID.</t>
  </si>
  <si>
    <t>V. UNIT</t>
  </si>
  <si>
    <t>V. MENSAL</t>
  </si>
  <si>
    <t>Custo de Manutenção</t>
  </si>
  <si>
    <t>h/dia</t>
  </si>
  <si>
    <t>h</t>
  </si>
  <si>
    <t>Custo de Combustível</t>
  </si>
  <si>
    <t>Km/l</t>
  </si>
  <si>
    <t>Custo de Depreciação</t>
  </si>
  <si>
    <t>mês</t>
  </si>
  <si>
    <t>Impostos sobre propriedade de veículo</t>
  </si>
  <si>
    <t>COMPOSIÇÃO AUXILIAR - CUSTO DE IMPOSTOS SOBRE PROPRIEDADE DE VEÍCULO</t>
  </si>
  <si>
    <t>V. REFERÊNCIA</t>
  </si>
  <si>
    <t>V. ANUAL</t>
  </si>
  <si>
    <t>IPVA - ANO 1</t>
  </si>
  <si>
    <t>ano</t>
  </si>
  <si>
    <t>IPVA - ANO 2</t>
  </si>
  <si>
    <t>IPVA - ANO 3</t>
  </si>
  <si>
    <t>IPVA - ANO 4</t>
  </si>
  <si>
    <t>IPVA - ANO 5</t>
  </si>
  <si>
    <t>VALOR MÉDIO ANUAL DO IPVA (Veículo depreciado em 5 anos)</t>
  </si>
  <si>
    <t>DPVAT</t>
  </si>
  <si>
    <t>LICENCIAMENTO</t>
  </si>
  <si>
    <t>VALOR MÉDIO MENSAL DOS IMPOSTOS</t>
  </si>
  <si>
    <t>Veículo 2:</t>
  </si>
  <si>
    <t>COMPOSIÇÃO AUXILIAR - CUSTO DE IMPOSTOS SOBRE PROPRIEDADE DE VEÍCULO 1</t>
  </si>
  <si>
    <t>(*) Distância entre o Edifício Sede e as localidades objeto da contratação, conforme rotas semanais. Deslocamento mensal considerado para cálculos:</t>
  </si>
  <si>
    <t>OBSERVAÇÃO</t>
  </si>
  <si>
    <t>CUSTOS INDIRETOS, TRIBUTOS E LUCRO</t>
  </si>
  <si>
    <t>QUADRO RESUMO - CUSTO COM VEÍCULOS</t>
  </si>
  <si>
    <t>Custo direto mensal Veículo 1</t>
  </si>
  <si>
    <t>Custo direto mensal Veículo 2</t>
  </si>
  <si>
    <t>CUSTO DIRETO MENSAL VEÍCULO 1</t>
  </si>
  <si>
    <t>CUSTO DIRETO MENSAL VEÍCULO 2</t>
  </si>
  <si>
    <t>VALOR TOTAL VEÍCULOS</t>
  </si>
  <si>
    <t>C.4</t>
  </si>
  <si>
    <t>RESOLVE</t>
  </si>
  <si>
    <t>MARCA/MODELO</t>
  </si>
  <si>
    <t>VALOR ANUAL</t>
  </si>
  <si>
    <t>VALOR UNITÁRIO</t>
  </si>
  <si>
    <t>PEÇAS E MATERIAIS DE REPOSIÇÃO (APLICADOS SOB DEMANDA)</t>
  </si>
  <si>
    <t>Materiais Elétricos</t>
  </si>
  <si>
    <t>Adaptador de tomada 2P+T, bipolar, com contato terra e pino terra, 10 A, 250 V, com aba de proteção. Em conformidade com a norma ABNT NBR 14136. Cor branca.</t>
  </si>
  <si>
    <t>marca ILUMI, ref. 1211 ou similar.</t>
  </si>
  <si>
    <t>Adaptador de encaixe de eletroduto 3/4"para condulete em PVC rígido, anti-chama. Cor cinza.</t>
  </si>
  <si>
    <t>marca Hidrossol ou similar.</t>
  </si>
  <si>
    <t>Bateria recarregável, tensão nominal de 6V, capacidade nominal (20h) de 4,5 Ah, selada, VRLA (regulada por válvulas), estacionária, dispensa adição de água ou eletrólito, chumbo-ácida.</t>
  </si>
  <si>
    <t>Modelo: Getpower GP 12V 4,5 ou similar</t>
  </si>
  <si>
    <t>Bateria recarregável, tensão nominal de 12V, capacidade nominal (20h) de 7 Ah, selada, VRLA (regulada por válvulas), estacionária, dispensa adição de água ou eletrólito, chumbo-ácida. Dimensões máximas: Altura 110 mm, comprimento 155mm e largura 70mm.</t>
  </si>
  <si>
    <t>Modelo: Getpower GP 12V 7 ou similar</t>
  </si>
  <si>
    <t>E0872</t>
  </si>
  <si>
    <t>Cabo Elétrico flexível 1,5mm², classe 5, cor: Preto, marca: Prysmian</t>
  </si>
  <si>
    <t>Marca: Prysmian, Modelo: Superastic Flex</t>
  </si>
  <si>
    <t>Rolo 100m</t>
  </si>
  <si>
    <t>Cabo elétrico Flexível 1,5mm - 450/750, cor amarelo</t>
  </si>
  <si>
    <t>Cabo elétrico Flexível 1,5mm - 450/750, cor branco</t>
  </si>
  <si>
    <t>Cabo elétrico Flexível 2,5mm² - classe de tensão de 450/750V, com condutor de fios de cobre nu, encordoamento classe 5, antichamas, cor Azul</t>
  </si>
  <si>
    <t>Cabo elétrico Flexível 2,5mm² - classe de tensão de 450/750V, com condutor de fios de cobre nu, encordoamento classe 5, antichamas, cor Verde</t>
  </si>
  <si>
    <t>Cabo elétrico Flexível 2,5mm² - classe de tensão de 450/750V, com condutor de fios de cobre nu, encordoamento classe 5, antichamas, cor Vermelho</t>
  </si>
  <si>
    <t>Cabo elétrico Flexível 2,5mm² - classe de tensão de 450/750V, com condutor de fios de cobre nu, encordoamento classe 5, antichamas, cor Preta</t>
  </si>
  <si>
    <t>Cabo elétrico Flexível 2,5mm² - classe de tensão de 450/750V, com condutor de fios de cobre nu, encordoamento classe 5, antichamas, cor Branca</t>
  </si>
  <si>
    <t>Cabo elétrico Flexível 2,5mm² - classe de tensão de 450/750V, com condutor de fios de cobre nu, encordoamento classe 5, antichamas, cor Amarela</t>
  </si>
  <si>
    <t>Cabo elétrico Flexível 4,0mm² - classe de tensão de 450/750V, com condutor de fios de cobre nu, encordoamento classe 5, antichamas, cor Azul</t>
  </si>
  <si>
    <t>Cabo elétrico Flexível 4,0mm² - classe de tensão de 450/750V, com condutor de fios de cobre nu, encordoamento classe 5, antichamas, cor Verde</t>
  </si>
  <si>
    <t>Cabo elétrico Flexível 4,0mm² - classe de tensão de 450/750V, com condutor de fios de cobre nu, encordoamento classe 5, antichamas, cor Vermelho</t>
  </si>
  <si>
    <t>Cabo elétrico Flexível 4,0mm² - classe de tensão de 450/750V, com condutor de fios de cobre nu, encordoamento classe 5, antichamas, cor Preta</t>
  </si>
  <si>
    <t>Cabo elétrico Flexível 4,0mm² - classe de tensão de 450/750V, com condutor de fios de cobre nu, encordoamento classe 5, antichamas, cor Branca</t>
  </si>
  <si>
    <t>Cabo PP 3x1,5mm², flexível, condutor de fios de cobre nu, classe de tensão de 0,6/1kV, encordoamento classe 5, composto por 3 cabos com seção de 1,5mm², na cor PRETA.</t>
  </si>
  <si>
    <t>Marca: Prysmian, Modelo: Afumex</t>
  </si>
  <si>
    <t>Cabo PP 3x2,5mm², flexível, condutor de fios de cobre nu, classe de tensão de 0,6/1kV, encordoamento classe 5, composto por 3 cabos com seção de 2,5mm², na cor PRETA.</t>
  </si>
  <si>
    <t>Cabo PP 3x4,0mm², flexível, condutor de fios de cobre nu, classe de tensão de 0,6/1kV, encordoamento classe 5, composto por 3 cabos com seção de 4,0mm², na cor PRETA.</t>
  </si>
  <si>
    <t>Caixa de conexão de sobrepor em PVC rígido antichama, tipo condulete, 4”x2”, com saída ¾”, 6 entradas. Cor cinza.</t>
  </si>
  <si>
    <t>Canaleta em PVC rígido de alto impacto para piso, medindo 50mm de base x 10mm de altura, fabricante DUTOPLAST, modelo DUTOPISO, DP2, referência 512197</t>
  </si>
  <si>
    <t>Marca: Dutoplast ou similar</t>
  </si>
  <si>
    <t xml:space="preserve">Conjunto completo 4x2 de tomadas padrão brasileiro, 2 P+T, horizontal, 10 A, com 1 (uma) tomada. Em conformidade com a norma ABNT NBR 14136. Cor
branca. </t>
  </si>
  <si>
    <t>Legrand / Pialplus, ref.: 6150.80 ou similar.</t>
  </si>
  <si>
    <t>E0650</t>
  </si>
  <si>
    <t>Disjuntor termomagnético monofásico 20A, 6KA, conforme NBR 60898</t>
  </si>
  <si>
    <t>Marca: ABB ou similar</t>
  </si>
  <si>
    <t>Disjuntor termomagnético monofásico, 10A, 6KA, conforme NBR 60898</t>
  </si>
  <si>
    <t>Disjuntor termomagnético monofásico, 16A, 6KA, conforme NBR 60898</t>
  </si>
  <si>
    <t>Disjuntor termomagnético trifásico 20A, 6kA conforme NBR 60898</t>
  </si>
  <si>
    <t>E0873</t>
  </si>
  <si>
    <t>Duto corrugado em PEAD (polietileno de alta densidade) diâmetro 3/4", cor: preto, marca: PLASTIBRAS</t>
  </si>
  <si>
    <t>E0806</t>
  </si>
  <si>
    <t>Eletroduto Copex flexivel metálico revestido 1 1/4</t>
  </si>
  <si>
    <t>E0149</t>
  </si>
  <si>
    <t>Eletroduto Copex flexível metálico revestido 3/4"</t>
  </si>
  <si>
    <t>Eletroduto de PVC rígido, tamanho ¾”, de rosca, antichama, barras de 3 metros. Cor cinza.</t>
  </si>
  <si>
    <t>marca Hidrossol ou similar</t>
  </si>
  <si>
    <t>Barra 3 m</t>
  </si>
  <si>
    <t>E0647</t>
  </si>
  <si>
    <t>Eletroduto galvanizado ¾” leve</t>
  </si>
  <si>
    <t>Fixador para eletroduto em PVC rígido, tamanho ¾”, sem mecanismo de trava. Cor cinza.</t>
  </si>
  <si>
    <t>Interruptor, simples, 10 A, 250 V, 1 tecla, sem espelho, cor preta. O interruptor deverá ajustar-se perfeitamente à caixa e à tampa fornecidas no contrato.</t>
  </si>
  <si>
    <t>Marca Pial, ref. Silentoque ou similar</t>
  </si>
  <si>
    <t>Lâmpada de LED no formato de bulbo; roscável; base E27;  eficiência energética maior ou igual a 100 lm/W;  fluxo luminoso maior ou igual a 1200 lumens;  potência menor ou igual a 13 W; vida útil mínima L70 da lâmpada de 25.000 horas; ângulo de  abertura (facho) maior ou igual a 150°;  temperatura de cor de 5000 a 6500 K; IRC maior ou igual a 80; fator de potência maior ou igual a 0,7; 100-240V; altura máxima de 122 mm; diâmetro máximo de 70 mm; lente da lâmpada translúcida que impeça a exposição direta aos LEDs; deve atender a todas as exigências das portarias 389/2014 e 144/2015 do INMETRO;  garantia mínima de 36 meses</t>
  </si>
  <si>
    <t>Modelo: Philips LEDBulb 13W ou similar</t>
  </si>
  <si>
    <t>Lâmpada Fluorescente Tubular T5 14 W, base G5, vida mediana mínima de 15000 horas,  temperatura de cor de 4000 a 5000 K, fluxo luminoso mínimo de 1200 lumens, IRC mínimo de 80</t>
  </si>
  <si>
    <t>Modelo: Osram Smartlux T5 HE SL 14W/840 ou similar</t>
  </si>
  <si>
    <t>Lâmpada Fluorescente Tubular T5 28 W, base G5, vida mediana mínima de 15000 horas,  temperatura de cor de 4000 a 5000 K, fluxo luminoso mínimo de 2600 lumens, IRC mínimo de 80</t>
  </si>
  <si>
    <t>Modelo: Osram T5 HE SL 28W/840 ou similar</t>
  </si>
  <si>
    <t>Lâmpada PL 11 W, vida mediana mínima de 10000 horas, temperatura de cor de 4000 a 5000K, fluxo mínimo de 900 lumens, IRC mínimo de 80.</t>
  </si>
  <si>
    <t xml:space="preserve"> Marca: Osram ou similar</t>
  </si>
  <si>
    <t>Lâmpada tubular de led 9W, com base/conector G13 (2 pinos); eficiência energética ≥ 100 lm/W; fluxo luminoso ≥ 1000 lumens; potência ≤ 10 W; vida útil da lâmpada ≥ 25.000 horas; ângulo de abertura (facho) ≥ 150°; temperatura de cor de 3800 a 4200 K; IRC ≥ 80; fator de potência ≥ 0,92; 100-240V; comprimento de 1200 mm; lente do tuboled translúcida que impeça a exposição direta dos LEDs; deve atender as exigências das portarias 389/2014 e 144/2015 do INMETRO; garantia ≥ 36 meses</t>
  </si>
  <si>
    <t>Modelo: OL TL09P4AO ou similar</t>
  </si>
  <si>
    <t>Lâmpada tubular de led 18W, com base/conector G13 (2 pinos); eficiência energética ≥ 100 lm/W; fluxo luminoso ≥ 2000 lumens; potência ≤ 20 W; vida útil da lâmpada ≥ 25.000 horas; ângulo de abertura (facho) ≥ 150°; temperatura de cor de 3800 a 4200 K; IRC ≥ 80; fator de potência ≥ 0,92; 100-240V; comprimento de 1200 mm; lente do tuboled translúcida que impeça a exposição direta dos LEDs; deve atender as exigências das portarias 389/2014 e 144/2015 do INMETRO; garantia ≥ 36 meses</t>
  </si>
  <si>
    <t>Modelo: OL TL18P4AO ou similar</t>
  </si>
  <si>
    <t xml:space="preserve">Lâmpada Vapor Metálico 70W, fluxo luminoso mínimo de 5500 lumens, vida mediana mínima de 12000 horas, </t>
  </si>
  <si>
    <t>Marca: Osram ou similar</t>
  </si>
  <si>
    <t>Luminária de embutir de 2 x 32W, com aletas em alumínio refletido,  com dimensões de 1,25m, na cor branca.</t>
  </si>
  <si>
    <t xml:space="preserve">Marca: ABALUX </t>
  </si>
  <si>
    <t>Luminária de emergência a LEDs, para uso normal e de emergência: tensão de alimentação: 110 ou 220 Vca, 60 Hz (“bivolt” automático); Consumo inferior a 10W; mínimo 1000 lúmens; Acionamento automático, na falta de energia elétrica; Bateria: tipo VRLA, 6V/4Ah; Autonomia mínima: 2 horas; Desligamento automático (Proteção contra descarga excessiva da bateria); Chave liga desliga: Contato momentâneo (não há possibilidade de deixar ligado) e com função  botão-teste; Luz-piloto: LED indicador de presença de rede; Conexão à rede: através de bornes parafusáveis; Vida útil estimada dos 
LEDs: mínimo de 40.000 horas; Material: plástico alto impacto</t>
  </si>
  <si>
    <t>Modelo: Unitron MAC iled 1000 ou similar</t>
  </si>
  <si>
    <t>Luminária de Emergência com 30 Leds, bivolt</t>
  </si>
  <si>
    <t>Marca: Elgin ou similar</t>
  </si>
  <si>
    <t>Luva soldável, ¾”, em PVC rígido anti-chama, para conexão de eletrodutos e curvas. Cor cinza.</t>
  </si>
  <si>
    <t xml:space="preserve">Módulo de Interruptor Simples, cor preta </t>
  </si>
  <si>
    <t>Marca: bticino / Modelo Living L 4001</t>
  </si>
  <si>
    <t>E0192</t>
  </si>
  <si>
    <t>Módulo de interruptor simples 10A, 250Vac, borne automático (inadmissível a parafuso), cor branca, fabricação Legrand linha Nereya código 6630 15</t>
  </si>
  <si>
    <t>Legrand / NEREYA 663015</t>
  </si>
  <si>
    <t>E0193</t>
  </si>
  <si>
    <t>Módulo de interruptor paralelo 10A, 250Vac, borne automático (inadmissível a parafuso), cor branca, fabricação Legrand linha Nereya código 6630 16.</t>
  </si>
  <si>
    <t>Legrand / NEREYA 603016</t>
  </si>
  <si>
    <t>E0165</t>
  </si>
  <si>
    <t>Módulo cego de 1 posto, cor branca, fabricação Legrand linha Nereya código 6632 96.</t>
  </si>
  <si>
    <t>Legrand / NEREYA 603296</t>
  </si>
  <si>
    <t xml:space="preserve">Módulo autônomo para lâmpadas LED; utilização em iluminação de emergência; permite transformar uma luminária comum em luminária normal-e-emergência com qualquer lâmpada tuboLED. Na falta de energia o módulo mantém até quatro lâmpadas a LED que somem até 40W acesas com brilho total. Autonomia mínima: 1h; Com bateria selada regulada por válvula VRLA de 12V e 7Ah; Fusível de proteção do circuito e contra inversão de polaridade da bateria; Fusível para alimentação; Tensão de alimentação: 100 a 250Vca 60Hz;Desligamento automático por tensão baixa proteção para a bateria contra descarga excessiva; Indicador da condição de carga bateria;  Tempo de recarga total inferior a 24h; Botão-teste
</t>
  </si>
  <si>
    <t>Modelo: Unitron ML-NE 40W LED ou similar</t>
  </si>
  <si>
    <t>E0721</t>
  </si>
  <si>
    <t>Perfilado perfurado 38 x 38mm, galvanizado eletrolítico perfurado</t>
  </si>
  <si>
    <t>E0132</t>
  </si>
  <si>
    <t>Placa 4x2"; para 3 postos separados, cor sal, fabricação Legrand linha Nereya código 6632 60.</t>
  </si>
  <si>
    <t>Legrand / NEREYA 603260</t>
  </si>
  <si>
    <t>E0205</t>
  </si>
  <si>
    <t>Placa 4x2"; para 2 postos separados, cor sal, fabricação Legrand linha Nereya código 6632 20.</t>
  </si>
  <si>
    <t>Legrand / NEREYA 603220</t>
  </si>
  <si>
    <t>E0206</t>
  </si>
  <si>
    <t>Placa 4x2"; para 1 posto, cor sal, fabricação Legrand linha Nereya código 6632 10</t>
  </si>
  <si>
    <t>Legrand / NEREYA 603210</t>
  </si>
  <si>
    <t>E0133</t>
  </si>
  <si>
    <t>Placa cega 4x2", cor sal, fabricação Legrand linha Nereya código 6632 00.</t>
  </si>
  <si>
    <t>Legrand / NEREYA 603200</t>
  </si>
  <si>
    <t>Reator Eletrônico para 2x14 W, fator de potência mínimo de 0,95, fator de fluxo luminoso mínimo de 0,9, ausência de ruído e efeito estroboscópio, partida instantânea, 220VAC, vida mediana mínima de 30000 horas.</t>
  </si>
  <si>
    <t>Modelo:  Osram Quicktronic Fit 5  2x14...35 ou similar</t>
  </si>
  <si>
    <t>Sensor de Presença 360°</t>
  </si>
  <si>
    <t>Marca: ECP ou similar</t>
  </si>
  <si>
    <t xml:space="preserve">Sensor de presença de embutir para caixa (4 x 2) </t>
  </si>
  <si>
    <t>Marca: EXATRON ou similar</t>
  </si>
  <si>
    <t>E0131</t>
  </si>
  <si>
    <t>Suporte 4x2"; para 3 postos, dotado de regulagem para alinhamento, parafusos acompanhantes, fabricação Legrand linha Nereya código 6632 99.</t>
  </si>
  <si>
    <t>Legrand / NEREYA 603299</t>
  </si>
  <si>
    <t>Tampa para caixa condulete 4”x2” para tomada hexagonal vertical. Cor cinza. A tampa deverá ajustar-se perfeitamente à tomada e à caixa fornecidos no contrato.</t>
  </si>
  <si>
    <t>Tampa para caixa condulete 4”x2” para 1 interruptor. Cor cinza. A tampa deverá ajustar-se perfeitamente à caixa e ao interruptor fornecidos no contrato.</t>
  </si>
  <si>
    <t>Tampa para caixa condulete 4”x2” para 2 módulos RJ11/RJ45, com colar, cor cinza. A tampa deverá ajustar-se perfeitamente à caixa 
fornecida no contrato.</t>
  </si>
  <si>
    <t>E0885</t>
  </si>
  <si>
    <t>Tomada Aquatic 2P + T 10A Padrão Brasileiro, marca Pial Legrand, Cod. 064218</t>
  </si>
  <si>
    <t xml:space="preserve">Tomada de embutir redonda, padrão brasileiro, com haste, 2 P+T, 10 A - 250V. Em conformidade com a norma ABNT NBR 14136. Cor preta. </t>
  </si>
  <si>
    <t>Building ou similar.</t>
  </si>
  <si>
    <t>E0130</t>
  </si>
  <si>
    <t>Tomada de rede RJ45 CAT.6 UTP, sistema de conexão rápida sem ferramentas LCS², padrão de montagem T568A/ B, fabricação Legrand linha Nereya código 6630 76.</t>
  </si>
  <si>
    <t>Legrand / NEREYA 603076</t>
  </si>
  <si>
    <t>E0124</t>
  </si>
  <si>
    <t>Tomada elétrica de energia normal, do tipo 2P+T, 10A, 250Vac, padrão brasileiro NBR 14136, fabricação Legrand linha Nereya código 6630 50.</t>
  </si>
  <si>
    <t>Legrand / NEREYA 603050</t>
  </si>
  <si>
    <t>E0203</t>
  </si>
  <si>
    <t>Tomada elétrica de energia normal, do tipo 2P+T, 20A, 250Vac, padrão brasileiro NBR 14136, fabricação Legrand linha Nereya código 6630 56.</t>
  </si>
  <si>
    <t>Legrand / NEREYA 603056</t>
  </si>
  <si>
    <t>E0129</t>
  </si>
  <si>
    <t>Tomada elétrica de energia essencial, vermelha, do tipo 2P+T , 10A, 250Vac, padrão brasileiro NBR 14136, fabricação Legrand linha Nereya código 6630 53.</t>
  </si>
  <si>
    <t>Legrand / NEREYA 603053</t>
  </si>
  <si>
    <t>Tomada fixa de 20 A c/ cx de sobrepor cor branca</t>
  </si>
  <si>
    <t>Tomada fixa para embutir, sem espelho, bipolar, com contato terra, 10 A, 250 Vca, cor preta, sem Placa. A tomada deverá ajustar-se perfeitamente à caixa e à tampa fornecidas no contrato.</t>
  </si>
  <si>
    <t>marca Radial, Linha Prata Sem Placa, ref. 1801.135 ou similar</t>
  </si>
  <si>
    <t>Tomada fixa para sobrepor, sistema X, bipolar, 10 A, 250 V, com fundo para que a tomada seja fixada com fita dupla face. Em conformidade com a norma ABNT NBR 14136. Cor branca.</t>
  </si>
  <si>
    <t>marca Pial, ref. 6750.60 ou similar.</t>
  </si>
  <si>
    <t>UNIDADE</t>
  </si>
  <si>
    <t>Materiais de Controle e Automação</t>
  </si>
  <si>
    <t>Switch de mesa gerenciável L2 Gigabit com 8 portas + 2 Slots SFP Jetstream, modelo de referência Gigabit T2500G-10TS (TL-SG3210), fabricante TP-Link Technologies.</t>
  </si>
  <si>
    <t>Gigabit T2500G-10TS (TL-SG3210) / TP-Link Technologies</t>
  </si>
  <si>
    <t>Relé Acoplador CCA 24Vca/Vcc com 1 Contato Reversível</t>
  </si>
  <si>
    <t>Sibratec / RAC-1-24</t>
  </si>
  <si>
    <t>Relé acoplador CCA 220Vca com 1 contato reversível.</t>
  </si>
  <si>
    <t>Sibratec / RAC-1-220</t>
  </si>
  <si>
    <t>Sensor Infravermelho Passivo.</t>
  </si>
  <si>
    <t>Intelbras / IVP 3011 TETO</t>
  </si>
  <si>
    <t>Contator modular 25A 1NA 220/240VCA 60Hz.</t>
  </si>
  <si>
    <t>Schneider Electric / ICT ACTI9 A9C20631</t>
  </si>
  <si>
    <t>Materiais de Dados e Voz</t>
  </si>
  <si>
    <t>Cabo U/UTP de 4 (quatro) pares CAT.6 pares trançados 23AWG, diâmetro externo de até 6,2mm, classe de flamabilidade LSZH-3, com cobertura na cor vermelha, caixa com no mínimo 305m. Deverá atender às normas ANSI/TIA 568-C.2 - UL 444 - ABNT NBR 14703 - ABNT NBR 14705 em conformidade com a diretiva RoHS; e certificações UL Listed, Certificado de Homologação Anatel.</t>
  </si>
  <si>
    <t>Nexans, Linha Essential, ou similar equivalente</t>
  </si>
  <si>
    <t>caixa 305m</t>
  </si>
  <si>
    <t>Conector RJ 11 macho</t>
  </si>
  <si>
    <t>Marca: Furukawa ou similar</t>
  </si>
  <si>
    <t>Conector RJ 45 fêmea - CAT 6 - Branco</t>
  </si>
  <si>
    <t>Conector RJ 45 macho - CAT 6</t>
  </si>
  <si>
    <t>Marca Furukawa ou similar</t>
  </si>
  <si>
    <t xml:space="preserve">Guia de cabos horizontal fechado, 1U, para rack aberto 19". Produzida em aço SAE 1020. Pintura epóxi pó de alta resistência a riscos. </t>
  </si>
  <si>
    <t>Furukawa, código 35150502 ou similar equivalente</t>
  </si>
  <si>
    <t>Patch Cord metálico U/UTP CAT 6, 2,5m, cor vermelho classe de flamabilidade LSZH, 4 (quatro) pares, 24AWG, padrão de montagem T568A. Deverá atender às normas ANSI/TIA 568 C.2 - NBR 14565; em conformidade com a diretiva RoHS; e certificações UL Listed, Certificado de Homologação ANATEL LSZH</t>
  </si>
  <si>
    <t>Patch Cord metálico U/UTP CAT 6, 2,5m, cor verde classe de flamabilidade LSZH, 4 (quatro) pares, 24AWG, padrão de montagem T568A. Deverá atender às normas ANSI/TIA 568 C.2 - NBR 14565; em conformidade com a diretiva RoHS; e certificações UL Listed, Certificado de Homologação ANATEL LSZH</t>
  </si>
  <si>
    <t>Patch Cord metálico U/UTP CAT 6, 2,5m, cor amarelo classe de flamabilidade LSZH, 4 (quatro) pares, 24AWG, padrão de montagem T568A. Deverá atender às normas ANSI/TIA 568 C.2 - NBR 14565; em conformidade com a diretiva RoHS; e certificações UL Listed, Certificado de Homologação ANATEL LSZH</t>
  </si>
  <si>
    <t>Patch Panel carregado CAT.6, 24 portas, com 24 conectores fêmea RJ-45 na parte frontal e 24 conectores IDC na parte traseira. Compacto, com altura de 1 U e largura de 19". Deverá atender às normas ANSI/TIA568.2-C - NBR 14565; em conformidade com a diretiva RoHS; certificações UL Listed. Inclui guia traseiro de cabos e acessórios de fixação. Cor preta.</t>
  </si>
  <si>
    <t>Nexans, modelo Essential-6, ref. N500.206 B ou similar equivalente</t>
  </si>
  <si>
    <t>H0820</t>
  </si>
  <si>
    <t>Adaptador 85mm x 3", marca: Tigre</t>
  </si>
  <si>
    <t>H0469</t>
  </si>
  <si>
    <t xml:space="preserve">Anel de vedação para bacia decanel </t>
  </si>
  <si>
    <t>DECA AV.90.01</t>
  </si>
  <si>
    <t>H0474</t>
  </si>
  <si>
    <t>Assento plástico DECA, em microban, cor branca</t>
  </si>
  <si>
    <t>modelo Vogue Plus. Código AP.50.17</t>
  </si>
  <si>
    <t>Assento sanitário, cor branca</t>
  </si>
  <si>
    <t>marca DECA, modelo Monte Carlo</t>
  </si>
  <si>
    <t>H0416</t>
  </si>
  <si>
    <t>Bóia de Nível</t>
  </si>
  <si>
    <t>Modelo: Anauger Sensor; Fabricante: Anauger.</t>
  </si>
  <si>
    <t>H0821</t>
  </si>
  <si>
    <t>Bucha de redução curta 85x75, marca: Tigre</t>
  </si>
  <si>
    <t xml:space="preserve">Chuveiro Comum em Plastico Branco </t>
  </si>
  <si>
    <t xml:space="preserve">Lorenzetti ou similar </t>
  </si>
  <si>
    <t>H0450</t>
  </si>
  <si>
    <t>Ducha higiênica completa, com registro e derivação</t>
  </si>
  <si>
    <t>DECA  / Modelo: 1984.C43.ACT - Spot</t>
  </si>
  <si>
    <t>Engate/Rabicho flexível 40cm em Aço Inoxidável</t>
  </si>
  <si>
    <t>Marca: Docol ou similar</t>
  </si>
  <si>
    <t>Engate/Rabicho flexível plastico (PVC ou ABS) 40cm, Branco</t>
  </si>
  <si>
    <t>Marca: Tigre ou similar</t>
  </si>
  <si>
    <t>Grelha para ralo redonda com diâmetro de 10 cm, confeccionada em aço polido, com anel rotativo e caixilho</t>
  </si>
  <si>
    <t xml:space="preserve"> Marca Moldenox / Modelo 122-A</t>
  </si>
  <si>
    <t>Grelha para ralo quadrada, confeccionada em aço polido, medindo 10x10 cm, com anel rotativo e caixilho</t>
  </si>
  <si>
    <t xml:space="preserve"> Marca Moldenox / Modelo 118-A</t>
  </si>
  <si>
    <t xml:space="preserve">Grelha para ralo quadrada, confeccionada em aço polido, medindo 15x15 cm, com anel rotativo e caixilho </t>
  </si>
  <si>
    <t xml:space="preserve"> Marca Moldenox / Modelo 119-A</t>
  </si>
  <si>
    <t>H0331</t>
  </si>
  <si>
    <t>Kit de acionamento completo (reparo) para válvula de descarga 1.1/2" , marca Docol</t>
  </si>
  <si>
    <t>H0449</t>
  </si>
  <si>
    <t>Kit cartucho Docol Presmatic</t>
  </si>
  <si>
    <t>Kit Completo Caixa de Descarga Acoplada Universal</t>
  </si>
  <si>
    <t>Marca: Censi ou similar</t>
  </si>
  <si>
    <t>Kit conversor Hidra-Duo para válvula de descarga da marca Deca, modelo Hidramax 1 1/2"</t>
  </si>
  <si>
    <t>Marca: DECA</t>
  </si>
  <si>
    <t>Mangueira branca, atóxica, para purificador de água, marca IBBL, diâmetro 1/4" (6,35mm), espessura 1,1 mm</t>
  </si>
  <si>
    <t>H0433</t>
  </si>
  <si>
    <t>Mangueira, para purificador de água, marca SOFT.</t>
  </si>
  <si>
    <t>H0463</t>
  </si>
  <si>
    <t>H0500</t>
  </si>
  <si>
    <t>Redutor/regulador de vazão, material PVC, para purificador de água, marca IBBL, modelo FR600</t>
  </si>
  <si>
    <t>H0848</t>
  </si>
  <si>
    <t>Registro de Esfera PVC soldável 50mm, Marca: Tigre, Ref. 27958087</t>
  </si>
  <si>
    <t>H0374</t>
  </si>
  <si>
    <t xml:space="preserve">Reparo para registro de pressão 3/4", </t>
  </si>
  <si>
    <t>marca Deca, Ref.: MVS 4688224</t>
  </si>
  <si>
    <t xml:space="preserve">Reparo para válvula de mictório horizontal com fechamento automático, </t>
  </si>
  <si>
    <t>marca Deca, modelo Decamatic ECO, Ref.: 2572 C</t>
  </si>
  <si>
    <t xml:space="preserve">Reparo para válvula de descarga Hidra-Duo 1.1/2 </t>
  </si>
  <si>
    <t>Marca DECA</t>
  </si>
  <si>
    <t>H0458</t>
  </si>
  <si>
    <t xml:space="preserve">Reparo torneira Decamatic Eco, </t>
  </si>
  <si>
    <t>Marca: Deca; Modelos: 1171C, 1172C LNK, 1175C, 1172C, 1173C, 2572C, 2573C ; Ref.: 4686.001</t>
  </si>
  <si>
    <t>H0526</t>
  </si>
  <si>
    <t>Retentor de vedação para torneira automática Deca Decamatic 1171C ref.: 4162.020</t>
  </si>
  <si>
    <t>Marca: Deca; Modelos: 1171C, 1170C, 2550C, 2572C e 2570C; Ref. 4162.020</t>
  </si>
  <si>
    <t>H0046</t>
  </si>
  <si>
    <t>Sifão para lavatório, metálico cromado</t>
  </si>
  <si>
    <t>Marca Docol, Modelo: 00660806</t>
  </si>
  <si>
    <t>H0473</t>
  </si>
  <si>
    <t>Sifão universal extensível em PVC, acabamento cromado, medindo 720mm</t>
  </si>
  <si>
    <t>Torneira banheiro metal cromado, Génova bica móvel 1/4 volta</t>
  </si>
  <si>
    <t>modelo  Génova bica móvel 1/4 volta</t>
  </si>
  <si>
    <t>G0738</t>
  </si>
  <si>
    <t>Torneira para bebedouro tipo garrafão com alavanca em nylon, azul/branco</t>
  </si>
  <si>
    <t>H0454</t>
  </si>
  <si>
    <t>Torneira para jardim / tanque metal bica reta</t>
  </si>
  <si>
    <t>H0456</t>
  </si>
  <si>
    <t>Torneira para purifcador de água</t>
  </si>
  <si>
    <t>Marca IBBL, modelo FR 600</t>
  </si>
  <si>
    <t>H0814</t>
  </si>
  <si>
    <t xml:space="preserve">Torneira tipo boia, em Liga de Cobre, 3/4" </t>
  </si>
  <si>
    <t>H0360</t>
  </si>
  <si>
    <t>Tubo de ligação de vaso sanitário, em metal cromado</t>
  </si>
  <si>
    <t>Marca DECA, modelo 1968C</t>
  </si>
  <si>
    <t>Materiais Hidráulicos</t>
  </si>
  <si>
    <t>Materiais de Marcenaria</t>
  </si>
  <si>
    <t>G0819</t>
  </si>
  <si>
    <t>Cilindro para fechaduras La Fonte modelo 330 ST2, medindo 60mm, com 5 pinos, cromado</t>
  </si>
  <si>
    <t>Dobradiça curva 35mm FGV Slide on 110 curva</t>
  </si>
  <si>
    <t>Marca: Abraplac ou similar</t>
  </si>
  <si>
    <t>Dobradiça para divisória sanitária, cor branca, posição lado DIREITO.</t>
  </si>
  <si>
    <t>marca Perstorp Pertech</t>
  </si>
  <si>
    <t>Dobradiça para divisória sanitária - cor branca - posição: LADO ESQUERDO.</t>
  </si>
  <si>
    <t>G0859</t>
  </si>
  <si>
    <t>Fechadura auxiliar do tipo tetra, com espelho cromado, marca Stam, Ref.: 1004</t>
  </si>
  <si>
    <t>M0008</t>
  </si>
  <si>
    <t>Fechadura Cremona, 3 Pontos de Travamento, chave escamoteável, acabamento cromado, marca Soprano, ref: 06502.0730</t>
  </si>
  <si>
    <t>G0781</t>
  </si>
  <si>
    <t>Fechadura para armário universal, rotação 90 graus, marca: Papaiz</t>
  </si>
  <si>
    <t>G0695</t>
  </si>
  <si>
    <t>Fechadura para arquivo universal com lingueta 3f</t>
  </si>
  <si>
    <t xml:space="preserve">Fechadura para divisória sanitária do tipo tarjeta livre/ocupado </t>
  </si>
  <si>
    <t>G0857</t>
  </si>
  <si>
    <t>Fechadura para móveis, com chave, modelo: 8610, Marca: Soprano</t>
  </si>
  <si>
    <t>G0845</t>
  </si>
  <si>
    <t>Fechadura para móveis, medindo 22mm, rotação 180º, marca Soprano, Linha Plus 871 - 2PE</t>
  </si>
  <si>
    <t>G0817</t>
  </si>
  <si>
    <t>Fechadura para móveis, medindo 31 mm, marca Soprano, ref.: PL2861</t>
  </si>
  <si>
    <t>G0841</t>
  </si>
  <si>
    <t>Fechadura para móveis, modelo rosca total, rotação de 90 graus, marca Soprano, Ref.: 0521</t>
  </si>
  <si>
    <t xml:space="preserve">Fechadura para tráfego intenso, cromada, </t>
  </si>
  <si>
    <t>marca Lafonte, linha Archtect, ref.: 6236</t>
  </si>
  <si>
    <t>G0025</t>
  </si>
  <si>
    <t>Fechadura Tubular marca: Lock well - cor cinza Cód: 41415N</t>
  </si>
  <si>
    <t>G0834</t>
  </si>
  <si>
    <t>Fecho do tipo gangorra para armário - 75 mm, niquelado, marca 3F</t>
  </si>
  <si>
    <t>G0605</t>
  </si>
  <si>
    <t>Fecho do tipo gangorra para armário - 75 mm, niquelado, marca Metalúrgica ELPAR</t>
  </si>
  <si>
    <t>Ferrolho cromado, medindo 6 cm, com porta cadeado</t>
  </si>
  <si>
    <t>G0847</t>
  </si>
  <si>
    <t>Fita de Borda "U", largura: 64mm, cor: Branco, Marca: Rehau, ref: 13449</t>
  </si>
  <si>
    <t xml:space="preserve">Fita de borda confeccionada em PVC, 18mm de largura </t>
  </si>
  <si>
    <t>Rolo 50m</t>
  </si>
  <si>
    <t>G0384</t>
  </si>
  <si>
    <t>Fita de espuma adesiva, seção de 6mm x 12mm, rolo de 4m. Marca Vonder, ref.: 10.80.150.400</t>
  </si>
  <si>
    <t>Fixador de porta de pressão,  porta/piso, cromado</t>
  </si>
  <si>
    <t>Vonder ou similar</t>
  </si>
  <si>
    <t>Fixador de porta de pressão, porta/parede, cromado</t>
  </si>
  <si>
    <t>Matriz de chave para fechadura</t>
  </si>
  <si>
    <t>Marca Lafonte, ref. LAF 803 ou C858</t>
  </si>
  <si>
    <t>G0426</t>
  </si>
  <si>
    <t>Matriz para cópia de chave Yale Gold n° 1105</t>
  </si>
  <si>
    <t>Mola hidráulica do tipo aérea</t>
  </si>
  <si>
    <t>marca Dorma, modelo MA 200/2</t>
  </si>
  <si>
    <t>Rodizios para gaveteiro com rodas de 30mm e chapa para fixação</t>
  </si>
  <si>
    <t>Rodizio giratório em plastico para gaveteiro, 50mm, sem trava e com chapa fixa para parafusar.</t>
  </si>
  <si>
    <t>Marca: ARTMETAL ou similar</t>
  </si>
  <si>
    <t xml:space="preserve">Materiais Diversos </t>
  </si>
  <si>
    <t xml:space="preserve">Adesivo acrílico próprio para aplicação de Paviflex. Rendimento: 250g/m². </t>
  </si>
  <si>
    <t>Marca sugerida: Fadecril ou similar.</t>
  </si>
  <si>
    <t>Galão de 4kg</t>
  </si>
  <si>
    <t xml:space="preserve">Adesivo de tack permanente para pisos autoportantes. </t>
  </si>
  <si>
    <t>Fabricante: Tarkett; Produto: Tarkfix, ref: 9334014 ou similar</t>
  </si>
  <si>
    <t>Galão de 3,5kg</t>
  </si>
  <si>
    <t>G0835</t>
  </si>
  <si>
    <t>Areia Especial para filtro de piscinas</t>
  </si>
  <si>
    <t>marca: Globalmar</t>
  </si>
  <si>
    <t>Saco 25 Kg</t>
  </si>
  <si>
    <t>P0302</t>
  </si>
  <si>
    <t>Areia lavada média</t>
  </si>
  <si>
    <t>P0320</t>
  </si>
  <si>
    <t xml:space="preserve">Argamassa Colante AC III Flexível, cerâmica, porcelanatos, mármore e granito, interno e externo </t>
  </si>
  <si>
    <t>marca: Votorantim - Ref.: Votomassa</t>
  </si>
  <si>
    <t>Saco  20 Kg</t>
  </si>
  <si>
    <t>P0290</t>
  </si>
  <si>
    <t>Argamassa Colante A CII, cerâmica interna e externa</t>
  </si>
  <si>
    <t>P0300</t>
  </si>
  <si>
    <t xml:space="preserve">Argamassa Colante AC I, cerâmica interna </t>
  </si>
  <si>
    <t>P0310</t>
  </si>
  <si>
    <t>Argamassa impermeabilizante semi-flexível /sika Top 107, cor cinza, caixa 18Kg, marca: Sika, linha: Sika Top 107 cinza</t>
  </si>
  <si>
    <t>marca: Sika - Ref.: Sika Top 107</t>
  </si>
  <si>
    <t>Caixa 18 kg</t>
  </si>
  <si>
    <t xml:space="preserve">Argamassa industrializada multiuso </t>
  </si>
  <si>
    <t>Marca: Votoran ou similar</t>
  </si>
  <si>
    <t>Argamassa Weber. Graute cinza 25kg Quartzolit</t>
  </si>
  <si>
    <t>Quartzolit</t>
  </si>
  <si>
    <t>Bloco de concreto canaleta medindo 9x19x39 cm</t>
  </si>
  <si>
    <t>Bloco de concreto medindo 9x19x19 cm (meio bloco)</t>
  </si>
  <si>
    <t>Bloco de concreto sem fundo medindo 9x19x39 cm</t>
  </si>
  <si>
    <t>P0299</t>
  </si>
  <si>
    <t>Bloco de concreto vazado, para vedação, dimensões (14 x 19 x 39) cm</t>
  </si>
  <si>
    <t>Cantoneira em "L" de 2" x 2" x 2mm x 15 mm, com 4 furos, em aço</t>
  </si>
  <si>
    <t>Marca: Colar ou similar</t>
  </si>
  <si>
    <t>G0861</t>
  </si>
  <si>
    <t>Cantoneira em Aço, Astm-A36, medindo 1.1/2" x 3/16"</t>
  </si>
  <si>
    <t>Barra 6 m</t>
  </si>
  <si>
    <t>G0870</t>
  </si>
  <si>
    <t>G0862</t>
  </si>
  <si>
    <t>Cantoneira em Aço, Astm-A36, medindo 2" x 3/16"</t>
  </si>
  <si>
    <t>G0812</t>
  </si>
  <si>
    <t>Cantoneira laminada de aço, medidas: 5/8" x 1/8"</t>
  </si>
  <si>
    <t>Chapa de gesso acartonado (Chapa Standard-ST,  1,80 x 1,20m, e=12,5mm)</t>
  </si>
  <si>
    <t>Gypsum Drywall ou similar</t>
  </si>
  <si>
    <t>m²</t>
  </si>
  <si>
    <t>Cimento Portland CPII 32 (saco de 50 KG)</t>
  </si>
  <si>
    <t>saco de 50kg</t>
  </si>
  <si>
    <t>G0811</t>
  </si>
  <si>
    <t>Conjunto de Vedação/Fixação de telha, 5/16" com rosca soberba, tamanho 8x110mm</t>
  </si>
  <si>
    <t>Marca: Parafix</t>
  </si>
  <si>
    <t>Controle Remoto para Portão Rossi</t>
  </si>
  <si>
    <t>Marca: Rossi ou similar</t>
  </si>
  <si>
    <t>G0720</t>
  </si>
  <si>
    <t>Ferro chato laminado 1/2 x 3/16 A36/ NBR 7007- barra com 6 metros</t>
  </si>
  <si>
    <t>Fita autoadesiva asfáltica aluminizada 0,9 x 10 m</t>
  </si>
  <si>
    <t xml:space="preserve"> marca DRYKOFITA</t>
  </si>
  <si>
    <t xml:space="preserve">Forro de lã de vidro, modular, medindo 1250mm x 625mm x 15mm, linha Prisma Decor, marca Isover </t>
  </si>
  <si>
    <t>Marca: ISOVER, linha Prisma Decor</t>
  </si>
  <si>
    <t>placa</t>
  </si>
  <si>
    <t>G0725</t>
  </si>
  <si>
    <t>Forro mineral FILIGRAN SK 625 x 625 x 13mm - DIN 18177</t>
  </si>
  <si>
    <t>Marca Knauf AMF; Produto Filigran</t>
  </si>
  <si>
    <t>G0048</t>
  </si>
  <si>
    <t>Kit monocomando completo p/ persianas</t>
  </si>
  <si>
    <t>Manta líquida PRODAPÁS, cor branca</t>
  </si>
  <si>
    <t>Marca: Prodopás</t>
  </si>
  <si>
    <t>Balde 15kg</t>
  </si>
  <si>
    <t>P0303</t>
  </si>
  <si>
    <t>Pedra Britada, de granulometria nº 0</t>
  </si>
  <si>
    <t>G0745</t>
  </si>
  <si>
    <t>Pedra Britada, de granulometria nº 1</t>
  </si>
  <si>
    <t>Fabricante: Tarkett; Linha Paviflex Natural; Coleção Thru, ref: 9216691.</t>
  </si>
  <si>
    <t>Caixa c/ 14 placas</t>
  </si>
  <si>
    <t xml:space="preserve">Placa vinílica semiflexível para revestimento de piso. Tamanho: 30 x 30 cm. Espessura: 2 mm. </t>
  </si>
  <si>
    <t>Fabricante: Tarkett; Linha Paviflex Natural; Coleção Thru, ref: 9205691.</t>
  </si>
  <si>
    <t>Caixa c/  56 placas</t>
  </si>
  <si>
    <t>Fabricante: Tarkett; Linha Paviflex Natural; Coleção Chroma Concept, ref: 9201912.</t>
  </si>
  <si>
    <t xml:space="preserve">Placa vinílica semiflexível para revestimento de piso. Tamanho: 30 x 30 cm. Espessura: 3,2 mm. </t>
  </si>
  <si>
    <t>Fabricante: Tarkett; Linha Paviflex Natural; Coleção Thru, ref: 9206103.</t>
  </si>
  <si>
    <t>Caixa c/ 35 placas</t>
  </si>
  <si>
    <t xml:space="preserve">Placa para revestimento de piso. Tamanho: 50 x 50 cm. Espessura: 5 mm. </t>
  </si>
  <si>
    <t>Fabricante: FORBO; Linha Allura Flex Stone; Coleção Nero Concrete, ref: 1634.</t>
  </si>
  <si>
    <t>Caixa c/ 10 placas</t>
  </si>
  <si>
    <t>Primer PRODER para mantas asfálticas</t>
  </si>
  <si>
    <t>Marca Rhodopás; Produto Rhodopás Proder Primer</t>
  </si>
  <si>
    <t>Barrica 18kg</t>
  </si>
  <si>
    <t>Protetor de impacto para gargem, tipo cantoneira, em E.V.A. Espessura: 20 mm; comprimento: de 80 a 95 cm. Largura mínima das abas: 10 cm para cada lado; Cor: preta, sendo admitida um faixa amarela nas extremidades.</t>
  </si>
  <si>
    <t>G0879</t>
  </si>
  <si>
    <t>Rejunte Flexível, cor: qualquer cor</t>
  </si>
  <si>
    <t>Marca: Quartzolit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</si>
</sst>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_(&quot;R$ &quot;* #,##0.00_);_(&quot;R$ &quot;* \(#,##0.00\);_(&quot;R$ &quot;* &quot;-&quot;??_);_(@_)"/>
    <numFmt numFmtId="166" formatCode="&quot;R$&quot;\ #,##0.00"/>
    <numFmt numFmtId="167" formatCode="#,##0.00_ ;\-#,##0.00\ 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Segoe UI Light"/>
      <family val="2"/>
    </font>
    <font>
      <b/>
      <sz val="16"/>
      <color indexed="60"/>
      <name val="Segoe UI Light"/>
      <family val="2"/>
    </font>
    <font>
      <b/>
      <sz val="11"/>
      <color indexed="9"/>
      <name val="Segoe UI Light"/>
      <family val="2"/>
    </font>
    <font>
      <sz val="11"/>
      <name val="Segoe UI Light"/>
      <family val="2"/>
    </font>
    <font>
      <b/>
      <sz val="11"/>
      <name val="Segoe UI Light"/>
      <family val="2"/>
    </font>
    <font>
      <b/>
      <sz val="11"/>
      <color indexed="60"/>
      <name val="Segoe UI Light"/>
      <family val="2"/>
    </font>
    <font>
      <sz val="11"/>
      <color indexed="10"/>
      <name val="Segoe UI Light"/>
      <family val="2"/>
    </font>
    <font>
      <i/>
      <sz val="10"/>
      <color indexed="9"/>
      <name val="Segoe UI Light"/>
      <family val="2"/>
    </font>
    <font>
      <sz val="10"/>
      <name val="Arial"/>
      <family val="2"/>
    </font>
    <font>
      <i/>
      <sz val="10"/>
      <name val="Segoe UI Light"/>
      <family val="2"/>
    </font>
    <font>
      <b/>
      <sz val="14"/>
      <color indexed="60"/>
      <name val="Segoe UI Light"/>
      <family val="2"/>
    </font>
    <font>
      <b/>
      <i/>
      <sz val="11"/>
      <color indexed="9"/>
      <name val="Segoe UI Light"/>
      <family val="2"/>
    </font>
    <font>
      <i/>
      <sz val="11"/>
      <name val="Segoe UI Light"/>
      <family val="2"/>
    </font>
    <font>
      <b/>
      <sz val="7"/>
      <color indexed="9"/>
      <name val="Segoe UI Light"/>
      <family val="2"/>
    </font>
    <font>
      <sz val="7"/>
      <name val="Segoe UI Light"/>
      <family val="2"/>
    </font>
    <font>
      <sz val="7"/>
      <color indexed="8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53"/>
      <name val="Segoe UI Light"/>
      <family val="2"/>
    </font>
    <font>
      <b/>
      <sz val="11"/>
      <color indexed="8"/>
      <name val="Segoe UI Light"/>
      <family val="2"/>
    </font>
    <font>
      <b/>
      <sz val="11"/>
      <color indexed="23"/>
      <name val="Segoe UI Light"/>
      <family val="2"/>
    </font>
  </fonts>
  <fills count="10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3"/>
        <bgColor indexed="41"/>
      </patternFill>
    </fill>
    <fill>
      <patternFill patternType="solid">
        <fgColor indexed="53"/>
        <bgColor indexed="31"/>
      </patternFill>
    </fill>
    <fill>
      <patternFill patternType="solid">
        <fgColor indexed="47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165" fontId="20" fillId="0" borderId="0" applyFill="0" applyBorder="0" applyAlignment="0" applyProtection="0"/>
    <xf numFmtId="0" fontId="10" fillId="0" borderId="0"/>
    <xf numFmtId="0" fontId="20" fillId="0" borderId="0"/>
    <xf numFmtId="9" fontId="1" fillId="0" borderId="0" applyFont="0" applyFill="0" applyBorder="0" applyAlignment="0" applyProtection="0"/>
    <xf numFmtId="9" fontId="20" fillId="0" borderId="0" applyFill="0" applyBorder="0" applyAlignment="0" applyProtection="0"/>
    <xf numFmtId="164" fontId="10" fillId="0" borderId="0" applyFill="0" applyBorder="0" applyAlignment="0" applyProtection="0"/>
  </cellStyleXfs>
  <cellXfs count="211">
    <xf numFmtId="0" fontId="0" fillId="0" borderId="0" xfId="0"/>
    <xf numFmtId="39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2" applyFont="1" applyFill="1" applyBorder="1" applyAlignment="1" applyProtection="1">
      <alignment vertical="center" wrapText="1"/>
    </xf>
    <xf numFmtId="165" fontId="6" fillId="0" borderId="0" xfId="2" applyFont="1" applyFill="1" applyBorder="1" applyAlignment="1" applyProtection="1">
      <alignment vertical="center" wrapText="1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/>
    </xf>
    <xf numFmtId="0" fontId="5" fillId="4" borderId="1" xfId="0" applyFont="1" applyFill="1" applyBorder="1" applyProtection="1"/>
    <xf numFmtId="0" fontId="15" fillId="5" borderId="0" xfId="0" applyFont="1" applyFill="1" applyAlignment="1" applyProtection="1">
      <alignment horizontal="center"/>
    </xf>
    <xf numFmtId="0" fontId="16" fillId="5" borderId="0" xfId="0" applyFont="1" applyFill="1" applyAlignment="1" applyProtection="1">
      <alignment horizontal="left"/>
    </xf>
    <xf numFmtId="14" fontId="16" fillId="6" borderId="0" xfId="0" applyNumberFormat="1" applyFont="1" applyFill="1" applyAlignment="1" applyProtection="1">
      <alignment horizontal="center"/>
    </xf>
    <xf numFmtId="0" fontId="17" fillId="0" borderId="0" xfId="0" applyFont="1" applyProtection="1"/>
    <xf numFmtId="0" fontId="3" fillId="5" borderId="0" xfId="0" applyFont="1" applyFill="1" applyProtection="1"/>
    <xf numFmtId="0" fontId="5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6" borderId="0" xfId="0" applyFont="1" applyFill="1" applyProtection="1"/>
    <xf numFmtId="39" fontId="5" fillId="5" borderId="0" xfId="0" applyNumberFormat="1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</xf>
    <xf numFmtId="39" fontId="5" fillId="4" borderId="1" xfId="0" applyNumberFormat="1" applyFont="1" applyFill="1" applyBorder="1" applyAlignment="1" applyProtection="1">
      <alignment horizontal="right" vertical="center" wrapText="1"/>
    </xf>
    <xf numFmtId="4" fontId="4" fillId="8" borderId="1" xfId="0" applyNumberFormat="1" applyFont="1" applyFill="1" applyBorder="1" applyAlignment="1" applyProtection="1">
      <alignment horizontal="right" vertical="center" wrapText="1"/>
    </xf>
    <xf numFmtId="39" fontId="5" fillId="5" borderId="0" xfId="0" applyNumberFormat="1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left" vertical="center" wrapText="1"/>
    </xf>
    <xf numFmtId="0" fontId="6" fillId="5" borderId="0" xfId="0" applyFont="1" applyFill="1" applyAlignment="1" applyProtection="1">
      <alignment horizontal="center" vertical="center" wrapText="1"/>
    </xf>
    <xf numFmtId="39" fontId="6" fillId="5" borderId="0" xfId="0" applyNumberFormat="1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/>
    </xf>
    <xf numFmtId="2" fontId="5" fillId="4" borderId="1" xfId="0" applyNumberFormat="1" applyFont="1" applyFill="1" applyBorder="1" applyAlignment="1" applyProtection="1">
      <alignment horizont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2" fillId="6" borderId="0" xfId="0" applyFont="1" applyFill="1" applyProtection="1"/>
    <xf numFmtId="0" fontId="13" fillId="2" borderId="1" xfId="0" applyFont="1" applyFill="1" applyBorder="1" applyAlignment="1" applyProtection="1">
      <alignment horizontal="center" vertical="center"/>
    </xf>
    <xf numFmtId="2" fontId="14" fillId="4" borderId="1" xfId="0" applyNumberFormat="1" applyFont="1" applyFill="1" applyBorder="1" applyAlignment="1" applyProtection="1">
      <alignment vertical="center" wrapText="1"/>
    </xf>
    <xf numFmtId="37" fontId="5" fillId="4" borderId="1" xfId="0" applyNumberFormat="1" applyFont="1" applyFill="1" applyBorder="1" applyAlignment="1" applyProtection="1">
      <alignment horizontal="right" vertical="center" wrapText="1"/>
    </xf>
    <xf numFmtId="2" fontId="5" fillId="4" borderId="1" xfId="0" applyNumberFormat="1" applyFont="1" applyFill="1" applyBorder="1" applyAlignment="1" applyProtection="1">
      <alignment vertical="center" wrapText="1"/>
    </xf>
    <xf numFmtId="0" fontId="8" fillId="5" borderId="0" xfId="0" applyFont="1" applyFill="1" applyProtection="1"/>
    <xf numFmtId="2" fontId="5" fillId="4" borderId="1" xfId="0" applyNumberFormat="1" applyFont="1" applyFill="1" applyBorder="1" applyAlignment="1" applyProtection="1">
      <alignment horizontal="center" vertical="center" wrapText="1"/>
    </xf>
    <xf numFmtId="39" fontId="5" fillId="4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39" fontId="11" fillId="4" borderId="1" xfId="0" applyNumberFormat="1" applyFont="1" applyFill="1" applyBorder="1" applyAlignment="1" applyProtection="1">
      <alignment horizontal="right" vertical="center" wrapText="1"/>
    </xf>
    <xf numFmtId="39" fontId="4" fillId="2" borderId="1" xfId="0" applyNumberFormat="1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 wrapText="1"/>
    </xf>
    <xf numFmtId="39" fontId="5" fillId="5" borderId="0" xfId="0" applyNumberFormat="1" applyFont="1" applyFill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 wrapText="1"/>
    </xf>
    <xf numFmtId="44" fontId="5" fillId="2" borderId="1" xfId="1" applyFont="1" applyFill="1" applyBorder="1" applyAlignment="1" applyProtection="1">
      <alignment horizontal="center" vertical="center" wrapText="1"/>
      <protection locked="0"/>
    </xf>
    <xf numFmtId="4" fontId="23" fillId="0" borderId="0" xfId="4" applyNumberFormat="1" applyFont="1" applyAlignment="1" applyProtection="1">
      <alignment horizontal="center" vertical="top" wrapText="1"/>
    </xf>
    <xf numFmtId="0" fontId="4" fillId="2" borderId="1" xfId="0" quotePrefix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justify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44" fontId="5" fillId="4" borderId="1" xfId="1" applyFont="1" applyFill="1" applyBorder="1" applyAlignment="1" applyProtection="1">
      <alignment horizontal="center" vertical="center"/>
    </xf>
    <xf numFmtId="44" fontId="4" fillId="8" borderId="1" xfId="1" applyFont="1" applyFill="1" applyBorder="1" applyAlignment="1" applyProtection="1">
      <alignment horizontal="right" vertical="center" wrapText="1"/>
    </xf>
    <xf numFmtId="4" fontId="23" fillId="0" borderId="2" xfId="4" applyNumberFormat="1" applyFont="1" applyBorder="1" applyAlignment="1" applyProtection="1">
      <alignment vertical="center" wrapText="1"/>
    </xf>
    <xf numFmtId="4" fontId="23" fillId="0" borderId="2" xfId="4" applyNumberFormat="1" applyFont="1" applyBorder="1" applyAlignment="1" applyProtection="1">
      <alignment horizontal="right" vertical="center" wrapText="1"/>
    </xf>
    <xf numFmtId="0" fontId="7" fillId="5" borderId="6" xfId="0" applyFont="1" applyFill="1" applyBorder="1" applyAlignment="1" applyProtection="1">
      <alignment horizontal="left"/>
    </xf>
    <xf numFmtId="4" fontId="23" fillId="0" borderId="6" xfId="4" applyNumberFormat="1" applyFont="1" applyBorder="1" applyAlignment="1" applyProtection="1">
      <alignment vertical="center" wrapText="1"/>
    </xf>
    <xf numFmtId="44" fontId="14" fillId="4" borderId="1" xfId="1" applyFont="1" applyFill="1" applyBorder="1" applyAlignment="1" applyProtection="1">
      <alignment horizontal="center" vertical="center"/>
    </xf>
    <xf numFmtId="0" fontId="5" fillId="0" borderId="0" xfId="4" applyFont="1" applyProtection="1"/>
    <xf numFmtId="4" fontId="23" fillId="0" borderId="0" xfId="4" applyNumberFormat="1" applyFont="1" applyFill="1" applyBorder="1" applyAlignment="1" applyProtection="1">
      <alignment vertical="center" wrapText="1"/>
    </xf>
    <xf numFmtId="4" fontId="23" fillId="0" borderId="0" xfId="4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left" vertical="center"/>
    </xf>
    <xf numFmtId="0" fontId="21" fillId="0" borderId="0" xfId="4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44" fontId="4" fillId="0" borderId="0" xfId="1" applyFont="1" applyFill="1" applyBorder="1" applyAlignment="1" applyProtection="1">
      <alignment horizontal="right" vertical="center" wrapText="1"/>
    </xf>
    <xf numFmtId="167" fontId="24" fillId="0" borderId="1" xfId="1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5" fillId="0" borderId="0" xfId="4" applyFont="1" applyBorder="1" applyProtection="1"/>
    <xf numFmtId="0" fontId="2" fillId="0" borderId="0" xfId="4" applyFont="1" applyProtection="1"/>
    <xf numFmtId="0" fontId="2" fillId="0" borderId="0" xfId="4" applyFont="1" applyProtection="1">
      <protection locked="0"/>
    </xf>
    <xf numFmtId="0" fontId="0" fillId="0" borderId="0" xfId="0" applyProtection="1">
      <protection locked="0"/>
    </xf>
    <xf numFmtId="0" fontId="5" fillId="0" borderId="0" xfId="4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Font="1" applyProtection="1"/>
    <xf numFmtId="0" fontId="19" fillId="0" borderId="0" xfId="3" applyFont="1" applyProtection="1">
      <protection locked="0"/>
    </xf>
    <xf numFmtId="0" fontId="19" fillId="0" borderId="0" xfId="3" applyFont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44" fontId="4" fillId="7" borderId="5" xfId="1" applyFont="1" applyFill="1" applyBorder="1" applyAlignment="1" applyProtection="1">
      <alignment vertical="center" wrapText="1"/>
    </xf>
    <xf numFmtId="0" fontId="5" fillId="4" borderId="1" xfId="0" applyNumberFormat="1" applyFont="1" applyFill="1" applyBorder="1" applyAlignment="1" applyProtection="1">
      <alignment horizontal="center" vertical="center"/>
    </xf>
    <xf numFmtId="44" fontId="5" fillId="4" borderId="1" xfId="1" applyFont="1" applyFill="1" applyBorder="1" applyAlignment="1" applyProtection="1">
      <alignment horizontal="right" vertical="center" wrapText="1"/>
    </xf>
    <xf numFmtId="0" fontId="19" fillId="0" borderId="0" xfId="3" applyFont="1" applyProtection="1"/>
    <xf numFmtId="0" fontId="4" fillId="2" borderId="5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wrapText="1"/>
    </xf>
    <xf numFmtId="0" fontId="5" fillId="4" borderId="3" xfId="0" applyFont="1" applyFill="1" applyBorder="1" applyAlignment="1" applyProtection="1">
      <alignment wrapText="1"/>
    </xf>
    <xf numFmtId="0" fontId="5" fillId="4" borderId="4" xfId="0" applyFont="1" applyFill="1" applyBorder="1" applyAlignment="1" applyProtection="1">
      <alignment wrapText="1"/>
    </xf>
    <xf numFmtId="44" fontId="5" fillId="4" borderId="5" xfId="1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vertical="center" wrapText="1"/>
    </xf>
    <xf numFmtId="0" fontId="5" fillId="4" borderId="3" xfId="0" applyFont="1" applyFill="1" applyBorder="1" applyAlignment="1" applyProtection="1">
      <alignment vertical="center" wrapText="1"/>
    </xf>
    <xf numFmtId="0" fontId="5" fillId="4" borderId="4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</xf>
    <xf numFmtId="10" fontId="14" fillId="2" borderId="1" xfId="5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9" fontId="5" fillId="2" borderId="1" xfId="0" applyNumberFormat="1" applyFont="1" applyFill="1" applyBorder="1" applyAlignment="1" applyProtection="1">
      <alignment vertical="center" wrapText="1"/>
      <protection locked="0"/>
    </xf>
    <xf numFmtId="0" fontId="6" fillId="6" borderId="0" xfId="0" applyFont="1" applyFill="1" applyProtection="1"/>
    <xf numFmtId="0" fontId="6" fillId="6" borderId="0" xfId="0" applyFont="1" applyFill="1" applyAlignment="1" applyProtection="1">
      <alignment horizontal="left"/>
    </xf>
    <xf numFmtId="49" fontId="5" fillId="6" borderId="0" xfId="0" applyNumberFormat="1" applyFont="1" applyFill="1" applyAlignment="1" applyProtection="1">
      <alignment horizontal="center"/>
    </xf>
    <xf numFmtId="0" fontId="5" fillId="9" borderId="1" xfId="0" applyFont="1" applyFill="1" applyBorder="1" applyAlignment="1" applyProtection="1"/>
    <xf numFmtId="0" fontId="5" fillId="9" borderId="1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49" fontId="5" fillId="9" borderId="1" xfId="0" applyNumberFormat="1" applyFont="1" applyFill="1" applyBorder="1" applyAlignment="1" applyProtection="1">
      <alignment horizontal="justify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/>
    </xf>
    <xf numFmtId="4" fontId="5" fillId="9" borderId="1" xfId="0" applyNumberFormat="1" applyFont="1" applyFill="1" applyBorder="1" applyAlignment="1" applyProtection="1">
      <alignment vertical="center" wrapTex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4" fontId="5" fillId="9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/>
    <xf numFmtId="0" fontId="6" fillId="4" borderId="1" xfId="0" applyFont="1" applyFill="1" applyBorder="1" applyAlignment="1" applyProtection="1">
      <alignment horizontal="center"/>
    </xf>
    <xf numFmtId="4" fontId="6" fillId="4" borderId="1" xfId="0" applyNumberFormat="1" applyFont="1" applyFill="1" applyBorder="1" applyAlignment="1" applyProtection="1">
      <alignment horizontal="center"/>
    </xf>
    <xf numFmtId="10" fontId="5" fillId="9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/>
    </xf>
    <xf numFmtId="0" fontId="5" fillId="9" borderId="1" xfId="0" applyNumberFormat="1" applyFont="1" applyFill="1" applyBorder="1" applyAlignment="1" applyProtection="1">
      <alignment vertical="center" wrapText="1"/>
    </xf>
    <xf numFmtId="10" fontId="5" fillId="9" borderId="1" xfId="5" applyNumberFormat="1" applyFont="1" applyFill="1" applyBorder="1" applyAlignment="1" applyProtection="1">
      <alignment horizontal="center" vertical="center" wrapText="1"/>
    </xf>
    <xf numFmtId="44" fontId="5" fillId="2" borderId="1" xfId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justify"/>
      <protection locked="0"/>
    </xf>
    <xf numFmtId="0" fontId="5" fillId="3" borderId="1" xfId="0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justify" vertical="center" wrapText="1"/>
    </xf>
    <xf numFmtId="0" fontId="5" fillId="9" borderId="1" xfId="0" applyFont="1" applyFill="1" applyBorder="1" applyAlignment="1" applyProtection="1"/>
    <xf numFmtId="0" fontId="4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left"/>
    </xf>
    <xf numFmtId="0" fontId="3" fillId="5" borderId="0" xfId="0" applyFont="1" applyFill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justify" vertical="center" wrapText="1"/>
    </xf>
    <xf numFmtId="0" fontId="5" fillId="4" borderId="4" xfId="0" applyFont="1" applyFill="1" applyBorder="1" applyAlignment="1" applyProtection="1">
      <alignment horizontal="justify" vertical="center" wrapText="1"/>
    </xf>
    <xf numFmtId="0" fontId="5" fillId="9" borderId="5" xfId="0" applyFont="1" applyFill="1" applyBorder="1" applyAlignment="1" applyProtection="1">
      <alignment horizontal="justify" vertical="center" wrapText="1"/>
    </xf>
    <xf numFmtId="0" fontId="5" fillId="9" borderId="4" xfId="0" applyFont="1" applyFill="1" applyBorder="1" applyAlignment="1" applyProtection="1">
      <alignment horizontal="justify" vertical="center" wrapText="1"/>
    </xf>
    <xf numFmtId="0" fontId="4" fillId="7" borderId="5" xfId="0" applyFont="1" applyFill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justify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9" borderId="1" xfId="0" applyFont="1" applyFill="1" applyBorder="1" applyAlignment="1" applyProtection="1">
      <alignment horizontal="left"/>
    </xf>
    <xf numFmtId="0" fontId="5" fillId="9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right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 indent="1"/>
    </xf>
    <xf numFmtId="0" fontId="4" fillId="8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vertical="center"/>
    </xf>
    <xf numFmtId="39" fontId="5" fillId="4" borderId="1" xfId="0" applyNumberFormat="1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7" fillId="5" borderId="0" xfId="0" applyFont="1" applyFill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left"/>
    </xf>
    <xf numFmtId="0" fontId="5" fillId="4" borderId="5" xfId="0" applyFont="1" applyFill="1" applyBorder="1" applyAlignment="1" applyProtection="1">
      <alignment horizontal="justify"/>
    </xf>
    <xf numFmtId="0" fontId="5" fillId="4" borderId="3" xfId="0" applyFont="1" applyFill="1" applyBorder="1" applyAlignment="1" applyProtection="1">
      <alignment horizontal="justify"/>
    </xf>
    <xf numFmtId="0" fontId="5" fillId="4" borderId="4" xfId="0" applyFont="1" applyFill="1" applyBorder="1" applyAlignment="1" applyProtection="1">
      <alignment horizontal="justify"/>
    </xf>
    <xf numFmtId="0" fontId="7" fillId="5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justify" vertical="center" wrapText="1"/>
    </xf>
    <xf numFmtId="0" fontId="4" fillId="7" borderId="5" xfId="0" applyFont="1" applyFill="1" applyBorder="1" applyAlignment="1" applyProtection="1">
      <alignment horizontal="justify" vertical="center" wrapText="1"/>
    </xf>
    <xf numFmtId="0" fontId="4" fillId="7" borderId="4" xfId="0" applyFont="1" applyFill="1" applyBorder="1" applyAlignment="1" applyProtection="1">
      <alignment horizontal="justify" vertical="center" wrapText="1"/>
    </xf>
    <xf numFmtId="0" fontId="14" fillId="4" borderId="5" xfId="0" applyFont="1" applyFill="1" applyBorder="1" applyAlignment="1" applyProtection="1">
      <alignment horizontal="justify"/>
    </xf>
    <xf numFmtId="0" fontId="14" fillId="4" borderId="4" xfId="0" applyFont="1" applyFill="1" applyBorder="1" applyAlignment="1" applyProtection="1">
      <alignment horizontal="justify"/>
    </xf>
    <xf numFmtId="39" fontId="5" fillId="4" borderId="5" xfId="0" applyNumberFormat="1" applyFont="1" applyFill="1" applyBorder="1" applyAlignment="1" applyProtection="1">
      <alignment horizontal="justify" vertical="center" wrapText="1"/>
    </xf>
    <xf numFmtId="39" fontId="5" fillId="4" borderId="4" xfId="0" applyNumberFormat="1" applyFont="1" applyFill="1" applyBorder="1" applyAlignment="1" applyProtection="1">
      <alignment horizontal="justify" vertical="center" wrapText="1"/>
    </xf>
    <xf numFmtId="0" fontId="4" fillId="7" borderId="3" xfId="0" applyFont="1" applyFill="1" applyBorder="1" applyAlignment="1" applyProtection="1">
      <alignment horizontal="justify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39" fontId="5" fillId="4" borderId="3" xfId="0" applyNumberFormat="1" applyFont="1" applyFill="1" applyBorder="1" applyAlignment="1" applyProtection="1">
      <alignment horizontal="justify" vertical="center" wrapText="1"/>
    </xf>
    <xf numFmtId="0" fontId="11" fillId="4" borderId="5" xfId="0" applyFont="1" applyFill="1" applyBorder="1" applyAlignment="1" applyProtection="1">
      <alignment horizontal="justify" vertical="center" wrapText="1"/>
    </xf>
    <xf numFmtId="0" fontId="11" fillId="4" borderId="3" xfId="0" applyFont="1" applyFill="1" applyBorder="1" applyAlignment="1" applyProtection="1">
      <alignment horizontal="justify" vertical="center" wrapText="1"/>
    </xf>
    <xf numFmtId="0" fontId="11" fillId="4" borderId="4" xfId="0" applyFont="1" applyFill="1" applyBorder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justify" vertical="center"/>
    </xf>
    <xf numFmtId="0" fontId="4" fillId="2" borderId="3" xfId="0" applyFont="1" applyFill="1" applyBorder="1" applyAlignment="1" applyProtection="1">
      <alignment horizontal="justify" vertical="center"/>
    </xf>
    <xf numFmtId="0" fontId="4" fillId="2" borderId="4" xfId="0" applyFont="1" applyFill="1" applyBorder="1" applyAlignment="1" applyProtection="1">
      <alignment horizontal="justify" vertical="center"/>
    </xf>
    <xf numFmtId="0" fontId="5" fillId="4" borderId="3" xfId="0" applyFont="1" applyFill="1" applyBorder="1" applyAlignment="1" applyProtection="1">
      <alignment horizontal="justify" vertical="center" wrapText="1"/>
    </xf>
    <xf numFmtId="0" fontId="4" fillId="2" borderId="5" xfId="0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justify" vertical="center" wrapText="1"/>
    </xf>
    <xf numFmtId="0" fontId="4" fillId="2" borderId="4" xfId="0" applyFont="1" applyFill="1" applyBorder="1" applyAlignment="1" applyProtection="1">
      <alignment horizontal="justify" vertical="center" wrapText="1"/>
    </xf>
    <xf numFmtId="0" fontId="5" fillId="4" borderId="5" xfId="0" applyFont="1" applyFill="1" applyBorder="1" applyAlignment="1" applyProtection="1">
      <alignment horizontal="justify" wrapText="1"/>
    </xf>
    <xf numFmtId="0" fontId="5" fillId="4" borderId="3" xfId="0" applyFont="1" applyFill="1" applyBorder="1" applyAlignment="1" applyProtection="1">
      <alignment horizontal="justify" wrapText="1"/>
    </xf>
    <xf numFmtId="0" fontId="12" fillId="5" borderId="3" xfId="0" applyFont="1" applyFill="1" applyBorder="1" applyAlignment="1" applyProtection="1">
      <alignment horizontal="center" vertical="center" wrapText="1"/>
    </xf>
    <xf numFmtId="39" fontId="11" fillId="4" borderId="5" xfId="0" applyNumberFormat="1" applyFont="1" applyFill="1" applyBorder="1" applyAlignment="1" applyProtection="1">
      <alignment horizontal="justify" vertical="center" wrapText="1"/>
    </xf>
    <xf numFmtId="39" fontId="11" fillId="4" borderId="3" xfId="0" applyNumberFormat="1" applyFont="1" applyFill="1" applyBorder="1" applyAlignment="1" applyProtection="1">
      <alignment horizontal="justify" vertical="center" wrapText="1"/>
    </xf>
    <xf numFmtId="39" fontId="11" fillId="4" borderId="4" xfId="0" applyNumberFormat="1" applyFont="1" applyFill="1" applyBorder="1" applyAlignment="1" applyProtection="1">
      <alignment horizontal="justify" vertical="center" wrapText="1"/>
    </xf>
    <xf numFmtId="0" fontId="4" fillId="2" borderId="5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left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right" vertical="center"/>
    </xf>
    <xf numFmtId="16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justify" vertical="center"/>
    </xf>
    <xf numFmtId="0" fontId="24" fillId="0" borderId="3" xfId="0" applyFont="1" applyFill="1" applyBorder="1" applyAlignment="1" applyProtection="1">
      <alignment horizontal="justify" vertical="center"/>
    </xf>
    <xf numFmtId="0" fontId="24" fillId="0" borderId="4" xfId="0" applyFont="1" applyFill="1" applyBorder="1" applyAlignment="1" applyProtection="1">
      <alignment horizontal="justify" vertical="center"/>
    </xf>
  </cellXfs>
  <cellStyles count="8">
    <cellStyle name="Moeda" xfId="1" builtinId="4"/>
    <cellStyle name="Moeda 3" xfId="2"/>
    <cellStyle name="Normal" xfId="0" builtinId="0"/>
    <cellStyle name="Normal 2" xfId="3"/>
    <cellStyle name="Normal 3" xfId="4"/>
    <cellStyle name="Porcentagem" xfId="5" builtinId="5"/>
    <cellStyle name="Porcentagem 2" xfId="6"/>
    <cellStyle name="Vírgula 2" xfId="7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E_DAA\2016\33.%2008191.112107_2016-87%20-%20Contrata&#231;&#227;o%20de%20Manuten&#231;&#227;o%20de%20Elevadores%20ed.%20Sede\Estimado%20SPO%20Planilha%20de%20Custos%20e%20Forma&#231;&#227;o%20de%20Pre&#231;os%20(24_10_16)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file____R__DIPRO_NOR_or_C3_A7a"/>
      <sheetName val="Planilha de Custos e Formação"/>
      <sheetName val="Composição de Encagos Sociais"/>
      <sheetName val="Insumo mão-obra Uni e EPI"/>
      <sheetName val="FERRAMENTAS_DIMEG"/>
      <sheetName val="Serviço Especializado"/>
      <sheetName val="CONSUMO_DIMEG"/>
      <sheetName val="Anexo I"/>
    </sheetNames>
    <sheetDataSet>
      <sheetData sheetId="0"/>
      <sheetData sheetId="1" refreshError="1">
        <row r="35">
          <cell r="K35">
            <v>11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F78"/>
  <sheetViews>
    <sheetView showGridLines="0" tabSelected="1" zoomScaleNormal="10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2.7109375" style="78" customWidth="1"/>
    <col min="5" max="5" width="14" style="78" bestFit="1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125</v>
      </c>
      <c r="C1" s="140"/>
      <c r="D1" s="140"/>
      <c r="E1" s="140"/>
      <c r="F1" s="140"/>
    </row>
    <row r="2" spans="1:6" ht="16.5">
      <c r="A2" s="8"/>
      <c r="B2" s="151" t="s">
        <v>181</v>
      </c>
      <c r="C2" s="151"/>
      <c r="D2" s="152" t="s">
        <v>180</v>
      </c>
      <c r="E2" s="152"/>
      <c r="F2" s="152"/>
    </row>
    <row r="3" spans="1:6" ht="16.5">
      <c r="A3" s="8"/>
      <c r="B3" s="138" t="s">
        <v>182</v>
      </c>
      <c r="C3" s="138"/>
      <c r="D3" s="153" t="s">
        <v>126</v>
      </c>
      <c r="E3" s="153"/>
      <c r="F3" s="50" t="s">
        <v>121</v>
      </c>
    </row>
    <row r="4" spans="1:6" ht="16.5">
      <c r="A4" s="8"/>
      <c r="B4" s="151" t="s">
        <v>127</v>
      </c>
      <c r="C4" s="151"/>
      <c r="D4" s="154" t="s">
        <v>107</v>
      </c>
      <c r="E4" s="154"/>
      <c r="F4" s="50" t="s">
        <v>128</v>
      </c>
    </row>
    <row r="5" spans="1:6" ht="16.5">
      <c r="A5" s="8"/>
      <c r="B5" s="35"/>
      <c r="C5" s="104"/>
      <c r="D5" s="105"/>
      <c r="E5" s="105"/>
      <c r="F5" s="106"/>
    </row>
    <row r="6" spans="1:6" ht="16.5">
      <c r="A6" s="8"/>
      <c r="B6" s="140" t="s">
        <v>129</v>
      </c>
      <c r="C6" s="140"/>
      <c r="D6" s="140"/>
      <c r="E6" s="140"/>
      <c r="F6" s="140"/>
    </row>
    <row r="7" spans="1:6" ht="16.5">
      <c r="A7" s="8"/>
      <c r="B7" s="9" t="s">
        <v>130</v>
      </c>
      <c r="C7" s="138" t="s">
        <v>183</v>
      </c>
      <c r="D7" s="138"/>
      <c r="E7" s="138"/>
      <c r="F7" s="50" t="s">
        <v>107</v>
      </c>
    </row>
    <row r="8" spans="1:6" ht="16.5">
      <c r="A8" s="8"/>
      <c r="B8" s="20" t="s">
        <v>131</v>
      </c>
      <c r="C8" s="107" t="s">
        <v>225</v>
      </c>
      <c r="D8" s="152" t="s">
        <v>184</v>
      </c>
      <c r="E8" s="152"/>
      <c r="F8" s="152"/>
    </row>
    <row r="9" spans="1:6" ht="16.5">
      <c r="A9" s="8"/>
      <c r="B9" s="9" t="s">
        <v>132</v>
      </c>
      <c r="C9" s="138" t="s">
        <v>133</v>
      </c>
      <c r="D9" s="138"/>
      <c r="E9" s="138"/>
      <c r="F9" s="108" t="s">
        <v>185</v>
      </c>
    </row>
    <row r="10" spans="1:6" ht="16.5" customHeight="1">
      <c r="A10" s="8"/>
      <c r="B10" s="20" t="s">
        <v>134</v>
      </c>
      <c r="C10" s="138" t="s">
        <v>136</v>
      </c>
      <c r="D10" s="138"/>
      <c r="E10" s="138"/>
      <c r="F10" s="109">
        <v>12</v>
      </c>
    </row>
    <row r="11" spans="1:6" ht="16.5" customHeight="1">
      <c r="A11" s="8"/>
      <c r="B11" s="9" t="s">
        <v>135</v>
      </c>
      <c r="C11" s="138" t="s">
        <v>291</v>
      </c>
      <c r="D11" s="138"/>
      <c r="E11" s="138"/>
      <c r="F11" s="110">
        <v>22</v>
      </c>
    </row>
    <row r="12" spans="1:6" ht="16.5">
      <c r="A12" s="8"/>
      <c r="B12" s="35"/>
      <c r="C12" s="104"/>
      <c r="D12" s="105"/>
      <c r="E12" s="105"/>
      <c r="F12" s="106"/>
    </row>
    <row r="13" spans="1:6" ht="16.5">
      <c r="A13" s="8"/>
      <c r="B13" s="140" t="s">
        <v>137</v>
      </c>
      <c r="C13" s="140"/>
      <c r="D13" s="140"/>
      <c r="E13" s="140"/>
      <c r="F13" s="140"/>
    </row>
    <row r="14" spans="1:6" ht="33">
      <c r="A14" s="8"/>
      <c r="B14" s="20" t="s">
        <v>138</v>
      </c>
      <c r="C14" s="20" t="s">
        <v>139</v>
      </c>
      <c r="D14" s="29" t="s">
        <v>140</v>
      </c>
      <c r="E14" s="29" t="s">
        <v>141</v>
      </c>
      <c r="F14" s="29" t="s">
        <v>142</v>
      </c>
    </row>
    <row r="15" spans="1:6" ht="33">
      <c r="A15" s="8"/>
      <c r="B15" s="9">
        <v>1</v>
      </c>
      <c r="C15" s="111" t="s">
        <v>186</v>
      </c>
      <c r="D15" s="112" t="s">
        <v>187</v>
      </c>
      <c r="E15" s="112">
        <v>1</v>
      </c>
      <c r="F15" s="112">
        <f>D61</f>
        <v>47</v>
      </c>
    </row>
    <row r="16" spans="1:6" ht="16.5">
      <c r="A16" s="8"/>
      <c r="B16" s="113"/>
      <c r="C16" s="113"/>
      <c r="D16" s="113"/>
      <c r="E16" s="113"/>
      <c r="F16" s="113"/>
    </row>
    <row r="17" spans="1:6" ht="16.5">
      <c r="A17" s="8"/>
      <c r="B17" s="140" t="s">
        <v>250</v>
      </c>
      <c r="C17" s="140"/>
      <c r="D17" s="140"/>
      <c r="E17" s="140"/>
      <c r="F17" s="140"/>
    </row>
    <row r="18" spans="1:6" ht="16.5">
      <c r="A18" s="8"/>
      <c r="B18" s="9" t="s">
        <v>130</v>
      </c>
      <c r="C18" s="149" t="s">
        <v>251</v>
      </c>
      <c r="D18" s="149"/>
      <c r="E18" s="149"/>
      <c r="F18" s="149"/>
    </row>
    <row r="19" spans="1:6" ht="16.5">
      <c r="A19" s="8"/>
      <c r="B19" s="20" t="s">
        <v>131</v>
      </c>
      <c r="C19" s="149" t="s">
        <v>252</v>
      </c>
      <c r="D19" s="149"/>
      <c r="E19" s="149"/>
      <c r="F19" s="149"/>
    </row>
    <row r="20" spans="1:6" ht="16.5">
      <c r="A20" s="8"/>
      <c r="B20" s="9" t="s">
        <v>132</v>
      </c>
      <c r="C20" s="129" t="s">
        <v>254</v>
      </c>
      <c r="D20" s="149" t="s">
        <v>253</v>
      </c>
      <c r="E20" s="149"/>
      <c r="F20" s="149"/>
    </row>
    <row r="21" spans="1:6" ht="16.5" customHeight="1">
      <c r="A21" s="8"/>
      <c r="B21" s="20" t="s">
        <v>134</v>
      </c>
      <c r="C21" s="130" t="s">
        <v>255</v>
      </c>
      <c r="D21" s="150" t="s">
        <v>289</v>
      </c>
      <c r="E21" s="150"/>
      <c r="F21" s="131" t="s">
        <v>108</v>
      </c>
    </row>
    <row r="22" spans="1:6" ht="16.5">
      <c r="A22" s="8"/>
      <c r="B22" s="20" t="s">
        <v>135</v>
      </c>
      <c r="C22" s="133" t="s">
        <v>106</v>
      </c>
      <c r="D22" s="133"/>
      <c r="E22" s="133"/>
      <c r="F22" s="131" t="s">
        <v>257</v>
      </c>
    </row>
    <row r="23" spans="1:6" ht="16.5">
      <c r="A23" s="8"/>
      <c r="B23" s="113"/>
      <c r="C23" s="113"/>
      <c r="D23" s="113"/>
      <c r="E23" s="113"/>
      <c r="F23" s="113"/>
    </row>
    <row r="24" spans="1:6" ht="16.5" customHeight="1">
      <c r="A24" s="8"/>
      <c r="B24" s="140" t="s">
        <v>256</v>
      </c>
      <c r="C24" s="140"/>
      <c r="D24" s="140"/>
      <c r="E24" s="140"/>
      <c r="F24" s="140"/>
    </row>
    <row r="25" spans="1:6" ht="16.5" customHeight="1">
      <c r="A25" s="8"/>
      <c r="B25" s="20"/>
      <c r="C25" s="134" t="s">
        <v>284</v>
      </c>
      <c r="D25" s="134"/>
      <c r="E25" s="134"/>
      <c r="F25" s="21" t="s">
        <v>168</v>
      </c>
    </row>
    <row r="26" spans="1:6" ht="16.5" customHeight="1">
      <c r="A26" s="8"/>
      <c r="B26" s="9">
        <v>4</v>
      </c>
      <c r="C26" s="148" t="s">
        <v>146</v>
      </c>
      <c r="D26" s="148"/>
      <c r="E26" s="148"/>
      <c r="F26" s="4">
        <v>1212</v>
      </c>
    </row>
    <row r="27" spans="1:6" ht="16.5" customHeight="1">
      <c r="A27" s="8"/>
      <c r="B27" s="125" t="s">
        <v>109</v>
      </c>
      <c r="C27" s="146" t="s">
        <v>110</v>
      </c>
      <c r="D27" s="147"/>
      <c r="E27" s="127" t="s">
        <v>111</v>
      </c>
      <c r="F27" s="126" t="s">
        <v>168</v>
      </c>
    </row>
    <row r="28" spans="1:6" ht="16.5">
      <c r="A28" s="8"/>
      <c r="B28" s="9" t="s">
        <v>112</v>
      </c>
      <c r="C28" s="142" t="s">
        <v>229</v>
      </c>
      <c r="D28" s="143"/>
      <c r="E28" s="128">
        <f>D59+D60</f>
        <v>2</v>
      </c>
      <c r="F28" s="4">
        <v>11.8</v>
      </c>
    </row>
    <row r="29" spans="1:6" ht="16.5">
      <c r="A29" s="8"/>
      <c r="B29" s="9" t="s">
        <v>113</v>
      </c>
      <c r="C29" s="144" t="s">
        <v>229</v>
      </c>
      <c r="D29" s="145"/>
      <c r="E29" s="128">
        <f>SUM(D50:D56)+D58</f>
        <v>40</v>
      </c>
      <c r="F29" s="4">
        <v>11.8</v>
      </c>
    </row>
    <row r="30" spans="1:6" ht="16.5">
      <c r="A30" s="8"/>
      <c r="B30" s="9" t="s">
        <v>114</v>
      </c>
      <c r="C30" s="142" t="s">
        <v>115</v>
      </c>
      <c r="D30" s="143"/>
      <c r="E30" s="128">
        <f>D49+D57+D64</f>
        <v>6</v>
      </c>
      <c r="F30" s="4">
        <v>2.2999999999999998</v>
      </c>
    </row>
    <row r="31" spans="1:6" ht="16.5">
      <c r="A31" s="8"/>
      <c r="B31" s="9" t="s">
        <v>116</v>
      </c>
      <c r="C31" s="144" t="s">
        <v>117</v>
      </c>
      <c r="D31" s="145"/>
      <c r="E31" s="128">
        <f>D49+D57+D64</f>
        <v>6</v>
      </c>
      <c r="F31" s="4">
        <v>10.63</v>
      </c>
    </row>
    <row r="32" spans="1:6" ht="16.5" customHeight="1">
      <c r="A32" s="8"/>
      <c r="B32" s="9" t="s">
        <v>118</v>
      </c>
      <c r="C32" s="142" t="s">
        <v>119</v>
      </c>
      <c r="D32" s="143"/>
      <c r="E32" s="128">
        <f>D49+D57+D64</f>
        <v>6</v>
      </c>
      <c r="F32" s="4">
        <v>160.07</v>
      </c>
    </row>
    <row r="33" spans="1:6" ht="16.5" customHeight="1">
      <c r="A33" s="8"/>
      <c r="B33" s="20">
        <v>5</v>
      </c>
      <c r="C33" s="134" t="s">
        <v>167</v>
      </c>
      <c r="D33" s="134"/>
      <c r="E33" s="134"/>
      <c r="F33" s="21" t="s">
        <v>168</v>
      </c>
    </row>
    <row r="34" spans="1:6" ht="16.5" customHeight="1">
      <c r="A34" s="8"/>
      <c r="B34" s="20" t="s">
        <v>130</v>
      </c>
      <c r="C34" s="137" t="s">
        <v>169</v>
      </c>
      <c r="D34" s="137"/>
      <c r="E34" s="137"/>
      <c r="F34" s="4">
        <v>40.65</v>
      </c>
    </row>
    <row r="35" spans="1:6" ht="16.5" customHeight="1">
      <c r="A35" s="8"/>
      <c r="B35" s="9" t="s">
        <v>131</v>
      </c>
      <c r="C35" s="148" t="s">
        <v>247</v>
      </c>
      <c r="D35" s="148"/>
      <c r="E35" s="148"/>
      <c r="F35" s="4">
        <v>58.44</v>
      </c>
    </row>
    <row r="36" spans="1:6" ht="16.5">
      <c r="A36" s="8"/>
      <c r="B36" s="20">
        <v>6</v>
      </c>
      <c r="C36" s="134" t="s">
        <v>171</v>
      </c>
      <c r="D36" s="134"/>
      <c r="E36" s="134"/>
      <c r="F36" s="21" t="s">
        <v>165</v>
      </c>
    </row>
    <row r="37" spans="1:6" ht="16.5">
      <c r="A37" s="8"/>
      <c r="B37" s="20" t="s">
        <v>130</v>
      </c>
      <c r="C37" s="137" t="s">
        <v>172</v>
      </c>
      <c r="D37" s="137"/>
      <c r="E37" s="137"/>
      <c r="F37" s="4">
        <v>4.7300000000000004</v>
      </c>
    </row>
    <row r="38" spans="1:6" ht="16.5">
      <c r="A38" s="8"/>
      <c r="B38" s="29" t="s">
        <v>131</v>
      </c>
      <c r="C38" s="148" t="s">
        <v>173</v>
      </c>
      <c r="D38" s="148"/>
      <c r="E38" s="148"/>
      <c r="F38" s="4">
        <v>5.57</v>
      </c>
    </row>
    <row r="39" spans="1:6" ht="16.5">
      <c r="A39" s="8"/>
      <c r="B39" s="29" t="s">
        <v>132</v>
      </c>
      <c r="C39" s="137" t="s">
        <v>217</v>
      </c>
      <c r="D39" s="137"/>
      <c r="E39" s="137"/>
      <c r="F39" s="114">
        <f>SUM(F40:F43)</f>
        <v>10.15</v>
      </c>
    </row>
    <row r="40" spans="1:6" ht="16.5">
      <c r="A40" s="8"/>
      <c r="B40" s="43" t="s">
        <v>174</v>
      </c>
      <c r="C40" s="148" t="s">
        <v>175</v>
      </c>
      <c r="D40" s="148"/>
      <c r="E40" s="148" t="e">
        <f>PERC_PIS</f>
        <v>#NAME?</v>
      </c>
      <c r="F40" s="4">
        <v>0.65</v>
      </c>
    </row>
    <row r="41" spans="1:6" ht="16.5">
      <c r="A41" s="8"/>
      <c r="B41" s="43" t="s">
        <v>176</v>
      </c>
      <c r="C41" s="137" t="s">
        <v>177</v>
      </c>
      <c r="D41" s="137"/>
      <c r="E41" s="137" t="e">
        <f>PERC_COFINS</f>
        <v>#NAME?</v>
      </c>
      <c r="F41" s="4">
        <v>3</v>
      </c>
    </row>
    <row r="42" spans="1:6" ht="16.5">
      <c r="A42" s="8"/>
      <c r="B42" s="43" t="s">
        <v>178</v>
      </c>
      <c r="C42" s="148" t="s">
        <v>179</v>
      </c>
      <c r="D42" s="148"/>
      <c r="E42" s="148" t="e">
        <f>PERC_ISS</f>
        <v>#NAME?</v>
      </c>
      <c r="F42" s="4">
        <v>2</v>
      </c>
    </row>
    <row r="43" spans="1:6" ht="16.5" customHeight="1">
      <c r="A43" s="8"/>
      <c r="B43" s="43" t="s">
        <v>359</v>
      </c>
      <c r="C43" s="137" t="s">
        <v>258</v>
      </c>
      <c r="D43" s="137"/>
      <c r="E43" s="137"/>
      <c r="F43" s="114">
        <f>IF(F21="SIM",4.5,0)</f>
        <v>4.5</v>
      </c>
    </row>
    <row r="44" spans="1:6">
      <c r="A44" s="8"/>
      <c r="B44" s="8"/>
      <c r="C44" s="8"/>
      <c r="D44" s="8"/>
      <c r="E44" s="8"/>
      <c r="F44" s="8"/>
    </row>
    <row r="45" spans="1:6" ht="16.5">
      <c r="A45" s="8"/>
      <c r="B45" s="140" t="s">
        <v>280</v>
      </c>
      <c r="C45" s="140"/>
      <c r="D45" s="140"/>
      <c r="E45" s="140"/>
      <c r="F45" s="140"/>
    </row>
    <row r="46" spans="1:6" ht="29.25" customHeight="1">
      <c r="A46" s="8"/>
      <c r="B46" s="135" t="s">
        <v>138</v>
      </c>
      <c r="C46" s="135" t="s">
        <v>259</v>
      </c>
      <c r="D46" s="136" t="s">
        <v>261</v>
      </c>
      <c r="E46" s="136" t="s">
        <v>168</v>
      </c>
      <c r="F46" s="136"/>
    </row>
    <row r="47" spans="1:6" ht="16.5">
      <c r="A47" s="8"/>
      <c r="B47" s="135"/>
      <c r="C47" s="135"/>
      <c r="D47" s="136"/>
      <c r="E47" s="29" t="s">
        <v>262</v>
      </c>
      <c r="F47" s="29" t="s">
        <v>263</v>
      </c>
    </row>
    <row r="48" spans="1:6" ht="16.5">
      <c r="A48" s="8"/>
      <c r="B48" s="140" t="s">
        <v>260</v>
      </c>
      <c r="C48" s="140"/>
      <c r="D48" s="140"/>
      <c r="E48" s="140"/>
      <c r="F48" s="140"/>
    </row>
    <row r="49" spans="1:6" ht="16.5">
      <c r="A49" s="8"/>
      <c r="B49" s="9" t="s">
        <v>264</v>
      </c>
      <c r="C49" s="115" t="str">
        <f ca="1">Supervisor!D3</f>
        <v>Supervisor de manutenção</v>
      </c>
      <c r="D49" s="112">
        <v>3</v>
      </c>
      <c r="E49" s="116">
        <f ca="1">TRUNC(D49*Supervisor!F89,2)</f>
        <v>35227.17</v>
      </c>
      <c r="F49" s="116">
        <f t="shared" ref="F49:F60" si="0">ROUND(E49*$F$10,2)</f>
        <v>422726.04</v>
      </c>
    </row>
    <row r="50" spans="1:6" ht="16.5">
      <c r="A50" s="8"/>
      <c r="B50" s="9" t="s">
        <v>265</v>
      </c>
      <c r="C50" s="115" t="str">
        <f ca="1">'Tec. Eletricista'!D3</f>
        <v>Técnico Eletricista</v>
      </c>
      <c r="D50" s="112">
        <v>7</v>
      </c>
      <c r="E50" s="116">
        <f ca="1">TRUNC(D50*'Tec. Eletricista'!F89,2)</f>
        <v>57892.03</v>
      </c>
      <c r="F50" s="116">
        <f t="shared" si="0"/>
        <v>694704.36</v>
      </c>
    </row>
    <row r="51" spans="1:6" ht="16.5">
      <c r="A51" s="8"/>
      <c r="B51" s="9" t="s">
        <v>266</v>
      </c>
      <c r="C51" s="115" t="str">
        <f ca="1">'Tec. Rede'!D3</f>
        <v>Técnico de Rede</v>
      </c>
      <c r="D51" s="112">
        <v>6</v>
      </c>
      <c r="E51" s="116">
        <f ca="1">TRUNC(D51*'Tec. Rede'!F89,2)</f>
        <v>40742.94</v>
      </c>
      <c r="F51" s="116">
        <f t="shared" si="0"/>
        <v>488915.28</v>
      </c>
    </row>
    <row r="52" spans="1:6" ht="16.5">
      <c r="A52" s="8"/>
      <c r="B52" s="9" t="s">
        <v>268</v>
      </c>
      <c r="C52" s="115" t="str">
        <f ca="1">'Bombeiro Hidráulico'!D3</f>
        <v>Bombeiro Hidráulico</v>
      </c>
      <c r="D52" s="112">
        <v>4</v>
      </c>
      <c r="E52" s="116">
        <f ca="1">TRUNC(D52*'Bombeiro Hidráulico'!F89,2)</f>
        <v>26455.68</v>
      </c>
      <c r="F52" s="116">
        <f t="shared" si="0"/>
        <v>317468.15999999997</v>
      </c>
    </row>
    <row r="53" spans="1:6" ht="16.5">
      <c r="A53" s="8"/>
      <c r="B53" s="9" t="s">
        <v>269</v>
      </c>
      <c r="C53" s="115" t="str">
        <f ca="1">Marceneiro!D3</f>
        <v>Marceneiro Modelista</v>
      </c>
      <c r="D53" s="112">
        <v>5</v>
      </c>
      <c r="E53" s="116">
        <f ca="1">TRUNC(D53*Marceneiro!F89,2)</f>
        <v>31737.4</v>
      </c>
      <c r="F53" s="116">
        <f t="shared" si="0"/>
        <v>380848.8</v>
      </c>
    </row>
    <row r="54" spans="1:6" ht="16.5">
      <c r="A54" s="8"/>
      <c r="B54" s="9" t="s">
        <v>270</v>
      </c>
      <c r="C54" s="115" t="str">
        <f ca="1">'Auxiliar de Manutenção'!D3</f>
        <v>Auxiliar de Manutenção</v>
      </c>
      <c r="D54" s="112">
        <v>13</v>
      </c>
      <c r="E54" s="116">
        <f ca="1">TRUNC(D54*'Auxiliar de Manutenção'!F89,2)</f>
        <v>64745.59</v>
      </c>
      <c r="F54" s="116">
        <f t="shared" si="0"/>
        <v>776947.08</v>
      </c>
    </row>
    <row r="55" spans="1:6" ht="16.5">
      <c r="A55" s="8"/>
      <c r="B55" s="9" t="s">
        <v>271</v>
      </c>
      <c r="C55" s="115" t="str">
        <f ca="1">'Auxiliar Administrativo'!D3</f>
        <v>Auxiliar Administrativo</v>
      </c>
      <c r="D55" s="112">
        <v>2</v>
      </c>
      <c r="E55" s="116">
        <f ca="1">TRUNC(D55*'Auxiliar Administrativo'!F89,2)</f>
        <v>15382.14</v>
      </c>
      <c r="F55" s="116">
        <f t="shared" si="0"/>
        <v>184585.68</v>
      </c>
    </row>
    <row r="56" spans="1:6" ht="16.5">
      <c r="A56" s="8"/>
      <c r="B56" s="9" t="s">
        <v>272</v>
      </c>
      <c r="C56" s="115" t="str">
        <f ca="1">Pedreiro!D3</f>
        <v>Pedreiro de Acabamento</v>
      </c>
      <c r="D56" s="112">
        <v>2</v>
      </c>
      <c r="E56" s="116">
        <f ca="1">TRUNC(D56*Pedreiro!F89,2)</f>
        <v>13502.24</v>
      </c>
      <c r="F56" s="116">
        <f t="shared" si="0"/>
        <v>162026.88</v>
      </c>
    </row>
    <row r="57" spans="1:6" ht="16.5">
      <c r="A57" s="8"/>
      <c r="B57" s="9" t="s">
        <v>267</v>
      </c>
      <c r="C57" s="115" t="str">
        <f ca="1">Eletrotécnico!D3</f>
        <v>Eletrotécnico</v>
      </c>
      <c r="D57" s="112">
        <v>2</v>
      </c>
      <c r="E57" s="116">
        <f ca="1">TRUNC(D57*Eletrotécnico!F89,2)</f>
        <v>21038.68</v>
      </c>
      <c r="F57" s="116">
        <f t="shared" si="0"/>
        <v>252464.16</v>
      </c>
    </row>
    <row r="58" spans="1:6" ht="16.5">
      <c r="A58" s="8"/>
      <c r="B58" s="9" t="s">
        <v>273</v>
      </c>
      <c r="C58" s="115" t="str">
        <f ca="1">Serralheiro!D3</f>
        <v>Serralheiro</v>
      </c>
      <c r="D58" s="112">
        <v>1</v>
      </c>
      <c r="E58" s="116">
        <f ca="1">TRUNC(D58*Serralheiro!F89,2)</f>
        <v>6730.85</v>
      </c>
      <c r="F58" s="116">
        <f t="shared" si="0"/>
        <v>80770.2</v>
      </c>
    </row>
    <row r="59" spans="1:6" ht="16.5">
      <c r="A59" s="8"/>
      <c r="B59" s="9" t="s">
        <v>274</v>
      </c>
      <c r="C59" s="115" t="str">
        <f ca="1">'Eng. Eletricista'!D3</f>
        <v>Engenheiro Eletricista</v>
      </c>
      <c r="D59" s="112">
        <v>1</v>
      </c>
      <c r="E59" s="116">
        <f ca="1">TRUNC(D59*'Eng. Eletricista'!F89,2)</f>
        <v>39174.120000000003</v>
      </c>
      <c r="F59" s="116">
        <f t="shared" si="0"/>
        <v>470089.44</v>
      </c>
    </row>
    <row r="60" spans="1:6" ht="16.5">
      <c r="A60" s="8"/>
      <c r="B60" s="9" t="s">
        <v>275</v>
      </c>
      <c r="C60" s="115" t="str">
        <f ca="1">'Eng. Civil'!D3</f>
        <v>Engenheiro Civil</v>
      </c>
      <c r="D60" s="112">
        <v>1</v>
      </c>
      <c r="E60" s="116">
        <f ca="1">TRUNC(D60*'Eng. Civil'!F89,2)</f>
        <v>25964.57</v>
      </c>
      <c r="F60" s="116">
        <f t="shared" si="0"/>
        <v>311574.84000000003</v>
      </c>
    </row>
    <row r="61" spans="1:6" ht="16.5">
      <c r="A61" s="8"/>
      <c r="B61" s="9"/>
      <c r="C61" s="117" t="s">
        <v>278</v>
      </c>
      <c r="D61" s="118">
        <f>SUM(D49:D60)</f>
        <v>47</v>
      </c>
      <c r="E61" s="119">
        <f>SUM(E49:E60)</f>
        <v>378593.41</v>
      </c>
      <c r="F61" s="119">
        <f>SUM(F49:F60)</f>
        <v>4543120.92</v>
      </c>
    </row>
    <row r="62" spans="1:6" ht="16.5">
      <c r="A62" s="8"/>
      <c r="B62" s="9"/>
      <c r="C62" s="115" t="s">
        <v>276</v>
      </c>
      <c r="D62" s="120">
        <v>2.5000000000000001E-2</v>
      </c>
      <c r="E62" s="116">
        <f>ROUND(E61*$D$62,2)</f>
        <v>9464.84</v>
      </c>
      <c r="F62" s="116">
        <f>ROUND(F61*$D$62,2)</f>
        <v>113578.02</v>
      </c>
    </row>
    <row r="63" spans="1:6" ht="16.5">
      <c r="A63" s="8"/>
      <c r="B63" s="140" t="s">
        <v>277</v>
      </c>
      <c r="C63" s="140"/>
      <c r="D63" s="140"/>
      <c r="E63" s="140"/>
      <c r="F63" s="140"/>
    </row>
    <row r="64" spans="1:6" ht="16.5">
      <c r="A64" s="8"/>
      <c r="B64" s="9" t="s">
        <v>264</v>
      </c>
      <c r="C64" s="115" t="str">
        <f ca="1">'Tec. Segurança'!D3</f>
        <v>Técnico de Segurança do Trabalho</v>
      </c>
      <c r="D64" s="112">
        <v>1</v>
      </c>
      <c r="E64" s="116">
        <f ca="1">TRUNC(D64*'Tec. Segurança'!F89,2)</f>
        <v>2533.0300000000002</v>
      </c>
      <c r="F64" s="116">
        <f>ROUND(E64*$F$10,2)</f>
        <v>30396.36</v>
      </c>
    </row>
    <row r="65" spans="1:6" ht="16.5">
      <c r="A65" s="8"/>
      <c r="B65" s="9"/>
      <c r="C65" s="117" t="s">
        <v>279</v>
      </c>
      <c r="D65" s="118">
        <f>SUM(D64:D64)</f>
        <v>1</v>
      </c>
      <c r="E65" s="119">
        <f>SUM(E64:E64)</f>
        <v>2533.0300000000002</v>
      </c>
      <c r="F65" s="119">
        <f>SUM(F64:F64)</f>
        <v>30396.36</v>
      </c>
    </row>
    <row r="66" spans="1:6" ht="16.5">
      <c r="A66" s="8"/>
      <c r="B66" s="139" t="s">
        <v>283</v>
      </c>
      <c r="C66" s="139"/>
      <c r="D66" s="9"/>
      <c r="E66" s="121">
        <f>E61+E62+E65</f>
        <v>390591.28</v>
      </c>
      <c r="F66" s="121">
        <f>F61+F62+F65</f>
        <v>4687095.3</v>
      </c>
    </row>
    <row r="67" spans="1:6">
      <c r="A67" s="8"/>
      <c r="B67" s="8"/>
      <c r="C67" s="8"/>
      <c r="D67" s="8"/>
      <c r="E67" s="8"/>
      <c r="F67" s="8"/>
    </row>
    <row r="68" spans="1:6" ht="25.5" customHeight="1">
      <c r="A68" s="8"/>
      <c r="B68" s="141" t="s">
        <v>281</v>
      </c>
      <c r="C68" s="141"/>
      <c r="D68" s="141"/>
      <c r="E68" s="141"/>
      <c r="F68" s="141"/>
    </row>
    <row r="69" spans="1:6" ht="25.5" customHeight="1">
      <c r="A69" s="8"/>
      <c r="B69" s="141"/>
      <c r="C69" s="141"/>
      <c r="D69" s="141"/>
      <c r="E69" s="141"/>
      <c r="F69" s="141"/>
    </row>
    <row r="70" spans="1:6" ht="16.5">
      <c r="A70" s="8"/>
      <c r="B70" s="135" t="s">
        <v>138</v>
      </c>
      <c r="C70" s="135" t="s">
        <v>282</v>
      </c>
      <c r="D70" s="136" t="s">
        <v>165</v>
      </c>
      <c r="E70" s="136" t="s">
        <v>168</v>
      </c>
      <c r="F70" s="136"/>
    </row>
    <row r="71" spans="1:6" ht="16.5">
      <c r="A71" s="8"/>
      <c r="B71" s="135"/>
      <c r="C71" s="135"/>
      <c r="D71" s="136"/>
      <c r="E71" s="29" t="s">
        <v>262</v>
      </c>
      <c r="F71" s="29" t="s">
        <v>263</v>
      </c>
    </row>
    <row r="72" spans="1:6" ht="16.5">
      <c r="A72" s="8"/>
      <c r="B72" s="9">
        <v>1</v>
      </c>
      <c r="C72" s="122" t="s">
        <v>284</v>
      </c>
      <c r="D72" s="123">
        <f t="shared" ref="D72:D77" si="1">ROUND(F72/$F$78,4)</f>
        <v>0.65059999999999996</v>
      </c>
      <c r="E72" s="116">
        <f>E66</f>
        <v>390591.28</v>
      </c>
      <c r="F72" s="116">
        <f>F66</f>
        <v>4687095.3</v>
      </c>
    </row>
    <row r="73" spans="1:6" ht="16.5">
      <c r="A73" s="8"/>
      <c r="B73" s="9">
        <v>2</v>
      </c>
      <c r="C73" s="122" t="s">
        <v>286</v>
      </c>
      <c r="D73" s="123">
        <f t="shared" si="1"/>
        <v>1.5800000000000002E-2</v>
      </c>
      <c r="E73" s="116">
        <f ca="1">Veículos!I63</f>
        <v>9458.4500000000007</v>
      </c>
      <c r="F73" s="116">
        <f>ROUND(E73*$F$10,2)</f>
        <v>113501.4</v>
      </c>
    </row>
    <row r="74" spans="1:6" ht="16.5" customHeight="1">
      <c r="A74" s="8"/>
      <c r="B74" s="9">
        <v>3</v>
      </c>
      <c r="C74" s="122" t="s">
        <v>287</v>
      </c>
      <c r="D74" s="123">
        <f t="shared" si="1"/>
        <v>0.152</v>
      </c>
      <c r="E74" s="116" t="s">
        <v>10</v>
      </c>
      <c r="F74" s="116">
        <f ca="1">'Peças e Materiais'!I232</f>
        <v>1095138.79</v>
      </c>
    </row>
    <row r="75" spans="1:6" ht="16.5">
      <c r="A75" s="8"/>
      <c r="B75" s="9">
        <v>4</v>
      </c>
      <c r="C75" s="122" t="s">
        <v>288</v>
      </c>
      <c r="D75" s="123">
        <f t="shared" si="1"/>
        <v>0.13750000000000001</v>
      </c>
      <c r="E75" s="116" t="s">
        <v>10</v>
      </c>
      <c r="F75" s="116">
        <f ca="1">'Serv. Especializados'!G94</f>
        <v>990387.58999999973</v>
      </c>
    </row>
    <row r="76" spans="1:6" ht="33">
      <c r="A76" s="8"/>
      <c r="B76" s="9">
        <v>5</v>
      </c>
      <c r="C76" s="122" t="s">
        <v>120</v>
      </c>
      <c r="D76" s="123">
        <f t="shared" si="1"/>
        <v>4.1599999999999998E-2</v>
      </c>
      <c r="E76" s="116" t="s">
        <v>10</v>
      </c>
      <c r="F76" s="116">
        <v>300000</v>
      </c>
    </row>
    <row r="77" spans="1:6" ht="16.5">
      <c r="A77" s="8"/>
      <c r="B77" s="9">
        <v>6</v>
      </c>
      <c r="C77" s="132" t="s">
        <v>110</v>
      </c>
      <c r="D77" s="123">
        <f t="shared" si="1"/>
        <v>2.5999999999999999E-3</v>
      </c>
      <c r="E77" s="116">
        <f>SUMPRODUCT(E28:E32,F28:F32)</f>
        <v>1533.6</v>
      </c>
      <c r="F77" s="116">
        <f>ROUND(E77*$F$10,2)</f>
        <v>18403.2</v>
      </c>
    </row>
    <row r="78" spans="1:6" ht="16.5">
      <c r="A78" s="8"/>
      <c r="B78" s="139" t="s">
        <v>285</v>
      </c>
      <c r="C78" s="139"/>
      <c r="D78" s="139"/>
      <c r="E78" s="121">
        <f>SUM(E72:E77)</f>
        <v>401583.33</v>
      </c>
      <c r="F78" s="121">
        <f>SUM(F72:F77)</f>
        <v>7204526.2800000003</v>
      </c>
    </row>
  </sheetData>
  <sheetProtection sheet="1" objects="1" scenarios="1"/>
  <mergeCells count="54">
    <mergeCell ref="B6:F6"/>
    <mergeCell ref="D8:F8"/>
    <mergeCell ref="D20:F20"/>
    <mergeCell ref="D21:E21"/>
    <mergeCell ref="C9:E9"/>
    <mergeCell ref="B1:F1"/>
    <mergeCell ref="B2:C2"/>
    <mergeCell ref="D2:F2"/>
    <mergeCell ref="B3:C3"/>
    <mergeCell ref="D3:E3"/>
    <mergeCell ref="B4:C4"/>
    <mergeCell ref="D4:E4"/>
    <mergeCell ref="C7:E7"/>
    <mergeCell ref="C10:E10"/>
    <mergeCell ref="B13:F13"/>
    <mergeCell ref="B17:F17"/>
    <mergeCell ref="C18:F18"/>
    <mergeCell ref="C19:F19"/>
    <mergeCell ref="C39:E39"/>
    <mergeCell ref="C25:E25"/>
    <mergeCell ref="C26:E26"/>
    <mergeCell ref="C35:E35"/>
    <mergeCell ref="C70:C71"/>
    <mergeCell ref="D70:D71"/>
    <mergeCell ref="C27:D27"/>
    <mergeCell ref="C28:D28"/>
    <mergeCell ref="C29:D29"/>
    <mergeCell ref="C30:D30"/>
    <mergeCell ref="C42:E42"/>
    <mergeCell ref="B24:F24"/>
    <mergeCell ref="C37:E37"/>
    <mergeCell ref="C38:E38"/>
    <mergeCell ref="C40:E40"/>
    <mergeCell ref="C41:E41"/>
    <mergeCell ref="C11:E11"/>
    <mergeCell ref="B78:D78"/>
    <mergeCell ref="B45:F45"/>
    <mergeCell ref="B68:F69"/>
    <mergeCell ref="B70:B71"/>
    <mergeCell ref="E70:F70"/>
    <mergeCell ref="B63:F63"/>
    <mergeCell ref="B66:C66"/>
    <mergeCell ref="B48:F48"/>
    <mergeCell ref="B46:B47"/>
    <mergeCell ref="C22:E22"/>
    <mergeCell ref="C33:E33"/>
    <mergeCell ref="C46:C47"/>
    <mergeCell ref="D46:D47"/>
    <mergeCell ref="E46:F46"/>
    <mergeCell ref="C43:E43"/>
    <mergeCell ref="C32:D32"/>
    <mergeCell ref="C36:E36"/>
    <mergeCell ref="C34:E34"/>
    <mergeCell ref="C31:D31"/>
  </mergeCells>
  <phoneticPr fontId="18" type="noConversion"/>
  <dataValidations disablePrompts="1" count="2">
    <dataValidation type="list" allowBlank="1" showInputMessage="1" showErrorMessage="1" sqref="F9">
      <formula1>"AC,AL,AP,AM,BA,CE,DF,ES,GO,MA,MG,MS,MT,PA,PB,PR,PE,PI,RJ,RN,RO,RR,RS,SC,SP,SE,TO"</formula1>
    </dataValidation>
    <dataValidation type="list" allowBlank="1" showInputMessage="1" showErrorMessage="1" sqref="F21">
      <formula1>"SIM, NÃO"</formula1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scale="98" fitToHeight="0" orientation="portrait" r:id="rId1"/>
  <rowBreaks count="1" manualBreakCount="1">
    <brk id="44" min="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296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307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44682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122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3568.4</v>
      </c>
    </row>
    <row r="12" spans="1:6" ht="16.5">
      <c r="A12" s="8"/>
      <c r="B12" s="20" t="s">
        <v>131</v>
      </c>
      <c r="C12" s="142" t="s">
        <v>151</v>
      </c>
      <c r="D12" s="143"/>
      <c r="E12" s="101">
        <v>0.3</v>
      </c>
      <c r="F12" s="23">
        <f>ROUND((E12*$F$11),2)</f>
        <v>1070.52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4638.92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386.42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128.96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515.38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128.86000000000001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154.63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77.31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51.54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30.93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10.31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412.34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865.92000000000007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35</v>
      </c>
      <c r="F38" s="23">
        <f>ROUND(E38*$F$40,2)</f>
        <v>770</v>
      </c>
    </row>
    <row r="39" spans="1:6" ht="16.5">
      <c r="A39" s="8"/>
      <c r="B39" s="36" t="s">
        <v>232</v>
      </c>
      <c r="C39" s="173" t="s">
        <v>234</v>
      </c>
      <c r="D39" s="174"/>
      <c r="E39" s="101">
        <v>0</v>
      </c>
      <c r="F39" s="37">
        <f>-ROUND((E39*F38),2)</f>
        <v>0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/>
      <c r="F41" s="39">
        <f>ROUND((E41*$F$40),2)</f>
        <v>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1164.3499999999999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19.52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83.34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2.06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104.92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607.21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161.83000000000001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2.92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1.46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10.210000000000001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783.63000000000011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147.22999999999999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201.65-F64</f>
        <v>161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68.150000000000006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475.47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404.35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498.68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1067.7199999999998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68.38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315.58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210.39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473.37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1970.7499999999998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4638.92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2545.65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104.92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783.63000000000011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475.47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1970.7499999999998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10519.34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309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308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2748.76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2748.76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228.97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76.42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305.39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76.349999999999994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91.62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45.81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30.54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18.32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6.11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244.33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513.08000000000004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12.25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52.11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1.22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65.58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379.65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101.18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1.82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0.91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6.38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489.94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139.44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204.95-F64</f>
        <v>164.29999999999998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19.510000000000002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422.34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258.72000000000003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319.08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683.19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43.75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201.93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134.62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302.89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1260.99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2748.76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1743.24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65.58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489.94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422.34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1260.99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6730.8499999999995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311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310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124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16109.66</v>
      </c>
    </row>
    <row r="12" spans="1:6" ht="16.5">
      <c r="A12" s="8"/>
      <c r="B12" s="20" t="s">
        <v>131</v>
      </c>
      <c r="C12" s="142" t="s">
        <v>151</v>
      </c>
      <c r="D12" s="143"/>
      <c r="E12" s="101">
        <v>0.3</v>
      </c>
      <c r="F12" s="23">
        <f>ROUND((E12*$F$11),2)</f>
        <v>4832.8999999999996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20942.559999999998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1744.52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582.20000000000005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2326.7200000000003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581.73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698.08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349.04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232.69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139.62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46.54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1861.54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3909.24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0.06</v>
      </c>
      <c r="F37" s="37">
        <f>IF((E37*F11)&gt;=F36,-F36,ROUND(-(E37*F11),2))</f>
        <v>-242</v>
      </c>
    </row>
    <row r="38" spans="1:6" ht="16.5">
      <c r="A38" s="8"/>
      <c r="B38" s="20" t="s">
        <v>131</v>
      </c>
      <c r="C38" s="166" t="s">
        <v>228</v>
      </c>
      <c r="D38" s="168"/>
      <c r="E38" s="102">
        <v>27.03</v>
      </c>
      <c r="F38" s="23">
        <f>ROUND(E38*$F$40,2)</f>
        <v>594.66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0.1</v>
      </c>
      <c r="F39" s="37">
        <f>-ROUND((E39*F38),2)</f>
        <v>-59.47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/>
      <c r="F41" s="39">
        <f>ROUND((E41*$F$40),2)</f>
        <v>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687.54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74.87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323.25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9.31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407.43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2355.1799999999998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627.66999999999996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11.31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5.65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39.58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3039.39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1.9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123.54-F64</f>
        <v>82.890000000000015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338.3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522.18000000000006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1505.8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1857.09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3976.17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254.63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1175.22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783.48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1762.84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7339.0599999999995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20942.559999999998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6923.5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407.43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3039.39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522.18000000000006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7339.0599999999995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39174.119999999995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313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312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124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13727.67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13727.67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1143.51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381.63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1525.1399999999999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381.32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457.58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228.79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152.53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91.52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30.51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1220.22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2562.4700000000003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0.06</v>
      </c>
      <c r="F37" s="37">
        <f>IF((E37*F11)&gt;=F36,-F36,ROUND(-(E37*F11),2))</f>
        <v>-242</v>
      </c>
    </row>
    <row r="38" spans="1:6" ht="16.5">
      <c r="A38" s="8"/>
      <c r="B38" s="20" t="s">
        <v>131</v>
      </c>
      <c r="C38" s="166" t="s">
        <v>228</v>
      </c>
      <c r="D38" s="168"/>
      <c r="E38" s="102">
        <v>27.03</v>
      </c>
      <c r="F38" s="23">
        <f>ROUND(E38*$F$40,2)</f>
        <v>594.66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0.1</v>
      </c>
      <c r="F39" s="37">
        <f>-ROUND((E39*F38),2)</f>
        <v>-59.47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/>
      <c r="F41" s="39">
        <f>ROUND((E41*$F$40),2)</f>
        <v>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687.54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49.77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214.63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6.1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270.5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1563.82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416.77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7.51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3.75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26.28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2018.1299999999999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1.9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123.54-F64</f>
        <v>82.890000000000015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124.92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308.8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998.04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1230.8699999999999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2635.41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168.77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778.94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519.29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1168.4100000000001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4864.32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13727.67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4775.1499999999996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270.5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2018.1299999999999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308.8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4864.32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25964.57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314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315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44317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122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968.66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968.66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80.69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26.93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107.62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26.91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32.29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16.14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10.76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6.46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2.15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86.1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180.81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88</v>
      </c>
    </row>
    <row r="37" spans="1:6" ht="16.5">
      <c r="A37" s="8"/>
      <c r="B37" s="36" t="s">
        <v>231</v>
      </c>
      <c r="C37" s="173" t="s">
        <v>233</v>
      </c>
      <c r="D37" s="174"/>
      <c r="E37" s="101">
        <v>0.06</v>
      </c>
      <c r="F37" s="37">
        <f>IF((E37*F11)&gt;=F36,-F36,ROUND(-(E37*F11),2))</f>
        <v>-58.12</v>
      </c>
    </row>
    <row r="38" spans="1:6" ht="16.5">
      <c r="A38" s="8"/>
      <c r="B38" s="20" t="s">
        <v>131</v>
      </c>
      <c r="C38" s="166" t="s">
        <v>228</v>
      </c>
      <c r="D38" s="168"/>
      <c r="E38" s="102">
        <v>35</v>
      </c>
      <c r="F38" s="23">
        <f>ROUND(E38*$F$40,2)</f>
        <v>280</v>
      </c>
    </row>
    <row r="39" spans="1:6" ht="16.5">
      <c r="A39" s="8"/>
      <c r="B39" s="36" t="s">
        <v>232</v>
      </c>
      <c r="C39" s="173" t="s">
        <v>234</v>
      </c>
      <c r="D39" s="174"/>
      <c r="E39" s="101">
        <v>0</v>
      </c>
      <c r="F39" s="37">
        <f>-ROUND((E39*F38),2)</f>
        <v>0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v>8</v>
      </c>
    </row>
    <row r="41" spans="1:6" ht="16.5">
      <c r="A41" s="8"/>
      <c r="B41" s="20" t="s">
        <v>134</v>
      </c>
      <c r="C41" s="166" t="s">
        <v>236</v>
      </c>
      <c r="D41" s="168"/>
      <c r="E41" s="103"/>
      <c r="F41" s="39">
        <f>ROUND((E41*$F$40),2)</f>
        <v>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462.23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4.71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19.940000000000001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0.43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25.080000000000002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145.31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38.729999999999997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0.7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0.35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2.44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187.52999999999997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f>ROUND((1.9/178.25)*32,2)</f>
        <v>0.34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ROUND((123.54/178.25)*32,2)</f>
        <v>22.18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4.9400000000000004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126.55000000000001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97.37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120.08</v>
      </c>
    </row>
    <row r="75" spans="1:6" ht="16.5">
      <c r="A75" s="8"/>
      <c r="B75" s="29" t="s">
        <v>132</v>
      </c>
      <c r="C75" s="178" t="str">
        <f ca="1">'Planilha Resumo'!$C$39</f>
        <v>Tributos</v>
      </c>
      <c r="D75" s="179"/>
      <c r="E75" s="42">
        <f ca="1">SUM(E76:E79)</f>
        <v>10.15</v>
      </c>
      <c r="F75" s="23">
        <f>SUM(F76:F79)</f>
        <v>257.09999999999997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16.46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75.989999999999995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50.66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113.99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474.54999999999995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968.66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750.66000000000008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25.080000000000002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187.52999999999997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126.55000000000001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474.54999999999995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2533.0299999999997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232"/>
  <sheetViews>
    <sheetView showGridLines="0" zoomScaleNormal="100" workbookViewId="0">
      <pane xSplit="9" ySplit="4" topLeftCell="J5" activePane="bottomRight" state="frozen"/>
      <selection activeCell="H15" sqref="H15"/>
      <selection pane="topRight" activeCell="H15" sqref="H15"/>
      <selection pane="bottomLeft" activeCell="H15" sqref="H15"/>
      <selection pane="bottomRight" activeCell="J5" sqref="J5"/>
    </sheetView>
  </sheetViews>
  <sheetFormatPr defaultColWidth="8.85546875" defaultRowHeight="15"/>
  <cols>
    <col min="1" max="1" width="2.5703125" style="78" customWidth="1"/>
    <col min="2" max="2" width="6.28515625" style="82" customWidth="1"/>
    <col min="3" max="3" width="7" style="82" bestFit="1" customWidth="1"/>
    <col min="4" max="4" width="32.140625" style="82" customWidth="1"/>
    <col min="5" max="5" width="25.85546875" style="82" customWidth="1"/>
    <col min="6" max="6" width="10.85546875" style="82" customWidth="1"/>
    <col min="7" max="7" width="9.5703125" style="82" customWidth="1"/>
    <col min="8" max="8" width="12.42578125" style="82" customWidth="1"/>
    <col min="9" max="9" width="17.7109375" style="82" bestFit="1" customWidth="1"/>
    <col min="10" max="16384" width="8.85546875" style="82"/>
  </cols>
  <sheetData>
    <row r="1" spans="1:9" ht="16.5">
      <c r="A1" s="8"/>
      <c r="B1" s="184" t="s">
        <v>364</v>
      </c>
      <c r="C1" s="184"/>
      <c r="D1" s="184"/>
      <c r="E1" s="184"/>
      <c r="F1" s="184"/>
      <c r="G1" s="184"/>
      <c r="H1" s="184"/>
      <c r="I1" s="184"/>
    </row>
    <row r="2" spans="1:9" ht="33">
      <c r="A2" s="8"/>
      <c r="B2" s="21" t="s">
        <v>239</v>
      </c>
      <c r="C2" s="21" t="s">
        <v>360</v>
      </c>
      <c r="D2" s="21" t="s">
        <v>240</v>
      </c>
      <c r="E2" s="21" t="s">
        <v>361</v>
      </c>
      <c r="F2" s="21" t="s">
        <v>501</v>
      </c>
      <c r="G2" s="21" t="s">
        <v>241</v>
      </c>
      <c r="H2" s="21" t="s">
        <v>363</v>
      </c>
      <c r="I2" s="21" t="s">
        <v>362</v>
      </c>
    </row>
    <row r="3" spans="1:9" ht="16.5">
      <c r="A3" s="8"/>
      <c r="B3" s="84"/>
      <c r="C3" s="84"/>
      <c r="D3" s="84"/>
      <c r="E3" s="84"/>
      <c r="F3" s="84"/>
      <c r="G3" s="84"/>
      <c r="H3" s="84"/>
      <c r="I3" s="84"/>
    </row>
    <row r="4" spans="1:9" ht="16.5">
      <c r="A4" s="8"/>
      <c r="B4" s="21"/>
      <c r="C4" s="185" t="s">
        <v>365</v>
      </c>
      <c r="D4" s="186"/>
      <c r="E4" s="186"/>
      <c r="F4" s="186"/>
      <c r="G4" s="186"/>
      <c r="H4" s="187"/>
      <c r="I4" s="85">
        <f>SUM(I5:I77)</f>
        <v>387190.5</v>
      </c>
    </row>
    <row r="5" spans="1:9" s="83" customFormat="1" ht="99">
      <c r="A5" s="98"/>
      <c r="B5" s="55">
        <v>1</v>
      </c>
      <c r="C5" s="58"/>
      <c r="D5" s="56" t="s">
        <v>366</v>
      </c>
      <c r="E5" s="56" t="s">
        <v>367</v>
      </c>
      <c r="F5" s="99" t="s">
        <v>244</v>
      </c>
      <c r="G5" s="86">
        <v>200</v>
      </c>
      <c r="H5" s="124">
        <v>7.91</v>
      </c>
      <c r="I5" s="87">
        <f>TRUNC(G5*H5,2)</f>
        <v>1582</v>
      </c>
    </row>
    <row r="6" spans="1:9" s="83" customFormat="1" ht="49.5">
      <c r="A6" s="98"/>
      <c r="B6" s="55">
        <f>B5+1</f>
        <v>2</v>
      </c>
      <c r="C6" s="58"/>
      <c r="D6" s="56" t="s">
        <v>368</v>
      </c>
      <c r="E6" s="56" t="s">
        <v>369</v>
      </c>
      <c r="F6" s="99" t="s">
        <v>244</v>
      </c>
      <c r="G6" s="86">
        <v>300</v>
      </c>
      <c r="H6" s="124">
        <v>2</v>
      </c>
      <c r="I6" s="87">
        <f t="shared" ref="I6:I69" si="0">TRUNC(G6*H6,2)</f>
        <v>600</v>
      </c>
    </row>
    <row r="7" spans="1:9" s="83" customFormat="1" ht="99">
      <c r="A7" s="98"/>
      <c r="B7" s="55">
        <f t="shared" ref="B7:B70" si="1">B6+1</f>
        <v>3</v>
      </c>
      <c r="C7" s="58"/>
      <c r="D7" s="56" t="s">
        <v>370</v>
      </c>
      <c r="E7" s="56" t="s">
        <v>371</v>
      </c>
      <c r="F7" s="99" t="s">
        <v>244</v>
      </c>
      <c r="G7" s="86">
        <v>200</v>
      </c>
      <c r="H7" s="124">
        <v>54.89</v>
      </c>
      <c r="I7" s="87">
        <f t="shared" si="0"/>
        <v>10978</v>
      </c>
    </row>
    <row r="8" spans="1:9" s="83" customFormat="1" ht="148.5">
      <c r="A8" s="98"/>
      <c r="B8" s="55">
        <f t="shared" si="1"/>
        <v>4</v>
      </c>
      <c r="C8" s="58"/>
      <c r="D8" s="56" t="s">
        <v>372</v>
      </c>
      <c r="E8" s="56" t="s">
        <v>373</v>
      </c>
      <c r="F8" s="99" t="s">
        <v>244</v>
      </c>
      <c r="G8" s="86">
        <v>30</v>
      </c>
      <c r="H8" s="124">
        <v>132.39000000000001</v>
      </c>
      <c r="I8" s="87">
        <f t="shared" si="0"/>
        <v>3971.7</v>
      </c>
    </row>
    <row r="9" spans="1:9" s="83" customFormat="1" ht="49.5">
      <c r="A9" s="100"/>
      <c r="B9" s="55">
        <f t="shared" si="1"/>
        <v>5</v>
      </c>
      <c r="C9" s="58" t="s">
        <v>374</v>
      </c>
      <c r="D9" s="56" t="s">
        <v>375</v>
      </c>
      <c r="E9" s="56" t="s">
        <v>376</v>
      </c>
      <c r="F9" s="99" t="s">
        <v>377</v>
      </c>
      <c r="G9" s="86">
        <v>16</v>
      </c>
      <c r="H9" s="124">
        <v>190</v>
      </c>
      <c r="I9" s="87">
        <f t="shared" si="0"/>
        <v>3040</v>
      </c>
    </row>
    <row r="10" spans="1:9" s="83" customFormat="1" ht="33">
      <c r="A10" s="98"/>
      <c r="B10" s="55">
        <f t="shared" si="1"/>
        <v>6</v>
      </c>
      <c r="C10" s="58"/>
      <c r="D10" s="56" t="s">
        <v>378</v>
      </c>
      <c r="E10" s="56" t="s">
        <v>376</v>
      </c>
      <c r="F10" s="99" t="s">
        <v>377</v>
      </c>
      <c r="G10" s="86">
        <v>3</v>
      </c>
      <c r="H10" s="124">
        <v>190</v>
      </c>
      <c r="I10" s="87">
        <f t="shared" si="0"/>
        <v>570</v>
      </c>
    </row>
    <row r="11" spans="1:9" ht="33">
      <c r="A11" s="98"/>
      <c r="B11" s="55">
        <f t="shared" si="1"/>
        <v>7</v>
      </c>
      <c r="C11" s="58"/>
      <c r="D11" s="56" t="s">
        <v>379</v>
      </c>
      <c r="E11" s="56" t="s">
        <v>376</v>
      </c>
      <c r="F11" s="99" t="s">
        <v>377</v>
      </c>
      <c r="G11" s="86">
        <v>3</v>
      </c>
      <c r="H11" s="124">
        <v>190</v>
      </c>
      <c r="I11" s="87">
        <f t="shared" si="0"/>
        <v>570</v>
      </c>
    </row>
    <row r="12" spans="1:9" ht="82.5">
      <c r="A12" s="98"/>
      <c r="B12" s="55">
        <f t="shared" si="1"/>
        <v>8</v>
      </c>
      <c r="C12" s="58"/>
      <c r="D12" s="56" t="s">
        <v>380</v>
      </c>
      <c r="E12" s="56" t="s">
        <v>376</v>
      </c>
      <c r="F12" s="99" t="s">
        <v>377</v>
      </c>
      <c r="G12" s="86">
        <v>35</v>
      </c>
      <c r="H12" s="124">
        <v>288</v>
      </c>
      <c r="I12" s="87">
        <f t="shared" si="0"/>
        <v>10080</v>
      </c>
    </row>
    <row r="13" spans="1:9" ht="82.5">
      <c r="A13" s="98"/>
      <c r="B13" s="55">
        <f t="shared" si="1"/>
        <v>9</v>
      </c>
      <c r="C13" s="58"/>
      <c r="D13" s="56" t="s">
        <v>381</v>
      </c>
      <c r="E13" s="56" t="s">
        <v>376</v>
      </c>
      <c r="F13" s="99" t="s">
        <v>377</v>
      </c>
      <c r="G13" s="86">
        <v>35</v>
      </c>
      <c r="H13" s="124">
        <v>288</v>
      </c>
      <c r="I13" s="87">
        <f t="shared" si="0"/>
        <v>10080</v>
      </c>
    </row>
    <row r="14" spans="1:9" ht="82.5">
      <c r="A14" s="98"/>
      <c r="B14" s="55">
        <f t="shared" si="1"/>
        <v>10</v>
      </c>
      <c r="C14" s="58"/>
      <c r="D14" s="56" t="s">
        <v>382</v>
      </c>
      <c r="E14" s="56" t="s">
        <v>376</v>
      </c>
      <c r="F14" s="99" t="s">
        <v>377</v>
      </c>
      <c r="G14" s="86">
        <v>30</v>
      </c>
      <c r="H14" s="124">
        <v>288</v>
      </c>
      <c r="I14" s="87">
        <f t="shared" si="0"/>
        <v>8640</v>
      </c>
    </row>
    <row r="15" spans="1:9" ht="82.5">
      <c r="A15" s="98"/>
      <c r="B15" s="55">
        <f t="shared" si="1"/>
        <v>11</v>
      </c>
      <c r="C15" s="58"/>
      <c r="D15" s="56" t="s">
        <v>383</v>
      </c>
      <c r="E15" s="56" t="s">
        <v>376</v>
      </c>
      <c r="F15" s="99" t="s">
        <v>377</v>
      </c>
      <c r="G15" s="86">
        <v>30</v>
      </c>
      <c r="H15" s="124">
        <v>288</v>
      </c>
      <c r="I15" s="87">
        <f t="shared" si="0"/>
        <v>8640</v>
      </c>
    </row>
    <row r="16" spans="1:9" ht="82.5">
      <c r="A16" s="98"/>
      <c r="B16" s="55">
        <f t="shared" si="1"/>
        <v>12</v>
      </c>
      <c r="C16" s="58"/>
      <c r="D16" s="56" t="s">
        <v>384</v>
      </c>
      <c r="E16" s="56" t="s">
        <v>376</v>
      </c>
      <c r="F16" s="99" t="s">
        <v>377</v>
      </c>
      <c r="G16" s="86">
        <v>25</v>
      </c>
      <c r="H16" s="124">
        <v>288</v>
      </c>
      <c r="I16" s="87">
        <f t="shared" si="0"/>
        <v>7200</v>
      </c>
    </row>
    <row r="17" spans="1:9" s="83" customFormat="1" ht="82.5">
      <c r="A17" s="98"/>
      <c r="B17" s="55">
        <f t="shared" si="1"/>
        <v>13</v>
      </c>
      <c r="C17" s="58"/>
      <c r="D17" s="56" t="s">
        <v>385</v>
      </c>
      <c r="E17" s="56" t="s">
        <v>376</v>
      </c>
      <c r="F17" s="99" t="s">
        <v>377</v>
      </c>
      <c r="G17" s="86">
        <v>25</v>
      </c>
      <c r="H17" s="124">
        <v>288</v>
      </c>
      <c r="I17" s="87">
        <f t="shared" si="0"/>
        <v>7200</v>
      </c>
    </row>
    <row r="18" spans="1:9" ht="82.5">
      <c r="A18" s="100"/>
      <c r="B18" s="55">
        <f t="shared" si="1"/>
        <v>14</v>
      </c>
      <c r="C18" s="58"/>
      <c r="D18" s="56" t="s">
        <v>386</v>
      </c>
      <c r="E18" s="56" t="s">
        <v>376</v>
      </c>
      <c r="F18" s="99" t="s">
        <v>377</v>
      </c>
      <c r="G18" s="86">
        <v>10</v>
      </c>
      <c r="H18" s="124">
        <v>498</v>
      </c>
      <c r="I18" s="87">
        <f t="shared" si="0"/>
        <v>4980</v>
      </c>
    </row>
    <row r="19" spans="1:9" ht="82.5">
      <c r="A19" s="98"/>
      <c r="B19" s="55">
        <f t="shared" si="1"/>
        <v>15</v>
      </c>
      <c r="C19" s="58"/>
      <c r="D19" s="56" t="s">
        <v>387</v>
      </c>
      <c r="E19" s="56" t="s">
        <v>376</v>
      </c>
      <c r="F19" s="99" t="s">
        <v>377</v>
      </c>
      <c r="G19" s="86">
        <v>8</v>
      </c>
      <c r="H19" s="124">
        <v>498</v>
      </c>
      <c r="I19" s="87">
        <f t="shared" si="0"/>
        <v>3984</v>
      </c>
    </row>
    <row r="20" spans="1:9" ht="82.5">
      <c r="A20" s="98"/>
      <c r="B20" s="55">
        <f t="shared" si="1"/>
        <v>16</v>
      </c>
      <c r="C20" s="58"/>
      <c r="D20" s="56" t="s">
        <v>388</v>
      </c>
      <c r="E20" s="56" t="s">
        <v>376</v>
      </c>
      <c r="F20" s="99" t="s">
        <v>377</v>
      </c>
      <c r="G20" s="86">
        <v>8</v>
      </c>
      <c r="H20" s="124">
        <v>498</v>
      </c>
      <c r="I20" s="87">
        <f t="shared" si="0"/>
        <v>3984</v>
      </c>
    </row>
    <row r="21" spans="1:9" s="83" customFormat="1" ht="82.5">
      <c r="A21" s="98"/>
      <c r="B21" s="55">
        <f t="shared" si="1"/>
        <v>17</v>
      </c>
      <c r="C21" s="58"/>
      <c r="D21" s="56" t="s">
        <v>389</v>
      </c>
      <c r="E21" s="56" t="s">
        <v>376</v>
      </c>
      <c r="F21" s="99" t="s">
        <v>377</v>
      </c>
      <c r="G21" s="86">
        <v>8</v>
      </c>
      <c r="H21" s="124">
        <v>498</v>
      </c>
      <c r="I21" s="87">
        <f t="shared" si="0"/>
        <v>3984</v>
      </c>
    </row>
    <row r="22" spans="1:9" ht="82.5">
      <c r="A22" s="98"/>
      <c r="B22" s="55">
        <f t="shared" si="1"/>
        <v>18</v>
      </c>
      <c r="C22" s="58"/>
      <c r="D22" s="56" t="s">
        <v>390</v>
      </c>
      <c r="E22" s="56" t="s">
        <v>376</v>
      </c>
      <c r="F22" s="99" t="s">
        <v>377</v>
      </c>
      <c r="G22" s="86">
        <v>8</v>
      </c>
      <c r="H22" s="124">
        <v>498</v>
      </c>
      <c r="I22" s="87">
        <f t="shared" si="0"/>
        <v>3984</v>
      </c>
    </row>
    <row r="23" spans="1:9" s="83" customFormat="1" ht="99">
      <c r="A23" s="98"/>
      <c r="B23" s="55">
        <f t="shared" si="1"/>
        <v>19</v>
      </c>
      <c r="C23" s="58"/>
      <c r="D23" s="56" t="s">
        <v>391</v>
      </c>
      <c r="E23" s="56" t="s">
        <v>392</v>
      </c>
      <c r="F23" s="99" t="s">
        <v>377</v>
      </c>
      <c r="G23" s="86">
        <v>5</v>
      </c>
      <c r="H23" s="124">
        <v>798</v>
      </c>
      <c r="I23" s="87">
        <f t="shared" si="0"/>
        <v>3990</v>
      </c>
    </row>
    <row r="24" spans="1:9" ht="99">
      <c r="A24" s="98"/>
      <c r="B24" s="55">
        <f t="shared" si="1"/>
        <v>20</v>
      </c>
      <c r="C24" s="58"/>
      <c r="D24" s="56" t="s">
        <v>393</v>
      </c>
      <c r="E24" s="56" t="s">
        <v>392</v>
      </c>
      <c r="F24" s="99" t="s">
        <v>377</v>
      </c>
      <c r="G24" s="86">
        <v>10</v>
      </c>
      <c r="H24" s="124">
        <v>1478</v>
      </c>
      <c r="I24" s="87">
        <f t="shared" si="0"/>
        <v>14780</v>
      </c>
    </row>
    <row r="25" spans="1:9" ht="99">
      <c r="A25" s="98"/>
      <c r="B25" s="55">
        <f t="shared" si="1"/>
        <v>21</v>
      </c>
      <c r="C25" s="58"/>
      <c r="D25" s="56" t="s">
        <v>394</v>
      </c>
      <c r="E25" s="56" t="s">
        <v>392</v>
      </c>
      <c r="F25" s="99" t="s">
        <v>377</v>
      </c>
      <c r="G25" s="86">
        <v>5</v>
      </c>
      <c r="H25" s="124">
        <v>2540</v>
      </c>
      <c r="I25" s="87">
        <f t="shared" si="0"/>
        <v>12700</v>
      </c>
    </row>
    <row r="26" spans="1:9" s="83" customFormat="1" ht="66">
      <c r="A26" s="98"/>
      <c r="B26" s="55">
        <f t="shared" si="1"/>
        <v>22</v>
      </c>
      <c r="C26" s="58"/>
      <c r="D26" s="56" t="s">
        <v>395</v>
      </c>
      <c r="E26" s="56" t="s">
        <v>369</v>
      </c>
      <c r="F26" s="99" t="s">
        <v>244</v>
      </c>
      <c r="G26" s="86">
        <v>300</v>
      </c>
      <c r="H26" s="124">
        <v>12.3</v>
      </c>
      <c r="I26" s="87">
        <f t="shared" si="0"/>
        <v>3690</v>
      </c>
    </row>
    <row r="27" spans="1:9" ht="99">
      <c r="A27" s="98"/>
      <c r="B27" s="55">
        <f t="shared" si="1"/>
        <v>23</v>
      </c>
      <c r="C27" s="58"/>
      <c r="D27" s="56" t="s">
        <v>396</v>
      </c>
      <c r="E27" s="56" t="s">
        <v>397</v>
      </c>
      <c r="F27" s="99" t="s">
        <v>244</v>
      </c>
      <c r="G27" s="86">
        <v>350</v>
      </c>
      <c r="H27" s="124">
        <v>39.700000000000003</v>
      </c>
      <c r="I27" s="87">
        <f t="shared" si="0"/>
        <v>13895</v>
      </c>
    </row>
    <row r="28" spans="1:9" ht="99">
      <c r="A28" s="98"/>
      <c r="B28" s="55">
        <f t="shared" si="1"/>
        <v>24</v>
      </c>
      <c r="C28" s="58"/>
      <c r="D28" s="56" t="s">
        <v>398</v>
      </c>
      <c r="E28" s="56" t="s">
        <v>399</v>
      </c>
      <c r="F28" s="99" t="s">
        <v>244</v>
      </c>
      <c r="G28" s="86">
        <v>30</v>
      </c>
      <c r="H28" s="124">
        <v>11.25</v>
      </c>
      <c r="I28" s="87">
        <f t="shared" si="0"/>
        <v>337.5</v>
      </c>
    </row>
    <row r="29" spans="1:9" ht="33">
      <c r="A29" s="98"/>
      <c r="B29" s="55">
        <f t="shared" si="1"/>
        <v>25</v>
      </c>
      <c r="C29" s="58" t="s">
        <v>400</v>
      </c>
      <c r="D29" s="56" t="s">
        <v>91</v>
      </c>
      <c r="E29" s="56"/>
      <c r="F29" s="99" t="s">
        <v>244</v>
      </c>
      <c r="G29" s="86">
        <v>30</v>
      </c>
      <c r="H29" s="124">
        <v>3.62</v>
      </c>
      <c r="I29" s="87">
        <f t="shared" si="0"/>
        <v>108.6</v>
      </c>
    </row>
    <row r="30" spans="1:9" ht="49.5">
      <c r="A30" s="98"/>
      <c r="B30" s="55">
        <f t="shared" si="1"/>
        <v>26</v>
      </c>
      <c r="C30" s="58"/>
      <c r="D30" s="56" t="s">
        <v>401</v>
      </c>
      <c r="E30" s="56" t="s">
        <v>402</v>
      </c>
      <c r="F30" s="99" t="s">
        <v>244</v>
      </c>
      <c r="G30" s="86">
        <v>10</v>
      </c>
      <c r="H30" s="124">
        <v>16</v>
      </c>
      <c r="I30" s="87">
        <f t="shared" si="0"/>
        <v>160</v>
      </c>
    </row>
    <row r="31" spans="1:9" ht="49.5">
      <c r="A31" s="98"/>
      <c r="B31" s="55">
        <f t="shared" si="1"/>
        <v>27</v>
      </c>
      <c r="C31" s="58"/>
      <c r="D31" s="56" t="s">
        <v>403</v>
      </c>
      <c r="E31" s="56" t="s">
        <v>402</v>
      </c>
      <c r="F31" s="99" t="s">
        <v>244</v>
      </c>
      <c r="G31" s="86">
        <v>10</v>
      </c>
      <c r="H31" s="124">
        <v>17.16</v>
      </c>
      <c r="I31" s="87">
        <f t="shared" si="0"/>
        <v>171.6</v>
      </c>
    </row>
    <row r="32" spans="1:9" s="83" customFormat="1" ht="49.5">
      <c r="A32" s="98"/>
      <c r="B32" s="55">
        <f t="shared" si="1"/>
        <v>28</v>
      </c>
      <c r="C32" s="58"/>
      <c r="D32" s="56" t="s">
        <v>404</v>
      </c>
      <c r="E32" s="56" t="s">
        <v>402</v>
      </c>
      <c r="F32" s="99" t="s">
        <v>244</v>
      </c>
      <c r="G32" s="86">
        <v>10</v>
      </c>
      <c r="H32" s="124">
        <v>16</v>
      </c>
      <c r="I32" s="87">
        <f t="shared" si="0"/>
        <v>160</v>
      </c>
    </row>
    <row r="33" spans="1:9" ht="33">
      <c r="A33" s="98"/>
      <c r="B33" s="55">
        <f t="shared" si="1"/>
        <v>29</v>
      </c>
      <c r="C33" s="58"/>
      <c r="D33" s="56" t="s">
        <v>405</v>
      </c>
      <c r="E33" s="56" t="s">
        <v>402</v>
      </c>
      <c r="F33" s="99" t="s">
        <v>244</v>
      </c>
      <c r="G33" s="86">
        <v>5</v>
      </c>
      <c r="H33" s="124">
        <v>56</v>
      </c>
      <c r="I33" s="87">
        <f t="shared" si="0"/>
        <v>280</v>
      </c>
    </row>
    <row r="34" spans="1:9" ht="66">
      <c r="A34" s="98"/>
      <c r="B34" s="55">
        <f t="shared" si="1"/>
        <v>30</v>
      </c>
      <c r="C34" s="58" t="s">
        <v>406</v>
      </c>
      <c r="D34" s="56" t="s">
        <v>407</v>
      </c>
      <c r="E34" s="56"/>
      <c r="F34" s="99" t="s">
        <v>245</v>
      </c>
      <c r="G34" s="86">
        <v>500</v>
      </c>
      <c r="H34" s="124">
        <v>1.75</v>
      </c>
      <c r="I34" s="87">
        <f t="shared" si="0"/>
        <v>875</v>
      </c>
    </row>
    <row r="35" spans="1:9" ht="33">
      <c r="A35" s="98"/>
      <c r="B35" s="55">
        <f t="shared" si="1"/>
        <v>31</v>
      </c>
      <c r="C35" s="58" t="s">
        <v>408</v>
      </c>
      <c r="D35" s="56" t="s">
        <v>409</v>
      </c>
      <c r="E35" s="56"/>
      <c r="F35" s="99" t="s">
        <v>245</v>
      </c>
      <c r="G35" s="86">
        <v>60</v>
      </c>
      <c r="H35" s="124">
        <v>8.59</v>
      </c>
      <c r="I35" s="87">
        <f t="shared" si="0"/>
        <v>515.4</v>
      </c>
    </row>
    <row r="36" spans="1:9" ht="33">
      <c r="A36" s="98"/>
      <c r="B36" s="55">
        <f t="shared" si="1"/>
        <v>32</v>
      </c>
      <c r="C36" s="58" t="s">
        <v>410</v>
      </c>
      <c r="D36" s="56" t="s">
        <v>411</v>
      </c>
      <c r="E36" s="56"/>
      <c r="F36" s="99" t="s">
        <v>245</v>
      </c>
      <c r="G36" s="86">
        <v>120</v>
      </c>
      <c r="H36" s="124">
        <v>6.6</v>
      </c>
      <c r="I36" s="87">
        <f t="shared" si="0"/>
        <v>792</v>
      </c>
    </row>
    <row r="37" spans="1:9" ht="49.5">
      <c r="A37" s="98"/>
      <c r="B37" s="55">
        <f t="shared" si="1"/>
        <v>33</v>
      </c>
      <c r="C37" s="58"/>
      <c r="D37" s="56" t="s">
        <v>412</v>
      </c>
      <c r="E37" s="56" t="s">
        <v>413</v>
      </c>
      <c r="F37" s="99" t="s">
        <v>414</v>
      </c>
      <c r="G37" s="86">
        <v>200</v>
      </c>
      <c r="H37" s="124">
        <v>8.4600000000000009</v>
      </c>
      <c r="I37" s="87">
        <f t="shared" si="0"/>
        <v>1692</v>
      </c>
    </row>
    <row r="38" spans="1:9" s="83" customFormat="1" ht="16.5">
      <c r="A38" s="98"/>
      <c r="B38" s="55">
        <f t="shared" si="1"/>
        <v>34</v>
      </c>
      <c r="C38" s="58" t="s">
        <v>415</v>
      </c>
      <c r="D38" s="56" t="s">
        <v>416</v>
      </c>
      <c r="E38" s="56"/>
      <c r="F38" s="99" t="s">
        <v>414</v>
      </c>
      <c r="G38" s="86">
        <v>70</v>
      </c>
      <c r="H38" s="124">
        <v>25.98</v>
      </c>
      <c r="I38" s="87">
        <f t="shared" si="0"/>
        <v>1818.6</v>
      </c>
    </row>
    <row r="39" spans="1:9" s="83" customFormat="1" ht="49.5">
      <c r="A39" s="98"/>
      <c r="B39" s="55">
        <f t="shared" si="1"/>
        <v>35</v>
      </c>
      <c r="C39" s="58"/>
      <c r="D39" s="56" t="s">
        <v>417</v>
      </c>
      <c r="E39" s="56" t="s">
        <v>413</v>
      </c>
      <c r="F39" s="99" t="s">
        <v>244</v>
      </c>
      <c r="G39" s="86">
        <v>300</v>
      </c>
      <c r="H39" s="124">
        <v>1.9</v>
      </c>
      <c r="I39" s="87">
        <f t="shared" si="0"/>
        <v>570</v>
      </c>
    </row>
    <row r="40" spans="1:9" s="83" customFormat="1" ht="82.5">
      <c r="A40" s="98"/>
      <c r="B40" s="55">
        <f t="shared" si="1"/>
        <v>36</v>
      </c>
      <c r="C40" s="58"/>
      <c r="D40" s="56" t="s">
        <v>418</v>
      </c>
      <c r="E40" s="56" t="s">
        <v>419</v>
      </c>
      <c r="F40" s="99" t="s">
        <v>244</v>
      </c>
      <c r="G40" s="86">
        <v>30</v>
      </c>
      <c r="H40" s="124">
        <v>11.2</v>
      </c>
      <c r="I40" s="87">
        <f t="shared" si="0"/>
        <v>336</v>
      </c>
    </row>
    <row r="41" spans="1:9" ht="346.5">
      <c r="A41" s="98"/>
      <c r="B41" s="55">
        <f t="shared" si="1"/>
        <v>37</v>
      </c>
      <c r="C41" s="58"/>
      <c r="D41" s="56" t="s">
        <v>420</v>
      </c>
      <c r="E41" s="56" t="s">
        <v>421</v>
      </c>
      <c r="F41" s="99" t="s">
        <v>244</v>
      </c>
      <c r="G41" s="86">
        <v>1800</v>
      </c>
      <c r="H41" s="124">
        <v>19.399999999999999</v>
      </c>
      <c r="I41" s="87">
        <f t="shared" si="0"/>
        <v>34920</v>
      </c>
    </row>
    <row r="42" spans="1:9" ht="99">
      <c r="A42" s="98"/>
      <c r="B42" s="55">
        <f t="shared" si="1"/>
        <v>38</v>
      </c>
      <c r="C42" s="58"/>
      <c r="D42" s="56" t="s">
        <v>422</v>
      </c>
      <c r="E42" s="56" t="s">
        <v>423</v>
      </c>
      <c r="F42" s="99" t="s">
        <v>244</v>
      </c>
      <c r="G42" s="86">
        <v>850</v>
      </c>
      <c r="H42" s="124">
        <v>16.45</v>
      </c>
      <c r="I42" s="87">
        <f t="shared" si="0"/>
        <v>13982.5</v>
      </c>
    </row>
    <row r="43" spans="1:9" ht="99">
      <c r="A43" s="98"/>
      <c r="B43" s="55">
        <f t="shared" si="1"/>
        <v>39</v>
      </c>
      <c r="C43" s="58"/>
      <c r="D43" s="56" t="s">
        <v>424</v>
      </c>
      <c r="E43" s="56" t="s">
        <v>425</v>
      </c>
      <c r="F43" s="99" t="s">
        <v>244</v>
      </c>
      <c r="G43" s="86">
        <v>370</v>
      </c>
      <c r="H43" s="124">
        <v>19.2</v>
      </c>
      <c r="I43" s="87">
        <f t="shared" si="0"/>
        <v>7104</v>
      </c>
    </row>
    <row r="44" spans="1:9" ht="82.5">
      <c r="A44" s="98"/>
      <c r="B44" s="55">
        <f t="shared" si="1"/>
        <v>40</v>
      </c>
      <c r="C44" s="58"/>
      <c r="D44" s="56" t="s">
        <v>426</v>
      </c>
      <c r="E44" s="56" t="s">
        <v>427</v>
      </c>
      <c r="F44" s="99" t="s">
        <v>244</v>
      </c>
      <c r="G44" s="86">
        <v>60</v>
      </c>
      <c r="H44" s="124">
        <v>32.49</v>
      </c>
      <c r="I44" s="87">
        <f t="shared" si="0"/>
        <v>1949.4</v>
      </c>
    </row>
    <row r="45" spans="1:9" ht="280.5">
      <c r="A45" s="98"/>
      <c r="B45" s="55">
        <f t="shared" si="1"/>
        <v>41</v>
      </c>
      <c r="C45" s="58"/>
      <c r="D45" s="56" t="s">
        <v>428</v>
      </c>
      <c r="E45" s="56" t="s">
        <v>429</v>
      </c>
      <c r="F45" s="99" t="s">
        <v>244</v>
      </c>
      <c r="G45" s="86">
        <v>500</v>
      </c>
      <c r="H45" s="124">
        <v>24.89</v>
      </c>
      <c r="I45" s="87">
        <f t="shared" si="0"/>
        <v>12445</v>
      </c>
    </row>
    <row r="46" spans="1:9" ht="280.5">
      <c r="A46" s="98"/>
      <c r="B46" s="55">
        <f t="shared" si="1"/>
        <v>42</v>
      </c>
      <c r="C46" s="58"/>
      <c r="D46" s="56" t="s">
        <v>430</v>
      </c>
      <c r="E46" s="56" t="s">
        <v>431</v>
      </c>
      <c r="F46" s="99" t="s">
        <v>244</v>
      </c>
      <c r="G46" s="86">
        <v>1500</v>
      </c>
      <c r="H46" s="124">
        <v>43</v>
      </c>
      <c r="I46" s="87">
        <f t="shared" si="0"/>
        <v>64500</v>
      </c>
    </row>
    <row r="47" spans="1:9" ht="66">
      <c r="A47" s="100"/>
      <c r="B47" s="55">
        <f t="shared" si="1"/>
        <v>43</v>
      </c>
      <c r="C47" s="58"/>
      <c r="D47" s="56" t="s">
        <v>432</v>
      </c>
      <c r="E47" s="56" t="s">
        <v>433</v>
      </c>
      <c r="F47" s="99" t="s">
        <v>244</v>
      </c>
      <c r="G47" s="86">
        <v>15</v>
      </c>
      <c r="H47" s="124">
        <v>77.77</v>
      </c>
      <c r="I47" s="87">
        <f t="shared" si="0"/>
        <v>1166.55</v>
      </c>
    </row>
    <row r="48" spans="1:9" ht="66">
      <c r="A48" s="98"/>
      <c r="B48" s="55">
        <f t="shared" si="1"/>
        <v>44</v>
      </c>
      <c r="C48" s="58"/>
      <c r="D48" s="56" t="s">
        <v>434</v>
      </c>
      <c r="E48" s="56" t="s">
        <v>435</v>
      </c>
      <c r="F48" s="99" t="s">
        <v>244</v>
      </c>
      <c r="G48" s="86">
        <v>10</v>
      </c>
      <c r="H48" s="124">
        <v>178</v>
      </c>
      <c r="I48" s="87">
        <f t="shared" si="0"/>
        <v>1780</v>
      </c>
    </row>
    <row r="49" spans="1:9" ht="363">
      <c r="A49" s="98"/>
      <c r="B49" s="55">
        <f t="shared" si="1"/>
        <v>45</v>
      </c>
      <c r="C49" s="58"/>
      <c r="D49" s="56" t="s">
        <v>436</v>
      </c>
      <c r="E49" s="56" t="s">
        <v>437</v>
      </c>
      <c r="F49" s="99" t="s">
        <v>244</v>
      </c>
      <c r="G49" s="86">
        <v>20</v>
      </c>
      <c r="H49" s="124">
        <v>213.93</v>
      </c>
      <c r="I49" s="87">
        <f t="shared" si="0"/>
        <v>4278.6000000000004</v>
      </c>
    </row>
    <row r="50" spans="1:9" ht="33">
      <c r="A50" s="98"/>
      <c r="B50" s="55">
        <f t="shared" si="1"/>
        <v>46</v>
      </c>
      <c r="C50" s="58"/>
      <c r="D50" s="56" t="s">
        <v>438</v>
      </c>
      <c r="E50" s="56" t="s">
        <v>439</v>
      </c>
      <c r="F50" s="99" t="s">
        <v>244</v>
      </c>
      <c r="G50" s="86">
        <v>40</v>
      </c>
      <c r="H50" s="124">
        <v>20.72</v>
      </c>
      <c r="I50" s="87">
        <f t="shared" si="0"/>
        <v>828.8</v>
      </c>
    </row>
    <row r="51" spans="1:9" ht="49.5">
      <c r="A51" s="98"/>
      <c r="B51" s="55">
        <f t="shared" si="1"/>
        <v>47</v>
      </c>
      <c r="C51" s="58"/>
      <c r="D51" s="56" t="s">
        <v>440</v>
      </c>
      <c r="E51" s="56" t="s">
        <v>413</v>
      </c>
      <c r="F51" s="99" t="s">
        <v>244</v>
      </c>
      <c r="G51" s="86">
        <v>100</v>
      </c>
      <c r="H51" s="124">
        <v>2.5299999999999998</v>
      </c>
      <c r="I51" s="87">
        <f t="shared" si="0"/>
        <v>253</v>
      </c>
    </row>
    <row r="52" spans="1:9" ht="33">
      <c r="A52" s="98"/>
      <c r="B52" s="55">
        <f t="shared" si="1"/>
        <v>48</v>
      </c>
      <c r="C52" s="58"/>
      <c r="D52" s="56" t="s">
        <v>441</v>
      </c>
      <c r="E52" s="56" t="s">
        <v>442</v>
      </c>
      <c r="F52" s="99" t="s">
        <v>244</v>
      </c>
      <c r="G52" s="86">
        <v>30</v>
      </c>
      <c r="H52" s="124">
        <v>15.6</v>
      </c>
      <c r="I52" s="87">
        <f t="shared" si="0"/>
        <v>468</v>
      </c>
    </row>
    <row r="53" spans="1:9" ht="82.5">
      <c r="A53" s="98"/>
      <c r="B53" s="55">
        <f t="shared" si="1"/>
        <v>49</v>
      </c>
      <c r="C53" s="58" t="s">
        <v>443</v>
      </c>
      <c r="D53" s="56" t="s">
        <v>444</v>
      </c>
      <c r="E53" s="56" t="s">
        <v>445</v>
      </c>
      <c r="F53" s="99" t="s">
        <v>244</v>
      </c>
      <c r="G53" s="86">
        <v>45</v>
      </c>
      <c r="H53" s="124">
        <v>14.05</v>
      </c>
      <c r="I53" s="87">
        <f t="shared" si="0"/>
        <v>632.25</v>
      </c>
    </row>
    <row r="54" spans="1:9" ht="82.5">
      <c r="A54" s="100"/>
      <c r="B54" s="55">
        <f t="shared" si="1"/>
        <v>50</v>
      </c>
      <c r="C54" s="58" t="s">
        <v>446</v>
      </c>
      <c r="D54" s="56" t="s">
        <v>447</v>
      </c>
      <c r="E54" s="56" t="s">
        <v>448</v>
      </c>
      <c r="F54" s="99" t="s">
        <v>244</v>
      </c>
      <c r="G54" s="86">
        <v>20</v>
      </c>
      <c r="H54" s="124">
        <v>19.670000000000002</v>
      </c>
      <c r="I54" s="87">
        <f t="shared" si="0"/>
        <v>393.4</v>
      </c>
    </row>
    <row r="55" spans="1:9" ht="49.5">
      <c r="A55" s="98"/>
      <c r="B55" s="55">
        <f t="shared" si="1"/>
        <v>51</v>
      </c>
      <c r="C55" s="58" t="s">
        <v>449</v>
      </c>
      <c r="D55" s="56" t="s">
        <v>450</v>
      </c>
      <c r="E55" s="56" t="s">
        <v>451</v>
      </c>
      <c r="F55" s="99" t="s">
        <v>244</v>
      </c>
      <c r="G55" s="86">
        <v>200</v>
      </c>
      <c r="H55" s="124">
        <v>6.88</v>
      </c>
      <c r="I55" s="87">
        <f t="shared" si="0"/>
        <v>1376</v>
      </c>
    </row>
    <row r="56" spans="1:9" ht="396">
      <c r="A56" s="98"/>
      <c r="B56" s="55">
        <f t="shared" si="1"/>
        <v>52</v>
      </c>
      <c r="C56" s="58"/>
      <c r="D56" s="56" t="s">
        <v>452</v>
      </c>
      <c r="E56" s="56" t="s">
        <v>453</v>
      </c>
      <c r="F56" s="99" t="s">
        <v>244</v>
      </c>
      <c r="G56" s="86">
        <v>20</v>
      </c>
      <c r="H56" s="124">
        <v>267</v>
      </c>
      <c r="I56" s="87">
        <f t="shared" si="0"/>
        <v>5340</v>
      </c>
    </row>
    <row r="57" spans="1:9" ht="33">
      <c r="A57" s="98"/>
      <c r="B57" s="55">
        <f t="shared" si="1"/>
        <v>53</v>
      </c>
      <c r="C57" s="58" t="s">
        <v>454</v>
      </c>
      <c r="D57" s="56" t="s">
        <v>455</v>
      </c>
      <c r="E57" s="56"/>
      <c r="F57" s="99" t="s">
        <v>414</v>
      </c>
      <c r="G57" s="86">
        <v>10</v>
      </c>
      <c r="H57" s="124">
        <v>18.87</v>
      </c>
      <c r="I57" s="87">
        <f t="shared" si="0"/>
        <v>188.7</v>
      </c>
    </row>
    <row r="58" spans="1:9" ht="66">
      <c r="A58" s="98"/>
      <c r="B58" s="55">
        <f t="shared" si="1"/>
        <v>54</v>
      </c>
      <c r="C58" s="58" t="s">
        <v>456</v>
      </c>
      <c r="D58" s="56" t="s">
        <v>457</v>
      </c>
      <c r="E58" s="56" t="s">
        <v>458</v>
      </c>
      <c r="F58" s="99" t="s">
        <v>244</v>
      </c>
      <c r="G58" s="86">
        <v>300</v>
      </c>
      <c r="H58" s="124">
        <v>5.63</v>
      </c>
      <c r="I58" s="87">
        <f t="shared" si="0"/>
        <v>1689</v>
      </c>
    </row>
    <row r="59" spans="1:9" ht="66">
      <c r="A59" s="98"/>
      <c r="B59" s="55">
        <f t="shared" si="1"/>
        <v>55</v>
      </c>
      <c r="C59" s="58" t="s">
        <v>459</v>
      </c>
      <c r="D59" s="56" t="s">
        <v>460</v>
      </c>
      <c r="E59" s="56" t="s">
        <v>461</v>
      </c>
      <c r="F59" s="99" t="s">
        <v>244</v>
      </c>
      <c r="G59" s="86">
        <v>80</v>
      </c>
      <c r="H59" s="124">
        <v>5.63</v>
      </c>
      <c r="I59" s="87">
        <f t="shared" si="0"/>
        <v>450.4</v>
      </c>
    </row>
    <row r="60" spans="1:9" ht="49.5">
      <c r="A60" s="98"/>
      <c r="B60" s="55">
        <f t="shared" si="1"/>
        <v>56</v>
      </c>
      <c r="C60" s="58" t="s">
        <v>462</v>
      </c>
      <c r="D60" s="56" t="s">
        <v>463</v>
      </c>
      <c r="E60" s="56" t="s">
        <v>464</v>
      </c>
      <c r="F60" s="99" t="s">
        <v>244</v>
      </c>
      <c r="G60" s="86">
        <v>60</v>
      </c>
      <c r="H60" s="124">
        <v>5.63</v>
      </c>
      <c r="I60" s="87">
        <f t="shared" si="0"/>
        <v>337.8</v>
      </c>
    </row>
    <row r="61" spans="1:9" ht="49.5">
      <c r="A61" s="98"/>
      <c r="B61" s="55">
        <f t="shared" si="1"/>
        <v>57</v>
      </c>
      <c r="C61" s="58" t="s">
        <v>465</v>
      </c>
      <c r="D61" s="56" t="s">
        <v>466</v>
      </c>
      <c r="E61" s="56" t="s">
        <v>467</v>
      </c>
      <c r="F61" s="99" t="s">
        <v>244</v>
      </c>
      <c r="G61" s="86">
        <v>120</v>
      </c>
      <c r="H61" s="124">
        <v>5.63</v>
      </c>
      <c r="I61" s="87">
        <f t="shared" si="0"/>
        <v>675.6</v>
      </c>
    </row>
    <row r="62" spans="1:9" ht="115.5">
      <c r="A62" s="98"/>
      <c r="B62" s="55">
        <f t="shared" si="1"/>
        <v>58</v>
      </c>
      <c r="C62" s="58"/>
      <c r="D62" s="56" t="s">
        <v>468</v>
      </c>
      <c r="E62" s="56" t="s">
        <v>469</v>
      </c>
      <c r="F62" s="99" t="s">
        <v>244</v>
      </c>
      <c r="G62" s="86">
        <v>320</v>
      </c>
      <c r="H62" s="124">
        <v>41.55</v>
      </c>
      <c r="I62" s="87">
        <f t="shared" si="0"/>
        <v>13296</v>
      </c>
    </row>
    <row r="63" spans="1:9" s="83" customFormat="1" ht="16.5">
      <c r="A63" s="98"/>
      <c r="B63" s="55">
        <f t="shared" si="1"/>
        <v>59</v>
      </c>
      <c r="C63" s="58"/>
      <c r="D63" s="56" t="s">
        <v>470</v>
      </c>
      <c r="E63" s="56" t="s">
        <v>471</v>
      </c>
      <c r="F63" s="99" t="s">
        <v>244</v>
      </c>
      <c r="G63" s="86">
        <v>35</v>
      </c>
      <c r="H63" s="124">
        <v>29.51</v>
      </c>
      <c r="I63" s="87">
        <f t="shared" si="0"/>
        <v>1032.8499999999999</v>
      </c>
    </row>
    <row r="64" spans="1:9" ht="33">
      <c r="A64" s="100"/>
      <c r="B64" s="55">
        <f t="shared" si="1"/>
        <v>60</v>
      </c>
      <c r="C64" s="58"/>
      <c r="D64" s="56" t="s">
        <v>472</v>
      </c>
      <c r="E64" s="56" t="s">
        <v>473</v>
      </c>
      <c r="F64" s="99" t="s">
        <v>244</v>
      </c>
      <c r="G64" s="86">
        <v>35</v>
      </c>
      <c r="H64" s="124">
        <v>34.31</v>
      </c>
      <c r="I64" s="87">
        <f t="shared" si="0"/>
        <v>1200.8499999999999</v>
      </c>
    </row>
    <row r="65" spans="1:9" ht="99">
      <c r="A65" s="98"/>
      <c r="B65" s="55">
        <f t="shared" si="1"/>
        <v>61</v>
      </c>
      <c r="C65" s="58" t="s">
        <v>474</v>
      </c>
      <c r="D65" s="56" t="s">
        <v>475</v>
      </c>
      <c r="E65" s="56" t="s">
        <v>476</v>
      </c>
      <c r="F65" s="99" t="s">
        <v>244</v>
      </c>
      <c r="G65" s="86">
        <v>340</v>
      </c>
      <c r="H65" s="124">
        <v>1.75</v>
      </c>
      <c r="I65" s="87">
        <f t="shared" si="0"/>
        <v>595</v>
      </c>
    </row>
    <row r="66" spans="1:9" ht="82.5">
      <c r="A66" s="98"/>
      <c r="B66" s="55">
        <f t="shared" si="1"/>
        <v>62</v>
      </c>
      <c r="C66" s="58"/>
      <c r="D66" s="56" t="s">
        <v>477</v>
      </c>
      <c r="E66" s="56" t="s">
        <v>413</v>
      </c>
      <c r="F66" s="99" t="s">
        <v>244</v>
      </c>
      <c r="G66" s="86">
        <v>300</v>
      </c>
      <c r="H66" s="124">
        <v>4.4400000000000004</v>
      </c>
      <c r="I66" s="87">
        <f t="shared" si="0"/>
        <v>1332</v>
      </c>
    </row>
    <row r="67" spans="1:9" ht="82.5">
      <c r="A67" s="98"/>
      <c r="B67" s="55">
        <f t="shared" si="1"/>
        <v>63</v>
      </c>
      <c r="C67" s="58"/>
      <c r="D67" s="56" t="s">
        <v>478</v>
      </c>
      <c r="E67" s="56" t="s">
        <v>413</v>
      </c>
      <c r="F67" s="99" t="s">
        <v>244</v>
      </c>
      <c r="G67" s="86">
        <v>30</v>
      </c>
      <c r="H67" s="124">
        <v>4.4400000000000004</v>
      </c>
      <c r="I67" s="87">
        <f t="shared" si="0"/>
        <v>133.19999999999999</v>
      </c>
    </row>
    <row r="68" spans="1:9" ht="82.5">
      <c r="A68" s="98"/>
      <c r="B68" s="55">
        <f t="shared" si="1"/>
        <v>64</v>
      </c>
      <c r="C68" s="58"/>
      <c r="D68" s="56" t="s">
        <v>479</v>
      </c>
      <c r="E68" s="56" t="s">
        <v>413</v>
      </c>
      <c r="F68" s="99" t="s">
        <v>244</v>
      </c>
      <c r="G68" s="86">
        <v>100</v>
      </c>
      <c r="H68" s="124">
        <v>5.53</v>
      </c>
      <c r="I68" s="87">
        <f t="shared" si="0"/>
        <v>553</v>
      </c>
    </row>
    <row r="69" spans="1:9" ht="49.5">
      <c r="A69" s="98"/>
      <c r="B69" s="55">
        <f t="shared" si="1"/>
        <v>65</v>
      </c>
      <c r="C69" s="58" t="s">
        <v>480</v>
      </c>
      <c r="D69" s="56" t="s">
        <v>481</v>
      </c>
      <c r="E69" s="56"/>
      <c r="F69" s="99" t="s">
        <v>244</v>
      </c>
      <c r="G69" s="86">
        <v>5</v>
      </c>
      <c r="H69" s="124">
        <v>102.24</v>
      </c>
      <c r="I69" s="87">
        <f t="shared" si="0"/>
        <v>511.2</v>
      </c>
    </row>
    <row r="70" spans="1:9" ht="82.5">
      <c r="A70" s="98"/>
      <c r="B70" s="55">
        <f t="shared" si="1"/>
        <v>66</v>
      </c>
      <c r="C70" s="58"/>
      <c r="D70" s="56" t="s">
        <v>482</v>
      </c>
      <c r="E70" s="56" t="s">
        <v>483</v>
      </c>
      <c r="F70" s="99" t="s">
        <v>244</v>
      </c>
      <c r="G70" s="86">
        <v>200</v>
      </c>
      <c r="H70" s="124">
        <v>6.15</v>
      </c>
      <c r="I70" s="87">
        <f t="shared" ref="I70:I77" si="2">TRUNC(G70*H70,2)</f>
        <v>1230</v>
      </c>
    </row>
    <row r="71" spans="1:9" ht="99">
      <c r="A71" s="98"/>
      <c r="B71" s="55">
        <f t="shared" ref="B71:B77" si="3">B70+1</f>
        <v>67</v>
      </c>
      <c r="C71" s="58" t="s">
        <v>484</v>
      </c>
      <c r="D71" s="56" t="s">
        <v>485</v>
      </c>
      <c r="E71" s="56" t="s">
        <v>486</v>
      </c>
      <c r="F71" s="99" t="s">
        <v>244</v>
      </c>
      <c r="G71" s="86">
        <v>440</v>
      </c>
      <c r="H71" s="124">
        <v>69.27</v>
      </c>
      <c r="I71" s="87">
        <f t="shared" si="2"/>
        <v>30478.799999999999</v>
      </c>
    </row>
    <row r="72" spans="1:9" s="83" customFormat="1" ht="82.5">
      <c r="A72" s="98"/>
      <c r="B72" s="55">
        <f t="shared" si="3"/>
        <v>68</v>
      </c>
      <c r="C72" s="58" t="s">
        <v>487</v>
      </c>
      <c r="D72" s="56" t="s">
        <v>488</v>
      </c>
      <c r="E72" s="56" t="s">
        <v>489</v>
      </c>
      <c r="F72" s="99" t="s">
        <v>244</v>
      </c>
      <c r="G72" s="86">
        <v>280</v>
      </c>
      <c r="H72" s="124">
        <v>19.2</v>
      </c>
      <c r="I72" s="87">
        <f t="shared" si="2"/>
        <v>5376</v>
      </c>
    </row>
    <row r="73" spans="1:9" s="83" customFormat="1" ht="82.5">
      <c r="A73" s="100"/>
      <c r="B73" s="55">
        <f t="shared" si="3"/>
        <v>69</v>
      </c>
      <c r="C73" s="58" t="s">
        <v>490</v>
      </c>
      <c r="D73" s="56" t="s">
        <v>491</v>
      </c>
      <c r="E73" s="56" t="s">
        <v>492</v>
      </c>
      <c r="F73" s="99" t="s">
        <v>244</v>
      </c>
      <c r="G73" s="86">
        <v>60</v>
      </c>
      <c r="H73" s="124">
        <v>21.3</v>
      </c>
      <c r="I73" s="87">
        <f t="shared" si="2"/>
        <v>1278</v>
      </c>
    </row>
    <row r="74" spans="1:9" ht="82.5">
      <c r="A74" s="98"/>
      <c r="B74" s="55">
        <f t="shared" si="3"/>
        <v>70</v>
      </c>
      <c r="C74" s="58" t="s">
        <v>493</v>
      </c>
      <c r="D74" s="56" t="s">
        <v>494</v>
      </c>
      <c r="E74" s="56" t="s">
        <v>495</v>
      </c>
      <c r="F74" s="99" t="s">
        <v>244</v>
      </c>
      <c r="G74" s="86">
        <v>460</v>
      </c>
      <c r="H74" s="124">
        <v>21.17</v>
      </c>
      <c r="I74" s="87">
        <f t="shared" si="2"/>
        <v>9738.2000000000007</v>
      </c>
    </row>
    <row r="75" spans="1:9" ht="33">
      <c r="A75" s="98"/>
      <c r="B75" s="55">
        <f t="shared" si="3"/>
        <v>71</v>
      </c>
      <c r="C75" s="58"/>
      <c r="D75" s="56" t="s">
        <v>496</v>
      </c>
      <c r="E75" s="56"/>
      <c r="F75" s="99" t="s">
        <v>244</v>
      </c>
      <c r="G75" s="86">
        <v>10</v>
      </c>
      <c r="H75" s="124">
        <v>17.899999999999999</v>
      </c>
      <c r="I75" s="87">
        <f t="shared" si="2"/>
        <v>179</v>
      </c>
    </row>
    <row r="76" spans="1:9" ht="99">
      <c r="A76" s="98"/>
      <c r="B76" s="55">
        <f t="shared" si="3"/>
        <v>72</v>
      </c>
      <c r="C76" s="58"/>
      <c r="D76" s="56" t="s">
        <v>497</v>
      </c>
      <c r="E76" s="56" t="s">
        <v>498</v>
      </c>
      <c r="F76" s="99" t="s">
        <v>244</v>
      </c>
      <c r="G76" s="86">
        <v>300</v>
      </c>
      <c r="H76" s="124">
        <v>9.3000000000000007</v>
      </c>
      <c r="I76" s="87">
        <f t="shared" si="2"/>
        <v>2790</v>
      </c>
    </row>
    <row r="77" spans="1:9" ht="99">
      <c r="A77" s="98"/>
      <c r="B77" s="55">
        <f t="shared" si="3"/>
        <v>73</v>
      </c>
      <c r="C77" s="58"/>
      <c r="D77" s="56" t="s">
        <v>499</v>
      </c>
      <c r="E77" s="56" t="s">
        <v>500</v>
      </c>
      <c r="F77" s="99" t="s">
        <v>244</v>
      </c>
      <c r="G77" s="86">
        <v>800</v>
      </c>
      <c r="H77" s="124">
        <v>14.71</v>
      </c>
      <c r="I77" s="87">
        <f t="shared" si="2"/>
        <v>11768</v>
      </c>
    </row>
    <row r="78" spans="1:9" ht="16.5">
      <c r="A78" s="98"/>
      <c r="B78" s="84"/>
      <c r="C78" s="84"/>
      <c r="D78" s="84"/>
      <c r="E78" s="84"/>
      <c r="F78" s="84"/>
      <c r="G78" s="84"/>
      <c r="H78" s="84"/>
      <c r="I78" s="84"/>
    </row>
    <row r="79" spans="1:9" ht="16.5">
      <c r="A79" s="98"/>
      <c r="B79" s="21"/>
      <c r="C79" s="185" t="s">
        <v>502</v>
      </c>
      <c r="D79" s="186"/>
      <c r="E79" s="186"/>
      <c r="F79" s="186"/>
      <c r="G79" s="186"/>
      <c r="H79" s="187"/>
      <c r="I79" s="85">
        <f>SUM(I80:I84)</f>
        <v>6054.68</v>
      </c>
    </row>
    <row r="80" spans="1:9" ht="99">
      <c r="A80" s="98"/>
      <c r="B80" s="55">
        <f>B77+1</f>
        <v>74</v>
      </c>
      <c r="C80" s="58"/>
      <c r="D80" s="56" t="s">
        <v>503</v>
      </c>
      <c r="E80" s="56" t="s">
        <v>504</v>
      </c>
      <c r="F80" s="99" t="s">
        <v>244</v>
      </c>
      <c r="G80" s="86">
        <v>2</v>
      </c>
      <c r="H80" s="124">
        <v>766.89</v>
      </c>
      <c r="I80" s="87">
        <f>TRUNC(G80*H80,2)</f>
        <v>1533.78</v>
      </c>
    </row>
    <row r="81" spans="1:9" ht="33">
      <c r="A81" s="98"/>
      <c r="B81" s="55">
        <f>B80+1</f>
        <v>75</v>
      </c>
      <c r="C81" s="58"/>
      <c r="D81" s="56" t="s">
        <v>505</v>
      </c>
      <c r="E81" s="56" t="s">
        <v>506</v>
      </c>
      <c r="F81" s="99" t="s">
        <v>244</v>
      </c>
      <c r="G81" s="86">
        <v>20</v>
      </c>
      <c r="H81" s="124">
        <v>32</v>
      </c>
      <c r="I81" s="87">
        <f>TRUNC(G81*H81,2)</f>
        <v>640</v>
      </c>
    </row>
    <row r="82" spans="1:9" ht="33">
      <c r="A82" s="98"/>
      <c r="B82" s="55">
        <f>B81+1</f>
        <v>76</v>
      </c>
      <c r="C82" s="58"/>
      <c r="D82" s="56" t="s">
        <v>507</v>
      </c>
      <c r="E82" s="56" t="s">
        <v>508</v>
      </c>
      <c r="F82" s="99" t="s">
        <v>244</v>
      </c>
      <c r="G82" s="86">
        <v>20</v>
      </c>
      <c r="H82" s="124">
        <v>45.54</v>
      </c>
      <c r="I82" s="87">
        <f>TRUNC(G82*H82,2)</f>
        <v>910.8</v>
      </c>
    </row>
    <row r="83" spans="1:9" ht="16.5">
      <c r="A83" s="98"/>
      <c r="B83" s="55">
        <f>B82+1</f>
        <v>77</v>
      </c>
      <c r="C83" s="58"/>
      <c r="D83" s="56" t="s">
        <v>509</v>
      </c>
      <c r="E83" s="56" t="s">
        <v>510</v>
      </c>
      <c r="F83" s="99" t="s">
        <v>244</v>
      </c>
      <c r="G83" s="86">
        <v>10</v>
      </c>
      <c r="H83" s="124">
        <v>127.85</v>
      </c>
      <c r="I83" s="87">
        <f>TRUNC(G83*H83,2)</f>
        <v>1278.5</v>
      </c>
    </row>
    <row r="84" spans="1:9" ht="33">
      <c r="A84" s="98"/>
      <c r="B84" s="55">
        <f>B83+1</f>
        <v>78</v>
      </c>
      <c r="C84" s="58"/>
      <c r="D84" s="56" t="s">
        <v>511</v>
      </c>
      <c r="E84" s="56" t="s">
        <v>512</v>
      </c>
      <c r="F84" s="99" t="s">
        <v>244</v>
      </c>
      <c r="G84" s="86">
        <v>10</v>
      </c>
      <c r="H84" s="124">
        <v>169.16</v>
      </c>
      <c r="I84" s="87">
        <f>TRUNC(G84*H84,2)</f>
        <v>1691.6</v>
      </c>
    </row>
    <row r="85" spans="1:9" ht="16.5">
      <c r="A85" s="98"/>
      <c r="B85" s="84"/>
      <c r="C85" s="84"/>
      <c r="D85" s="84"/>
      <c r="E85" s="84"/>
      <c r="F85" s="84"/>
      <c r="G85" s="84"/>
      <c r="H85" s="84"/>
      <c r="I85" s="84"/>
    </row>
    <row r="86" spans="1:9" ht="16.5">
      <c r="A86" s="98"/>
      <c r="B86" s="21"/>
      <c r="C86" s="185" t="s">
        <v>513</v>
      </c>
      <c r="D86" s="186"/>
      <c r="E86" s="186"/>
      <c r="F86" s="186"/>
      <c r="G86" s="186"/>
      <c r="H86" s="187"/>
      <c r="I86" s="85">
        <f>SUM(I87:I95)</f>
        <v>224473.1</v>
      </c>
    </row>
    <row r="87" spans="1:9" ht="214.5">
      <c r="A87" s="98"/>
      <c r="B87" s="55">
        <f>B84+1</f>
        <v>79</v>
      </c>
      <c r="C87" s="58"/>
      <c r="D87" s="56" t="s">
        <v>514</v>
      </c>
      <c r="E87" s="56" t="s">
        <v>515</v>
      </c>
      <c r="F87" s="99" t="s">
        <v>516</v>
      </c>
      <c r="G87" s="86">
        <v>60</v>
      </c>
      <c r="H87" s="124">
        <v>1678.32</v>
      </c>
      <c r="I87" s="87">
        <f t="shared" ref="I87:I95" si="4">TRUNC(G87*H87,2)</f>
        <v>100699.2</v>
      </c>
    </row>
    <row r="88" spans="1:9" ht="16.5">
      <c r="A88" s="98"/>
      <c r="B88" s="55">
        <f t="shared" ref="B88:B95" si="5">B87+1</f>
        <v>80</v>
      </c>
      <c r="C88" s="58"/>
      <c r="D88" s="56" t="s">
        <v>517</v>
      </c>
      <c r="E88" s="56" t="s">
        <v>518</v>
      </c>
      <c r="F88" s="99" t="s">
        <v>244</v>
      </c>
      <c r="G88" s="86">
        <v>50</v>
      </c>
      <c r="H88" s="124">
        <v>0.44</v>
      </c>
      <c r="I88" s="87">
        <f t="shared" si="4"/>
        <v>22</v>
      </c>
    </row>
    <row r="89" spans="1:9" ht="33">
      <c r="A89" s="98"/>
      <c r="B89" s="55">
        <f t="shared" si="5"/>
        <v>81</v>
      </c>
      <c r="C89" s="58"/>
      <c r="D89" s="56" t="s">
        <v>519</v>
      </c>
      <c r="E89" s="56" t="s">
        <v>518</v>
      </c>
      <c r="F89" s="99" t="s">
        <v>244</v>
      </c>
      <c r="G89" s="86">
        <v>1350</v>
      </c>
      <c r="H89" s="124">
        <v>50.69</v>
      </c>
      <c r="I89" s="87">
        <f t="shared" si="4"/>
        <v>68431.5</v>
      </c>
    </row>
    <row r="90" spans="1:9" ht="16.5">
      <c r="A90" s="98"/>
      <c r="B90" s="55">
        <f t="shared" si="5"/>
        <v>82</v>
      </c>
      <c r="C90" s="58"/>
      <c r="D90" s="56" t="s">
        <v>520</v>
      </c>
      <c r="E90" s="56" t="s">
        <v>521</v>
      </c>
      <c r="F90" s="99" t="s">
        <v>244</v>
      </c>
      <c r="G90" s="86">
        <v>2170</v>
      </c>
      <c r="H90" s="124">
        <v>6.45</v>
      </c>
      <c r="I90" s="87">
        <f t="shared" si="4"/>
        <v>13996.5</v>
      </c>
    </row>
    <row r="91" spans="1:9" ht="82.5">
      <c r="A91" s="98"/>
      <c r="B91" s="55">
        <f t="shared" si="5"/>
        <v>83</v>
      </c>
      <c r="C91" s="58"/>
      <c r="D91" s="56" t="s">
        <v>522</v>
      </c>
      <c r="E91" s="56" t="s">
        <v>523</v>
      </c>
      <c r="F91" s="99" t="s">
        <v>244</v>
      </c>
      <c r="G91" s="86">
        <v>30</v>
      </c>
      <c r="H91" s="124">
        <v>112.33</v>
      </c>
      <c r="I91" s="87">
        <f t="shared" si="4"/>
        <v>3369.9</v>
      </c>
    </row>
    <row r="92" spans="1:9" ht="181.5">
      <c r="A92" s="98"/>
      <c r="B92" s="55">
        <f t="shared" si="5"/>
        <v>84</v>
      </c>
      <c r="C92" s="58"/>
      <c r="D92" s="56" t="s">
        <v>524</v>
      </c>
      <c r="E92" s="56" t="s">
        <v>515</v>
      </c>
      <c r="F92" s="99" t="s">
        <v>244</v>
      </c>
      <c r="G92" s="86">
        <v>200</v>
      </c>
      <c r="H92" s="124">
        <v>39.130000000000003</v>
      </c>
      <c r="I92" s="87">
        <f t="shared" si="4"/>
        <v>7826</v>
      </c>
    </row>
    <row r="93" spans="1:9" ht="181.5">
      <c r="A93" s="98"/>
      <c r="B93" s="55">
        <f t="shared" si="5"/>
        <v>85</v>
      </c>
      <c r="C93" s="58"/>
      <c r="D93" s="56" t="s">
        <v>525</v>
      </c>
      <c r="E93" s="56" t="s">
        <v>515</v>
      </c>
      <c r="F93" s="99" t="s">
        <v>244</v>
      </c>
      <c r="G93" s="86">
        <v>200</v>
      </c>
      <c r="H93" s="124">
        <v>39.130000000000003</v>
      </c>
      <c r="I93" s="87">
        <f t="shared" si="4"/>
        <v>7826</v>
      </c>
    </row>
    <row r="94" spans="1:9" ht="181.5">
      <c r="A94" s="98"/>
      <c r="B94" s="55">
        <f t="shared" si="5"/>
        <v>86</v>
      </c>
      <c r="C94" s="58"/>
      <c r="D94" s="56" t="s">
        <v>526</v>
      </c>
      <c r="E94" s="56" t="s">
        <v>515</v>
      </c>
      <c r="F94" s="99" t="s">
        <v>244</v>
      </c>
      <c r="G94" s="86">
        <v>200</v>
      </c>
      <c r="H94" s="124">
        <v>39.130000000000003</v>
      </c>
      <c r="I94" s="87">
        <f t="shared" si="4"/>
        <v>7826</v>
      </c>
    </row>
    <row r="95" spans="1:9" ht="198">
      <c r="A95" s="98"/>
      <c r="B95" s="55">
        <f t="shared" si="5"/>
        <v>87</v>
      </c>
      <c r="C95" s="58"/>
      <c r="D95" s="56" t="s">
        <v>527</v>
      </c>
      <c r="E95" s="56" t="s">
        <v>528</v>
      </c>
      <c r="F95" s="99" t="s">
        <v>244</v>
      </c>
      <c r="G95" s="86">
        <v>20</v>
      </c>
      <c r="H95" s="124">
        <v>723.8</v>
      </c>
      <c r="I95" s="87">
        <f t="shared" si="4"/>
        <v>14476</v>
      </c>
    </row>
    <row r="96" spans="1:9" ht="16.5">
      <c r="A96" s="98"/>
      <c r="B96" s="84"/>
      <c r="C96" s="84"/>
      <c r="D96" s="84"/>
      <c r="E96" s="84"/>
      <c r="F96" s="84"/>
      <c r="G96" s="84"/>
      <c r="H96" s="84"/>
      <c r="I96" s="84"/>
    </row>
    <row r="97" spans="1:9" ht="16.5">
      <c r="A97" s="98"/>
      <c r="B97" s="21"/>
      <c r="C97" s="185" t="s">
        <v>607</v>
      </c>
      <c r="D97" s="186"/>
      <c r="E97" s="186"/>
      <c r="F97" s="186"/>
      <c r="G97" s="186"/>
      <c r="H97" s="187"/>
      <c r="I97" s="85">
        <f>SUM(I98:I132)</f>
        <v>74569.450000000012</v>
      </c>
    </row>
    <row r="98" spans="1:9" ht="33">
      <c r="A98" s="98"/>
      <c r="B98" s="55">
        <f>B95+1</f>
        <v>88</v>
      </c>
      <c r="C98" s="58" t="s">
        <v>529</v>
      </c>
      <c r="D98" s="56" t="s">
        <v>530</v>
      </c>
      <c r="E98" s="56"/>
      <c r="F98" s="99" t="s">
        <v>244</v>
      </c>
      <c r="G98" s="86">
        <v>17</v>
      </c>
      <c r="H98" s="124">
        <v>23.76</v>
      </c>
      <c r="I98" s="87">
        <f>TRUNC(G98*H98,2)</f>
        <v>403.92</v>
      </c>
    </row>
    <row r="99" spans="1:9" ht="33">
      <c r="A99" s="98"/>
      <c r="B99" s="55">
        <f t="shared" ref="B99:B132" si="6">B98+1</f>
        <v>89</v>
      </c>
      <c r="C99" s="58" t="s">
        <v>531</v>
      </c>
      <c r="D99" s="56" t="s">
        <v>532</v>
      </c>
      <c r="E99" s="56" t="s">
        <v>533</v>
      </c>
      <c r="F99" s="99" t="s">
        <v>244</v>
      </c>
      <c r="G99" s="86">
        <v>15</v>
      </c>
      <c r="H99" s="124">
        <v>32.65</v>
      </c>
      <c r="I99" s="87">
        <f t="shared" ref="I99:I132" si="7">TRUNC(G99*H99,2)</f>
        <v>489.75</v>
      </c>
    </row>
    <row r="100" spans="1:9" ht="33">
      <c r="A100" s="98"/>
      <c r="B100" s="55">
        <f t="shared" si="6"/>
        <v>90</v>
      </c>
      <c r="C100" s="58" t="s">
        <v>534</v>
      </c>
      <c r="D100" s="56" t="s">
        <v>535</v>
      </c>
      <c r="E100" s="56" t="s">
        <v>536</v>
      </c>
      <c r="F100" s="99" t="s">
        <v>244</v>
      </c>
      <c r="G100" s="86">
        <v>5</v>
      </c>
      <c r="H100" s="124">
        <v>157.59</v>
      </c>
      <c r="I100" s="87">
        <f t="shared" si="7"/>
        <v>787.95</v>
      </c>
    </row>
    <row r="101" spans="1:9" ht="33">
      <c r="A101" s="98"/>
      <c r="B101" s="55">
        <f t="shared" si="6"/>
        <v>91</v>
      </c>
      <c r="C101" s="58"/>
      <c r="D101" s="56" t="s">
        <v>537</v>
      </c>
      <c r="E101" s="56" t="s">
        <v>538</v>
      </c>
      <c r="F101" s="99" t="s">
        <v>244</v>
      </c>
      <c r="G101" s="86">
        <v>10</v>
      </c>
      <c r="H101" s="124">
        <v>206.1</v>
      </c>
      <c r="I101" s="87">
        <f t="shared" si="7"/>
        <v>2061</v>
      </c>
    </row>
    <row r="102" spans="1:9" ht="33">
      <c r="A102" s="98"/>
      <c r="B102" s="55">
        <f t="shared" si="6"/>
        <v>92</v>
      </c>
      <c r="C102" s="58" t="s">
        <v>539</v>
      </c>
      <c r="D102" s="56" t="s">
        <v>540</v>
      </c>
      <c r="E102" s="56" t="s">
        <v>541</v>
      </c>
      <c r="F102" s="99" t="s">
        <v>244</v>
      </c>
      <c r="G102" s="86">
        <v>10</v>
      </c>
      <c r="H102" s="124">
        <v>48.95</v>
      </c>
      <c r="I102" s="87">
        <f t="shared" si="7"/>
        <v>489.5</v>
      </c>
    </row>
    <row r="103" spans="1:9" ht="33">
      <c r="A103" s="98"/>
      <c r="B103" s="55">
        <f t="shared" si="6"/>
        <v>93</v>
      </c>
      <c r="C103" s="58" t="s">
        <v>542</v>
      </c>
      <c r="D103" s="56" t="s">
        <v>543</v>
      </c>
      <c r="E103" s="56"/>
      <c r="F103" s="99" t="s">
        <v>244</v>
      </c>
      <c r="G103" s="86">
        <v>8</v>
      </c>
      <c r="H103" s="124">
        <v>14.19</v>
      </c>
      <c r="I103" s="87">
        <f t="shared" si="7"/>
        <v>113.52</v>
      </c>
    </row>
    <row r="104" spans="1:9" ht="33">
      <c r="A104" s="98"/>
      <c r="B104" s="55">
        <f t="shared" si="6"/>
        <v>94</v>
      </c>
      <c r="C104" s="58"/>
      <c r="D104" s="56" t="s">
        <v>544</v>
      </c>
      <c r="E104" s="56" t="s">
        <v>545</v>
      </c>
      <c r="F104" s="99" t="s">
        <v>244</v>
      </c>
      <c r="G104" s="86">
        <v>15</v>
      </c>
      <c r="H104" s="124">
        <v>50.58</v>
      </c>
      <c r="I104" s="87">
        <f t="shared" si="7"/>
        <v>758.7</v>
      </c>
    </row>
    <row r="105" spans="1:9" ht="33">
      <c r="A105" s="98"/>
      <c r="B105" s="55">
        <f t="shared" si="6"/>
        <v>95</v>
      </c>
      <c r="C105" s="58" t="s">
        <v>546</v>
      </c>
      <c r="D105" s="56" t="s">
        <v>547</v>
      </c>
      <c r="E105" s="56" t="s">
        <v>548</v>
      </c>
      <c r="F105" s="99" t="s">
        <v>244</v>
      </c>
      <c r="G105" s="86">
        <v>5</v>
      </c>
      <c r="H105" s="124">
        <v>339.49</v>
      </c>
      <c r="I105" s="87">
        <f t="shared" si="7"/>
        <v>1697.45</v>
      </c>
    </row>
    <row r="106" spans="1:9" ht="33">
      <c r="A106" s="98"/>
      <c r="B106" s="55">
        <f t="shared" si="6"/>
        <v>96</v>
      </c>
      <c r="C106" s="58"/>
      <c r="D106" s="56" t="s">
        <v>549</v>
      </c>
      <c r="E106" s="56" t="s">
        <v>550</v>
      </c>
      <c r="F106" s="99" t="s">
        <v>244</v>
      </c>
      <c r="G106" s="86">
        <v>15</v>
      </c>
      <c r="H106" s="124">
        <v>30</v>
      </c>
      <c r="I106" s="87">
        <f t="shared" si="7"/>
        <v>450</v>
      </c>
    </row>
    <row r="107" spans="1:9" ht="33">
      <c r="A107" s="98"/>
      <c r="B107" s="55">
        <f t="shared" si="6"/>
        <v>97</v>
      </c>
      <c r="C107" s="58"/>
      <c r="D107" s="56" t="s">
        <v>551</v>
      </c>
      <c r="E107" s="56" t="s">
        <v>552</v>
      </c>
      <c r="F107" s="99" t="s">
        <v>244</v>
      </c>
      <c r="G107" s="86">
        <v>10</v>
      </c>
      <c r="H107" s="124">
        <v>4.4400000000000004</v>
      </c>
      <c r="I107" s="87">
        <f t="shared" si="7"/>
        <v>44.4</v>
      </c>
    </row>
    <row r="108" spans="1:9" ht="66">
      <c r="A108" s="98"/>
      <c r="B108" s="55">
        <f t="shared" si="6"/>
        <v>98</v>
      </c>
      <c r="C108" s="58"/>
      <c r="D108" s="56" t="s">
        <v>553</v>
      </c>
      <c r="E108" s="56" t="s">
        <v>554</v>
      </c>
      <c r="F108" s="99" t="s">
        <v>244</v>
      </c>
      <c r="G108" s="86">
        <v>10</v>
      </c>
      <c r="H108" s="124">
        <v>7.3</v>
      </c>
      <c r="I108" s="87">
        <f t="shared" si="7"/>
        <v>73</v>
      </c>
    </row>
    <row r="109" spans="1:9" ht="66">
      <c r="A109" s="98"/>
      <c r="B109" s="55">
        <f t="shared" si="6"/>
        <v>99</v>
      </c>
      <c r="C109" s="58"/>
      <c r="D109" s="56" t="s">
        <v>555</v>
      </c>
      <c r="E109" s="56" t="s">
        <v>556</v>
      </c>
      <c r="F109" s="99" t="s">
        <v>244</v>
      </c>
      <c r="G109" s="86">
        <v>20</v>
      </c>
      <c r="H109" s="124">
        <v>8.41</v>
      </c>
      <c r="I109" s="87">
        <f t="shared" si="7"/>
        <v>168.2</v>
      </c>
    </row>
    <row r="110" spans="1:9" ht="66">
      <c r="A110" s="98"/>
      <c r="B110" s="55">
        <f t="shared" si="6"/>
        <v>100</v>
      </c>
      <c r="C110" s="58"/>
      <c r="D110" s="56" t="s">
        <v>557</v>
      </c>
      <c r="E110" s="56" t="s">
        <v>558</v>
      </c>
      <c r="F110" s="99" t="s">
        <v>244</v>
      </c>
      <c r="G110" s="86">
        <v>50</v>
      </c>
      <c r="H110" s="124">
        <v>15</v>
      </c>
      <c r="I110" s="87">
        <f t="shared" si="7"/>
        <v>750</v>
      </c>
    </row>
    <row r="111" spans="1:9" ht="49.5">
      <c r="A111" s="98"/>
      <c r="B111" s="55">
        <f t="shared" si="6"/>
        <v>101</v>
      </c>
      <c r="C111" s="58" t="s">
        <v>559</v>
      </c>
      <c r="D111" s="56" t="s">
        <v>560</v>
      </c>
      <c r="E111" s="56"/>
      <c r="F111" s="99" t="s">
        <v>244</v>
      </c>
      <c r="G111" s="86">
        <v>5</v>
      </c>
      <c r="H111" s="124">
        <v>52.47</v>
      </c>
      <c r="I111" s="87">
        <f t="shared" si="7"/>
        <v>262.35000000000002</v>
      </c>
    </row>
    <row r="112" spans="1:9" ht="16.5">
      <c r="A112" s="98"/>
      <c r="B112" s="55">
        <f t="shared" si="6"/>
        <v>102</v>
      </c>
      <c r="C112" s="58" t="s">
        <v>561</v>
      </c>
      <c r="D112" s="56" t="s">
        <v>562</v>
      </c>
      <c r="E112" s="56"/>
      <c r="F112" s="99" t="s">
        <v>244</v>
      </c>
      <c r="G112" s="86">
        <v>10</v>
      </c>
      <c r="H112" s="124">
        <v>120.71</v>
      </c>
      <c r="I112" s="87">
        <f t="shared" si="7"/>
        <v>1207.0999999999999</v>
      </c>
    </row>
    <row r="113" spans="1:9" ht="33">
      <c r="A113" s="98"/>
      <c r="B113" s="55">
        <f t="shared" si="6"/>
        <v>103</v>
      </c>
      <c r="C113" s="58"/>
      <c r="D113" s="56" t="s">
        <v>563</v>
      </c>
      <c r="E113" s="56" t="s">
        <v>564</v>
      </c>
      <c r="F113" s="99" t="s">
        <v>244</v>
      </c>
      <c r="G113" s="86">
        <v>20</v>
      </c>
      <c r="H113" s="124">
        <v>99.44</v>
      </c>
      <c r="I113" s="87">
        <f t="shared" si="7"/>
        <v>1988.8</v>
      </c>
    </row>
    <row r="114" spans="1:9" ht="49.5">
      <c r="A114" s="98"/>
      <c r="B114" s="55">
        <f t="shared" si="6"/>
        <v>104</v>
      </c>
      <c r="C114" s="58"/>
      <c r="D114" s="56" t="s">
        <v>565</v>
      </c>
      <c r="E114" s="56" t="s">
        <v>566</v>
      </c>
      <c r="F114" s="99" t="s">
        <v>244</v>
      </c>
      <c r="G114" s="86">
        <v>250</v>
      </c>
      <c r="H114" s="124">
        <v>172.9</v>
      </c>
      <c r="I114" s="87">
        <f t="shared" si="7"/>
        <v>43225</v>
      </c>
    </row>
    <row r="115" spans="1:9" ht="66">
      <c r="A115" s="98"/>
      <c r="B115" s="55">
        <f t="shared" si="6"/>
        <v>105</v>
      </c>
      <c r="C115" s="58"/>
      <c r="D115" s="56" t="s">
        <v>567</v>
      </c>
      <c r="E115" s="56"/>
      <c r="F115" s="99" t="s">
        <v>245</v>
      </c>
      <c r="G115" s="86">
        <v>300</v>
      </c>
      <c r="H115" s="124">
        <v>3.2</v>
      </c>
      <c r="I115" s="87">
        <f t="shared" si="7"/>
        <v>960</v>
      </c>
    </row>
    <row r="116" spans="1:9" ht="33">
      <c r="A116" s="98"/>
      <c r="B116" s="55">
        <f t="shared" si="6"/>
        <v>106</v>
      </c>
      <c r="C116" s="58" t="s">
        <v>568</v>
      </c>
      <c r="D116" s="56" t="s">
        <v>569</v>
      </c>
      <c r="E116" s="56"/>
      <c r="F116" s="99" t="s">
        <v>245</v>
      </c>
      <c r="G116" s="86">
        <v>150</v>
      </c>
      <c r="H116" s="124">
        <v>5.7</v>
      </c>
      <c r="I116" s="87">
        <f t="shared" si="7"/>
        <v>855</v>
      </c>
    </row>
    <row r="117" spans="1:9" ht="66">
      <c r="A117" s="98"/>
      <c r="B117" s="55">
        <f>B116+1</f>
        <v>107</v>
      </c>
      <c r="C117" s="58" t="s">
        <v>570</v>
      </c>
      <c r="D117" s="56" t="s">
        <v>92</v>
      </c>
      <c r="E117" s="56"/>
      <c r="F117" s="99" t="s">
        <v>244</v>
      </c>
      <c r="G117" s="86">
        <v>10</v>
      </c>
      <c r="H117" s="124">
        <v>143.29</v>
      </c>
      <c r="I117" s="87">
        <f t="shared" si="7"/>
        <v>1432.9</v>
      </c>
    </row>
    <row r="118" spans="1:9" ht="49.5">
      <c r="A118" s="98"/>
      <c r="B118" s="55">
        <f t="shared" si="6"/>
        <v>108</v>
      </c>
      <c r="C118" s="58" t="s">
        <v>571</v>
      </c>
      <c r="D118" s="56" t="s">
        <v>572</v>
      </c>
      <c r="E118" s="56"/>
      <c r="F118" s="99" t="s">
        <v>244</v>
      </c>
      <c r="G118" s="86">
        <v>5</v>
      </c>
      <c r="H118" s="124">
        <v>29.7</v>
      </c>
      <c r="I118" s="87">
        <f t="shared" si="7"/>
        <v>148.5</v>
      </c>
    </row>
    <row r="119" spans="1:9" ht="49.5">
      <c r="A119" s="98"/>
      <c r="B119" s="55">
        <f t="shared" si="6"/>
        <v>109</v>
      </c>
      <c r="C119" s="58" t="s">
        <v>573</v>
      </c>
      <c r="D119" s="56" t="s">
        <v>574</v>
      </c>
      <c r="E119" s="56"/>
      <c r="F119" s="99" t="s">
        <v>244</v>
      </c>
      <c r="G119" s="86">
        <v>6</v>
      </c>
      <c r="H119" s="124">
        <v>84.21</v>
      </c>
      <c r="I119" s="87">
        <f t="shared" si="7"/>
        <v>505.26</v>
      </c>
    </row>
    <row r="120" spans="1:9" ht="33">
      <c r="A120" s="98"/>
      <c r="B120" s="55">
        <f t="shared" si="6"/>
        <v>110</v>
      </c>
      <c r="C120" s="58" t="s">
        <v>575</v>
      </c>
      <c r="D120" s="56" t="s">
        <v>576</v>
      </c>
      <c r="E120" s="56" t="s">
        <v>577</v>
      </c>
      <c r="F120" s="99" t="s">
        <v>244</v>
      </c>
      <c r="G120" s="86">
        <v>5</v>
      </c>
      <c r="H120" s="124">
        <v>102</v>
      </c>
      <c r="I120" s="87">
        <f t="shared" si="7"/>
        <v>510</v>
      </c>
    </row>
    <row r="121" spans="1:9" ht="49.5">
      <c r="A121" s="98"/>
      <c r="B121" s="55">
        <f t="shared" si="6"/>
        <v>111</v>
      </c>
      <c r="C121" s="58"/>
      <c r="D121" s="56" t="s">
        <v>578</v>
      </c>
      <c r="E121" s="56" t="s">
        <v>579</v>
      </c>
      <c r="F121" s="99" t="s">
        <v>244</v>
      </c>
      <c r="G121" s="86">
        <v>10</v>
      </c>
      <c r="H121" s="124">
        <v>89</v>
      </c>
      <c r="I121" s="87">
        <f t="shared" si="7"/>
        <v>890</v>
      </c>
    </row>
    <row r="122" spans="1:9" ht="33">
      <c r="A122" s="98"/>
      <c r="B122" s="55">
        <f t="shared" si="6"/>
        <v>112</v>
      </c>
      <c r="C122" s="58"/>
      <c r="D122" s="56" t="s">
        <v>580</v>
      </c>
      <c r="E122" s="56" t="s">
        <v>581</v>
      </c>
      <c r="F122" s="99" t="s">
        <v>244</v>
      </c>
      <c r="G122" s="86">
        <v>40</v>
      </c>
      <c r="H122" s="124">
        <v>120.9</v>
      </c>
      <c r="I122" s="87">
        <f t="shared" si="7"/>
        <v>4836</v>
      </c>
    </row>
    <row r="123" spans="1:9" ht="66">
      <c r="A123" s="98"/>
      <c r="B123" s="55">
        <f t="shared" si="6"/>
        <v>113</v>
      </c>
      <c r="C123" s="58" t="s">
        <v>582</v>
      </c>
      <c r="D123" s="56" t="s">
        <v>583</v>
      </c>
      <c r="E123" s="56" t="s">
        <v>584</v>
      </c>
      <c r="F123" s="99" t="s">
        <v>244</v>
      </c>
      <c r="G123" s="86">
        <v>20</v>
      </c>
      <c r="H123" s="124">
        <v>89</v>
      </c>
      <c r="I123" s="87">
        <f t="shared" si="7"/>
        <v>1780</v>
      </c>
    </row>
    <row r="124" spans="1:9" ht="66">
      <c r="A124" s="98"/>
      <c r="B124" s="55">
        <f t="shared" si="6"/>
        <v>114</v>
      </c>
      <c r="C124" s="58" t="s">
        <v>585</v>
      </c>
      <c r="D124" s="56" t="s">
        <v>586</v>
      </c>
      <c r="E124" s="56" t="s">
        <v>587</v>
      </c>
      <c r="F124" s="99" t="s">
        <v>244</v>
      </c>
      <c r="G124" s="86">
        <v>31</v>
      </c>
      <c r="H124" s="124">
        <v>19.100000000000001</v>
      </c>
      <c r="I124" s="87">
        <f t="shared" si="7"/>
        <v>592.1</v>
      </c>
    </row>
    <row r="125" spans="1:9" ht="33">
      <c r="A125" s="98"/>
      <c r="B125" s="55">
        <f t="shared" si="6"/>
        <v>115</v>
      </c>
      <c r="C125" s="58" t="s">
        <v>588</v>
      </c>
      <c r="D125" s="56" t="s">
        <v>589</v>
      </c>
      <c r="E125" s="56" t="s">
        <v>590</v>
      </c>
      <c r="F125" s="99" t="s">
        <v>244</v>
      </c>
      <c r="G125" s="86">
        <v>30</v>
      </c>
      <c r="H125" s="124">
        <v>157.19</v>
      </c>
      <c r="I125" s="87">
        <f t="shared" si="7"/>
        <v>4715.7</v>
      </c>
    </row>
    <row r="126" spans="1:9" ht="49.5">
      <c r="A126" s="98"/>
      <c r="B126" s="55">
        <f t="shared" si="6"/>
        <v>116</v>
      </c>
      <c r="C126" s="58" t="s">
        <v>591</v>
      </c>
      <c r="D126" s="56" t="s">
        <v>592</v>
      </c>
      <c r="E126" s="56"/>
      <c r="F126" s="99" t="s">
        <v>244</v>
      </c>
      <c r="G126" s="86">
        <v>10</v>
      </c>
      <c r="H126" s="124">
        <v>35.979999999999997</v>
      </c>
      <c r="I126" s="87">
        <f t="shared" si="7"/>
        <v>359.8</v>
      </c>
    </row>
    <row r="127" spans="1:9" ht="33">
      <c r="A127" s="98"/>
      <c r="B127" s="55">
        <f t="shared" si="6"/>
        <v>117</v>
      </c>
      <c r="C127" s="58"/>
      <c r="D127" s="56" t="s">
        <v>593</v>
      </c>
      <c r="E127" s="56" t="s">
        <v>594</v>
      </c>
      <c r="F127" s="99" t="s">
        <v>244</v>
      </c>
      <c r="G127" s="86">
        <v>5</v>
      </c>
      <c r="H127" s="124">
        <v>42</v>
      </c>
      <c r="I127" s="87">
        <f t="shared" si="7"/>
        <v>210</v>
      </c>
    </row>
    <row r="128" spans="1:9" ht="49.5">
      <c r="A128" s="98"/>
      <c r="B128" s="55">
        <f t="shared" si="6"/>
        <v>118</v>
      </c>
      <c r="C128" s="58" t="s">
        <v>595</v>
      </c>
      <c r="D128" s="56" t="s">
        <v>596</v>
      </c>
      <c r="E128" s="56"/>
      <c r="F128" s="99" t="s">
        <v>244</v>
      </c>
      <c r="G128" s="86">
        <v>15</v>
      </c>
      <c r="H128" s="124">
        <v>18.170000000000002</v>
      </c>
      <c r="I128" s="87">
        <f t="shared" si="7"/>
        <v>272.55</v>
      </c>
    </row>
    <row r="129" spans="1:9" ht="33">
      <c r="A129" s="98"/>
      <c r="B129" s="55">
        <f t="shared" si="6"/>
        <v>119</v>
      </c>
      <c r="C129" s="58" t="s">
        <v>597</v>
      </c>
      <c r="D129" s="56" t="s">
        <v>598</v>
      </c>
      <c r="E129" s="56"/>
      <c r="F129" s="99" t="s">
        <v>244</v>
      </c>
      <c r="G129" s="86">
        <v>5</v>
      </c>
      <c r="H129" s="124">
        <v>48.86</v>
      </c>
      <c r="I129" s="87">
        <f t="shared" si="7"/>
        <v>244.3</v>
      </c>
    </row>
    <row r="130" spans="1:9" ht="16.5">
      <c r="A130" s="98"/>
      <c r="B130" s="55">
        <f t="shared" si="6"/>
        <v>120</v>
      </c>
      <c r="C130" s="58" t="s">
        <v>599</v>
      </c>
      <c r="D130" s="56" t="s">
        <v>600</v>
      </c>
      <c r="E130" s="56" t="s">
        <v>601</v>
      </c>
      <c r="F130" s="99" t="s">
        <v>244</v>
      </c>
      <c r="G130" s="86">
        <v>15</v>
      </c>
      <c r="H130" s="124">
        <v>18</v>
      </c>
      <c r="I130" s="87">
        <f t="shared" si="7"/>
        <v>270</v>
      </c>
    </row>
    <row r="131" spans="1:9" ht="33">
      <c r="A131" s="98"/>
      <c r="B131" s="55">
        <f t="shared" si="6"/>
        <v>121</v>
      </c>
      <c r="C131" s="58" t="s">
        <v>602</v>
      </c>
      <c r="D131" s="56" t="s">
        <v>603</v>
      </c>
      <c r="E131" s="56" t="s">
        <v>566</v>
      </c>
      <c r="F131" s="99" t="s">
        <v>244</v>
      </c>
      <c r="G131" s="86">
        <v>5</v>
      </c>
      <c r="H131" s="124">
        <v>77.55</v>
      </c>
      <c r="I131" s="87">
        <f t="shared" si="7"/>
        <v>387.75</v>
      </c>
    </row>
    <row r="132" spans="1:9" ht="33">
      <c r="A132" s="98"/>
      <c r="B132" s="55">
        <f t="shared" si="6"/>
        <v>122</v>
      </c>
      <c r="C132" s="58" t="s">
        <v>604</v>
      </c>
      <c r="D132" s="56" t="s">
        <v>605</v>
      </c>
      <c r="E132" s="56" t="s">
        <v>606</v>
      </c>
      <c r="F132" s="99" t="s">
        <v>244</v>
      </c>
      <c r="G132" s="86">
        <v>5</v>
      </c>
      <c r="H132" s="124">
        <v>125.79</v>
      </c>
      <c r="I132" s="87">
        <f t="shared" si="7"/>
        <v>628.95000000000005</v>
      </c>
    </row>
    <row r="133" spans="1:9" ht="16.5">
      <c r="A133" s="98"/>
      <c r="B133" s="84"/>
      <c r="C133" s="84"/>
      <c r="D133" s="84"/>
      <c r="E133" s="84"/>
      <c r="F133" s="84"/>
      <c r="G133" s="84"/>
      <c r="H133" s="84"/>
      <c r="I133" s="84"/>
    </row>
    <row r="134" spans="1:9" ht="16.5">
      <c r="A134" s="98"/>
      <c r="B134" s="21"/>
      <c r="C134" s="185" t="s">
        <v>608</v>
      </c>
      <c r="D134" s="186"/>
      <c r="E134" s="186"/>
      <c r="F134" s="186"/>
      <c r="G134" s="186"/>
      <c r="H134" s="187"/>
      <c r="I134" s="85">
        <f>SUM(I135:I162)</f>
        <v>21436.720000000001</v>
      </c>
    </row>
    <row r="135" spans="1:9" ht="49.5">
      <c r="A135" s="98"/>
      <c r="B135" s="55">
        <f>B132+1</f>
        <v>123</v>
      </c>
      <c r="C135" s="58" t="s">
        <v>609</v>
      </c>
      <c r="D135" s="56" t="s">
        <v>610</v>
      </c>
      <c r="E135" s="56"/>
      <c r="F135" s="99" t="s">
        <v>244</v>
      </c>
      <c r="G135" s="86">
        <v>8</v>
      </c>
      <c r="H135" s="124">
        <v>140</v>
      </c>
      <c r="I135" s="87">
        <f>TRUNC(G135*H135,2)</f>
        <v>1120</v>
      </c>
    </row>
    <row r="136" spans="1:9" ht="33">
      <c r="A136" s="98"/>
      <c r="B136" s="55">
        <f t="shared" ref="B136:B161" si="8">B135+1</f>
        <v>124</v>
      </c>
      <c r="C136" s="58"/>
      <c r="D136" s="56" t="s">
        <v>611</v>
      </c>
      <c r="E136" s="56" t="s">
        <v>612</v>
      </c>
      <c r="F136" s="99" t="s">
        <v>244</v>
      </c>
      <c r="G136" s="86">
        <v>20</v>
      </c>
      <c r="H136" s="124">
        <v>9.9</v>
      </c>
      <c r="I136" s="87">
        <f t="shared" ref="I136:I161" si="9">TRUNC(G136*H136,2)</f>
        <v>198</v>
      </c>
    </row>
    <row r="137" spans="1:9" ht="33">
      <c r="A137" s="98"/>
      <c r="B137" s="55">
        <f t="shared" si="8"/>
        <v>125</v>
      </c>
      <c r="C137" s="58"/>
      <c r="D137" s="56" t="s">
        <v>613</v>
      </c>
      <c r="E137" s="56" t="s">
        <v>614</v>
      </c>
      <c r="F137" s="99" t="s">
        <v>244</v>
      </c>
      <c r="G137" s="86">
        <v>15</v>
      </c>
      <c r="H137" s="124">
        <v>131.33000000000001</v>
      </c>
      <c r="I137" s="87">
        <f t="shared" si="9"/>
        <v>1969.95</v>
      </c>
    </row>
    <row r="138" spans="1:9" ht="49.5">
      <c r="A138" s="98"/>
      <c r="B138" s="55">
        <f t="shared" si="8"/>
        <v>126</v>
      </c>
      <c r="C138" s="58"/>
      <c r="D138" s="56" t="s">
        <v>615</v>
      </c>
      <c r="E138" s="56" t="s">
        <v>614</v>
      </c>
      <c r="F138" s="99" t="s">
        <v>244</v>
      </c>
      <c r="G138" s="86">
        <v>30</v>
      </c>
      <c r="H138" s="124">
        <v>131.33000000000001</v>
      </c>
      <c r="I138" s="87">
        <f t="shared" si="9"/>
        <v>3939.9</v>
      </c>
    </row>
    <row r="139" spans="1:9" ht="49.5">
      <c r="A139" s="98"/>
      <c r="B139" s="55">
        <f t="shared" si="8"/>
        <v>127</v>
      </c>
      <c r="C139" s="58" t="s">
        <v>616</v>
      </c>
      <c r="D139" s="56" t="s">
        <v>617</v>
      </c>
      <c r="E139" s="56"/>
      <c r="F139" s="99" t="s">
        <v>244</v>
      </c>
      <c r="G139" s="86">
        <v>7</v>
      </c>
      <c r="H139" s="124">
        <v>83.2</v>
      </c>
      <c r="I139" s="87">
        <f t="shared" si="9"/>
        <v>582.4</v>
      </c>
    </row>
    <row r="140" spans="1:9" ht="66">
      <c r="A140" s="98"/>
      <c r="B140" s="55">
        <f t="shared" si="8"/>
        <v>128</v>
      </c>
      <c r="C140" s="58" t="s">
        <v>618</v>
      </c>
      <c r="D140" s="56" t="s">
        <v>619</v>
      </c>
      <c r="E140" s="56"/>
      <c r="F140" s="99" t="s">
        <v>244</v>
      </c>
      <c r="G140" s="86">
        <v>7</v>
      </c>
      <c r="H140" s="124">
        <v>45</v>
      </c>
      <c r="I140" s="87">
        <f t="shared" si="9"/>
        <v>315</v>
      </c>
    </row>
    <row r="141" spans="1:9" ht="33">
      <c r="A141" s="98"/>
      <c r="B141" s="55">
        <f t="shared" si="8"/>
        <v>129</v>
      </c>
      <c r="C141" s="58" t="s">
        <v>620</v>
      </c>
      <c r="D141" s="56" t="s">
        <v>621</v>
      </c>
      <c r="E141" s="56"/>
      <c r="F141" s="99" t="s">
        <v>244</v>
      </c>
      <c r="G141" s="86">
        <v>40</v>
      </c>
      <c r="H141" s="124">
        <v>25</v>
      </c>
      <c r="I141" s="87">
        <f t="shared" si="9"/>
        <v>1000</v>
      </c>
    </row>
    <row r="142" spans="1:9" ht="33">
      <c r="A142" s="98"/>
      <c r="B142" s="55">
        <f t="shared" si="8"/>
        <v>130</v>
      </c>
      <c r="C142" s="58" t="s">
        <v>622</v>
      </c>
      <c r="D142" s="56" t="s">
        <v>623</v>
      </c>
      <c r="E142" s="56"/>
      <c r="F142" s="99" t="s">
        <v>244</v>
      </c>
      <c r="G142" s="86">
        <v>18</v>
      </c>
      <c r="H142" s="124">
        <v>17.600000000000001</v>
      </c>
      <c r="I142" s="87">
        <f t="shared" si="9"/>
        <v>316.8</v>
      </c>
    </row>
    <row r="143" spans="1:9" ht="33">
      <c r="A143" s="98"/>
      <c r="B143" s="55">
        <f>B142+1</f>
        <v>131</v>
      </c>
      <c r="C143" s="58"/>
      <c r="D143" s="56" t="s">
        <v>624</v>
      </c>
      <c r="E143" s="56" t="s">
        <v>614</v>
      </c>
      <c r="F143" s="99" t="s">
        <v>244</v>
      </c>
      <c r="G143" s="86">
        <v>15</v>
      </c>
      <c r="H143" s="124">
        <v>80</v>
      </c>
      <c r="I143" s="87">
        <f t="shared" si="9"/>
        <v>1200</v>
      </c>
    </row>
    <row r="144" spans="1:9" ht="49.5">
      <c r="A144" s="98"/>
      <c r="B144" s="55">
        <f t="shared" si="8"/>
        <v>132</v>
      </c>
      <c r="C144" s="58" t="s">
        <v>625</v>
      </c>
      <c r="D144" s="56" t="s">
        <v>626</v>
      </c>
      <c r="E144" s="56"/>
      <c r="F144" s="99" t="s">
        <v>244</v>
      </c>
      <c r="G144" s="86">
        <v>6</v>
      </c>
      <c r="H144" s="124">
        <v>18</v>
      </c>
      <c r="I144" s="87">
        <f t="shared" si="9"/>
        <v>108</v>
      </c>
    </row>
    <row r="145" spans="1:9" ht="49.5">
      <c r="A145" s="98"/>
      <c r="B145" s="55">
        <f t="shared" si="8"/>
        <v>133</v>
      </c>
      <c r="C145" s="58" t="s">
        <v>627</v>
      </c>
      <c r="D145" s="56" t="s">
        <v>628</v>
      </c>
      <c r="E145" s="56"/>
      <c r="F145" s="99" t="s">
        <v>244</v>
      </c>
      <c r="G145" s="86">
        <v>40</v>
      </c>
      <c r="H145" s="124">
        <v>22</v>
      </c>
      <c r="I145" s="87">
        <f t="shared" si="9"/>
        <v>880</v>
      </c>
    </row>
    <row r="146" spans="1:9" ht="49.5">
      <c r="A146" s="98"/>
      <c r="B146" s="55">
        <f t="shared" si="8"/>
        <v>134</v>
      </c>
      <c r="C146" s="58" t="s">
        <v>629</v>
      </c>
      <c r="D146" s="56" t="s">
        <v>630</v>
      </c>
      <c r="E146" s="56"/>
      <c r="F146" s="99" t="s">
        <v>244</v>
      </c>
      <c r="G146" s="86">
        <v>11</v>
      </c>
      <c r="H146" s="124">
        <v>28</v>
      </c>
      <c r="I146" s="87">
        <f t="shared" si="9"/>
        <v>308</v>
      </c>
    </row>
    <row r="147" spans="1:9" ht="49.5">
      <c r="A147" s="98"/>
      <c r="B147" s="55">
        <f t="shared" si="8"/>
        <v>135</v>
      </c>
      <c r="C147" s="58" t="s">
        <v>631</v>
      </c>
      <c r="D147" s="56" t="s">
        <v>632</v>
      </c>
      <c r="E147" s="56"/>
      <c r="F147" s="99" t="s">
        <v>244</v>
      </c>
      <c r="G147" s="86">
        <v>7</v>
      </c>
      <c r="H147" s="124">
        <v>28</v>
      </c>
      <c r="I147" s="87">
        <f t="shared" si="9"/>
        <v>196</v>
      </c>
    </row>
    <row r="148" spans="1:9" ht="33">
      <c r="A148" s="98"/>
      <c r="B148" s="55">
        <f t="shared" si="8"/>
        <v>136</v>
      </c>
      <c r="C148" s="58"/>
      <c r="D148" s="56" t="s">
        <v>633</v>
      </c>
      <c r="E148" s="56" t="s">
        <v>634</v>
      </c>
      <c r="F148" s="99" t="s">
        <v>244</v>
      </c>
      <c r="G148" s="86">
        <v>10</v>
      </c>
      <c r="H148" s="124">
        <v>136.28</v>
      </c>
      <c r="I148" s="87">
        <f t="shared" si="9"/>
        <v>1362.8</v>
      </c>
    </row>
    <row r="149" spans="1:9" ht="33">
      <c r="A149" s="98"/>
      <c r="B149" s="55">
        <f t="shared" si="8"/>
        <v>137</v>
      </c>
      <c r="C149" s="58" t="s">
        <v>635</v>
      </c>
      <c r="D149" s="56" t="s">
        <v>636</v>
      </c>
      <c r="E149" s="56"/>
      <c r="F149" s="99" t="s">
        <v>244</v>
      </c>
      <c r="G149" s="86">
        <v>6</v>
      </c>
      <c r="H149" s="124">
        <v>128.9</v>
      </c>
      <c r="I149" s="87">
        <f t="shared" si="9"/>
        <v>773.4</v>
      </c>
    </row>
    <row r="150" spans="1:9" ht="49.5">
      <c r="A150" s="98"/>
      <c r="B150" s="55">
        <f t="shared" si="8"/>
        <v>138</v>
      </c>
      <c r="C150" s="58" t="s">
        <v>637</v>
      </c>
      <c r="D150" s="56" t="s">
        <v>638</v>
      </c>
      <c r="E150" s="56"/>
      <c r="F150" s="99" t="s">
        <v>244</v>
      </c>
      <c r="G150" s="86">
        <v>12</v>
      </c>
      <c r="H150" s="124">
        <v>19.600000000000001</v>
      </c>
      <c r="I150" s="87">
        <f t="shared" si="9"/>
        <v>235.2</v>
      </c>
    </row>
    <row r="151" spans="1:9" ht="49.5">
      <c r="A151" s="98"/>
      <c r="B151" s="55">
        <f t="shared" si="8"/>
        <v>139</v>
      </c>
      <c r="C151" s="58" t="s">
        <v>639</v>
      </c>
      <c r="D151" s="56" t="s">
        <v>640</v>
      </c>
      <c r="E151" s="56"/>
      <c r="F151" s="99" t="s">
        <v>244</v>
      </c>
      <c r="G151" s="86">
        <v>8</v>
      </c>
      <c r="H151" s="124">
        <v>28</v>
      </c>
      <c r="I151" s="87">
        <f t="shared" si="9"/>
        <v>224</v>
      </c>
    </row>
    <row r="152" spans="1:9" ht="33">
      <c r="A152" s="98"/>
      <c r="B152" s="55">
        <f t="shared" si="8"/>
        <v>140</v>
      </c>
      <c r="C152" s="58"/>
      <c r="D152" s="56" t="s">
        <v>641</v>
      </c>
      <c r="E152" s="56"/>
      <c r="F152" s="99" t="s">
        <v>244</v>
      </c>
      <c r="G152" s="86">
        <v>15</v>
      </c>
      <c r="H152" s="124">
        <v>28</v>
      </c>
      <c r="I152" s="87">
        <f t="shared" si="9"/>
        <v>420</v>
      </c>
    </row>
    <row r="153" spans="1:9" ht="49.5">
      <c r="A153" s="98"/>
      <c r="B153" s="55">
        <f t="shared" si="8"/>
        <v>141</v>
      </c>
      <c r="C153" s="58" t="s">
        <v>642</v>
      </c>
      <c r="D153" s="56" t="s">
        <v>643</v>
      </c>
      <c r="E153" s="56"/>
      <c r="F153" s="99" t="s">
        <v>245</v>
      </c>
      <c r="G153" s="86">
        <v>86</v>
      </c>
      <c r="H153" s="124">
        <v>2.5099999999999998</v>
      </c>
      <c r="I153" s="87">
        <f t="shared" si="9"/>
        <v>215.86</v>
      </c>
    </row>
    <row r="154" spans="1:9" ht="33">
      <c r="A154" s="98"/>
      <c r="B154" s="55">
        <f t="shared" si="8"/>
        <v>142</v>
      </c>
      <c r="C154" s="58"/>
      <c r="D154" s="56" t="s">
        <v>644</v>
      </c>
      <c r="E154" s="56"/>
      <c r="F154" s="99" t="s">
        <v>645</v>
      </c>
      <c r="G154" s="86">
        <v>2</v>
      </c>
      <c r="H154" s="124">
        <v>50.33</v>
      </c>
      <c r="I154" s="87">
        <f t="shared" si="9"/>
        <v>100.66</v>
      </c>
    </row>
    <row r="155" spans="1:9" ht="49.5">
      <c r="A155" s="98"/>
      <c r="B155" s="55">
        <f t="shared" si="8"/>
        <v>143</v>
      </c>
      <c r="C155" s="58" t="s">
        <v>646</v>
      </c>
      <c r="D155" s="56" t="s">
        <v>647</v>
      </c>
      <c r="E155" s="56"/>
      <c r="F155" s="99" t="s">
        <v>244</v>
      </c>
      <c r="G155" s="86">
        <v>20</v>
      </c>
      <c r="H155" s="124">
        <v>16.899999999999999</v>
      </c>
      <c r="I155" s="87">
        <f t="shared" si="9"/>
        <v>338</v>
      </c>
    </row>
    <row r="156" spans="1:9" ht="33">
      <c r="A156" s="98"/>
      <c r="B156" s="55">
        <f t="shared" si="8"/>
        <v>144</v>
      </c>
      <c r="C156" s="58"/>
      <c r="D156" s="56" t="s">
        <v>648</v>
      </c>
      <c r="E156" s="56" t="s">
        <v>649</v>
      </c>
      <c r="F156" s="99" t="s">
        <v>244</v>
      </c>
      <c r="G156" s="86">
        <v>20</v>
      </c>
      <c r="H156" s="124">
        <v>17.36</v>
      </c>
      <c r="I156" s="87">
        <f t="shared" si="9"/>
        <v>347.2</v>
      </c>
    </row>
    <row r="157" spans="1:9" ht="33">
      <c r="A157" s="98"/>
      <c r="B157" s="55">
        <f t="shared" si="8"/>
        <v>145</v>
      </c>
      <c r="C157" s="58"/>
      <c r="D157" s="56" t="s">
        <v>650</v>
      </c>
      <c r="E157" s="56" t="s">
        <v>649</v>
      </c>
      <c r="F157" s="99" t="s">
        <v>244</v>
      </c>
      <c r="G157" s="86">
        <v>20</v>
      </c>
      <c r="H157" s="124">
        <v>18.68</v>
      </c>
      <c r="I157" s="87">
        <f t="shared" si="9"/>
        <v>373.6</v>
      </c>
    </row>
    <row r="158" spans="1:9" ht="33">
      <c r="A158" s="98"/>
      <c r="B158" s="55">
        <f t="shared" si="8"/>
        <v>146</v>
      </c>
      <c r="C158" s="58"/>
      <c r="D158" s="56" t="s">
        <v>651</v>
      </c>
      <c r="E158" s="56" t="s">
        <v>652</v>
      </c>
      <c r="F158" s="99" t="s">
        <v>244</v>
      </c>
      <c r="G158" s="86">
        <v>400</v>
      </c>
      <c r="H158" s="124">
        <v>1.6</v>
      </c>
      <c r="I158" s="87">
        <f t="shared" si="9"/>
        <v>640</v>
      </c>
    </row>
    <row r="159" spans="1:9" ht="33">
      <c r="A159" s="98"/>
      <c r="B159" s="55">
        <f t="shared" si="8"/>
        <v>147</v>
      </c>
      <c r="C159" s="58" t="s">
        <v>653</v>
      </c>
      <c r="D159" s="56" t="s">
        <v>654</v>
      </c>
      <c r="E159" s="56"/>
      <c r="F159" s="99" t="s">
        <v>244</v>
      </c>
      <c r="G159" s="86">
        <v>50</v>
      </c>
      <c r="H159" s="124">
        <v>1.5</v>
      </c>
      <c r="I159" s="87">
        <f t="shared" si="9"/>
        <v>75</v>
      </c>
    </row>
    <row r="160" spans="1:9" ht="33">
      <c r="A160" s="98"/>
      <c r="B160" s="55">
        <f t="shared" si="8"/>
        <v>148</v>
      </c>
      <c r="C160" s="58"/>
      <c r="D160" s="56" t="s">
        <v>655</v>
      </c>
      <c r="E160" s="56" t="s">
        <v>656</v>
      </c>
      <c r="F160" s="99" t="s">
        <v>244</v>
      </c>
      <c r="G160" s="86">
        <v>15</v>
      </c>
      <c r="H160" s="124">
        <v>250</v>
      </c>
      <c r="I160" s="87">
        <f t="shared" si="9"/>
        <v>3750</v>
      </c>
    </row>
    <row r="161" spans="1:9" ht="33">
      <c r="A161" s="98"/>
      <c r="B161" s="55">
        <f t="shared" si="8"/>
        <v>149</v>
      </c>
      <c r="C161" s="58"/>
      <c r="D161" s="56" t="s">
        <v>657</v>
      </c>
      <c r="E161" s="56"/>
      <c r="F161" s="99" t="s">
        <v>244</v>
      </c>
      <c r="G161" s="86">
        <v>30</v>
      </c>
      <c r="H161" s="124">
        <v>4.34</v>
      </c>
      <c r="I161" s="87">
        <f t="shared" si="9"/>
        <v>130.19999999999999</v>
      </c>
    </row>
    <row r="162" spans="1:9" ht="49.5">
      <c r="A162" s="98"/>
      <c r="B162" s="55">
        <f>B161+1</f>
        <v>150</v>
      </c>
      <c r="C162" s="58"/>
      <c r="D162" s="56" t="s">
        <v>658</v>
      </c>
      <c r="E162" s="56" t="s">
        <v>659</v>
      </c>
      <c r="F162" s="99" t="s">
        <v>102</v>
      </c>
      <c r="G162" s="86">
        <v>25</v>
      </c>
      <c r="H162" s="124">
        <v>12.67</v>
      </c>
      <c r="I162" s="87">
        <f>TRUNC(G162*H162,2)</f>
        <v>316.75</v>
      </c>
    </row>
    <row r="163" spans="1:9" ht="16.5">
      <c r="A163" s="98"/>
      <c r="B163" s="84"/>
      <c r="C163" s="84"/>
      <c r="D163" s="84"/>
      <c r="E163" s="84"/>
      <c r="F163" s="84"/>
      <c r="G163" s="84"/>
      <c r="H163" s="84"/>
      <c r="I163" s="84"/>
    </row>
    <row r="164" spans="1:9" ht="16.5">
      <c r="A164" s="98"/>
      <c r="B164" s="21"/>
      <c r="C164" s="185" t="s">
        <v>660</v>
      </c>
      <c r="D164" s="186"/>
      <c r="E164" s="186"/>
      <c r="F164" s="186"/>
      <c r="G164" s="186"/>
      <c r="H164" s="187"/>
      <c r="I164" s="85">
        <f>SUM(I165:I209)</f>
        <v>176246.06000000003</v>
      </c>
    </row>
    <row r="165" spans="1:9" ht="49.5">
      <c r="A165" s="98"/>
      <c r="B165" s="55">
        <f>B162+1</f>
        <v>151</v>
      </c>
      <c r="C165" s="58"/>
      <c r="D165" s="56" t="s">
        <v>661</v>
      </c>
      <c r="E165" s="56" t="s">
        <v>662</v>
      </c>
      <c r="F165" s="99" t="s">
        <v>663</v>
      </c>
      <c r="G165" s="86">
        <v>20</v>
      </c>
      <c r="H165" s="124">
        <v>84.51</v>
      </c>
      <c r="I165" s="87">
        <f>TRUNC(G165*H165,2)</f>
        <v>1690.2</v>
      </c>
    </row>
    <row r="166" spans="1:9" ht="49.5">
      <c r="A166" s="98"/>
      <c r="B166" s="55">
        <f t="shared" ref="B166:B209" si="10">B165+1</f>
        <v>152</v>
      </c>
      <c r="C166" s="58"/>
      <c r="D166" s="56" t="s">
        <v>664</v>
      </c>
      <c r="E166" s="56" t="s">
        <v>665</v>
      </c>
      <c r="F166" s="99" t="s">
        <v>666</v>
      </c>
      <c r="G166" s="86">
        <v>10</v>
      </c>
      <c r="H166" s="124">
        <v>168.42</v>
      </c>
      <c r="I166" s="87">
        <f t="shared" ref="I166:I209" si="11">TRUNC(G166*H166,2)</f>
        <v>1684.2</v>
      </c>
    </row>
    <row r="167" spans="1:9" ht="33">
      <c r="A167" s="98"/>
      <c r="B167" s="55">
        <f t="shared" si="10"/>
        <v>153</v>
      </c>
      <c r="C167" s="58" t="s">
        <v>667</v>
      </c>
      <c r="D167" s="56" t="s">
        <v>668</v>
      </c>
      <c r="E167" s="56" t="s">
        <v>669</v>
      </c>
      <c r="F167" s="99" t="s">
        <v>670</v>
      </c>
      <c r="G167" s="86">
        <v>9</v>
      </c>
      <c r="H167" s="124">
        <v>33.1</v>
      </c>
      <c r="I167" s="87">
        <f t="shared" si="11"/>
        <v>297.89999999999998</v>
      </c>
    </row>
    <row r="168" spans="1:9" ht="16.5">
      <c r="A168" s="98"/>
      <c r="B168" s="55">
        <f t="shared" si="10"/>
        <v>154</v>
      </c>
      <c r="C168" s="58" t="s">
        <v>671</v>
      </c>
      <c r="D168" s="56" t="s">
        <v>672</v>
      </c>
      <c r="E168" s="56"/>
      <c r="F168" s="99" t="s">
        <v>103</v>
      </c>
      <c r="G168" s="86">
        <v>10</v>
      </c>
      <c r="H168" s="124">
        <v>164.95</v>
      </c>
      <c r="I168" s="87">
        <f t="shared" si="11"/>
        <v>1649.5</v>
      </c>
    </row>
    <row r="169" spans="1:9" ht="49.5">
      <c r="A169" s="98"/>
      <c r="B169" s="55">
        <f t="shared" si="10"/>
        <v>155</v>
      </c>
      <c r="C169" s="58" t="s">
        <v>673</v>
      </c>
      <c r="D169" s="56" t="s">
        <v>674</v>
      </c>
      <c r="E169" s="56" t="s">
        <v>675</v>
      </c>
      <c r="F169" s="99" t="s">
        <v>676</v>
      </c>
      <c r="G169" s="86">
        <v>10</v>
      </c>
      <c r="H169" s="124">
        <v>32.6</v>
      </c>
      <c r="I169" s="87">
        <f t="shared" si="11"/>
        <v>326</v>
      </c>
    </row>
    <row r="170" spans="1:9" ht="33">
      <c r="A170" s="98"/>
      <c r="B170" s="55">
        <f t="shared" si="10"/>
        <v>156</v>
      </c>
      <c r="C170" s="58" t="s">
        <v>677</v>
      </c>
      <c r="D170" s="56" t="s">
        <v>678</v>
      </c>
      <c r="E170" s="56" t="s">
        <v>675</v>
      </c>
      <c r="F170" s="99" t="s">
        <v>676</v>
      </c>
      <c r="G170" s="86">
        <v>10</v>
      </c>
      <c r="H170" s="124">
        <v>20</v>
      </c>
      <c r="I170" s="87">
        <f t="shared" si="11"/>
        <v>200</v>
      </c>
    </row>
    <row r="171" spans="1:9" ht="33">
      <c r="A171" s="98"/>
      <c r="B171" s="55">
        <f t="shared" si="10"/>
        <v>157</v>
      </c>
      <c r="C171" s="58" t="s">
        <v>679</v>
      </c>
      <c r="D171" s="56" t="s">
        <v>680</v>
      </c>
      <c r="E171" s="56" t="s">
        <v>675</v>
      </c>
      <c r="F171" s="99" t="s">
        <v>676</v>
      </c>
      <c r="G171" s="86">
        <v>20</v>
      </c>
      <c r="H171" s="124">
        <v>10</v>
      </c>
      <c r="I171" s="87">
        <f t="shared" si="11"/>
        <v>200</v>
      </c>
    </row>
    <row r="172" spans="1:9" ht="66">
      <c r="A172" s="98"/>
      <c r="B172" s="55">
        <f t="shared" si="10"/>
        <v>158</v>
      </c>
      <c r="C172" s="58" t="s">
        <v>681</v>
      </c>
      <c r="D172" s="56" t="s">
        <v>682</v>
      </c>
      <c r="E172" s="56" t="s">
        <v>683</v>
      </c>
      <c r="F172" s="99" t="s">
        <v>684</v>
      </c>
      <c r="G172" s="86">
        <v>10</v>
      </c>
      <c r="H172" s="124">
        <v>184.9</v>
      </c>
      <c r="I172" s="87">
        <f t="shared" si="11"/>
        <v>1849</v>
      </c>
    </row>
    <row r="173" spans="1:9" ht="33">
      <c r="A173" s="98"/>
      <c r="B173" s="55">
        <f t="shared" si="10"/>
        <v>159</v>
      </c>
      <c r="C173" s="58"/>
      <c r="D173" s="56" t="s">
        <v>685</v>
      </c>
      <c r="E173" s="56" t="s">
        <v>686</v>
      </c>
      <c r="F173" s="99" t="s">
        <v>242</v>
      </c>
      <c r="G173" s="86">
        <v>1500</v>
      </c>
      <c r="H173" s="124">
        <v>0.6</v>
      </c>
      <c r="I173" s="87">
        <f t="shared" si="11"/>
        <v>900</v>
      </c>
    </row>
    <row r="174" spans="1:9" ht="33">
      <c r="A174" s="98"/>
      <c r="B174" s="55">
        <f t="shared" si="10"/>
        <v>160</v>
      </c>
      <c r="C174" s="58"/>
      <c r="D174" s="56" t="s">
        <v>687</v>
      </c>
      <c r="E174" s="56" t="s">
        <v>688</v>
      </c>
      <c r="F174" s="99" t="s">
        <v>244</v>
      </c>
      <c r="G174" s="86">
        <v>10</v>
      </c>
      <c r="H174" s="124">
        <v>34.99</v>
      </c>
      <c r="I174" s="87">
        <f t="shared" si="11"/>
        <v>349.9</v>
      </c>
    </row>
    <row r="175" spans="1:9" ht="33">
      <c r="A175" s="98"/>
      <c r="B175" s="55">
        <f t="shared" si="10"/>
        <v>161</v>
      </c>
      <c r="C175" s="58"/>
      <c r="D175" s="56" t="s">
        <v>689</v>
      </c>
      <c r="E175" s="56"/>
      <c r="F175" s="99" t="s">
        <v>244</v>
      </c>
      <c r="G175" s="86">
        <v>50</v>
      </c>
      <c r="H175" s="124">
        <v>2.69</v>
      </c>
      <c r="I175" s="87">
        <f t="shared" si="11"/>
        <v>134.5</v>
      </c>
    </row>
    <row r="176" spans="1:9" ht="33">
      <c r="A176" s="98"/>
      <c r="B176" s="55">
        <f t="shared" si="10"/>
        <v>162</v>
      </c>
      <c r="C176" s="58"/>
      <c r="D176" s="56" t="s">
        <v>690</v>
      </c>
      <c r="E176" s="56"/>
      <c r="F176" s="99" t="s">
        <v>244</v>
      </c>
      <c r="G176" s="86">
        <v>50</v>
      </c>
      <c r="H176" s="124">
        <v>1.66</v>
      </c>
      <c r="I176" s="87">
        <f t="shared" si="11"/>
        <v>83</v>
      </c>
    </row>
    <row r="177" spans="1:9" ht="33">
      <c r="A177" s="98"/>
      <c r="B177" s="55">
        <f t="shared" si="10"/>
        <v>163</v>
      </c>
      <c r="C177" s="58"/>
      <c r="D177" s="56" t="s">
        <v>691</v>
      </c>
      <c r="E177" s="56"/>
      <c r="F177" s="99" t="s">
        <v>244</v>
      </c>
      <c r="G177" s="86">
        <v>400</v>
      </c>
      <c r="H177" s="124">
        <v>2.81</v>
      </c>
      <c r="I177" s="87">
        <f t="shared" si="11"/>
        <v>1124</v>
      </c>
    </row>
    <row r="178" spans="1:9" ht="49.5">
      <c r="A178" s="98"/>
      <c r="B178" s="55">
        <f t="shared" si="10"/>
        <v>164</v>
      </c>
      <c r="C178" s="58" t="s">
        <v>692</v>
      </c>
      <c r="D178" s="56" t="s">
        <v>693</v>
      </c>
      <c r="E178" s="56"/>
      <c r="F178" s="99" t="s">
        <v>244</v>
      </c>
      <c r="G178" s="86">
        <v>300</v>
      </c>
      <c r="H178" s="124">
        <v>2.6</v>
      </c>
      <c r="I178" s="87">
        <f t="shared" si="11"/>
        <v>780</v>
      </c>
    </row>
    <row r="179" spans="1:9" ht="49.5">
      <c r="A179" s="98"/>
      <c r="B179" s="55">
        <f t="shared" si="10"/>
        <v>165</v>
      </c>
      <c r="C179" s="58"/>
      <c r="D179" s="56" t="s">
        <v>694</v>
      </c>
      <c r="E179" s="56" t="s">
        <v>695</v>
      </c>
      <c r="F179" s="99" t="s">
        <v>244</v>
      </c>
      <c r="G179" s="86">
        <v>400</v>
      </c>
      <c r="H179" s="124">
        <v>3.22</v>
      </c>
      <c r="I179" s="87">
        <f t="shared" si="11"/>
        <v>1288</v>
      </c>
    </row>
    <row r="180" spans="1:9" ht="33">
      <c r="A180" s="98"/>
      <c r="B180" s="55">
        <f t="shared" si="10"/>
        <v>166</v>
      </c>
      <c r="C180" s="58" t="s">
        <v>696</v>
      </c>
      <c r="D180" s="56" t="s">
        <v>697</v>
      </c>
      <c r="E180" s="56"/>
      <c r="F180" s="99" t="s">
        <v>698</v>
      </c>
      <c r="G180" s="86">
        <v>10</v>
      </c>
      <c r="H180" s="124">
        <v>174.15</v>
      </c>
      <c r="I180" s="87">
        <f t="shared" si="11"/>
        <v>1741.5</v>
      </c>
    </row>
    <row r="181" spans="1:9" ht="33">
      <c r="A181" s="98"/>
      <c r="B181" s="55">
        <f t="shared" si="10"/>
        <v>167</v>
      </c>
      <c r="C181" s="58" t="s">
        <v>699</v>
      </c>
      <c r="D181" s="56" t="s">
        <v>88</v>
      </c>
      <c r="E181" s="56"/>
      <c r="F181" s="99" t="s">
        <v>698</v>
      </c>
      <c r="G181" s="86">
        <v>5</v>
      </c>
      <c r="H181" s="124">
        <v>66</v>
      </c>
      <c r="I181" s="87">
        <f t="shared" si="11"/>
        <v>330</v>
      </c>
    </row>
    <row r="182" spans="1:9" ht="33">
      <c r="A182" s="98"/>
      <c r="B182" s="55">
        <f t="shared" si="10"/>
        <v>168</v>
      </c>
      <c r="C182" s="58" t="s">
        <v>700</v>
      </c>
      <c r="D182" s="56" t="s">
        <v>701</v>
      </c>
      <c r="E182" s="56"/>
      <c r="F182" s="99" t="s">
        <v>698</v>
      </c>
      <c r="G182" s="86">
        <v>5</v>
      </c>
      <c r="H182" s="124">
        <v>235.88</v>
      </c>
      <c r="I182" s="87">
        <f t="shared" si="11"/>
        <v>1179.4000000000001</v>
      </c>
    </row>
    <row r="183" spans="1:9" ht="33">
      <c r="A183" s="98"/>
      <c r="B183" s="55">
        <f t="shared" si="10"/>
        <v>169</v>
      </c>
      <c r="C183" s="58" t="s">
        <v>702</v>
      </c>
      <c r="D183" s="56" t="s">
        <v>703</v>
      </c>
      <c r="E183" s="56"/>
      <c r="F183" s="99" t="s">
        <v>698</v>
      </c>
      <c r="G183" s="86">
        <v>5</v>
      </c>
      <c r="H183" s="124">
        <v>46.14</v>
      </c>
      <c r="I183" s="87">
        <f t="shared" si="11"/>
        <v>230.7</v>
      </c>
    </row>
    <row r="184" spans="1:9" ht="49.5">
      <c r="A184" s="98"/>
      <c r="B184" s="55">
        <f t="shared" si="10"/>
        <v>170</v>
      </c>
      <c r="C184" s="58"/>
      <c r="D184" s="56" t="s">
        <v>704</v>
      </c>
      <c r="E184" s="56" t="s">
        <v>705</v>
      </c>
      <c r="F184" s="99" t="s">
        <v>706</v>
      </c>
      <c r="G184" s="86">
        <v>50</v>
      </c>
      <c r="H184" s="124">
        <v>16.190000000000001</v>
      </c>
      <c r="I184" s="87">
        <f t="shared" si="11"/>
        <v>809.5</v>
      </c>
    </row>
    <row r="185" spans="1:9" ht="33">
      <c r="A185" s="98"/>
      <c r="B185" s="55">
        <f t="shared" si="10"/>
        <v>171</v>
      </c>
      <c r="C185" s="58"/>
      <c r="D185" s="56" t="s">
        <v>707</v>
      </c>
      <c r="E185" s="56" t="s">
        <v>686</v>
      </c>
      <c r="F185" s="99" t="s">
        <v>708</v>
      </c>
      <c r="G185" s="86">
        <v>80</v>
      </c>
      <c r="H185" s="124">
        <v>31</v>
      </c>
      <c r="I185" s="87">
        <f t="shared" si="11"/>
        <v>2480</v>
      </c>
    </row>
    <row r="186" spans="1:9" ht="49.5">
      <c r="A186" s="98"/>
      <c r="B186" s="55">
        <f t="shared" si="10"/>
        <v>172</v>
      </c>
      <c r="C186" s="58" t="s">
        <v>709</v>
      </c>
      <c r="D186" s="56" t="s">
        <v>710</v>
      </c>
      <c r="E186" s="56" t="s">
        <v>711</v>
      </c>
      <c r="F186" s="99" t="s">
        <v>244</v>
      </c>
      <c r="G186" s="86">
        <v>40</v>
      </c>
      <c r="H186" s="124">
        <v>1.8</v>
      </c>
      <c r="I186" s="87">
        <f t="shared" si="11"/>
        <v>72</v>
      </c>
    </row>
    <row r="187" spans="1:9" ht="33">
      <c r="A187" s="98"/>
      <c r="B187" s="55">
        <f t="shared" si="10"/>
        <v>173</v>
      </c>
      <c r="C187" s="58"/>
      <c r="D187" s="56" t="s">
        <v>712</v>
      </c>
      <c r="E187" s="56" t="s">
        <v>713</v>
      </c>
      <c r="F187" s="99" t="s">
        <v>244</v>
      </c>
      <c r="G187" s="86">
        <v>15</v>
      </c>
      <c r="H187" s="124">
        <v>33.5</v>
      </c>
      <c r="I187" s="87">
        <f t="shared" si="11"/>
        <v>502.5</v>
      </c>
    </row>
    <row r="188" spans="1:9" ht="49.5">
      <c r="A188" s="98"/>
      <c r="B188" s="55">
        <f>B187+1</f>
        <v>174</v>
      </c>
      <c r="C188" s="58" t="s">
        <v>714</v>
      </c>
      <c r="D188" s="56" t="s">
        <v>715</v>
      </c>
      <c r="E188" s="56"/>
      <c r="F188" s="99" t="s">
        <v>244</v>
      </c>
      <c r="G188" s="86">
        <f>22+30</f>
        <v>52</v>
      </c>
      <c r="H188" s="124">
        <v>25.33</v>
      </c>
      <c r="I188" s="87">
        <f t="shared" si="11"/>
        <v>1317.16</v>
      </c>
    </row>
    <row r="189" spans="1:9" ht="33">
      <c r="A189" s="98"/>
      <c r="B189" s="55">
        <f t="shared" si="10"/>
        <v>175</v>
      </c>
      <c r="C189" s="58"/>
      <c r="D189" s="56" t="s">
        <v>716</v>
      </c>
      <c r="E189" s="56" t="s">
        <v>717</v>
      </c>
      <c r="F189" s="99" t="s">
        <v>244</v>
      </c>
      <c r="G189" s="86">
        <v>50</v>
      </c>
      <c r="H189" s="124">
        <v>242.6</v>
      </c>
      <c r="I189" s="87">
        <f t="shared" si="11"/>
        <v>12130</v>
      </c>
    </row>
    <row r="190" spans="1:9" ht="66">
      <c r="A190" s="98"/>
      <c r="B190" s="55">
        <f t="shared" si="10"/>
        <v>176</v>
      </c>
      <c r="C190" s="58"/>
      <c r="D190" s="56" t="s">
        <v>718</v>
      </c>
      <c r="E190" s="56" t="s">
        <v>719</v>
      </c>
      <c r="F190" s="99" t="s">
        <v>720</v>
      </c>
      <c r="G190" s="86">
        <v>200</v>
      </c>
      <c r="H190" s="124">
        <v>44.64</v>
      </c>
      <c r="I190" s="87">
        <f t="shared" si="11"/>
        <v>8928</v>
      </c>
    </row>
    <row r="191" spans="1:9" ht="33">
      <c r="A191" s="98"/>
      <c r="B191" s="55">
        <f t="shared" si="10"/>
        <v>177</v>
      </c>
      <c r="C191" s="58" t="s">
        <v>721</v>
      </c>
      <c r="D191" s="56" t="s">
        <v>722</v>
      </c>
      <c r="E191" s="56" t="s">
        <v>723</v>
      </c>
      <c r="F191" s="99" t="s">
        <v>244</v>
      </c>
      <c r="G191" s="86">
        <v>130</v>
      </c>
      <c r="H191" s="124">
        <v>25</v>
      </c>
      <c r="I191" s="87">
        <f t="shared" si="11"/>
        <v>3250</v>
      </c>
    </row>
    <row r="192" spans="1:9" ht="33">
      <c r="A192" s="98"/>
      <c r="B192" s="55">
        <f t="shared" si="10"/>
        <v>178</v>
      </c>
      <c r="C192" s="58" t="s">
        <v>724</v>
      </c>
      <c r="D192" s="56" t="s">
        <v>725</v>
      </c>
      <c r="E192" s="56"/>
      <c r="F192" s="99" t="s">
        <v>244</v>
      </c>
      <c r="G192" s="86">
        <v>7</v>
      </c>
      <c r="H192" s="124">
        <v>33.99</v>
      </c>
      <c r="I192" s="87">
        <f t="shared" si="11"/>
        <v>237.93</v>
      </c>
    </row>
    <row r="193" spans="1:9" ht="33">
      <c r="A193" s="98"/>
      <c r="B193" s="55">
        <f t="shared" si="10"/>
        <v>179</v>
      </c>
      <c r="C193" s="58"/>
      <c r="D193" s="56" t="s">
        <v>726</v>
      </c>
      <c r="E193" s="56" t="s">
        <v>727</v>
      </c>
      <c r="F193" s="99" t="s">
        <v>728</v>
      </c>
      <c r="G193" s="86">
        <v>10</v>
      </c>
      <c r="H193" s="124">
        <v>281.94</v>
      </c>
      <c r="I193" s="87">
        <f t="shared" si="11"/>
        <v>2819.4</v>
      </c>
    </row>
    <row r="194" spans="1:9" ht="33">
      <c r="A194" s="98"/>
      <c r="B194" s="55">
        <f t="shared" si="10"/>
        <v>180</v>
      </c>
      <c r="C194" s="58" t="s">
        <v>729</v>
      </c>
      <c r="D194" s="56" t="s">
        <v>730</v>
      </c>
      <c r="E194" s="56"/>
      <c r="F194" s="99" t="s">
        <v>103</v>
      </c>
      <c r="G194" s="86">
        <v>5</v>
      </c>
      <c r="H194" s="124">
        <v>178.7</v>
      </c>
      <c r="I194" s="87">
        <f t="shared" si="11"/>
        <v>893.5</v>
      </c>
    </row>
    <row r="195" spans="1:9" ht="33">
      <c r="A195" s="98"/>
      <c r="B195" s="55">
        <f t="shared" si="10"/>
        <v>181</v>
      </c>
      <c r="C195" s="58" t="s">
        <v>731</v>
      </c>
      <c r="D195" s="56" t="s">
        <v>732</v>
      </c>
      <c r="E195" s="56"/>
      <c r="F195" s="99" t="s">
        <v>103</v>
      </c>
      <c r="G195" s="86">
        <v>5</v>
      </c>
      <c r="H195" s="124">
        <v>135.88</v>
      </c>
      <c r="I195" s="87">
        <f t="shared" si="11"/>
        <v>679.4</v>
      </c>
    </row>
    <row r="196" spans="1:9" ht="49.5">
      <c r="A196" s="98"/>
      <c r="B196" s="55">
        <f t="shared" si="10"/>
        <v>182</v>
      </c>
      <c r="C196" s="58"/>
      <c r="D196" s="56" t="s">
        <v>87</v>
      </c>
      <c r="E196" s="56" t="s">
        <v>733</v>
      </c>
      <c r="F196" s="99" t="s">
        <v>734</v>
      </c>
      <c r="G196" s="86">
        <v>10</v>
      </c>
      <c r="H196" s="124">
        <v>491.35</v>
      </c>
      <c r="I196" s="87">
        <f t="shared" si="11"/>
        <v>4913.5</v>
      </c>
    </row>
    <row r="197" spans="1:9" ht="49.5">
      <c r="A197" s="98"/>
      <c r="B197" s="55">
        <f t="shared" si="10"/>
        <v>183</v>
      </c>
      <c r="C197" s="58"/>
      <c r="D197" s="56" t="s">
        <v>735</v>
      </c>
      <c r="E197" s="56" t="s">
        <v>736</v>
      </c>
      <c r="F197" s="99" t="s">
        <v>737</v>
      </c>
      <c r="G197" s="86">
        <v>20</v>
      </c>
      <c r="H197" s="124">
        <v>510.71</v>
      </c>
      <c r="I197" s="87">
        <f t="shared" si="11"/>
        <v>10214.200000000001</v>
      </c>
    </row>
    <row r="198" spans="1:9" ht="66">
      <c r="A198" s="98"/>
      <c r="B198" s="55">
        <f t="shared" si="10"/>
        <v>184</v>
      </c>
      <c r="C198" s="58"/>
      <c r="D198" s="56" t="s">
        <v>735</v>
      </c>
      <c r="E198" s="56" t="s">
        <v>738</v>
      </c>
      <c r="F198" s="99" t="s">
        <v>737</v>
      </c>
      <c r="G198" s="86">
        <v>30</v>
      </c>
      <c r="H198" s="124">
        <v>529.4</v>
      </c>
      <c r="I198" s="87">
        <f t="shared" si="11"/>
        <v>15882</v>
      </c>
    </row>
    <row r="199" spans="1:9" ht="49.5">
      <c r="A199" s="98"/>
      <c r="B199" s="55">
        <f t="shared" si="10"/>
        <v>185</v>
      </c>
      <c r="C199" s="58"/>
      <c r="D199" s="56" t="s">
        <v>739</v>
      </c>
      <c r="E199" s="56" t="s">
        <v>740</v>
      </c>
      <c r="F199" s="99" t="s">
        <v>741</v>
      </c>
      <c r="G199" s="86">
        <v>5</v>
      </c>
      <c r="H199" s="124">
        <v>510.77</v>
      </c>
      <c r="I199" s="87">
        <f t="shared" si="11"/>
        <v>2553.85</v>
      </c>
    </row>
    <row r="200" spans="1:9" ht="49.5">
      <c r="A200" s="98"/>
      <c r="B200" s="55">
        <f t="shared" si="10"/>
        <v>186</v>
      </c>
      <c r="C200" s="58"/>
      <c r="D200" s="56" t="s">
        <v>742</v>
      </c>
      <c r="E200" s="56" t="s">
        <v>743</v>
      </c>
      <c r="F200" s="99" t="s">
        <v>744</v>
      </c>
      <c r="G200" s="86">
        <v>20</v>
      </c>
      <c r="H200" s="124">
        <v>842.15</v>
      </c>
      <c r="I200" s="87">
        <f t="shared" si="11"/>
        <v>16843</v>
      </c>
    </row>
    <row r="201" spans="1:9" ht="33">
      <c r="A201" s="98"/>
      <c r="B201" s="55">
        <f t="shared" si="10"/>
        <v>187</v>
      </c>
      <c r="C201" s="58"/>
      <c r="D201" s="56" t="s">
        <v>745</v>
      </c>
      <c r="E201" s="56" t="s">
        <v>746</v>
      </c>
      <c r="F201" s="99" t="s">
        <v>747</v>
      </c>
      <c r="G201" s="86">
        <v>10</v>
      </c>
      <c r="H201" s="124">
        <v>280.26</v>
      </c>
      <c r="I201" s="87">
        <f t="shared" si="11"/>
        <v>2802.6</v>
      </c>
    </row>
    <row r="202" spans="1:9" ht="115.5">
      <c r="A202" s="98"/>
      <c r="B202" s="55">
        <f t="shared" si="10"/>
        <v>188</v>
      </c>
      <c r="C202" s="58"/>
      <c r="D202" s="56" t="s">
        <v>748</v>
      </c>
      <c r="E202" s="56"/>
      <c r="F202" s="99" t="s">
        <v>244</v>
      </c>
      <c r="G202" s="86">
        <v>1500</v>
      </c>
      <c r="H202" s="124">
        <v>43.65</v>
      </c>
      <c r="I202" s="87">
        <f t="shared" si="11"/>
        <v>65475</v>
      </c>
    </row>
    <row r="203" spans="1:9" ht="16.5">
      <c r="A203" s="98"/>
      <c r="B203" s="55">
        <f t="shared" si="10"/>
        <v>189</v>
      </c>
      <c r="C203" s="58" t="s">
        <v>749</v>
      </c>
      <c r="D203" s="56" t="s">
        <v>750</v>
      </c>
      <c r="E203" s="56" t="s">
        <v>751</v>
      </c>
      <c r="F203" s="99" t="s">
        <v>242</v>
      </c>
      <c r="G203" s="86">
        <v>30</v>
      </c>
      <c r="H203" s="124">
        <v>3.19</v>
      </c>
      <c r="I203" s="87">
        <f t="shared" si="11"/>
        <v>95.7</v>
      </c>
    </row>
    <row r="204" spans="1:9" ht="66">
      <c r="A204" s="98"/>
      <c r="B204" s="55">
        <f t="shared" si="10"/>
        <v>190</v>
      </c>
      <c r="C204" s="58"/>
      <c r="D204" s="56" t="s">
        <v>90</v>
      </c>
      <c r="E204" s="56" t="s">
        <v>89</v>
      </c>
      <c r="F204" s="99" t="s">
        <v>244</v>
      </c>
      <c r="G204" s="86">
        <v>40</v>
      </c>
      <c r="H204" s="124">
        <v>18.489999999999998</v>
      </c>
      <c r="I204" s="87">
        <f t="shared" si="11"/>
        <v>739.6</v>
      </c>
    </row>
    <row r="205" spans="1:9" ht="66">
      <c r="A205" s="98"/>
      <c r="B205" s="55">
        <f t="shared" si="10"/>
        <v>191</v>
      </c>
      <c r="C205" s="58"/>
      <c r="D205" s="56" t="s">
        <v>0</v>
      </c>
      <c r="E205" s="56"/>
      <c r="F205" s="99" t="s">
        <v>244</v>
      </c>
      <c r="G205" s="86">
        <v>10</v>
      </c>
      <c r="H205" s="124">
        <v>25</v>
      </c>
      <c r="I205" s="87">
        <f t="shared" si="11"/>
        <v>250</v>
      </c>
    </row>
    <row r="206" spans="1:9" ht="115.5">
      <c r="A206" s="98"/>
      <c r="B206" s="55">
        <f t="shared" si="10"/>
        <v>192</v>
      </c>
      <c r="C206" s="58"/>
      <c r="D206" s="56" t="s">
        <v>1</v>
      </c>
      <c r="E206" s="56"/>
      <c r="F206" s="99" t="s">
        <v>244</v>
      </c>
      <c r="G206" s="86">
        <v>100</v>
      </c>
      <c r="H206" s="124">
        <v>38</v>
      </c>
      <c r="I206" s="87">
        <f t="shared" si="11"/>
        <v>3800</v>
      </c>
    </row>
    <row r="207" spans="1:9" ht="33">
      <c r="A207" s="98"/>
      <c r="B207" s="55">
        <f t="shared" si="10"/>
        <v>193</v>
      </c>
      <c r="C207" s="58" t="s">
        <v>2</v>
      </c>
      <c r="D207" s="56" t="s">
        <v>3</v>
      </c>
      <c r="E207" s="56"/>
      <c r="F207" s="99" t="s">
        <v>244</v>
      </c>
      <c r="G207" s="86">
        <v>6</v>
      </c>
      <c r="H207" s="124">
        <v>73.92</v>
      </c>
      <c r="I207" s="87">
        <f t="shared" si="11"/>
        <v>443.52</v>
      </c>
    </row>
    <row r="208" spans="1:9" ht="33">
      <c r="A208" s="98"/>
      <c r="B208" s="55">
        <f t="shared" si="10"/>
        <v>194</v>
      </c>
      <c r="C208" s="58"/>
      <c r="D208" s="56" t="s">
        <v>4</v>
      </c>
      <c r="E208" s="56" t="s">
        <v>5</v>
      </c>
      <c r="F208" s="99" t="s">
        <v>244</v>
      </c>
      <c r="G208" s="86">
        <v>15</v>
      </c>
      <c r="H208" s="124">
        <v>80.06</v>
      </c>
      <c r="I208" s="87">
        <f t="shared" si="11"/>
        <v>1200.9000000000001</v>
      </c>
    </row>
    <row r="209" spans="1:9" ht="33">
      <c r="A209" s="98"/>
      <c r="B209" s="55">
        <f t="shared" si="10"/>
        <v>195</v>
      </c>
      <c r="C209" s="58"/>
      <c r="D209" s="56" t="s">
        <v>6</v>
      </c>
      <c r="E209" s="56"/>
      <c r="F209" s="99" t="s">
        <v>244</v>
      </c>
      <c r="G209" s="86">
        <v>500</v>
      </c>
      <c r="H209" s="124">
        <v>1.75</v>
      </c>
      <c r="I209" s="87">
        <f t="shared" si="11"/>
        <v>875</v>
      </c>
    </row>
    <row r="210" spans="1:9" ht="16.5">
      <c r="A210" s="8"/>
      <c r="B210" s="84"/>
      <c r="C210" s="84"/>
      <c r="D210" s="84"/>
      <c r="E210" s="84"/>
      <c r="F210" s="84"/>
      <c r="G210" s="84"/>
      <c r="H210" s="84"/>
      <c r="I210" s="84"/>
    </row>
    <row r="211" spans="1:9" ht="16.5">
      <c r="A211" s="8"/>
      <c r="B211" s="21"/>
      <c r="C211" s="185" t="s">
        <v>7</v>
      </c>
      <c r="D211" s="186"/>
      <c r="E211" s="186"/>
      <c r="F211" s="186"/>
      <c r="G211" s="186"/>
      <c r="H211" s="186"/>
      <c r="I211" s="85">
        <f>I4+I79+I86+I97+I134+I164</f>
        <v>889970.51</v>
      </c>
    </row>
    <row r="212" spans="1:9">
      <c r="A212" s="8"/>
      <c r="B212" s="88"/>
      <c r="C212" s="88"/>
      <c r="D212" s="88"/>
      <c r="E212" s="88"/>
      <c r="F212" s="88"/>
      <c r="G212" s="88"/>
      <c r="H212" s="88"/>
      <c r="I212" s="88"/>
    </row>
    <row r="213" spans="1:9" ht="16.5">
      <c r="A213" s="8"/>
      <c r="B213" s="161" t="s">
        <v>352</v>
      </c>
      <c r="C213" s="161"/>
      <c r="D213" s="161"/>
      <c r="E213" s="161"/>
      <c r="F213" s="161"/>
      <c r="G213" s="76"/>
      <c r="H213" s="76"/>
      <c r="I213" s="76"/>
    </row>
    <row r="214" spans="1:9" ht="16.5">
      <c r="A214" s="8"/>
      <c r="B214" s="20"/>
      <c r="C214" s="188" t="s">
        <v>171</v>
      </c>
      <c r="D214" s="189"/>
      <c r="E214" s="189"/>
      <c r="F214" s="189"/>
      <c r="G214" s="190"/>
      <c r="H214" s="21" t="s">
        <v>165</v>
      </c>
      <c r="I214" s="21" t="s">
        <v>168</v>
      </c>
    </row>
    <row r="215" spans="1:9" ht="16.5">
      <c r="A215" s="8"/>
      <c r="B215" s="20" t="s">
        <v>130</v>
      </c>
      <c r="C215" s="175" t="str">
        <f ca="1">'Planilha Resumo'!$C$37</f>
        <v>Custos Indiretos</v>
      </c>
      <c r="D215" s="180"/>
      <c r="E215" s="180"/>
      <c r="F215" s="180"/>
      <c r="G215" s="176"/>
      <c r="H215" s="41">
        <f ca="1">'Planilha Resumo'!$F$37</f>
        <v>4.7300000000000004</v>
      </c>
      <c r="I215" s="23">
        <f>ROUND(H215%*SUM($I$225:$I$230),2)</f>
        <v>42095.61</v>
      </c>
    </row>
    <row r="216" spans="1:9" ht="16.5">
      <c r="A216" s="8"/>
      <c r="B216" s="29" t="s">
        <v>131</v>
      </c>
      <c r="C216" s="142" t="str">
        <f ca="1">'Planilha Resumo'!$C$38</f>
        <v>Lucro</v>
      </c>
      <c r="D216" s="191"/>
      <c r="E216" s="191"/>
      <c r="F216" s="191"/>
      <c r="G216" s="143"/>
      <c r="H216" s="41">
        <f ca="1">'Planilha Resumo'!$F$38</f>
        <v>5.57</v>
      </c>
      <c r="I216" s="23">
        <f>ROUND(H216%*($I$225+$I$226+$I$227+$I$228+$I$229+$I$230+$I$215),2)</f>
        <v>51916.08</v>
      </c>
    </row>
    <row r="217" spans="1:9" ht="16.5">
      <c r="A217" s="8"/>
      <c r="B217" s="29" t="s">
        <v>132</v>
      </c>
      <c r="C217" s="175" t="s">
        <v>217</v>
      </c>
      <c r="D217" s="180"/>
      <c r="E217" s="180"/>
      <c r="F217" s="180"/>
      <c r="G217" s="176"/>
      <c r="H217" s="42">
        <f ca="1">SUM(H218:H221)</f>
        <v>10.15</v>
      </c>
      <c r="I217" s="23">
        <f>SUM(I218:I221)</f>
        <v>111156.59</v>
      </c>
    </row>
    <row r="218" spans="1:9">
      <c r="A218" s="8"/>
      <c r="B218" s="43" t="s">
        <v>174</v>
      </c>
      <c r="C218" s="181" t="str">
        <f ca="1">'Planilha Resumo'!$C$40</f>
        <v>PIS</v>
      </c>
      <c r="D218" s="182"/>
      <c r="E218" s="182"/>
      <c r="F218" s="182"/>
      <c r="G218" s="183"/>
      <c r="H218" s="44">
        <f ca="1">'Planilha Resumo'!$F$40</f>
        <v>0.65</v>
      </c>
      <c r="I218" s="45">
        <f>ROUND((($I$225+$I$226+$I$227+$I$228+$I$229+$I$230+$I$215+$I$216)*H218%)/(1-$H$217%),2)</f>
        <v>7118.4</v>
      </c>
    </row>
    <row r="219" spans="1:9">
      <c r="A219" s="8"/>
      <c r="B219" s="43" t="s">
        <v>176</v>
      </c>
      <c r="C219" s="181" t="str">
        <f ca="1">'Planilha Resumo'!$C$41</f>
        <v>Cofins</v>
      </c>
      <c r="D219" s="182"/>
      <c r="E219" s="182"/>
      <c r="F219" s="182"/>
      <c r="G219" s="183"/>
      <c r="H219" s="44">
        <f ca="1">'Planilha Resumo'!$F$41</f>
        <v>3</v>
      </c>
      <c r="I219" s="45">
        <f>ROUND((($I$225+$I$226+$I$227+$I$228+$I$229+$I$230+$I$215+$I$216)*H219%)/(1-$H$217%),2)</f>
        <v>32854.160000000003</v>
      </c>
    </row>
    <row r="220" spans="1:9">
      <c r="A220" s="8"/>
      <c r="B220" s="43" t="s">
        <v>178</v>
      </c>
      <c r="C220" s="181" t="str">
        <f ca="1">'Planilha Resumo'!$C$42</f>
        <v>ISS</v>
      </c>
      <c r="D220" s="182"/>
      <c r="E220" s="182"/>
      <c r="F220" s="182"/>
      <c r="G220" s="183"/>
      <c r="H220" s="44">
        <f ca="1">'Planilha Resumo'!$F$42</f>
        <v>2</v>
      </c>
      <c r="I220" s="45">
        <f>ROUND((($I$225+$I$226+$I$227+$I$228+$I$229+$I$230+$I$215+$I$216)*H220%)/(1-$H$217%),2)</f>
        <v>21902.78</v>
      </c>
    </row>
    <row r="221" spans="1:9">
      <c r="A221" s="8"/>
      <c r="B221" s="43" t="s">
        <v>359</v>
      </c>
      <c r="C221" s="181" t="str">
        <f ca="1">'Planilha Resumo'!$C$43</f>
        <v>CPRB (Somente se empresa optante pela desoneração fiscal)</v>
      </c>
      <c r="D221" s="182"/>
      <c r="E221" s="182"/>
      <c r="F221" s="182"/>
      <c r="G221" s="183"/>
      <c r="H221" s="44">
        <f ca="1">'Planilha Resumo'!$F$43</f>
        <v>4.5</v>
      </c>
      <c r="I221" s="45">
        <f>ROUND((($I$225+$I$226+$I$227+$I$228+$I$229+$I$230+$I$215+$I$216)*H221%)/(1-$H$217%),2)</f>
        <v>49281.25</v>
      </c>
    </row>
    <row r="222" spans="1:9" ht="16.5">
      <c r="A222" s="8"/>
      <c r="B222" s="89" t="s">
        <v>190</v>
      </c>
      <c r="C222" s="90"/>
      <c r="D222" s="90"/>
      <c r="E222" s="90"/>
      <c r="F222" s="90"/>
      <c r="G222" s="90"/>
      <c r="H222" s="51"/>
      <c r="I222" s="46">
        <f>SUM(I215:I217)</f>
        <v>205168.28</v>
      </c>
    </row>
    <row r="223" spans="1:9" ht="20.25">
      <c r="A223" s="8"/>
      <c r="B223" s="47" t="s">
        <v>8</v>
      </c>
      <c r="C223" s="48"/>
      <c r="D223" s="48"/>
      <c r="E223" s="48"/>
      <c r="F223" s="49"/>
      <c r="G223" s="76"/>
      <c r="H223" s="76"/>
      <c r="I223" s="76"/>
    </row>
    <row r="224" spans="1:9" ht="16.5">
      <c r="A224" s="8"/>
      <c r="B224" s="29"/>
      <c r="C224" s="188" t="s">
        <v>12</v>
      </c>
      <c r="D224" s="189"/>
      <c r="E224" s="189"/>
      <c r="F224" s="189"/>
      <c r="G224" s="190"/>
      <c r="H224" s="185" t="s">
        <v>221</v>
      </c>
      <c r="I224" s="187"/>
    </row>
    <row r="225" spans="1:9" ht="16.5">
      <c r="A225" s="8"/>
      <c r="B225" s="29">
        <v>1</v>
      </c>
      <c r="C225" s="195" t="str">
        <f>"Custo direto "&amp; C4</f>
        <v>Custo direto Materiais Elétricos</v>
      </c>
      <c r="D225" s="196"/>
      <c r="E225" s="196"/>
      <c r="F225" s="196"/>
      <c r="G225" s="196"/>
      <c r="H225" s="93"/>
      <c r="I225" s="94">
        <f>I4</f>
        <v>387190.5</v>
      </c>
    </row>
    <row r="226" spans="1:9" ht="16.5">
      <c r="A226" s="8"/>
      <c r="B226" s="55">
        <f t="shared" ref="B226:B231" si="12">B225+1</f>
        <v>2</v>
      </c>
      <c r="C226" s="142" t="str">
        <f>"Custo direto "&amp; C79</f>
        <v>Custo direto Materiais de Controle e Automação</v>
      </c>
      <c r="D226" s="191"/>
      <c r="E226" s="191"/>
      <c r="F226" s="191"/>
      <c r="G226" s="191"/>
      <c r="H226" s="97"/>
      <c r="I226" s="94">
        <f>I79</f>
        <v>6054.68</v>
      </c>
    </row>
    <row r="227" spans="1:9" ht="16.5">
      <c r="A227" s="8"/>
      <c r="B227" s="55">
        <f t="shared" si="12"/>
        <v>3</v>
      </c>
      <c r="C227" s="195" t="str">
        <f>"Custo direto "&amp; C86</f>
        <v>Custo direto Materiais de Dados e Voz</v>
      </c>
      <c r="D227" s="196"/>
      <c r="E227" s="196"/>
      <c r="F227" s="196"/>
      <c r="G227" s="196"/>
      <c r="H227" s="93"/>
      <c r="I227" s="94">
        <f>I86</f>
        <v>224473.1</v>
      </c>
    </row>
    <row r="228" spans="1:9" ht="16.5">
      <c r="A228" s="8"/>
      <c r="B228" s="55">
        <f t="shared" si="12"/>
        <v>4</v>
      </c>
      <c r="C228" s="142" t="str">
        <f>"Custo direto "&amp; C97</f>
        <v>Custo direto Materiais Hidráulicos</v>
      </c>
      <c r="D228" s="191"/>
      <c r="E228" s="191"/>
      <c r="F228" s="191"/>
      <c r="G228" s="191"/>
      <c r="H228" s="97"/>
      <c r="I228" s="94">
        <f>I97</f>
        <v>74569.450000000012</v>
      </c>
    </row>
    <row r="229" spans="1:9" ht="16.5">
      <c r="A229" s="8"/>
      <c r="B229" s="55">
        <f t="shared" si="12"/>
        <v>5</v>
      </c>
      <c r="C229" s="195" t="str">
        <f>"Custo direto "&amp; C134</f>
        <v>Custo direto Materiais de Marcenaria</v>
      </c>
      <c r="D229" s="196"/>
      <c r="E229" s="196"/>
      <c r="F229" s="196"/>
      <c r="G229" s="196"/>
      <c r="H229" s="93"/>
      <c r="I229" s="94">
        <f>I134</f>
        <v>21436.720000000001</v>
      </c>
    </row>
    <row r="230" spans="1:9" ht="16.5">
      <c r="A230" s="8"/>
      <c r="B230" s="55">
        <f t="shared" si="12"/>
        <v>6</v>
      </c>
      <c r="C230" s="142" t="str">
        <f>"Custo direto "&amp; C164</f>
        <v xml:space="preserve">Custo direto Materiais Diversos </v>
      </c>
      <c r="D230" s="191"/>
      <c r="E230" s="191"/>
      <c r="F230" s="191"/>
      <c r="G230" s="191"/>
      <c r="H230" s="97"/>
      <c r="I230" s="94">
        <f>I164</f>
        <v>176246.06000000003</v>
      </c>
    </row>
    <row r="231" spans="1:9" ht="16.5">
      <c r="A231" s="8"/>
      <c r="B231" s="55">
        <f t="shared" si="12"/>
        <v>7</v>
      </c>
      <c r="C231" s="195" t="s">
        <v>171</v>
      </c>
      <c r="D231" s="196"/>
      <c r="E231" s="196"/>
      <c r="F231" s="196"/>
      <c r="G231" s="196"/>
      <c r="H231" s="93"/>
      <c r="I231" s="94">
        <f>I222</f>
        <v>205168.28</v>
      </c>
    </row>
    <row r="232" spans="1:9" ht="16.5">
      <c r="A232" s="8"/>
      <c r="B232" s="192" t="s">
        <v>9</v>
      </c>
      <c r="C232" s="193"/>
      <c r="D232" s="193"/>
      <c r="E232" s="193"/>
      <c r="F232" s="193"/>
      <c r="G232" s="193"/>
      <c r="H232" s="194"/>
      <c r="I232" s="46">
        <f>SUM(I225:I231)</f>
        <v>1095138.79</v>
      </c>
    </row>
  </sheetData>
  <sheetProtection sheet="1" objects="1" scenarios="1"/>
  <mergeCells count="27">
    <mergeCell ref="B232:H232"/>
    <mergeCell ref="C224:G224"/>
    <mergeCell ref="C225:G225"/>
    <mergeCell ref="C227:G227"/>
    <mergeCell ref="C229:G229"/>
    <mergeCell ref="C231:G231"/>
    <mergeCell ref="C226:G226"/>
    <mergeCell ref="C228:G228"/>
    <mergeCell ref="C230:G230"/>
    <mergeCell ref="H224:I224"/>
    <mergeCell ref="C221:G221"/>
    <mergeCell ref="C164:H164"/>
    <mergeCell ref="C211:H211"/>
    <mergeCell ref="C214:G214"/>
    <mergeCell ref="C215:G215"/>
    <mergeCell ref="C216:G216"/>
    <mergeCell ref="B213:F213"/>
    <mergeCell ref="C218:G218"/>
    <mergeCell ref="C217:G217"/>
    <mergeCell ref="C220:G220"/>
    <mergeCell ref="B1:I1"/>
    <mergeCell ref="C4:H4"/>
    <mergeCell ref="C79:H79"/>
    <mergeCell ref="C86:H86"/>
    <mergeCell ref="C97:H97"/>
    <mergeCell ref="C134:H134"/>
    <mergeCell ref="C219:G219"/>
  </mergeCells>
  <phoneticPr fontId="18" type="noConversion"/>
  <printOptions horizontalCentered="1"/>
  <pageMargins left="0.15748031496062992" right="0.15748031496062992" top="0.78740157480314965" bottom="0.39370078740157483" header="0.31496062992125984" footer="0.31496062992125984"/>
  <pageSetup paperSize="9" scale="83" fitToHeight="0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G94"/>
  <sheetViews>
    <sheetView showGridLines="0" zoomScaleNormal="100" workbookViewId="0">
      <pane xSplit="7" ySplit="4" topLeftCell="H5" activePane="bottomRight" state="frozen"/>
      <selection activeCell="H15" sqref="H15"/>
      <selection pane="topRight" activeCell="H15" sqref="H15"/>
      <selection pane="bottomLeft" activeCell="H15" sqref="H15"/>
      <selection pane="bottomRight" activeCell="H5" sqref="H5"/>
    </sheetView>
  </sheetViews>
  <sheetFormatPr defaultColWidth="8.85546875" defaultRowHeight="15"/>
  <cols>
    <col min="1" max="1" width="2.5703125" style="78" customWidth="1"/>
    <col min="2" max="2" width="6.28515625" style="82" customWidth="1"/>
    <col min="3" max="3" width="62.42578125" style="82" customWidth="1"/>
    <col min="4" max="4" width="10.85546875" style="82" customWidth="1"/>
    <col min="5" max="5" width="9.5703125" style="82" customWidth="1"/>
    <col min="6" max="6" width="12.42578125" style="82" customWidth="1"/>
    <col min="7" max="7" width="17.140625" style="82" bestFit="1" customWidth="1"/>
    <col min="8" max="16384" width="8.85546875" style="82"/>
  </cols>
  <sheetData>
    <row r="1" spans="1:7" ht="16.5">
      <c r="A1" s="8"/>
      <c r="B1" s="201" t="s">
        <v>13</v>
      </c>
      <c r="C1" s="202"/>
      <c r="D1" s="202"/>
      <c r="E1" s="202"/>
      <c r="F1" s="202"/>
      <c r="G1" s="202"/>
    </row>
    <row r="2" spans="1:7" ht="33">
      <c r="A2" s="8"/>
      <c r="B2" s="21" t="s">
        <v>239</v>
      </c>
      <c r="C2" s="21" t="s">
        <v>240</v>
      </c>
      <c r="D2" s="21" t="s">
        <v>501</v>
      </c>
      <c r="E2" s="21" t="s">
        <v>241</v>
      </c>
      <c r="F2" s="21" t="s">
        <v>363</v>
      </c>
      <c r="G2" s="21" t="s">
        <v>362</v>
      </c>
    </row>
    <row r="3" spans="1:7" ht="16.5">
      <c r="A3" s="8"/>
      <c r="B3" s="84"/>
      <c r="C3" s="84"/>
      <c r="D3" s="84"/>
      <c r="E3" s="84"/>
      <c r="F3" s="84"/>
      <c r="G3" s="84"/>
    </row>
    <row r="4" spans="1:7" ht="16.5">
      <c r="A4" s="8"/>
      <c r="B4" s="21"/>
      <c r="C4" s="185" t="s">
        <v>86</v>
      </c>
      <c r="D4" s="186"/>
      <c r="E4" s="186"/>
      <c r="F4" s="186"/>
      <c r="G4" s="85">
        <f>SUM(G5:G78)</f>
        <v>804843.87999999977</v>
      </c>
    </row>
    <row r="5" spans="1:7" s="83" customFormat="1" ht="16.5">
      <c r="A5" s="8"/>
      <c r="B5" s="55">
        <v>1</v>
      </c>
      <c r="C5" s="56" t="s">
        <v>14</v>
      </c>
      <c r="D5" s="58" t="s">
        <v>244</v>
      </c>
      <c r="E5" s="86">
        <v>388</v>
      </c>
      <c r="F5" s="124">
        <v>32</v>
      </c>
      <c r="G5" s="87">
        <f>TRUNC(E5*F5,2)</f>
        <v>12416</v>
      </c>
    </row>
    <row r="6" spans="1:7" s="83" customFormat="1" ht="16.5">
      <c r="A6" s="8"/>
      <c r="B6" s="55">
        <f>B5+1</f>
        <v>2</v>
      </c>
      <c r="C6" s="56" t="s">
        <v>15</v>
      </c>
      <c r="D6" s="58" t="s">
        <v>244</v>
      </c>
      <c r="E6" s="86">
        <v>28</v>
      </c>
      <c r="F6" s="124">
        <v>39</v>
      </c>
      <c r="G6" s="87">
        <f t="shared" ref="G6:G69" si="0">TRUNC(E6*F6,2)</f>
        <v>1092</v>
      </c>
    </row>
    <row r="7" spans="1:7" s="83" customFormat="1" ht="16.5">
      <c r="A7" s="8"/>
      <c r="B7" s="55">
        <f t="shared" ref="B7:B70" si="1">B6+1</f>
        <v>3</v>
      </c>
      <c r="C7" s="56" t="s">
        <v>16</v>
      </c>
      <c r="D7" s="58" t="s">
        <v>244</v>
      </c>
      <c r="E7" s="86">
        <v>63</v>
      </c>
      <c r="F7" s="124">
        <v>20</v>
      </c>
      <c r="G7" s="87">
        <f t="shared" si="0"/>
        <v>1260</v>
      </c>
    </row>
    <row r="8" spans="1:7" s="83" customFormat="1" ht="16.5">
      <c r="A8" s="8"/>
      <c r="B8" s="55">
        <f t="shared" si="1"/>
        <v>4</v>
      </c>
      <c r="C8" s="56" t="s">
        <v>17</v>
      </c>
      <c r="D8" s="58" t="s">
        <v>244</v>
      </c>
      <c r="E8" s="86">
        <v>5</v>
      </c>
      <c r="F8" s="124">
        <v>127</v>
      </c>
      <c r="G8" s="87">
        <f t="shared" si="0"/>
        <v>635</v>
      </c>
    </row>
    <row r="9" spans="1:7" s="83" customFormat="1" ht="16.5">
      <c r="A9" s="14"/>
      <c r="B9" s="55">
        <f t="shared" si="1"/>
        <v>5</v>
      </c>
      <c r="C9" s="56" t="s">
        <v>18</v>
      </c>
      <c r="D9" s="58" t="s">
        <v>244</v>
      </c>
      <c r="E9" s="86">
        <v>161</v>
      </c>
      <c r="F9" s="124">
        <v>35</v>
      </c>
      <c r="G9" s="87">
        <f t="shared" si="0"/>
        <v>5635</v>
      </c>
    </row>
    <row r="10" spans="1:7" s="83" customFormat="1" ht="16.5">
      <c r="A10" s="8"/>
      <c r="B10" s="55">
        <f t="shared" si="1"/>
        <v>6</v>
      </c>
      <c r="C10" s="56" t="s">
        <v>19</v>
      </c>
      <c r="D10" s="58" t="s">
        <v>244</v>
      </c>
      <c r="E10" s="86">
        <v>52</v>
      </c>
      <c r="F10" s="124">
        <v>19</v>
      </c>
      <c r="G10" s="87">
        <f t="shared" si="0"/>
        <v>988</v>
      </c>
    </row>
    <row r="11" spans="1:7" ht="16.5">
      <c r="A11" s="8"/>
      <c r="B11" s="55">
        <f t="shared" si="1"/>
        <v>7</v>
      </c>
      <c r="C11" s="56" t="s">
        <v>20</v>
      </c>
      <c r="D11" s="58" t="s">
        <v>244</v>
      </c>
      <c r="E11" s="86">
        <v>388</v>
      </c>
      <c r="F11" s="124">
        <v>9</v>
      </c>
      <c r="G11" s="87">
        <f t="shared" si="0"/>
        <v>3492</v>
      </c>
    </row>
    <row r="12" spans="1:7" ht="16.5">
      <c r="A12" s="8"/>
      <c r="B12" s="55">
        <f t="shared" si="1"/>
        <v>8</v>
      </c>
      <c r="C12" s="56" t="s">
        <v>21</v>
      </c>
      <c r="D12" s="58" t="s">
        <v>244</v>
      </c>
      <c r="E12" s="86">
        <v>28</v>
      </c>
      <c r="F12" s="124">
        <v>9</v>
      </c>
      <c r="G12" s="87">
        <f t="shared" si="0"/>
        <v>252</v>
      </c>
    </row>
    <row r="13" spans="1:7" ht="16.5">
      <c r="A13" s="8"/>
      <c r="B13" s="55">
        <f t="shared" si="1"/>
        <v>9</v>
      </c>
      <c r="C13" s="56" t="s">
        <v>22</v>
      </c>
      <c r="D13" s="58" t="s">
        <v>244</v>
      </c>
      <c r="E13" s="86">
        <v>63</v>
      </c>
      <c r="F13" s="124">
        <v>9</v>
      </c>
      <c r="G13" s="87">
        <f t="shared" si="0"/>
        <v>567</v>
      </c>
    </row>
    <row r="14" spans="1:7" ht="33">
      <c r="A14" s="8"/>
      <c r="B14" s="55">
        <f t="shared" si="1"/>
        <v>10</v>
      </c>
      <c r="C14" s="56" t="s">
        <v>23</v>
      </c>
      <c r="D14" s="58" t="s">
        <v>244</v>
      </c>
      <c r="E14" s="86">
        <v>5</v>
      </c>
      <c r="F14" s="124">
        <v>15</v>
      </c>
      <c r="G14" s="87">
        <f t="shared" si="0"/>
        <v>75</v>
      </c>
    </row>
    <row r="15" spans="1:7" ht="16.5">
      <c r="A15" s="8"/>
      <c r="B15" s="55">
        <f t="shared" si="1"/>
        <v>11</v>
      </c>
      <c r="C15" s="56" t="s">
        <v>24</v>
      </c>
      <c r="D15" s="58" t="s">
        <v>244</v>
      </c>
      <c r="E15" s="86">
        <v>161</v>
      </c>
      <c r="F15" s="124">
        <v>11</v>
      </c>
      <c r="G15" s="87">
        <f t="shared" si="0"/>
        <v>1771</v>
      </c>
    </row>
    <row r="16" spans="1:7" ht="16.5">
      <c r="A16" s="8"/>
      <c r="B16" s="55">
        <f t="shared" si="1"/>
        <v>12</v>
      </c>
      <c r="C16" s="56" t="s">
        <v>25</v>
      </c>
      <c r="D16" s="58" t="s">
        <v>244</v>
      </c>
      <c r="E16" s="86">
        <v>52</v>
      </c>
      <c r="F16" s="124">
        <v>9</v>
      </c>
      <c r="G16" s="87">
        <f t="shared" si="0"/>
        <v>468</v>
      </c>
    </row>
    <row r="17" spans="1:7" s="83" customFormat="1" ht="16.5">
      <c r="A17" s="8"/>
      <c r="B17" s="55">
        <f t="shared" si="1"/>
        <v>13</v>
      </c>
      <c r="C17" s="56" t="s">
        <v>26</v>
      </c>
      <c r="D17" s="58" t="s">
        <v>244</v>
      </c>
      <c r="E17" s="86">
        <v>413</v>
      </c>
      <c r="F17" s="124">
        <v>15</v>
      </c>
      <c r="G17" s="87">
        <f t="shared" si="0"/>
        <v>6195</v>
      </c>
    </row>
    <row r="18" spans="1:7" ht="49.5">
      <c r="A18" s="14"/>
      <c r="B18" s="55">
        <f t="shared" si="1"/>
        <v>14</v>
      </c>
      <c r="C18" s="56" t="s">
        <v>93</v>
      </c>
      <c r="D18" s="58" t="s">
        <v>706</v>
      </c>
      <c r="E18" s="86">
        <v>200</v>
      </c>
      <c r="F18" s="124">
        <v>37.369999999999997</v>
      </c>
      <c r="G18" s="87">
        <f t="shared" si="0"/>
        <v>7474</v>
      </c>
    </row>
    <row r="19" spans="1:7" ht="33">
      <c r="A19" s="8"/>
      <c r="B19" s="55">
        <f t="shared" si="1"/>
        <v>15</v>
      </c>
      <c r="C19" s="56" t="s">
        <v>27</v>
      </c>
      <c r="D19" s="58" t="s">
        <v>706</v>
      </c>
      <c r="E19" s="86">
        <v>250</v>
      </c>
      <c r="F19" s="124">
        <v>67.510000000000005</v>
      </c>
      <c r="G19" s="87">
        <f t="shared" si="0"/>
        <v>16877.5</v>
      </c>
    </row>
    <row r="20" spans="1:7" ht="16.5">
      <c r="A20" s="8"/>
      <c r="B20" s="55">
        <f t="shared" si="1"/>
        <v>16</v>
      </c>
      <c r="C20" s="56" t="s">
        <v>94</v>
      </c>
      <c r="D20" s="58" t="s">
        <v>189</v>
      </c>
      <c r="E20" s="86">
        <v>32</v>
      </c>
      <c r="F20" s="124">
        <v>130</v>
      </c>
      <c r="G20" s="87">
        <f t="shared" si="0"/>
        <v>4160</v>
      </c>
    </row>
    <row r="21" spans="1:7" s="83" customFormat="1" ht="16.5">
      <c r="A21" s="8"/>
      <c r="B21" s="55">
        <f t="shared" si="1"/>
        <v>17</v>
      </c>
      <c r="C21" s="56" t="s">
        <v>28</v>
      </c>
      <c r="D21" s="58" t="s">
        <v>29</v>
      </c>
      <c r="E21" s="86">
        <v>4</v>
      </c>
      <c r="F21" s="124">
        <v>1400</v>
      </c>
      <c r="G21" s="87">
        <f t="shared" si="0"/>
        <v>5600</v>
      </c>
    </row>
    <row r="22" spans="1:7" ht="49.5">
      <c r="A22" s="8"/>
      <c r="B22" s="55">
        <f t="shared" si="1"/>
        <v>18</v>
      </c>
      <c r="C22" s="56" t="s">
        <v>30</v>
      </c>
      <c r="D22" s="58" t="s">
        <v>29</v>
      </c>
      <c r="E22" s="86">
        <v>2</v>
      </c>
      <c r="F22" s="124">
        <v>6500</v>
      </c>
      <c r="G22" s="87">
        <f t="shared" si="0"/>
        <v>13000</v>
      </c>
    </row>
    <row r="23" spans="1:7" s="83" customFormat="1" ht="16.5">
      <c r="A23" s="8"/>
      <c r="B23" s="55">
        <f t="shared" si="1"/>
        <v>19</v>
      </c>
      <c r="C23" s="56" t="s">
        <v>31</v>
      </c>
      <c r="D23" s="58" t="s">
        <v>32</v>
      </c>
      <c r="E23" s="86">
        <v>144</v>
      </c>
      <c r="F23" s="124">
        <v>8.86</v>
      </c>
      <c r="G23" s="87">
        <f t="shared" si="0"/>
        <v>1275.8399999999999</v>
      </c>
    </row>
    <row r="24" spans="1:7" ht="16.5">
      <c r="A24" s="8"/>
      <c r="B24" s="55">
        <f t="shared" si="1"/>
        <v>20</v>
      </c>
      <c r="C24" s="56" t="s">
        <v>33</v>
      </c>
      <c r="D24" s="58" t="s">
        <v>244</v>
      </c>
      <c r="E24" s="86">
        <v>36</v>
      </c>
      <c r="F24" s="124">
        <v>300</v>
      </c>
      <c r="G24" s="87">
        <f t="shared" si="0"/>
        <v>10800</v>
      </c>
    </row>
    <row r="25" spans="1:7" ht="16.5">
      <c r="A25" s="8"/>
      <c r="B25" s="55">
        <f t="shared" si="1"/>
        <v>21</v>
      </c>
      <c r="C25" s="56" t="s">
        <v>34</v>
      </c>
      <c r="D25" s="58" t="s">
        <v>244</v>
      </c>
      <c r="E25" s="86">
        <v>1</v>
      </c>
      <c r="F25" s="124">
        <v>160</v>
      </c>
      <c r="G25" s="87">
        <f t="shared" si="0"/>
        <v>160</v>
      </c>
    </row>
    <row r="26" spans="1:7" s="83" customFormat="1" ht="16.5">
      <c r="A26" s="8"/>
      <c r="B26" s="55">
        <f t="shared" si="1"/>
        <v>22</v>
      </c>
      <c r="C26" s="56" t="s">
        <v>35</v>
      </c>
      <c r="D26" s="58" t="s">
        <v>244</v>
      </c>
      <c r="E26" s="86">
        <v>1</v>
      </c>
      <c r="F26" s="124">
        <v>190</v>
      </c>
      <c r="G26" s="87">
        <f t="shared" si="0"/>
        <v>190</v>
      </c>
    </row>
    <row r="27" spans="1:7" ht="49.5">
      <c r="A27" s="8"/>
      <c r="B27" s="55">
        <f t="shared" si="1"/>
        <v>23</v>
      </c>
      <c r="C27" s="56" t="s">
        <v>36</v>
      </c>
      <c r="D27" s="58" t="s">
        <v>37</v>
      </c>
      <c r="E27" s="86">
        <v>2</v>
      </c>
      <c r="F27" s="124">
        <v>1380</v>
      </c>
      <c r="G27" s="87">
        <f t="shared" si="0"/>
        <v>2760</v>
      </c>
    </row>
    <row r="28" spans="1:7" ht="33">
      <c r="A28" s="8"/>
      <c r="B28" s="55">
        <f t="shared" si="1"/>
        <v>24</v>
      </c>
      <c r="C28" s="56" t="s">
        <v>38</v>
      </c>
      <c r="D28" s="58" t="s">
        <v>706</v>
      </c>
      <c r="E28" s="86">
        <v>500</v>
      </c>
      <c r="F28" s="124">
        <v>26.3</v>
      </c>
      <c r="G28" s="87">
        <f t="shared" si="0"/>
        <v>13150</v>
      </c>
    </row>
    <row r="29" spans="1:7" ht="33">
      <c r="A29" s="8"/>
      <c r="B29" s="55">
        <f t="shared" si="1"/>
        <v>25</v>
      </c>
      <c r="C29" s="56" t="s">
        <v>95</v>
      </c>
      <c r="D29" s="58" t="s">
        <v>706</v>
      </c>
      <c r="E29" s="86">
        <v>500</v>
      </c>
      <c r="F29" s="124">
        <v>15.4</v>
      </c>
      <c r="G29" s="87">
        <f t="shared" si="0"/>
        <v>7700</v>
      </c>
    </row>
    <row r="30" spans="1:7" ht="33">
      <c r="A30" s="8"/>
      <c r="B30" s="55">
        <f t="shared" si="1"/>
        <v>26</v>
      </c>
      <c r="C30" s="56" t="s">
        <v>39</v>
      </c>
      <c r="D30" s="58" t="s">
        <v>706</v>
      </c>
      <c r="E30" s="86">
        <v>500</v>
      </c>
      <c r="F30" s="124">
        <v>15.51</v>
      </c>
      <c r="G30" s="87">
        <f t="shared" si="0"/>
        <v>7755</v>
      </c>
    </row>
    <row r="31" spans="1:7" ht="33">
      <c r="A31" s="8"/>
      <c r="B31" s="55">
        <f t="shared" si="1"/>
        <v>27</v>
      </c>
      <c r="C31" s="56" t="s">
        <v>40</v>
      </c>
      <c r="D31" s="58" t="s">
        <v>706</v>
      </c>
      <c r="E31" s="86">
        <v>2000</v>
      </c>
      <c r="F31" s="124">
        <v>13.71</v>
      </c>
      <c r="G31" s="87">
        <f t="shared" si="0"/>
        <v>27420</v>
      </c>
    </row>
    <row r="32" spans="1:7" s="83" customFormat="1" ht="33">
      <c r="A32" s="8"/>
      <c r="B32" s="55">
        <f t="shared" si="1"/>
        <v>28</v>
      </c>
      <c r="C32" s="56" t="s">
        <v>41</v>
      </c>
      <c r="D32" s="58" t="s">
        <v>706</v>
      </c>
      <c r="E32" s="86">
        <v>500</v>
      </c>
      <c r="F32" s="124">
        <v>20.309999999999999</v>
      </c>
      <c r="G32" s="87">
        <f t="shared" si="0"/>
        <v>10155</v>
      </c>
    </row>
    <row r="33" spans="1:7" ht="49.5">
      <c r="A33" s="8"/>
      <c r="B33" s="55">
        <f t="shared" si="1"/>
        <v>29</v>
      </c>
      <c r="C33" s="56" t="s">
        <v>42</v>
      </c>
      <c r="D33" s="58" t="s">
        <v>706</v>
      </c>
      <c r="E33" s="86">
        <v>500</v>
      </c>
      <c r="F33" s="124">
        <v>13.39</v>
      </c>
      <c r="G33" s="87">
        <f t="shared" si="0"/>
        <v>6695</v>
      </c>
    </row>
    <row r="34" spans="1:7" ht="16.5">
      <c r="A34" s="8"/>
      <c r="B34" s="55">
        <f t="shared" si="1"/>
        <v>30</v>
      </c>
      <c r="C34" s="56" t="s">
        <v>43</v>
      </c>
      <c r="D34" s="58" t="s">
        <v>706</v>
      </c>
      <c r="E34" s="86">
        <v>300</v>
      </c>
      <c r="F34" s="124">
        <v>67.209999999999994</v>
      </c>
      <c r="G34" s="87">
        <f t="shared" si="0"/>
        <v>20163</v>
      </c>
    </row>
    <row r="35" spans="1:7" ht="49.5">
      <c r="A35" s="8"/>
      <c r="B35" s="55">
        <f t="shared" si="1"/>
        <v>31</v>
      </c>
      <c r="C35" s="56" t="s">
        <v>96</v>
      </c>
      <c r="D35" s="58" t="s">
        <v>44</v>
      </c>
      <c r="E35" s="86">
        <v>600</v>
      </c>
      <c r="F35" s="124">
        <v>41.69</v>
      </c>
      <c r="G35" s="87">
        <f t="shared" si="0"/>
        <v>25014</v>
      </c>
    </row>
    <row r="36" spans="1:7" ht="66">
      <c r="A36" s="8"/>
      <c r="B36" s="55">
        <f t="shared" si="1"/>
        <v>32</v>
      </c>
      <c r="C36" s="56" t="s">
        <v>97</v>
      </c>
      <c r="D36" s="58" t="s">
        <v>44</v>
      </c>
      <c r="E36" s="86">
        <v>600</v>
      </c>
      <c r="F36" s="124">
        <v>23.41</v>
      </c>
      <c r="G36" s="87">
        <f t="shared" si="0"/>
        <v>14046</v>
      </c>
    </row>
    <row r="37" spans="1:7" ht="33">
      <c r="A37" s="8"/>
      <c r="B37" s="55">
        <f t="shared" si="1"/>
        <v>33</v>
      </c>
      <c r="C37" s="56" t="s">
        <v>104</v>
      </c>
      <c r="D37" s="58" t="s">
        <v>245</v>
      </c>
      <c r="E37" s="86">
        <v>200</v>
      </c>
      <c r="F37" s="124">
        <v>10.29</v>
      </c>
      <c r="G37" s="87">
        <f t="shared" si="0"/>
        <v>2058</v>
      </c>
    </row>
    <row r="38" spans="1:7" s="83" customFormat="1" ht="33">
      <c r="A38" s="8"/>
      <c r="B38" s="55">
        <f t="shared" si="1"/>
        <v>34</v>
      </c>
      <c r="C38" s="56" t="s">
        <v>98</v>
      </c>
      <c r="D38" s="58" t="s">
        <v>44</v>
      </c>
      <c r="E38" s="86">
        <v>2000</v>
      </c>
      <c r="F38" s="124">
        <v>17.38</v>
      </c>
      <c r="G38" s="87">
        <f t="shared" si="0"/>
        <v>34760</v>
      </c>
    </row>
    <row r="39" spans="1:7" s="83" customFormat="1" ht="33">
      <c r="A39" s="8"/>
      <c r="B39" s="55">
        <f t="shared" si="1"/>
        <v>35</v>
      </c>
      <c r="C39" s="56" t="s">
        <v>105</v>
      </c>
      <c r="D39" s="58" t="s">
        <v>44</v>
      </c>
      <c r="E39" s="86">
        <v>50</v>
      </c>
      <c r="F39" s="124">
        <v>57.43</v>
      </c>
      <c r="G39" s="87">
        <f t="shared" si="0"/>
        <v>2871.5</v>
      </c>
    </row>
    <row r="40" spans="1:7" s="83" customFormat="1" ht="49.5">
      <c r="A40" s="8"/>
      <c r="B40" s="55">
        <f t="shared" si="1"/>
        <v>36</v>
      </c>
      <c r="C40" s="56" t="s">
        <v>45</v>
      </c>
      <c r="D40" s="58" t="s">
        <v>706</v>
      </c>
      <c r="E40" s="86">
        <v>50</v>
      </c>
      <c r="F40" s="124">
        <v>22.4</v>
      </c>
      <c r="G40" s="87">
        <f t="shared" si="0"/>
        <v>1120</v>
      </c>
    </row>
    <row r="41" spans="1:7" ht="33">
      <c r="A41" s="8"/>
      <c r="B41" s="55">
        <f t="shared" si="1"/>
        <v>37</v>
      </c>
      <c r="C41" s="56" t="s">
        <v>46</v>
      </c>
      <c r="D41" s="58" t="s">
        <v>706</v>
      </c>
      <c r="E41" s="86">
        <v>50</v>
      </c>
      <c r="F41" s="124">
        <v>22.4</v>
      </c>
      <c r="G41" s="87">
        <f t="shared" si="0"/>
        <v>1120</v>
      </c>
    </row>
    <row r="42" spans="1:7" ht="33">
      <c r="A42" s="8"/>
      <c r="B42" s="55">
        <f t="shared" si="1"/>
        <v>38</v>
      </c>
      <c r="C42" s="56" t="s">
        <v>47</v>
      </c>
      <c r="D42" s="58" t="s">
        <v>706</v>
      </c>
      <c r="E42" s="86">
        <v>10</v>
      </c>
      <c r="F42" s="124">
        <v>22.4</v>
      </c>
      <c r="G42" s="87">
        <f t="shared" si="0"/>
        <v>224</v>
      </c>
    </row>
    <row r="43" spans="1:7" ht="49.5">
      <c r="A43" s="8"/>
      <c r="B43" s="55">
        <f t="shared" si="1"/>
        <v>39</v>
      </c>
      <c r="C43" s="56" t="s">
        <v>48</v>
      </c>
      <c r="D43" s="58" t="s">
        <v>706</v>
      </c>
      <c r="E43" s="86">
        <v>26</v>
      </c>
      <c r="F43" s="124">
        <v>22.4</v>
      </c>
      <c r="G43" s="87">
        <f t="shared" si="0"/>
        <v>582.4</v>
      </c>
    </row>
    <row r="44" spans="1:7" ht="49.5">
      <c r="A44" s="8"/>
      <c r="B44" s="55">
        <f t="shared" si="1"/>
        <v>40</v>
      </c>
      <c r="C44" s="56" t="s">
        <v>49</v>
      </c>
      <c r="D44" s="58" t="s">
        <v>706</v>
      </c>
      <c r="E44" s="86">
        <v>20</v>
      </c>
      <c r="F44" s="124">
        <v>22.4</v>
      </c>
      <c r="G44" s="87">
        <f t="shared" si="0"/>
        <v>448</v>
      </c>
    </row>
    <row r="45" spans="1:7" ht="49.5">
      <c r="A45" s="8"/>
      <c r="B45" s="55">
        <f t="shared" si="1"/>
        <v>41</v>
      </c>
      <c r="C45" s="56" t="s">
        <v>50</v>
      </c>
      <c r="D45" s="58" t="s">
        <v>706</v>
      </c>
      <c r="E45" s="86">
        <v>15</v>
      </c>
      <c r="F45" s="124">
        <v>22.4</v>
      </c>
      <c r="G45" s="87">
        <f t="shared" si="0"/>
        <v>336</v>
      </c>
    </row>
    <row r="46" spans="1:7" ht="16.5">
      <c r="A46" s="8"/>
      <c r="B46" s="55">
        <f t="shared" si="1"/>
        <v>42</v>
      </c>
      <c r="C46" s="56" t="s">
        <v>51</v>
      </c>
      <c r="D46" s="58" t="s">
        <v>244</v>
      </c>
      <c r="E46" s="86">
        <v>5</v>
      </c>
      <c r="F46" s="124">
        <v>220</v>
      </c>
      <c r="G46" s="87">
        <f t="shared" si="0"/>
        <v>1100</v>
      </c>
    </row>
    <row r="47" spans="1:7" ht="33">
      <c r="A47" s="14"/>
      <c r="B47" s="55">
        <f t="shared" si="1"/>
        <v>43</v>
      </c>
      <c r="C47" s="56" t="s">
        <v>52</v>
      </c>
      <c r="D47" s="58" t="s">
        <v>706</v>
      </c>
      <c r="E47" s="86">
        <v>240</v>
      </c>
      <c r="F47" s="124">
        <v>840</v>
      </c>
      <c r="G47" s="87">
        <f t="shared" si="0"/>
        <v>201600</v>
      </c>
    </row>
    <row r="48" spans="1:7" ht="33">
      <c r="A48" s="8"/>
      <c r="B48" s="55">
        <f t="shared" si="1"/>
        <v>44</v>
      </c>
      <c r="C48" s="56" t="s">
        <v>53</v>
      </c>
      <c r="D48" s="58" t="s">
        <v>706</v>
      </c>
      <c r="E48" s="86">
        <v>80</v>
      </c>
      <c r="F48" s="124">
        <v>945</v>
      </c>
      <c r="G48" s="87">
        <f t="shared" si="0"/>
        <v>75600</v>
      </c>
    </row>
    <row r="49" spans="1:7" ht="33">
      <c r="A49" s="8"/>
      <c r="B49" s="55">
        <f t="shared" si="1"/>
        <v>45</v>
      </c>
      <c r="C49" s="56" t="s">
        <v>54</v>
      </c>
      <c r="D49" s="58" t="s">
        <v>706</v>
      </c>
      <c r="E49" s="86">
        <v>40</v>
      </c>
      <c r="F49" s="124">
        <v>700</v>
      </c>
      <c r="G49" s="87">
        <f t="shared" si="0"/>
        <v>28000</v>
      </c>
    </row>
    <row r="50" spans="1:7" ht="33">
      <c r="A50" s="8"/>
      <c r="B50" s="55">
        <f t="shared" si="1"/>
        <v>46</v>
      </c>
      <c r="C50" s="56" t="s">
        <v>55</v>
      </c>
      <c r="D50" s="58" t="s">
        <v>706</v>
      </c>
      <c r="E50" s="86">
        <v>20</v>
      </c>
      <c r="F50" s="124">
        <v>840</v>
      </c>
      <c r="G50" s="87">
        <f t="shared" si="0"/>
        <v>16800</v>
      </c>
    </row>
    <row r="51" spans="1:7" ht="33">
      <c r="A51" s="8"/>
      <c r="B51" s="55">
        <f t="shared" si="1"/>
        <v>47</v>
      </c>
      <c r="C51" s="56" t="s">
        <v>56</v>
      </c>
      <c r="D51" s="58" t="s">
        <v>706</v>
      </c>
      <c r="E51" s="86">
        <v>40</v>
      </c>
      <c r="F51" s="124">
        <v>195</v>
      </c>
      <c r="G51" s="87">
        <f t="shared" si="0"/>
        <v>7800</v>
      </c>
    </row>
    <row r="52" spans="1:7" ht="33">
      <c r="A52" s="8"/>
      <c r="B52" s="55">
        <f t="shared" si="1"/>
        <v>48</v>
      </c>
      <c r="C52" s="56" t="s">
        <v>57</v>
      </c>
      <c r="D52" s="58" t="s">
        <v>706</v>
      </c>
      <c r="E52" s="86">
        <v>20</v>
      </c>
      <c r="F52" s="124">
        <v>224.61</v>
      </c>
      <c r="G52" s="87">
        <f t="shared" si="0"/>
        <v>4492.2</v>
      </c>
    </row>
    <row r="53" spans="1:7" ht="82.5">
      <c r="A53" s="8"/>
      <c r="B53" s="55">
        <f t="shared" si="1"/>
        <v>49</v>
      </c>
      <c r="C53" s="56" t="s">
        <v>58</v>
      </c>
      <c r="D53" s="58" t="s">
        <v>706</v>
      </c>
      <c r="E53" s="86">
        <v>40</v>
      </c>
      <c r="F53" s="124">
        <v>250</v>
      </c>
      <c r="G53" s="87">
        <f t="shared" si="0"/>
        <v>10000</v>
      </c>
    </row>
    <row r="54" spans="1:7" ht="33">
      <c r="A54" s="14"/>
      <c r="B54" s="55">
        <f t="shared" si="1"/>
        <v>50</v>
      </c>
      <c r="C54" s="56" t="s">
        <v>59</v>
      </c>
      <c r="D54" s="58" t="s">
        <v>706</v>
      </c>
      <c r="E54" s="86">
        <v>40</v>
      </c>
      <c r="F54" s="124">
        <v>350</v>
      </c>
      <c r="G54" s="87">
        <f t="shared" si="0"/>
        <v>14000</v>
      </c>
    </row>
    <row r="55" spans="1:7" ht="49.5">
      <c r="A55" s="8"/>
      <c r="B55" s="55">
        <f t="shared" si="1"/>
        <v>51</v>
      </c>
      <c r="C55" s="56" t="s">
        <v>99</v>
      </c>
      <c r="D55" s="58" t="s">
        <v>706</v>
      </c>
      <c r="E55" s="86">
        <v>500</v>
      </c>
      <c r="F55" s="124">
        <v>49.66</v>
      </c>
      <c r="G55" s="87">
        <f t="shared" si="0"/>
        <v>24830</v>
      </c>
    </row>
    <row r="56" spans="1:7" ht="33">
      <c r="A56" s="8"/>
      <c r="B56" s="55">
        <f t="shared" si="1"/>
        <v>52</v>
      </c>
      <c r="C56" s="56" t="s">
        <v>100</v>
      </c>
      <c r="D56" s="58" t="s">
        <v>706</v>
      </c>
      <c r="E56" s="86">
        <v>500</v>
      </c>
      <c r="F56" s="124">
        <v>2.4900000000000002</v>
      </c>
      <c r="G56" s="87">
        <f t="shared" si="0"/>
        <v>1245</v>
      </c>
    </row>
    <row r="57" spans="1:7" ht="16.5">
      <c r="A57" s="8"/>
      <c r="B57" s="55">
        <f t="shared" si="1"/>
        <v>53</v>
      </c>
      <c r="C57" s="56" t="s">
        <v>60</v>
      </c>
      <c r="D57" s="58" t="s">
        <v>244</v>
      </c>
      <c r="E57" s="86">
        <v>5</v>
      </c>
      <c r="F57" s="124">
        <v>179.4</v>
      </c>
      <c r="G57" s="87">
        <f t="shared" si="0"/>
        <v>897</v>
      </c>
    </row>
    <row r="58" spans="1:7" ht="33">
      <c r="A58" s="8"/>
      <c r="B58" s="55">
        <f t="shared" si="1"/>
        <v>54</v>
      </c>
      <c r="C58" s="56" t="s">
        <v>61</v>
      </c>
      <c r="D58" s="58" t="s">
        <v>244</v>
      </c>
      <c r="E58" s="86">
        <v>2</v>
      </c>
      <c r="F58" s="124">
        <v>299</v>
      </c>
      <c r="G58" s="87">
        <f t="shared" si="0"/>
        <v>598</v>
      </c>
    </row>
    <row r="59" spans="1:7" ht="16.5">
      <c r="A59" s="8"/>
      <c r="B59" s="55">
        <f t="shared" si="1"/>
        <v>55</v>
      </c>
      <c r="C59" s="56" t="s">
        <v>62</v>
      </c>
      <c r="D59" s="58" t="s">
        <v>244</v>
      </c>
      <c r="E59" s="86">
        <v>1</v>
      </c>
      <c r="F59" s="124">
        <v>566.9</v>
      </c>
      <c r="G59" s="87">
        <f t="shared" si="0"/>
        <v>566.9</v>
      </c>
    </row>
    <row r="60" spans="1:7" ht="16.5">
      <c r="A60" s="8"/>
      <c r="B60" s="55">
        <f t="shared" si="1"/>
        <v>56</v>
      </c>
      <c r="C60" s="56" t="s">
        <v>63</v>
      </c>
      <c r="D60" s="58" t="s">
        <v>244</v>
      </c>
      <c r="E60" s="86">
        <v>3</v>
      </c>
      <c r="F60" s="124">
        <v>652.57000000000005</v>
      </c>
      <c r="G60" s="87">
        <f t="shared" si="0"/>
        <v>1957.71</v>
      </c>
    </row>
    <row r="61" spans="1:7" ht="16.5">
      <c r="A61" s="8"/>
      <c r="B61" s="55">
        <f t="shared" si="1"/>
        <v>57</v>
      </c>
      <c r="C61" s="56" t="s">
        <v>64</v>
      </c>
      <c r="D61" s="58" t="s">
        <v>244</v>
      </c>
      <c r="E61" s="86">
        <v>2</v>
      </c>
      <c r="F61" s="124">
        <v>672.75</v>
      </c>
      <c r="G61" s="87">
        <f t="shared" si="0"/>
        <v>1345.5</v>
      </c>
    </row>
    <row r="62" spans="1:7" ht="33">
      <c r="A62" s="8"/>
      <c r="B62" s="55">
        <f t="shared" si="1"/>
        <v>58</v>
      </c>
      <c r="C62" s="56" t="s">
        <v>65</v>
      </c>
      <c r="D62" s="58" t="s">
        <v>244</v>
      </c>
      <c r="E62" s="86">
        <v>4</v>
      </c>
      <c r="F62" s="124">
        <v>1121.25</v>
      </c>
      <c r="G62" s="87">
        <f t="shared" si="0"/>
        <v>4485</v>
      </c>
    </row>
    <row r="63" spans="1:7" s="83" customFormat="1" ht="33">
      <c r="A63" s="8"/>
      <c r="B63" s="55">
        <f t="shared" si="1"/>
        <v>59</v>
      </c>
      <c r="C63" s="56" t="s">
        <v>66</v>
      </c>
      <c r="D63" s="58" t="s">
        <v>244</v>
      </c>
      <c r="E63" s="86">
        <v>2</v>
      </c>
      <c r="F63" s="124">
        <v>598</v>
      </c>
      <c r="G63" s="87">
        <f t="shared" si="0"/>
        <v>1196</v>
      </c>
    </row>
    <row r="64" spans="1:7" ht="33">
      <c r="A64" s="14"/>
      <c r="B64" s="55">
        <f t="shared" si="1"/>
        <v>60</v>
      </c>
      <c r="C64" s="56" t="s">
        <v>67</v>
      </c>
      <c r="D64" s="58" t="s">
        <v>244</v>
      </c>
      <c r="E64" s="86">
        <v>120</v>
      </c>
      <c r="F64" s="124">
        <v>373.75</v>
      </c>
      <c r="G64" s="87">
        <f t="shared" si="0"/>
        <v>44850</v>
      </c>
    </row>
    <row r="65" spans="1:7" ht="16.5">
      <c r="A65" s="8"/>
      <c r="B65" s="55">
        <f t="shared" si="1"/>
        <v>61</v>
      </c>
      <c r="C65" s="56" t="s">
        <v>68</v>
      </c>
      <c r="D65" s="58" t="s">
        <v>244</v>
      </c>
      <c r="E65" s="86">
        <v>2</v>
      </c>
      <c r="F65" s="124">
        <v>1121.25</v>
      </c>
      <c r="G65" s="87">
        <f t="shared" si="0"/>
        <v>2242.5</v>
      </c>
    </row>
    <row r="66" spans="1:7" ht="16.5">
      <c r="A66" s="8"/>
      <c r="B66" s="55">
        <f t="shared" si="1"/>
        <v>62</v>
      </c>
      <c r="C66" s="56" t="s">
        <v>69</v>
      </c>
      <c r="D66" s="58" t="s">
        <v>244</v>
      </c>
      <c r="E66" s="86">
        <v>15</v>
      </c>
      <c r="F66" s="124">
        <v>813.58</v>
      </c>
      <c r="G66" s="87">
        <f t="shared" si="0"/>
        <v>12203.7</v>
      </c>
    </row>
    <row r="67" spans="1:7" ht="33">
      <c r="A67" s="8"/>
      <c r="B67" s="55">
        <f t="shared" si="1"/>
        <v>63</v>
      </c>
      <c r="C67" s="56" t="s">
        <v>70</v>
      </c>
      <c r="D67" s="58" t="s">
        <v>244</v>
      </c>
      <c r="E67" s="86">
        <v>15</v>
      </c>
      <c r="F67" s="124">
        <v>897</v>
      </c>
      <c r="G67" s="87">
        <f t="shared" si="0"/>
        <v>13455</v>
      </c>
    </row>
    <row r="68" spans="1:7" ht="33">
      <c r="A68" s="8"/>
      <c r="B68" s="55">
        <f t="shared" si="1"/>
        <v>64</v>
      </c>
      <c r="C68" s="56" t="s">
        <v>71</v>
      </c>
      <c r="D68" s="58" t="s">
        <v>244</v>
      </c>
      <c r="E68" s="86">
        <v>4</v>
      </c>
      <c r="F68" s="124">
        <v>747.5</v>
      </c>
      <c r="G68" s="87">
        <f t="shared" si="0"/>
        <v>2990</v>
      </c>
    </row>
    <row r="69" spans="1:7" ht="33">
      <c r="A69" s="8"/>
      <c r="B69" s="55">
        <f t="shared" si="1"/>
        <v>65</v>
      </c>
      <c r="C69" s="56" t="s">
        <v>72</v>
      </c>
      <c r="D69" s="58" t="s">
        <v>244</v>
      </c>
      <c r="E69" s="86">
        <v>2</v>
      </c>
      <c r="F69" s="124">
        <v>1820.16</v>
      </c>
      <c r="G69" s="87">
        <f t="shared" si="0"/>
        <v>3640.32</v>
      </c>
    </row>
    <row r="70" spans="1:7" ht="33">
      <c r="A70" s="8"/>
      <c r="B70" s="55">
        <f t="shared" si="1"/>
        <v>66</v>
      </c>
      <c r="C70" s="56" t="s">
        <v>73</v>
      </c>
      <c r="D70" s="58" t="s">
        <v>244</v>
      </c>
      <c r="E70" s="86">
        <v>3</v>
      </c>
      <c r="F70" s="124">
        <v>1345.5</v>
      </c>
      <c r="G70" s="87">
        <f t="shared" ref="G70:G77" si="2">TRUNC(E70*F70,2)</f>
        <v>4036.5</v>
      </c>
    </row>
    <row r="71" spans="1:7" ht="33">
      <c r="A71" s="8"/>
      <c r="B71" s="55">
        <f t="shared" ref="B71:B77" si="3">B70+1</f>
        <v>67</v>
      </c>
      <c r="C71" s="56" t="s">
        <v>74</v>
      </c>
      <c r="D71" s="58" t="s">
        <v>244</v>
      </c>
      <c r="E71" s="86">
        <v>10</v>
      </c>
      <c r="F71" s="124">
        <v>1196</v>
      </c>
      <c r="G71" s="87">
        <f t="shared" si="2"/>
        <v>11960</v>
      </c>
    </row>
    <row r="72" spans="1:7" s="83" customFormat="1" ht="33">
      <c r="A72" s="8"/>
      <c r="B72" s="55">
        <f t="shared" si="3"/>
        <v>68</v>
      </c>
      <c r="C72" s="56" t="s">
        <v>75</v>
      </c>
      <c r="D72" s="58" t="s">
        <v>244</v>
      </c>
      <c r="E72" s="86">
        <v>10</v>
      </c>
      <c r="F72" s="124">
        <v>1345.5</v>
      </c>
      <c r="G72" s="87">
        <f t="shared" si="2"/>
        <v>13455</v>
      </c>
    </row>
    <row r="73" spans="1:7" s="83" customFormat="1" ht="16.5">
      <c r="A73" s="14"/>
      <c r="B73" s="55">
        <f t="shared" si="3"/>
        <v>69</v>
      </c>
      <c r="C73" s="56" t="s">
        <v>76</v>
      </c>
      <c r="D73" s="58" t="s">
        <v>244</v>
      </c>
      <c r="E73" s="86">
        <v>5</v>
      </c>
      <c r="F73" s="124">
        <v>897</v>
      </c>
      <c r="G73" s="87">
        <f t="shared" si="2"/>
        <v>4485</v>
      </c>
    </row>
    <row r="74" spans="1:7" ht="33">
      <c r="A74" s="8"/>
      <c r="B74" s="55">
        <f t="shared" si="3"/>
        <v>70</v>
      </c>
      <c r="C74" s="56" t="s">
        <v>77</v>
      </c>
      <c r="D74" s="58" t="s">
        <v>244</v>
      </c>
      <c r="E74" s="86">
        <v>2</v>
      </c>
      <c r="F74" s="124">
        <v>1783.24</v>
      </c>
      <c r="G74" s="87">
        <f t="shared" si="2"/>
        <v>3566.48</v>
      </c>
    </row>
    <row r="75" spans="1:7" ht="16.5">
      <c r="A75" s="8"/>
      <c r="B75" s="55">
        <f t="shared" si="3"/>
        <v>71</v>
      </c>
      <c r="C75" s="56" t="s">
        <v>78</v>
      </c>
      <c r="D75" s="58" t="s">
        <v>244</v>
      </c>
      <c r="E75" s="86">
        <v>5</v>
      </c>
      <c r="F75" s="124">
        <v>1345.5</v>
      </c>
      <c r="G75" s="87">
        <f t="shared" si="2"/>
        <v>6727.5</v>
      </c>
    </row>
    <row r="76" spans="1:7" ht="33">
      <c r="A76" s="8"/>
      <c r="B76" s="55">
        <f t="shared" si="3"/>
        <v>72</v>
      </c>
      <c r="C76" s="56" t="s">
        <v>79</v>
      </c>
      <c r="D76" s="58" t="s">
        <v>244</v>
      </c>
      <c r="E76" s="86">
        <v>2</v>
      </c>
      <c r="F76" s="124">
        <v>1078.79</v>
      </c>
      <c r="G76" s="87">
        <f t="shared" si="2"/>
        <v>2157.58</v>
      </c>
    </row>
    <row r="77" spans="1:7" ht="33">
      <c r="A77" s="8"/>
      <c r="B77" s="55">
        <f t="shared" si="3"/>
        <v>73</v>
      </c>
      <c r="C77" s="56" t="s">
        <v>80</v>
      </c>
      <c r="D77" s="58" t="s">
        <v>244</v>
      </c>
      <c r="E77" s="86">
        <v>5</v>
      </c>
      <c r="F77" s="124">
        <v>883.55</v>
      </c>
      <c r="G77" s="87">
        <f t="shared" si="2"/>
        <v>4417.75</v>
      </c>
    </row>
    <row r="78" spans="1:7" ht="16.5">
      <c r="A78" s="8"/>
      <c r="B78" s="55">
        <f>B77+1</f>
        <v>74</v>
      </c>
      <c r="C78" s="56" t="s">
        <v>81</v>
      </c>
      <c r="D78" s="58" t="s">
        <v>244</v>
      </c>
      <c r="E78" s="86">
        <v>4</v>
      </c>
      <c r="F78" s="124">
        <v>1345.5</v>
      </c>
      <c r="G78" s="87">
        <f>TRUNC(E78*F78,2)</f>
        <v>5382</v>
      </c>
    </row>
    <row r="79" spans="1:7">
      <c r="A79" s="8"/>
      <c r="B79" s="88"/>
      <c r="C79" s="88"/>
      <c r="D79" s="88"/>
      <c r="E79" s="88"/>
      <c r="F79" s="88"/>
      <c r="G79" s="88"/>
    </row>
    <row r="80" spans="1:7" ht="16.5">
      <c r="A80" s="8"/>
      <c r="B80" s="203" t="s">
        <v>352</v>
      </c>
      <c r="C80" s="203"/>
      <c r="D80" s="203"/>
      <c r="E80" s="76"/>
      <c r="F80" s="76"/>
      <c r="G80" s="76"/>
    </row>
    <row r="81" spans="1:7" ht="16.5">
      <c r="A81" s="8"/>
      <c r="B81" s="20"/>
      <c r="C81" s="188"/>
      <c r="D81" s="189"/>
      <c r="E81" s="190"/>
      <c r="F81" s="21" t="s">
        <v>165</v>
      </c>
      <c r="G81" s="21" t="s">
        <v>168</v>
      </c>
    </row>
    <row r="82" spans="1:7" ht="16.5">
      <c r="A82" s="8"/>
      <c r="B82" s="20" t="s">
        <v>130</v>
      </c>
      <c r="C82" s="175" t="str">
        <f ca="1">'Planilha Resumo'!$C$37</f>
        <v>Custos Indiretos</v>
      </c>
      <c r="D82" s="180"/>
      <c r="E82" s="176"/>
      <c r="F82" s="41">
        <f ca="1">'Planilha Resumo'!$F$37</f>
        <v>4.7300000000000004</v>
      </c>
      <c r="G82" s="23">
        <f>ROUND(F82%*($G$92),2)</f>
        <v>38069.120000000003</v>
      </c>
    </row>
    <row r="83" spans="1:7" ht="16.5">
      <c r="A83" s="8"/>
      <c r="B83" s="29" t="s">
        <v>131</v>
      </c>
      <c r="C83" s="142" t="str">
        <f ca="1">'Planilha Resumo'!$C$38</f>
        <v>Lucro</v>
      </c>
      <c r="D83" s="191"/>
      <c r="E83" s="143"/>
      <c r="F83" s="41">
        <f ca="1">'Planilha Resumo'!$F$38</f>
        <v>5.57</v>
      </c>
      <c r="G83" s="23">
        <f>ROUND(F83%*($G$92+$G$82),2)</f>
        <v>46950.25</v>
      </c>
    </row>
    <row r="84" spans="1:7" ht="16.5">
      <c r="A84" s="8"/>
      <c r="B84" s="29" t="s">
        <v>132</v>
      </c>
      <c r="C84" s="175" t="s">
        <v>217</v>
      </c>
      <c r="D84" s="180"/>
      <c r="E84" s="176"/>
      <c r="F84" s="42">
        <f ca="1">SUM(F85:F88)</f>
        <v>10.15</v>
      </c>
      <c r="G84" s="23">
        <f>SUM(G85:G88)</f>
        <v>100524.34</v>
      </c>
    </row>
    <row r="85" spans="1:7">
      <c r="A85" s="8"/>
      <c r="B85" s="43" t="s">
        <v>174</v>
      </c>
      <c r="C85" s="181" t="str">
        <f ca="1">'Planilha Resumo'!$C$40</f>
        <v>PIS</v>
      </c>
      <c r="D85" s="182"/>
      <c r="E85" s="183"/>
      <c r="F85" s="44">
        <f ca="1">'Planilha Resumo'!$F$40</f>
        <v>0.65</v>
      </c>
      <c r="G85" s="45">
        <f>ROUND(((($G$92+$G$82+$G$83))*F85%)/(1-$F$84%),2)</f>
        <v>6437.52</v>
      </c>
    </row>
    <row r="86" spans="1:7">
      <c r="A86" s="8"/>
      <c r="B86" s="43" t="s">
        <v>176</v>
      </c>
      <c r="C86" s="198" t="str">
        <f ca="1">'Planilha Resumo'!$C$41</f>
        <v>Cofins</v>
      </c>
      <c r="D86" s="199"/>
      <c r="E86" s="200"/>
      <c r="F86" s="44">
        <f ca="1">'Planilha Resumo'!$F$41</f>
        <v>3</v>
      </c>
      <c r="G86" s="45">
        <f>ROUND(((($G$92+$G$82+$G$83))*F86%)/(1-$F$84%),2)</f>
        <v>29711.63</v>
      </c>
    </row>
    <row r="87" spans="1:7">
      <c r="A87" s="8"/>
      <c r="B87" s="43" t="s">
        <v>178</v>
      </c>
      <c r="C87" s="181" t="str">
        <f ca="1">'Planilha Resumo'!$C$42</f>
        <v>ISS</v>
      </c>
      <c r="D87" s="182"/>
      <c r="E87" s="183"/>
      <c r="F87" s="44">
        <f ca="1">'Planilha Resumo'!$F$42</f>
        <v>2</v>
      </c>
      <c r="G87" s="45">
        <f>ROUND(((($G$92+$G$82+$G$83))*F87%)/(1-$F$84%),2)</f>
        <v>19807.75</v>
      </c>
    </row>
    <row r="88" spans="1:7">
      <c r="A88" s="8"/>
      <c r="B88" s="43" t="s">
        <v>359</v>
      </c>
      <c r="C88" s="198" t="str">
        <f ca="1">'Planilha Resumo'!$C$43</f>
        <v>CPRB (Somente se empresa optante pela desoneração fiscal)</v>
      </c>
      <c r="D88" s="199"/>
      <c r="E88" s="200"/>
      <c r="F88" s="44">
        <f ca="1">'Planilha Resumo'!$F$43</f>
        <v>4.5</v>
      </c>
      <c r="G88" s="45">
        <f>ROUND(((($G$92+$G$82+$G$83))*F88%)/(1-$F$84%),2)</f>
        <v>44567.44</v>
      </c>
    </row>
    <row r="89" spans="1:7" ht="16.5">
      <c r="A89" s="8"/>
      <c r="B89" s="89" t="s">
        <v>190</v>
      </c>
      <c r="C89" s="90"/>
      <c r="D89" s="90"/>
      <c r="E89" s="90"/>
      <c r="F89" s="51"/>
      <c r="G89" s="46">
        <f>SUM(G82:G84)</f>
        <v>185543.71</v>
      </c>
    </row>
    <row r="90" spans="1:7" ht="49.5" customHeight="1">
      <c r="A90" s="8"/>
      <c r="B90" s="197" t="s">
        <v>82</v>
      </c>
      <c r="C90" s="197"/>
      <c r="D90" s="197"/>
      <c r="E90" s="197"/>
      <c r="F90" s="197"/>
      <c r="G90" s="197"/>
    </row>
    <row r="91" spans="1:7" ht="16.5">
      <c r="A91" s="8"/>
      <c r="B91" s="29"/>
      <c r="C91" s="188" t="s">
        <v>84</v>
      </c>
      <c r="D91" s="189"/>
      <c r="E91" s="190"/>
      <c r="F91" s="185" t="s">
        <v>221</v>
      </c>
      <c r="G91" s="187"/>
    </row>
    <row r="92" spans="1:7" ht="16.5">
      <c r="A92" s="8"/>
      <c r="B92" s="29">
        <v>1</v>
      </c>
      <c r="C92" s="91" t="s">
        <v>85</v>
      </c>
      <c r="D92" s="92"/>
      <c r="E92" s="92"/>
      <c r="F92" s="93"/>
      <c r="G92" s="94">
        <f>G4</f>
        <v>804843.87999999977</v>
      </c>
    </row>
    <row r="93" spans="1:7" ht="16.5">
      <c r="A93" s="8"/>
      <c r="B93" s="55">
        <f>B92+1</f>
        <v>2</v>
      </c>
      <c r="C93" s="95" t="s">
        <v>171</v>
      </c>
      <c r="D93" s="96"/>
      <c r="E93" s="96"/>
      <c r="F93" s="97"/>
      <c r="G93" s="94">
        <f>G89</f>
        <v>185543.71</v>
      </c>
    </row>
    <row r="94" spans="1:7" ht="16.5">
      <c r="A94" s="8"/>
      <c r="B94" s="192" t="s">
        <v>83</v>
      </c>
      <c r="C94" s="193"/>
      <c r="D94" s="193"/>
      <c r="E94" s="193"/>
      <c r="F94" s="194"/>
      <c r="G94" s="46">
        <f>SUM(G92:G93)</f>
        <v>990387.58999999973</v>
      </c>
    </row>
  </sheetData>
  <sheetProtection sheet="1" objects="1" scenarios="1"/>
  <mergeCells count="15">
    <mergeCell ref="B1:G1"/>
    <mergeCell ref="B80:D80"/>
    <mergeCell ref="C4:F4"/>
    <mergeCell ref="C81:E81"/>
    <mergeCell ref="C91:E91"/>
    <mergeCell ref="F91:G91"/>
    <mergeCell ref="C82:E82"/>
    <mergeCell ref="C83:E83"/>
    <mergeCell ref="C84:E84"/>
    <mergeCell ref="B90:G90"/>
    <mergeCell ref="C85:E85"/>
    <mergeCell ref="C86:E86"/>
    <mergeCell ref="C87:E87"/>
    <mergeCell ref="C88:E88"/>
    <mergeCell ref="B94:F94"/>
  </mergeCells>
  <phoneticPr fontId="18" type="noConversion"/>
  <printOptions horizontalCentered="1"/>
  <pageMargins left="0.15748031496062992" right="0.15748031496062992" top="0.78740157480314965" bottom="0.39370078740157483" header="0.31496062992125984" footer="0.31496062992125984"/>
  <pageSetup paperSize="9" scale="85" fitToHeight="0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63"/>
  <sheetViews>
    <sheetView showGridLines="0" zoomScaleNormal="100" zoomScaleSheetLayoutView="100" workbookViewId="0"/>
  </sheetViews>
  <sheetFormatPr defaultColWidth="11.42578125" defaultRowHeight="15"/>
  <cols>
    <col min="1" max="1" width="2.5703125" style="8" customWidth="1"/>
    <col min="2" max="2" width="8.85546875" style="77" customWidth="1"/>
    <col min="3" max="3" width="38" style="77" customWidth="1"/>
    <col min="4" max="5" width="7.5703125" style="77" customWidth="1"/>
    <col min="6" max="6" width="9.5703125" style="77" bestFit="1" customWidth="1"/>
    <col min="7" max="7" width="7.42578125" style="77" customWidth="1"/>
    <col min="8" max="9" width="15.28515625" style="77" customWidth="1"/>
    <col min="10" max="16384" width="11.42578125" style="77"/>
  </cols>
  <sheetData>
    <row r="1" spans="1:9" ht="49.5" customHeight="1">
      <c r="A1" s="81"/>
      <c r="B1" s="141" t="s">
        <v>317</v>
      </c>
      <c r="C1" s="141"/>
      <c r="D1" s="141"/>
      <c r="E1" s="141"/>
      <c r="F1" s="141"/>
      <c r="G1" s="141"/>
      <c r="H1" s="141"/>
      <c r="I1" s="141"/>
    </row>
    <row r="2" spans="1:9" s="79" customFormat="1" ht="16.5">
      <c r="A2" s="8"/>
      <c r="B2" s="54"/>
      <c r="C2" s="54"/>
      <c r="D2" s="54"/>
      <c r="E2" s="54"/>
      <c r="F2" s="54"/>
      <c r="G2" s="54"/>
      <c r="H2" s="54"/>
      <c r="I2" s="54"/>
    </row>
    <row r="3" spans="1:9" s="79" customFormat="1" ht="16.5" customHeight="1">
      <c r="A3" s="8"/>
      <c r="B3" s="204" t="s">
        <v>318</v>
      </c>
      <c r="C3" s="204" t="s">
        <v>319</v>
      </c>
      <c r="D3" s="204" t="s">
        <v>320</v>
      </c>
      <c r="E3" s="204"/>
      <c r="F3" s="204"/>
      <c r="G3" s="204"/>
      <c r="H3" s="206">
        <v>51824</v>
      </c>
      <c r="I3" s="206"/>
    </row>
    <row r="4" spans="1:9" s="79" customFormat="1" ht="16.5">
      <c r="A4" s="8"/>
      <c r="B4" s="204"/>
      <c r="C4" s="204"/>
      <c r="D4" s="204" t="s">
        <v>321</v>
      </c>
      <c r="E4" s="204"/>
      <c r="F4" s="204"/>
      <c r="G4" s="204"/>
      <c r="H4" s="206">
        <v>38037</v>
      </c>
      <c r="I4" s="206"/>
    </row>
    <row r="5" spans="1:9" s="79" customFormat="1" ht="16.5">
      <c r="A5" s="8"/>
      <c r="B5" s="20" t="s">
        <v>239</v>
      </c>
      <c r="C5" s="20" t="s">
        <v>240</v>
      </c>
      <c r="D5" s="135" t="s">
        <v>322</v>
      </c>
      <c r="E5" s="135"/>
      <c r="F5" s="20" t="s">
        <v>323</v>
      </c>
      <c r="G5" s="20" t="s">
        <v>324</v>
      </c>
      <c r="H5" s="20" t="s">
        <v>325</v>
      </c>
      <c r="I5" s="20" t="s">
        <v>326</v>
      </c>
    </row>
    <row r="6" spans="1:9" s="79" customFormat="1" ht="16.5">
      <c r="A6" s="8"/>
      <c r="B6" s="55">
        <v>1</v>
      </c>
      <c r="C6" s="56" t="s">
        <v>327</v>
      </c>
      <c r="D6" s="57">
        <f ca="1">ROUND(H46/'Planilha Resumo'!F11/60,2)</f>
        <v>0.93</v>
      </c>
      <c r="E6" s="58" t="s">
        <v>328</v>
      </c>
      <c r="F6" s="57">
        <f ca="1">ROUND(D6*'Planilha Resumo'!$F$11,2)</f>
        <v>20.46</v>
      </c>
      <c r="G6" s="58" t="s">
        <v>329</v>
      </c>
      <c r="H6" s="53">
        <v>5.46</v>
      </c>
      <c r="I6" s="59">
        <f>ROUND(F6*H6,2)</f>
        <v>111.71</v>
      </c>
    </row>
    <row r="7" spans="1:9" s="79" customFormat="1" ht="16.5">
      <c r="A7" s="14"/>
      <c r="B7" s="55">
        <v>2</v>
      </c>
      <c r="C7" s="56" t="s">
        <v>330</v>
      </c>
      <c r="D7" s="5">
        <v>13.5</v>
      </c>
      <c r="E7" s="58" t="s">
        <v>331</v>
      </c>
      <c r="F7" s="57" t="s">
        <v>246</v>
      </c>
      <c r="G7" s="58" t="s">
        <v>243</v>
      </c>
      <c r="H7" s="53">
        <v>7.58</v>
      </c>
      <c r="I7" s="59">
        <f>ROUND((H7*F7/D7)*$H$46,2)</f>
        <v>686.92</v>
      </c>
    </row>
    <row r="8" spans="1:9" s="79" customFormat="1" ht="16.5">
      <c r="A8" s="8"/>
      <c r="B8" s="55">
        <v>3</v>
      </c>
      <c r="C8" s="56" t="s">
        <v>332</v>
      </c>
      <c r="D8" s="57"/>
      <c r="E8" s="58"/>
      <c r="F8" s="57" t="s">
        <v>246</v>
      </c>
      <c r="G8" s="58" t="s">
        <v>333</v>
      </c>
      <c r="H8" s="59">
        <f>ROUND((H3-H4)/60,2)</f>
        <v>229.78</v>
      </c>
      <c r="I8" s="59">
        <f>ROUND(H8*F8,2)</f>
        <v>229.78</v>
      </c>
    </row>
    <row r="9" spans="1:9" s="79" customFormat="1" ht="16.5">
      <c r="A9" s="8"/>
      <c r="B9" s="55">
        <v>4</v>
      </c>
      <c r="C9" s="56" t="s">
        <v>334</v>
      </c>
      <c r="D9" s="57"/>
      <c r="E9" s="58"/>
      <c r="F9" s="57" t="s">
        <v>246</v>
      </c>
      <c r="G9" s="58" t="s">
        <v>333</v>
      </c>
      <c r="H9" s="59">
        <f>I22</f>
        <v>123.08</v>
      </c>
      <c r="I9" s="59">
        <f>ROUND(H9*F9,2)</f>
        <v>123.08</v>
      </c>
    </row>
    <row r="10" spans="1:9" s="79" customFormat="1" ht="16.5">
      <c r="A10" s="8"/>
      <c r="B10" s="158" t="s">
        <v>356</v>
      </c>
      <c r="C10" s="158"/>
      <c r="D10" s="158"/>
      <c r="E10" s="158"/>
      <c r="F10" s="158"/>
      <c r="G10" s="158"/>
      <c r="H10" s="158"/>
      <c r="I10" s="60">
        <f>SUM(I6:I9)</f>
        <v>1151.49</v>
      </c>
    </row>
    <row r="11" spans="1:9" s="79" customFormat="1" ht="16.5">
      <c r="A11" s="8"/>
      <c r="B11" s="61"/>
      <c r="C11" s="62"/>
      <c r="D11" s="62"/>
      <c r="E11" s="62"/>
      <c r="F11" s="62"/>
      <c r="G11" s="62"/>
      <c r="H11" s="62"/>
      <c r="I11" s="6"/>
    </row>
    <row r="12" spans="1:9" s="79" customFormat="1" ht="16.5">
      <c r="A12" s="8"/>
      <c r="B12" s="63" t="s">
        <v>349</v>
      </c>
      <c r="C12" s="64"/>
      <c r="D12" s="64"/>
      <c r="E12" s="64"/>
      <c r="F12" s="64"/>
      <c r="G12" s="64"/>
      <c r="H12" s="64"/>
      <c r="I12" s="64"/>
    </row>
    <row r="13" spans="1:9" s="79" customFormat="1" ht="16.5">
      <c r="A13" s="8"/>
      <c r="B13" s="20" t="s">
        <v>239</v>
      </c>
      <c r="C13" s="20" t="s">
        <v>240</v>
      </c>
      <c r="D13" s="135" t="s">
        <v>322</v>
      </c>
      <c r="E13" s="135"/>
      <c r="F13" s="20" t="s">
        <v>323</v>
      </c>
      <c r="G13" s="20" t="s">
        <v>324</v>
      </c>
      <c r="H13" s="20" t="s">
        <v>336</v>
      </c>
      <c r="I13" s="20" t="s">
        <v>337</v>
      </c>
    </row>
    <row r="14" spans="1:9" s="79" customFormat="1" ht="16.5">
      <c r="A14" s="8"/>
      <c r="B14" s="207" t="s">
        <v>264</v>
      </c>
      <c r="C14" s="56" t="s">
        <v>338</v>
      </c>
      <c r="D14" s="57">
        <v>1</v>
      </c>
      <c r="E14" s="58" t="s">
        <v>339</v>
      </c>
      <c r="F14" s="57">
        <v>3</v>
      </c>
      <c r="G14" s="58" t="s">
        <v>165</v>
      </c>
      <c r="H14" s="59">
        <f>H3</f>
        <v>51824</v>
      </c>
      <c r="I14" s="59">
        <f>ROUND(F14%*H14,2)</f>
        <v>1554.72</v>
      </c>
    </row>
    <row r="15" spans="1:9" s="79" customFormat="1" ht="16.5">
      <c r="A15" s="8"/>
      <c r="B15" s="207"/>
      <c r="C15" s="56" t="s">
        <v>340</v>
      </c>
      <c r="D15" s="57">
        <v>1</v>
      </c>
      <c r="E15" s="58" t="s">
        <v>339</v>
      </c>
      <c r="F15" s="57">
        <v>3</v>
      </c>
      <c r="G15" s="58" t="s">
        <v>165</v>
      </c>
      <c r="H15" s="59">
        <f>ROUND(H14-(12*$I$8),2)</f>
        <v>49066.64</v>
      </c>
      <c r="I15" s="59">
        <f>ROUND(F15%*H15,2)</f>
        <v>1472</v>
      </c>
    </row>
    <row r="16" spans="1:9" s="79" customFormat="1" ht="16.5">
      <c r="A16" s="14"/>
      <c r="B16" s="207"/>
      <c r="C16" s="56" t="s">
        <v>341</v>
      </c>
      <c r="D16" s="57">
        <v>1</v>
      </c>
      <c r="E16" s="58" t="s">
        <v>339</v>
      </c>
      <c r="F16" s="57">
        <v>3</v>
      </c>
      <c r="G16" s="58" t="s">
        <v>165</v>
      </c>
      <c r="H16" s="59">
        <f>ROUND(H15-(12*$I$8),2)</f>
        <v>46309.279999999999</v>
      </c>
      <c r="I16" s="59">
        <f>ROUND(F16%*H16,2)</f>
        <v>1389.28</v>
      </c>
    </row>
    <row r="17" spans="1:9" s="79" customFormat="1" ht="16.5">
      <c r="A17" s="8"/>
      <c r="B17" s="207"/>
      <c r="C17" s="56" t="s">
        <v>342</v>
      </c>
      <c r="D17" s="57">
        <v>1</v>
      </c>
      <c r="E17" s="58" t="s">
        <v>339</v>
      </c>
      <c r="F17" s="57">
        <v>3</v>
      </c>
      <c r="G17" s="58" t="s">
        <v>165</v>
      </c>
      <c r="H17" s="59">
        <f>ROUND(H16-(12*$I$8),2)</f>
        <v>43551.92</v>
      </c>
      <c r="I17" s="59">
        <f>ROUND(F17%*H17,2)</f>
        <v>1306.56</v>
      </c>
    </row>
    <row r="18" spans="1:9" s="79" customFormat="1" ht="16.5">
      <c r="A18" s="8"/>
      <c r="B18" s="207"/>
      <c r="C18" s="56" t="s">
        <v>343</v>
      </c>
      <c r="D18" s="57">
        <v>1</v>
      </c>
      <c r="E18" s="58" t="s">
        <v>339</v>
      </c>
      <c r="F18" s="57">
        <v>3</v>
      </c>
      <c r="G18" s="58" t="s">
        <v>165</v>
      </c>
      <c r="H18" s="59">
        <f>ROUND(H17-(12*$I$8),2)</f>
        <v>40794.559999999998</v>
      </c>
      <c r="I18" s="59">
        <f>ROUND(F18%*H18,2)</f>
        <v>1223.8399999999999</v>
      </c>
    </row>
    <row r="19" spans="1:9" s="79" customFormat="1" ht="16.5">
      <c r="A19" s="8"/>
      <c r="B19" s="207"/>
      <c r="C19" s="205" t="s">
        <v>344</v>
      </c>
      <c r="D19" s="205"/>
      <c r="E19" s="205"/>
      <c r="F19" s="205"/>
      <c r="G19" s="205"/>
      <c r="H19" s="205"/>
      <c r="I19" s="65">
        <f>AVERAGE(I14:I18)</f>
        <v>1389.28</v>
      </c>
    </row>
    <row r="20" spans="1:9" s="79" customFormat="1" ht="16.5">
      <c r="A20" s="8"/>
      <c r="B20" s="55" t="s">
        <v>265</v>
      </c>
      <c r="C20" s="56" t="s">
        <v>345</v>
      </c>
      <c r="D20" s="57">
        <v>1</v>
      </c>
      <c r="E20" s="58" t="s">
        <v>339</v>
      </c>
      <c r="F20" s="57">
        <v>1</v>
      </c>
      <c r="G20" s="58" t="s">
        <v>244</v>
      </c>
      <c r="H20" s="59">
        <v>0</v>
      </c>
      <c r="I20" s="59">
        <f>ROUND(F20*H20,2)</f>
        <v>0</v>
      </c>
    </row>
    <row r="21" spans="1:9" s="79" customFormat="1" ht="16.5">
      <c r="A21" s="8"/>
      <c r="B21" s="55" t="s">
        <v>266</v>
      </c>
      <c r="C21" s="56" t="s">
        <v>346</v>
      </c>
      <c r="D21" s="57">
        <v>1</v>
      </c>
      <c r="E21" s="58" t="s">
        <v>339</v>
      </c>
      <c r="F21" s="57">
        <v>1</v>
      </c>
      <c r="G21" s="58" t="s">
        <v>244</v>
      </c>
      <c r="H21" s="59">
        <v>87.66</v>
      </c>
      <c r="I21" s="59">
        <f>ROUND(F21*H21,2)</f>
        <v>87.66</v>
      </c>
    </row>
    <row r="22" spans="1:9" s="79" customFormat="1" ht="16.5">
      <c r="A22" s="8"/>
      <c r="B22" s="158" t="s">
        <v>190</v>
      </c>
      <c r="C22" s="158" t="s">
        <v>347</v>
      </c>
      <c r="D22" s="158"/>
      <c r="E22" s="158"/>
      <c r="F22" s="158"/>
      <c r="G22" s="158"/>
      <c r="H22" s="158"/>
      <c r="I22" s="60">
        <f>ROUND(SUM(I19:I21)/12,2)</f>
        <v>123.08</v>
      </c>
    </row>
    <row r="23" spans="1:9" s="79" customFormat="1" ht="16.5">
      <c r="A23" s="8"/>
      <c r="B23" s="66"/>
      <c r="C23" s="66"/>
      <c r="D23" s="66"/>
      <c r="E23" s="66"/>
      <c r="F23" s="66"/>
      <c r="G23" s="66"/>
      <c r="H23" s="66"/>
      <c r="I23" s="66"/>
    </row>
    <row r="24" spans="1:9" s="79" customFormat="1" ht="16.5">
      <c r="A24" s="8"/>
      <c r="B24" s="204" t="s">
        <v>348</v>
      </c>
      <c r="C24" s="204" t="s">
        <v>101</v>
      </c>
      <c r="D24" s="204" t="s">
        <v>320</v>
      </c>
      <c r="E24" s="204"/>
      <c r="F24" s="204"/>
      <c r="G24" s="204"/>
      <c r="H24" s="206">
        <v>102433</v>
      </c>
      <c r="I24" s="206"/>
    </row>
    <row r="25" spans="1:9" s="79" customFormat="1" ht="16.5">
      <c r="A25" s="8"/>
      <c r="B25" s="204"/>
      <c r="C25" s="204"/>
      <c r="D25" s="204" t="s">
        <v>321</v>
      </c>
      <c r="E25" s="204"/>
      <c r="F25" s="204"/>
      <c r="G25" s="204"/>
      <c r="H25" s="206">
        <v>57178</v>
      </c>
      <c r="I25" s="206"/>
    </row>
    <row r="26" spans="1:9" s="79" customFormat="1" ht="16.5">
      <c r="A26" s="8"/>
      <c r="B26" s="20" t="s">
        <v>239</v>
      </c>
      <c r="C26" s="20" t="s">
        <v>240</v>
      </c>
      <c r="D26" s="135" t="s">
        <v>322</v>
      </c>
      <c r="E26" s="135"/>
      <c r="F26" s="20" t="s">
        <v>323</v>
      </c>
      <c r="G26" s="20" t="s">
        <v>324</v>
      </c>
      <c r="H26" s="20" t="s">
        <v>325</v>
      </c>
      <c r="I26" s="20" t="s">
        <v>326</v>
      </c>
    </row>
    <row r="27" spans="1:9" s="79" customFormat="1" ht="16.5">
      <c r="A27" s="8"/>
      <c r="B27" s="55">
        <v>1</v>
      </c>
      <c r="C27" s="56" t="s">
        <v>327</v>
      </c>
      <c r="D27" s="57">
        <f>D6</f>
        <v>0.93</v>
      </c>
      <c r="E27" s="58" t="s">
        <v>328</v>
      </c>
      <c r="F27" s="57">
        <f ca="1">ROUND(D27*'Planilha Resumo'!$F$11,2)</f>
        <v>20.46</v>
      </c>
      <c r="G27" s="58" t="s">
        <v>329</v>
      </c>
      <c r="H27" s="53">
        <f>H6</f>
        <v>5.46</v>
      </c>
      <c r="I27" s="59">
        <f>ROUND(F27*H27,2)</f>
        <v>111.71</v>
      </c>
    </row>
    <row r="28" spans="1:9" s="79" customFormat="1" ht="16.5">
      <c r="A28" s="8"/>
      <c r="B28" s="55">
        <v>2</v>
      </c>
      <c r="C28" s="56" t="s">
        <v>330</v>
      </c>
      <c r="D28" s="5">
        <v>11.4</v>
      </c>
      <c r="E28" s="58" t="s">
        <v>331</v>
      </c>
      <c r="F28" s="57" t="s">
        <v>246</v>
      </c>
      <c r="G28" s="58" t="s">
        <v>243</v>
      </c>
      <c r="H28" s="59">
        <f>H7</f>
        <v>7.58</v>
      </c>
      <c r="I28" s="59">
        <f>ROUND((H28*F28/D28)*$H$46,2)</f>
        <v>813.45</v>
      </c>
    </row>
    <row r="29" spans="1:9" s="79" customFormat="1" ht="16.5">
      <c r="A29" s="8"/>
      <c r="B29" s="55">
        <v>3</v>
      </c>
      <c r="C29" s="56" t="s">
        <v>332</v>
      </c>
      <c r="D29" s="57"/>
      <c r="E29" s="58"/>
      <c r="F29" s="57" t="s">
        <v>246</v>
      </c>
      <c r="G29" s="58" t="s">
        <v>333</v>
      </c>
      <c r="H29" s="59">
        <f>ROUND((H24-H25)/60,2)</f>
        <v>754.25</v>
      </c>
      <c r="I29" s="59">
        <f>ROUND(H29*F29,2)</f>
        <v>754.25</v>
      </c>
    </row>
    <row r="30" spans="1:9" s="79" customFormat="1" ht="16.5">
      <c r="A30" s="8"/>
      <c r="B30" s="55">
        <v>4</v>
      </c>
      <c r="C30" s="56" t="s">
        <v>334</v>
      </c>
      <c r="D30" s="57"/>
      <c r="E30" s="58"/>
      <c r="F30" s="57" t="s">
        <v>246</v>
      </c>
      <c r="G30" s="58" t="s">
        <v>333</v>
      </c>
      <c r="H30" s="59">
        <f>I43</f>
        <v>249.6</v>
      </c>
      <c r="I30" s="59">
        <f>ROUND(H30*F30,2)</f>
        <v>249.6</v>
      </c>
    </row>
    <row r="31" spans="1:9" s="79" customFormat="1" ht="16.5">
      <c r="A31" s="8"/>
      <c r="B31" s="158" t="s">
        <v>357</v>
      </c>
      <c r="C31" s="158"/>
      <c r="D31" s="158"/>
      <c r="E31" s="158"/>
      <c r="F31" s="158"/>
      <c r="G31" s="158"/>
      <c r="H31" s="158"/>
      <c r="I31" s="60">
        <f>SUM(I27:I30)</f>
        <v>1929.01</v>
      </c>
    </row>
    <row r="32" spans="1:9" s="79" customFormat="1" ht="16.5">
      <c r="A32" s="8"/>
      <c r="B32" s="61"/>
      <c r="C32" s="62"/>
      <c r="D32" s="62"/>
      <c r="E32" s="62"/>
      <c r="F32" s="62"/>
      <c r="G32" s="62"/>
      <c r="H32" s="62"/>
      <c r="I32" s="6"/>
    </row>
    <row r="33" spans="1:9" s="79" customFormat="1" ht="16.5">
      <c r="A33" s="8"/>
      <c r="B33" s="63" t="s">
        <v>335</v>
      </c>
      <c r="C33" s="64"/>
      <c r="D33" s="64"/>
      <c r="E33" s="64"/>
      <c r="F33" s="64"/>
      <c r="G33" s="64"/>
      <c r="H33" s="64"/>
      <c r="I33" s="64"/>
    </row>
    <row r="34" spans="1:9" s="79" customFormat="1" ht="16.5">
      <c r="A34" s="8"/>
      <c r="B34" s="20" t="s">
        <v>239</v>
      </c>
      <c r="C34" s="20" t="s">
        <v>240</v>
      </c>
      <c r="D34" s="135" t="s">
        <v>322</v>
      </c>
      <c r="E34" s="135"/>
      <c r="F34" s="20" t="s">
        <v>323</v>
      </c>
      <c r="G34" s="20" t="s">
        <v>324</v>
      </c>
      <c r="H34" s="20" t="s">
        <v>336</v>
      </c>
      <c r="I34" s="20" t="s">
        <v>337</v>
      </c>
    </row>
    <row r="35" spans="1:9" s="79" customFormat="1" ht="16.5">
      <c r="A35" s="8"/>
      <c r="B35" s="207" t="s">
        <v>264</v>
      </c>
      <c r="C35" s="56" t="s">
        <v>338</v>
      </c>
      <c r="D35" s="57">
        <v>1</v>
      </c>
      <c r="E35" s="58" t="s">
        <v>339</v>
      </c>
      <c r="F35" s="57">
        <v>3</v>
      </c>
      <c r="G35" s="58" t="s">
        <v>165</v>
      </c>
      <c r="H35" s="59">
        <f>H24</f>
        <v>102433</v>
      </c>
      <c r="I35" s="59">
        <f>ROUND(F35%*H35,2)</f>
        <v>3072.99</v>
      </c>
    </row>
    <row r="36" spans="1:9" s="79" customFormat="1" ht="16.5">
      <c r="A36" s="8"/>
      <c r="B36" s="207"/>
      <c r="C36" s="56" t="s">
        <v>340</v>
      </c>
      <c r="D36" s="57">
        <v>1</v>
      </c>
      <c r="E36" s="58" t="s">
        <v>339</v>
      </c>
      <c r="F36" s="57">
        <v>3</v>
      </c>
      <c r="G36" s="58" t="s">
        <v>165</v>
      </c>
      <c r="H36" s="59">
        <f>ROUND(H35-(12*$I$8),2)</f>
        <v>99675.64</v>
      </c>
      <c r="I36" s="59">
        <f>ROUND(F36%*H36,2)</f>
        <v>2990.27</v>
      </c>
    </row>
    <row r="37" spans="1:9" s="79" customFormat="1" ht="16.5">
      <c r="A37" s="8"/>
      <c r="B37" s="207"/>
      <c r="C37" s="56" t="s">
        <v>341</v>
      </c>
      <c r="D37" s="57">
        <v>1</v>
      </c>
      <c r="E37" s="58" t="s">
        <v>339</v>
      </c>
      <c r="F37" s="57">
        <v>3</v>
      </c>
      <c r="G37" s="58" t="s">
        <v>165</v>
      </c>
      <c r="H37" s="59">
        <f>ROUND(H36-(12*$I$8),2)</f>
        <v>96918.28</v>
      </c>
      <c r="I37" s="59">
        <f>ROUND(F37%*H37,2)</f>
        <v>2907.55</v>
      </c>
    </row>
    <row r="38" spans="1:9" s="79" customFormat="1" ht="16.5">
      <c r="A38" s="8"/>
      <c r="B38" s="207"/>
      <c r="C38" s="56" t="s">
        <v>342</v>
      </c>
      <c r="D38" s="57">
        <v>1</v>
      </c>
      <c r="E38" s="58" t="s">
        <v>339</v>
      </c>
      <c r="F38" s="57">
        <v>3</v>
      </c>
      <c r="G38" s="58" t="s">
        <v>165</v>
      </c>
      <c r="H38" s="59">
        <f>ROUND(H37-(12*$I$8),2)</f>
        <v>94160.92</v>
      </c>
      <c r="I38" s="59">
        <f>ROUND(F38%*H38,2)</f>
        <v>2824.83</v>
      </c>
    </row>
    <row r="39" spans="1:9" s="79" customFormat="1" ht="16.5">
      <c r="A39" s="8"/>
      <c r="B39" s="207"/>
      <c r="C39" s="56" t="s">
        <v>343</v>
      </c>
      <c r="D39" s="57">
        <v>1</v>
      </c>
      <c r="E39" s="58" t="s">
        <v>339</v>
      </c>
      <c r="F39" s="57">
        <v>3</v>
      </c>
      <c r="G39" s="58" t="s">
        <v>165</v>
      </c>
      <c r="H39" s="59">
        <f>ROUND(H38-(12*$I$8),2)</f>
        <v>91403.56</v>
      </c>
      <c r="I39" s="59">
        <f>ROUND(F39%*H39,2)</f>
        <v>2742.11</v>
      </c>
    </row>
    <row r="40" spans="1:9" s="79" customFormat="1" ht="16.5">
      <c r="A40" s="8"/>
      <c r="B40" s="207"/>
      <c r="C40" s="205" t="s">
        <v>344</v>
      </c>
      <c r="D40" s="205"/>
      <c r="E40" s="205"/>
      <c r="F40" s="205"/>
      <c r="G40" s="205"/>
      <c r="H40" s="205"/>
      <c r="I40" s="65">
        <f>AVERAGE(I35:I39)</f>
        <v>2907.55</v>
      </c>
    </row>
    <row r="41" spans="1:9" s="79" customFormat="1" ht="16.5">
      <c r="A41" s="8"/>
      <c r="B41" s="55" t="s">
        <v>265</v>
      </c>
      <c r="C41" s="56" t="s">
        <v>345</v>
      </c>
      <c r="D41" s="57">
        <v>1</v>
      </c>
      <c r="E41" s="58" t="s">
        <v>339</v>
      </c>
      <c r="F41" s="57">
        <v>1</v>
      </c>
      <c r="G41" s="58" t="s">
        <v>244</v>
      </c>
      <c r="H41" s="59">
        <v>0</v>
      </c>
      <c r="I41" s="59">
        <f>ROUND(F41*H41,2)</f>
        <v>0</v>
      </c>
    </row>
    <row r="42" spans="1:9" s="79" customFormat="1" ht="16.5">
      <c r="A42" s="8"/>
      <c r="B42" s="55" t="s">
        <v>266</v>
      </c>
      <c r="C42" s="56" t="s">
        <v>346</v>
      </c>
      <c r="D42" s="57">
        <v>1</v>
      </c>
      <c r="E42" s="58" t="s">
        <v>339</v>
      </c>
      <c r="F42" s="57">
        <v>1</v>
      </c>
      <c r="G42" s="58" t="s">
        <v>244</v>
      </c>
      <c r="H42" s="59">
        <v>87.66</v>
      </c>
      <c r="I42" s="59">
        <f>ROUND(F42*H42,2)</f>
        <v>87.66</v>
      </c>
    </row>
    <row r="43" spans="1:9" s="79" customFormat="1" ht="16.5">
      <c r="A43" s="8"/>
      <c r="B43" s="158"/>
      <c r="C43" s="158" t="s">
        <v>347</v>
      </c>
      <c r="D43" s="158"/>
      <c r="E43" s="158"/>
      <c r="F43" s="158"/>
      <c r="G43" s="158"/>
      <c r="H43" s="158"/>
      <c r="I43" s="60">
        <f>ROUND(SUM(I40:I42)/12,2)</f>
        <v>249.6</v>
      </c>
    </row>
    <row r="44" spans="1:9" s="79" customFormat="1" ht="16.5">
      <c r="A44" s="8"/>
      <c r="B44" s="67"/>
      <c r="C44" s="68"/>
      <c r="D44" s="68"/>
      <c r="E44" s="68"/>
      <c r="F44" s="68"/>
      <c r="G44" s="68"/>
      <c r="H44" s="68"/>
      <c r="I44" s="7"/>
    </row>
    <row r="45" spans="1:9" s="79" customFormat="1" ht="16.5">
      <c r="A45" s="14"/>
      <c r="B45" s="69" t="s">
        <v>351</v>
      </c>
      <c r="C45" s="70"/>
      <c r="D45" s="70"/>
      <c r="E45" s="70"/>
      <c r="F45" s="70"/>
      <c r="G45" s="70"/>
      <c r="H45" s="71"/>
      <c r="I45" s="72"/>
    </row>
    <row r="46" spans="1:9" s="79" customFormat="1" ht="33" customHeight="1">
      <c r="A46" s="8"/>
      <c r="B46" s="208" t="s">
        <v>350</v>
      </c>
      <c r="C46" s="209"/>
      <c r="D46" s="209"/>
      <c r="E46" s="209"/>
      <c r="F46" s="209"/>
      <c r="G46" s="210"/>
      <c r="H46" s="73">
        <v>1223.4000000000001</v>
      </c>
      <c r="I46" s="74" t="s">
        <v>316</v>
      </c>
    </row>
    <row r="47" spans="1:9" s="79" customFormat="1" ht="16.5">
      <c r="A47" s="8"/>
      <c r="B47" s="75"/>
      <c r="C47" s="75"/>
      <c r="D47" s="75"/>
      <c r="E47" s="75"/>
      <c r="F47" s="75"/>
      <c r="G47" s="75"/>
      <c r="H47" s="75"/>
      <c r="I47" s="75"/>
    </row>
    <row r="48" spans="1:9" ht="16.5">
      <c r="B48" s="161" t="s">
        <v>352</v>
      </c>
      <c r="C48" s="161"/>
      <c r="D48" s="161"/>
      <c r="E48" s="161"/>
      <c r="F48" s="161"/>
      <c r="G48" s="76"/>
      <c r="H48" s="76"/>
      <c r="I48" s="76"/>
    </row>
    <row r="49" spans="1:9" ht="16.5">
      <c r="B49" s="20"/>
      <c r="C49" s="188" t="s">
        <v>171</v>
      </c>
      <c r="D49" s="189"/>
      <c r="E49" s="189"/>
      <c r="F49" s="189"/>
      <c r="G49" s="190"/>
      <c r="H49" s="21" t="s">
        <v>165</v>
      </c>
      <c r="I49" s="21" t="s">
        <v>168</v>
      </c>
    </row>
    <row r="50" spans="1:9" ht="16.5">
      <c r="B50" s="20" t="s">
        <v>130</v>
      </c>
      <c r="C50" s="175" t="str">
        <f ca="1">'Planilha Resumo'!$C$37</f>
        <v>Custos Indiretos</v>
      </c>
      <c r="D50" s="180"/>
      <c r="E50" s="180"/>
      <c r="F50" s="180"/>
      <c r="G50" s="176"/>
      <c r="H50" s="41">
        <f ca="1">'Planilha Resumo'!$F$37</f>
        <v>4.7300000000000004</v>
      </c>
      <c r="I50" s="23">
        <f>ROUND(H50%*($I$60+$I$61),2)</f>
        <v>363.57</v>
      </c>
    </row>
    <row r="51" spans="1:9" ht="16.5">
      <c r="B51" s="29" t="s">
        <v>131</v>
      </c>
      <c r="C51" s="142" t="str">
        <f ca="1">'Planilha Resumo'!$C$38</f>
        <v>Lucro</v>
      </c>
      <c r="D51" s="191"/>
      <c r="E51" s="191"/>
      <c r="F51" s="191"/>
      <c r="G51" s="143"/>
      <c r="H51" s="41">
        <f ca="1">'Planilha Resumo'!$F$38</f>
        <v>5.57</v>
      </c>
      <c r="I51" s="23">
        <f>ROUND(H51%*($I$60+$I$61+$I$50),2)</f>
        <v>448.39</v>
      </c>
    </row>
    <row r="52" spans="1:9" ht="16.5">
      <c r="B52" s="29" t="s">
        <v>132</v>
      </c>
      <c r="C52" s="175" t="s">
        <v>217</v>
      </c>
      <c r="D52" s="180"/>
      <c r="E52" s="180"/>
      <c r="F52" s="180"/>
      <c r="G52" s="176"/>
      <c r="H52" s="42">
        <f ca="1">SUM(H53:H56)</f>
        <v>10.15</v>
      </c>
      <c r="I52" s="23">
        <f>SUM(I53:I56)</f>
        <v>960.03</v>
      </c>
    </row>
    <row r="53" spans="1:9">
      <c r="B53" s="43" t="s">
        <v>174</v>
      </c>
      <c r="C53" s="181" t="str">
        <f ca="1">'Planilha Resumo'!$C$40</f>
        <v>PIS</v>
      </c>
      <c r="D53" s="182"/>
      <c r="E53" s="182"/>
      <c r="F53" s="182"/>
      <c r="G53" s="183"/>
      <c r="H53" s="44">
        <f ca="1">'Planilha Resumo'!$F$40</f>
        <v>0.65</v>
      </c>
      <c r="I53" s="45">
        <f>ROUND((($I$60+$I$61+$I$50+$I$51)*H53%)/(1-$H$52%),2)</f>
        <v>61.48</v>
      </c>
    </row>
    <row r="54" spans="1:9" ht="14.25">
      <c r="A54" s="14"/>
      <c r="B54" s="43" t="s">
        <v>176</v>
      </c>
      <c r="C54" s="198" t="str">
        <f ca="1">'Planilha Resumo'!$C$41</f>
        <v>Cofins</v>
      </c>
      <c r="D54" s="199"/>
      <c r="E54" s="199"/>
      <c r="F54" s="199"/>
      <c r="G54" s="200"/>
      <c r="H54" s="44">
        <f ca="1">'Planilha Resumo'!$F$41</f>
        <v>3</v>
      </c>
      <c r="I54" s="45">
        <f>ROUND((($I$60+$I$61+$I$50+$I$51)*H54%)/(1-$H$52%),2)</f>
        <v>283.75</v>
      </c>
    </row>
    <row r="55" spans="1:9">
      <c r="B55" s="43" t="s">
        <v>178</v>
      </c>
      <c r="C55" s="181" t="str">
        <f ca="1">'Planilha Resumo'!$C$42</f>
        <v>ISS</v>
      </c>
      <c r="D55" s="182"/>
      <c r="E55" s="182"/>
      <c r="F55" s="182"/>
      <c r="G55" s="183"/>
      <c r="H55" s="44">
        <f ca="1">'Planilha Resumo'!$F$42</f>
        <v>2</v>
      </c>
      <c r="I55" s="45">
        <f>ROUND((($I$60+$I$61+$I$50+$I$51)*H55%)/(1-$H$52%),2)</f>
        <v>189.17</v>
      </c>
    </row>
    <row r="56" spans="1:9">
      <c r="B56" s="43" t="s">
        <v>359</v>
      </c>
      <c r="C56" s="198" t="str">
        <f ca="1">'Planilha Resumo'!$C$43</f>
        <v>CPRB (Somente se empresa optante pela desoneração fiscal)</v>
      </c>
      <c r="D56" s="199"/>
      <c r="E56" s="199"/>
      <c r="F56" s="199"/>
      <c r="G56" s="200"/>
      <c r="H56" s="44">
        <f ca="1">'Planilha Resumo'!$F$43</f>
        <v>4.5</v>
      </c>
      <c r="I56" s="45">
        <f>ROUND((($I$60+$I$61+$I$50+$I$51)*H56%)/(1-$H$52%),2)</f>
        <v>425.63</v>
      </c>
    </row>
    <row r="57" spans="1:9" ht="16.5">
      <c r="B57" s="188" t="s">
        <v>190</v>
      </c>
      <c r="C57" s="189"/>
      <c r="D57" s="189"/>
      <c r="E57" s="189"/>
      <c r="F57" s="189"/>
      <c r="G57" s="189"/>
      <c r="H57" s="190"/>
      <c r="I57" s="46">
        <f>SUM(I50:I52)</f>
        <v>1771.99</v>
      </c>
    </row>
    <row r="58" spans="1:9" ht="20.25">
      <c r="B58" s="47" t="s">
        <v>353</v>
      </c>
      <c r="C58" s="48"/>
      <c r="D58" s="48"/>
      <c r="E58" s="48"/>
      <c r="F58" s="49"/>
      <c r="G58" s="76"/>
      <c r="H58" s="76"/>
      <c r="I58" s="76"/>
    </row>
    <row r="59" spans="1:9" ht="16.5">
      <c r="B59" s="29"/>
      <c r="C59" s="188" t="s">
        <v>11</v>
      </c>
      <c r="D59" s="189"/>
      <c r="E59" s="189"/>
      <c r="F59" s="189"/>
      <c r="G59" s="190"/>
      <c r="H59" s="21" t="s">
        <v>323</v>
      </c>
      <c r="I59" s="21" t="s">
        <v>221</v>
      </c>
    </row>
    <row r="60" spans="1:9" ht="16.5">
      <c r="B60" s="20">
        <v>1</v>
      </c>
      <c r="C60" s="175" t="s">
        <v>354</v>
      </c>
      <c r="D60" s="180"/>
      <c r="E60" s="180"/>
      <c r="F60" s="180"/>
      <c r="G60" s="176"/>
      <c r="H60" s="41">
        <v>5</v>
      </c>
      <c r="I60" s="23">
        <f>ROUND(I10*H60,2)</f>
        <v>5757.45</v>
      </c>
    </row>
    <row r="61" spans="1:9" ht="16.5">
      <c r="B61" s="29">
        <v>2</v>
      </c>
      <c r="C61" s="142" t="s">
        <v>355</v>
      </c>
      <c r="D61" s="191"/>
      <c r="E61" s="191"/>
      <c r="F61" s="191"/>
      <c r="G61" s="143"/>
      <c r="H61" s="41">
        <v>1</v>
      </c>
      <c r="I61" s="23">
        <f>ROUND(I31*H61,2)</f>
        <v>1929.01</v>
      </c>
    </row>
    <row r="62" spans="1:9" ht="16.5">
      <c r="B62" s="29">
        <v>3</v>
      </c>
      <c r="C62" s="175" t="s">
        <v>171</v>
      </c>
      <c r="D62" s="180"/>
      <c r="E62" s="180"/>
      <c r="F62" s="180"/>
      <c r="G62" s="176"/>
      <c r="H62" s="52"/>
      <c r="I62" s="23">
        <f>I57</f>
        <v>1771.99</v>
      </c>
    </row>
    <row r="63" spans="1:9" ht="16.5">
      <c r="B63" s="188" t="s">
        <v>358</v>
      </c>
      <c r="C63" s="189"/>
      <c r="D63" s="189"/>
      <c r="E63" s="189"/>
      <c r="F63" s="189"/>
      <c r="G63" s="189"/>
      <c r="H63" s="190"/>
      <c r="I63" s="46">
        <f>SUM(I60:I62)</f>
        <v>9458.4500000000007</v>
      </c>
    </row>
  </sheetData>
  <sheetProtection sheet="1" objects="1" scenarios="1"/>
  <mergeCells count="41">
    <mergeCell ref="B46:G46"/>
    <mergeCell ref="B24:B25"/>
    <mergeCell ref="B31:H31"/>
    <mergeCell ref="B43:H43"/>
    <mergeCell ref="D26:E26"/>
    <mergeCell ref="D34:E34"/>
    <mergeCell ref="B35:B40"/>
    <mergeCell ref="C40:H40"/>
    <mergeCell ref="C49:G49"/>
    <mergeCell ref="C50:G50"/>
    <mergeCell ref="C51:G51"/>
    <mergeCell ref="C52:G52"/>
    <mergeCell ref="B63:H63"/>
    <mergeCell ref="B48:F48"/>
    <mergeCell ref="C61:G61"/>
    <mergeCell ref="C62:G62"/>
    <mergeCell ref="C55:G55"/>
    <mergeCell ref="C56:G56"/>
    <mergeCell ref="B57:H57"/>
    <mergeCell ref="C60:G60"/>
    <mergeCell ref="C59:G59"/>
    <mergeCell ref="H25:I25"/>
    <mergeCell ref="B1:I1"/>
    <mergeCell ref="C3:C4"/>
    <mergeCell ref="D3:G3"/>
    <mergeCell ref="H3:I3"/>
    <mergeCell ref="D4:G4"/>
    <mergeCell ref="H4:I4"/>
    <mergeCell ref="B3:B4"/>
    <mergeCell ref="D5:E5"/>
    <mergeCell ref="D13:E13"/>
    <mergeCell ref="C53:G53"/>
    <mergeCell ref="C54:G54"/>
    <mergeCell ref="D25:G25"/>
    <mergeCell ref="C19:H19"/>
    <mergeCell ref="B10:H10"/>
    <mergeCell ref="B22:H22"/>
    <mergeCell ref="H24:I24"/>
    <mergeCell ref="B14:B19"/>
    <mergeCell ref="C24:C25"/>
    <mergeCell ref="D24:G24"/>
  </mergeCells>
  <phoneticPr fontId="18" type="noConversion"/>
  <conditionalFormatting sqref="H3:I4 H6:H7 D7 H24:I25 H27 D28">
    <cfRule type="cellIs" dxfId="0" priority="1" operator="lessThan">
      <formula>0.03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74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238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237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44682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122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4167.01</v>
      </c>
    </row>
    <row r="12" spans="1:6" ht="16.5">
      <c r="A12" s="8"/>
      <c r="B12" s="20" t="s">
        <v>131</v>
      </c>
      <c r="C12" s="142" t="s">
        <v>151</v>
      </c>
      <c r="D12" s="143"/>
      <c r="E12" s="101">
        <v>0.3</v>
      </c>
      <c r="F12" s="23">
        <f>ROUND((E12*$F$11),2)</f>
        <v>1250.0999999999999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5417.1100000000006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451.25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150.6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601.85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150.47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180.57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90.28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60.19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36.11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12.04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481.52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1011.1799999999998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35</v>
      </c>
      <c r="F38" s="23">
        <f>ROUND(E38*$F$40,2)</f>
        <v>770</v>
      </c>
    </row>
    <row r="39" spans="1:6" ht="16.5">
      <c r="A39" s="8"/>
      <c r="B39" s="36" t="s">
        <v>232</v>
      </c>
      <c r="C39" s="173" t="s">
        <v>234</v>
      </c>
      <c r="D39" s="174"/>
      <c r="E39" s="101">
        <v>0</v>
      </c>
      <c r="F39" s="37">
        <f>-ROUND((E39*F38),2)</f>
        <v>0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/>
      <c r="F41" s="39">
        <f>ROUND((E41*$F$40),2)</f>
        <v>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1164.3499999999999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22.23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95.06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2.41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119.7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692.57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184.58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3.33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1.66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11.64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893.78000000000009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18.579999999999998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202.94-F64</f>
        <v>162.29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54.58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334.53999999999996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451.36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556.66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1191.8599999999999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76.33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352.27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234.85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528.41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2199.88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5417.1100000000006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2777.3799999999997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119.7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893.78000000000009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334.53999999999996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2199.88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11742.390000000003</v>
      </c>
    </row>
  </sheetData>
  <sheetProtection sheet="1" objects="1" scenarios="1"/>
  <mergeCells count="73">
    <mergeCell ref="C64:E64"/>
    <mergeCell ref="C65:E65"/>
    <mergeCell ref="C66:E66"/>
    <mergeCell ref="C68:E68"/>
    <mergeCell ref="C67:E67"/>
    <mergeCell ref="C35:D35"/>
    <mergeCell ref="C42:E42"/>
    <mergeCell ref="C41:D41"/>
    <mergeCell ref="B60:E60"/>
    <mergeCell ref="C54:D54"/>
    <mergeCell ref="C55:D55"/>
    <mergeCell ref="C49:D49"/>
    <mergeCell ref="C63:E63"/>
    <mergeCell ref="C39:D39"/>
    <mergeCell ref="C11:D11"/>
    <mergeCell ref="C13:D13"/>
    <mergeCell ref="C12:D12"/>
    <mergeCell ref="C14:D14"/>
    <mergeCell ref="C36:D36"/>
    <mergeCell ref="B15:E15"/>
    <mergeCell ref="C24:D24"/>
    <mergeCell ref="C25:D25"/>
    <mergeCell ref="C26:D26"/>
    <mergeCell ref="C27:D27"/>
    <mergeCell ref="C10:D10"/>
    <mergeCell ref="C38:D38"/>
    <mergeCell ref="C37:D37"/>
    <mergeCell ref="D6:F6"/>
    <mergeCell ref="D2:F2"/>
    <mergeCell ref="D3:F3"/>
    <mergeCell ref="C4:E4"/>
    <mergeCell ref="C5:E5"/>
    <mergeCell ref="B23:F23"/>
    <mergeCell ref="C21:D21"/>
    <mergeCell ref="B22:E22"/>
    <mergeCell ref="C19:D19"/>
    <mergeCell ref="C20:D20"/>
    <mergeCell ref="B1:F1"/>
    <mergeCell ref="C74:D74"/>
    <mergeCell ref="B71:F71"/>
    <mergeCell ref="C28:D28"/>
    <mergeCell ref="C29:D29"/>
    <mergeCell ref="C30:D30"/>
    <mergeCell ref="C31:D31"/>
    <mergeCell ref="C32:D32"/>
    <mergeCell ref="C58:D58"/>
    <mergeCell ref="C59:D59"/>
    <mergeCell ref="B33:D33"/>
    <mergeCell ref="C73:D73"/>
    <mergeCell ref="C40:E40"/>
    <mergeCell ref="C56:D56"/>
    <mergeCell ref="C57:D57"/>
    <mergeCell ref="C46:D46"/>
    <mergeCell ref="C47:D47"/>
    <mergeCell ref="B43:E43"/>
    <mergeCell ref="B50:E50"/>
    <mergeCell ref="C48:D48"/>
    <mergeCell ref="B89:E89"/>
    <mergeCell ref="B69:E69"/>
    <mergeCell ref="C83:E83"/>
    <mergeCell ref="C84:E84"/>
    <mergeCell ref="C85:E85"/>
    <mergeCell ref="C86:E86"/>
    <mergeCell ref="C87:E87"/>
    <mergeCell ref="C88:E88"/>
    <mergeCell ref="C75:D75"/>
    <mergeCell ref="C82:E82"/>
    <mergeCell ref="C72:D72"/>
    <mergeCell ref="C76:D76"/>
    <mergeCell ref="C77:D77"/>
    <mergeCell ref="C78:D78"/>
    <mergeCell ref="B80:E80"/>
    <mergeCell ref="C79:D79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296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290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2748.76</v>
      </c>
    </row>
    <row r="12" spans="1:6" ht="16.5">
      <c r="A12" s="8"/>
      <c r="B12" s="20" t="s">
        <v>131</v>
      </c>
      <c r="C12" s="142" t="s">
        <v>151</v>
      </c>
      <c r="D12" s="143"/>
      <c r="E12" s="101">
        <v>0.3</v>
      </c>
      <c r="F12" s="23">
        <f>ROUND((E12*$F$11),2)</f>
        <v>824.63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3573.3900000000003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297.66000000000003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99.34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397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99.26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119.11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59.56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39.700000000000003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23.82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7.94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317.63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667.02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15.12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64.52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1.59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81.23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470.1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125.28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2.2599999999999998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1.1299999999999999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7.9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606.66999999999996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147.22999999999999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201.65-F64</f>
        <v>161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63.49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470.81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317.89999999999998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392.06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839.44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53.76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248.11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165.41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372.16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1549.4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3573.3900000000003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1988.79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81.23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606.66999999999996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470.81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1549.4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8270.2900000000009</v>
      </c>
    </row>
  </sheetData>
  <sheetProtection sheet="1" objects="1" scenarios="1"/>
  <mergeCells count="73">
    <mergeCell ref="C64:E64"/>
    <mergeCell ref="C65:E65"/>
    <mergeCell ref="C66:E66"/>
    <mergeCell ref="C14:D14"/>
    <mergeCell ref="C36:D36"/>
    <mergeCell ref="C38:D38"/>
    <mergeCell ref="C32:D32"/>
    <mergeCell ref="B33:D33"/>
    <mergeCell ref="C40:E40"/>
    <mergeCell ref="C37:D37"/>
    <mergeCell ref="C39:D39"/>
    <mergeCell ref="C41:D41"/>
    <mergeCell ref="C35:D35"/>
    <mergeCell ref="B1:F1"/>
    <mergeCell ref="D2:F2"/>
    <mergeCell ref="D3:F3"/>
    <mergeCell ref="C4:E4"/>
    <mergeCell ref="C42:E42"/>
    <mergeCell ref="B23:F23"/>
    <mergeCell ref="C19:D19"/>
    <mergeCell ref="C20:D20"/>
    <mergeCell ref="C21:D21"/>
    <mergeCell ref="B22:E22"/>
    <mergeCell ref="C29:D29"/>
    <mergeCell ref="C30:D30"/>
    <mergeCell ref="C31:D31"/>
    <mergeCell ref="D6:F6"/>
    <mergeCell ref="C5:E5"/>
    <mergeCell ref="C11:D11"/>
    <mergeCell ref="C13:D13"/>
    <mergeCell ref="C12:D12"/>
    <mergeCell ref="C10:D10"/>
    <mergeCell ref="C55:D55"/>
    <mergeCell ref="C56:D56"/>
    <mergeCell ref="C57:D57"/>
    <mergeCell ref="B15:E15"/>
    <mergeCell ref="B43:E43"/>
    <mergeCell ref="C24:D24"/>
    <mergeCell ref="C25:D25"/>
    <mergeCell ref="C26:D26"/>
    <mergeCell ref="C27:D27"/>
    <mergeCell ref="C28:D28"/>
    <mergeCell ref="C46:D46"/>
    <mergeCell ref="C47:D47"/>
    <mergeCell ref="C48:D48"/>
    <mergeCell ref="C49:D49"/>
    <mergeCell ref="B50:E50"/>
    <mergeCell ref="C54:D54"/>
    <mergeCell ref="C82:E82"/>
    <mergeCell ref="B69:E69"/>
    <mergeCell ref="B71:F71"/>
    <mergeCell ref="C72:D72"/>
    <mergeCell ref="C73:D73"/>
    <mergeCell ref="C74:D74"/>
    <mergeCell ref="C75:D75"/>
    <mergeCell ref="C76:D76"/>
    <mergeCell ref="C77:D77"/>
    <mergeCell ref="C78:D78"/>
    <mergeCell ref="C79:D79"/>
    <mergeCell ref="B80:E80"/>
    <mergeCell ref="C58:D58"/>
    <mergeCell ref="C59:D59"/>
    <mergeCell ref="B60:E60"/>
    <mergeCell ref="C68:E68"/>
    <mergeCell ref="C67:E67"/>
    <mergeCell ref="C63:E63"/>
    <mergeCell ref="B89:E89"/>
    <mergeCell ref="C83:E83"/>
    <mergeCell ref="C84:E84"/>
    <mergeCell ref="C85:E85"/>
    <mergeCell ref="C86:E86"/>
    <mergeCell ref="C87:E87"/>
    <mergeCell ref="C88:E88"/>
  </mergeCells>
  <phoneticPr fontId="18" type="noConversion"/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293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292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2748.76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2748.76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228.97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76.42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305.39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76.349999999999994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91.62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45.81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30.54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18.32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6.11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244.33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513.08000000000004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12.25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52.11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1.22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65.58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379.65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101.18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1.82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0.91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6.38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489.94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147.22999999999999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201.65-F64</f>
        <v>161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63.49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470.81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261.02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321.91000000000003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689.23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44.14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203.71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135.81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305.57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1272.1600000000001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2748.76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1743.24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65.58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489.94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470.81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1272.1600000000001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6790.49</v>
      </c>
    </row>
  </sheetData>
  <sheetProtection sheet="1" objects="1" scenarios="1"/>
  <mergeCells count="73">
    <mergeCell ref="C64:E64"/>
    <mergeCell ref="C65:E65"/>
    <mergeCell ref="C66:E66"/>
    <mergeCell ref="C14:D14"/>
    <mergeCell ref="C36:D36"/>
    <mergeCell ref="C38:D38"/>
    <mergeCell ref="C32:D32"/>
    <mergeCell ref="B33:D33"/>
    <mergeCell ref="C40:E40"/>
    <mergeCell ref="C37:D37"/>
    <mergeCell ref="C39:D39"/>
    <mergeCell ref="C41:D41"/>
    <mergeCell ref="C35:D35"/>
    <mergeCell ref="B1:F1"/>
    <mergeCell ref="D2:F2"/>
    <mergeCell ref="D3:F3"/>
    <mergeCell ref="C4:E4"/>
    <mergeCell ref="C42:E42"/>
    <mergeCell ref="B23:F23"/>
    <mergeCell ref="C19:D19"/>
    <mergeCell ref="C20:D20"/>
    <mergeCell ref="C21:D21"/>
    <mergeCell ref="B22:E22"/>
    <mergeCell ref="C29:D29"/>
    <mergeCell ref="C30:D30"/>
    <mergeCell ref="C31:D31"/>
    <mergeCell ref="D6:F6"/>
    <mergeCell ref="C5:E5"/>
    <mergeCell ref="C11:D11"/>
    <mergeCell ref="C13:D13"/>
    <mergeCell ref="C12:D12"/>
    <mergeCell ref="C10:D10"/>
    <mergeCell ref="C55:D55"/>
    <mergeCell ref="C56:D56"/>
    <mergeCell ref="C57:D57"/>
    <mergeCell ref="B15:E15"/>
    <mergeCell ref="B43:E43"/>
    <mergeCell ref="C24:D24"/>
    <mergeCell ref="C25:D25"/>
    <mergeCell ref="C26:D26"/>
    <mergeCell ref="C27:D27"/>
    <mergeCell ref="C28:D28"/>
    <mergeCell ref="C46:D46"/>
    <mergeCell ref="C47:D47"/>
    <mergeCell ref="C48:D48"/>
    <mergeCell ref="C49:D49"/>
    <mergeCell ref="B50:E50"/>
    <mergeCell ref="C54:D54"/>
    <mergeCell ref="C82:E82"/>
    <mergeCell ref="B69:E69"/>
    <mergeCell ref="B71:F71"/>
    <mergeCell ref="C72:D72"/>
    <mergeCell ref="C73:D73"/>
    <mergeCell ref="C74:D74"/>
    <mergeCell ref="C75:D75"/>
    <mergeCell ref="C76:D76"/>
    <mergeCell ref="C77:D77"/>
    <mergeCell ref="C78:D78"/>
    <mergeCell ref="C79:D79"/>
    <mergeCell ref="B80:E80"/>
    <mergeCell ref="C58:D58"/>
    <mergeCell ref="C59:D59"/>
    <mergeCell ref="B60:E60"/>
    <mergeCell ref="C68:E68"/>
    <mergeCell ref="C67:E67"/>
    <mergeCell ref="C63:E63"/>
    <mergeCell ref="B89:E89"/>
    <mergeCell ref="C83:E83"/>
    <mergeCell ref="C84:E84"/>
    <mergeCell ref="C85:E85"/>
    <mergeCell ref="C86:E86"/>
    <mergeCell ref="C87:E87"/>
    <mergeCell ref="C88:E88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295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294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2748.76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2748.76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228.97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76.42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305.39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76.349999999999994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91.62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45.81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30.54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18.32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6.11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244.33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513.08000000000004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12.25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52.11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1.22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65.58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379.65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101.18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1.82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0.91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6.38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489.94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60.93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177.43-F64</f>
        <v>136.78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30.51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327.31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254.23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313.54000000000002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671.31999999999994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42.99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198.42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132.28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297.63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1239.0899999999999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2748.76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1743.24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65.58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489.94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327.31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1239.0899999999999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6613.92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299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298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2547.5100000000002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2547.5100000000002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212.21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70.819999999999993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283.02999999999997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70.760000000000005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84.92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42.46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28.31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16.98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5.66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226.44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475.53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11.55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49.08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1.1299999999999999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61.76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357.57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95.3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1.72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0.86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6.01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461.46000000000004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84.46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238.17-F64</f>
        <v>197.51999999999998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23.18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404.25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243.99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300.91000000000003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644.27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41.26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190.42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126.95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285.64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1189.17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2547.5100000000002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1683.33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61.76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461.46000000000004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404.25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1189.17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6347.4800000000005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301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300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1792.67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1792.67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149.33000000000001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49.84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199.17000000000002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49.8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59.76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29.88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19.920000000000002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11.95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3.98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159.35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334.64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8.92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37.71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0.8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47.43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274.77999999999997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73.23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1.32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0.66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4.62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354.61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106.33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216.6-F64</f>
        <v>175.95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12.72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394.09000000000003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191.44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236.1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505.51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32.369999999999997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149.41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99.61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224.12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933.05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1792.67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1458.58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47.43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354.61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394.09000000000003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933.05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4980.43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303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302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3430.36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3430.36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285.75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95.36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381.11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95.29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114.34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57.17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38.11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22.87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7.62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304.92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640.32000000000005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14.62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62.37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1.52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78.509999999999991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454.41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121.1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2.1800000000000002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1.0900000000000001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7.64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586.41999999999996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9.2100000000000009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130.43-F64</f>
        <v>89.78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10.63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208.71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295.63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364.6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780.64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49.99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230.73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153.82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346.1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1440.87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3430.36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1946.2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78.509999999999991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586.41999999999996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208.71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1440.87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7691.0700000000006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89"/>
  <sheetViews>
    <sheetView showGridLines="0" workbookViewId="0"/>
  </sheetViews>
  <sheetFormatPr defaultRowHeight="15"/>
  <cols>
    <col min="1" max="1" width="2.5703125" style="78" customWidth="1"/>
    <col min="2" max="2" width="9" style="78" customWidth="1"/>
    <col min="3" max="3" width="51.140625" style="78" bestFit="1" customWidth="1"/>
    <col min="4" max="4" width="14" style="78" customWidth="1"/>
    <col min="5" max="5" width="8.7109375" style="78" customWidth="1"/>
    <col min="6" max="6" width="15.7109375" style="78" bestFit="1" customWidth="1"/>
    <col min="7" max="16384" width="9.140625" style="78"/>
  </cols>
  <sheetData>
    <row r="1" spans="1:6" ht="16.5">
      <c r="A1" s="8"/>
      <c r="B1" s="140" t="s">
        <v>143</v>
      </c>
      <c r="C1" s="140"/>
      <c r="D1" s="140"/>
      <c r="E1" s="140"/>
      <c r="F1" s="140"/>
    </row>
    <row r="2" spans="1:6" ht="16.5">
      <c r="A2" s="8"/>
      <c r="B2" s="9">
        <v>1</v>
      </c>
      <c r="C2" s="10" t="s">
        <v>144</v>
      </c>
      <c r="D2" s="163" t="s">
        <v>305</v>
      </c>
      <c r="E2" s="163"/>
      <c r="F2" s="163"/>
    </row>
    <row r="3" spans="1:6" ht="16.5">
      <c r="A3" s="8"/>
      <c r="B3" s="9">
        <v>2</v>
      </c>
      <c r="C3" s="10" t="s">
        <v>145</v>
      </c>
      <c r="D3" s="164" t="s">
        <v>304</v>
      </c>
      <c r="E3" s="164"/>
      <c r="F3" s="164"/>
    </row>
    <row r="4" spans="1:6" ht="16.5">
      <c r="A4" s="8"/>
      <c r="B4" s="9">
        <v>3</v>
      </c>
      <c r="C4" s="165" t="s">
        <v>226</v>
      </c>
      <c r="D4" s="165"/>
      <c r="E4" s="165"/>
      <c r="F4" s="3">
        <v>45047</v>
      </c>
    </row>
    <row r="5" spans="1:6" ht="16.5">
      <c r="A5" s="8"/>
      <c r="B5" s="9">
        <v>4</v>
      </c>
      <c r="C5" s="166" t="s">
        <v>146</v>
      </c>
      <c r="D5" s="167"/>
      <c r="E5" s="168"/>
      <c r="F5" s="23">
        <f ca="1">'Planilha Resumo'!F26</f>
        <v>1212</v>
      </c>
    </row>
    <row r="6" spans="1:6" ht="16.5">
      <c r="A6" s="8"/>
      <c r="B6" s="9">
        <v>5</v>
      </c>
      <c r="C6" s="10" t="s">
        <v>306</v>
      </c>
      <c r="D6" s="162" t="s">
        <v>123</v>
      </c>
      <c r="E6" s="162"/>
      <c r="F6" s="162"/>
    </row>
    <row r="7" spans="1:6" s="80" customFormat="1" ht="9">
      <c r="A7" s="14"/>
      <c r="B7" s="11"/>
      <c r="C7" s="12"/>
      <c r="D7" s="12"/>
      <c r="E7" s="12"/>
      <c r="F7" s="13"/>
    </row>
    <row r="8" spans="1:6" ht="25.5">
      <c r="A8" s="8"/>
      <c r="B8" s="15" t="s">
        <v>147</v>
      </c>
      <c r="C8" s="16"/>
      <c r="D8" s="16"/>
      <c r="E8" s="16"/>
      <c r="F8" s="16"/>
    </row>
    <row r="9" spans="1:6" ht="16.5">
      <c r="A9" s="8"/>
      <c r="B9" s="17" t="s">
        <v>148</v>
      </c>
      <c r="C9" s="18"/>
      <c r="D9" s="18"/>
      <c r="E9" s="19"/>
      <c r="F9" s="19"/>
    </row>
    <row r="10" spans="1:6" ht="16.5" customHeight="1">
      <c r="A10" s="8"/>
      <c r="B10" s="20">
        <v>1</v>
      </c>
      <c r="C10" s="171" t="s">
        <v>149</v>
      </c>
      <c r="D10" s="172"/>
      <c r="E10" s="21" t="s">
        <v>165</v>
      </c>
      <c r="F10" s="21" t="s">
        <v>168</v>
      </c>
    </row>
    <row r="11" spans="1:6" ht="16.5">
      <c r="A11" s="8"/>
      <c r="B11" s="20" t="s">
        <v>130</v>
      </c>
      <c r="C11" s="175" t="s">
        <v>150</v>
      </c>
      <c r="D11" s="176"/>
      <c r="E11" s="22"/>
      <c r="F11" s="2">
        <v>2748.76</v>
      </c>
    </row>
    <row r="12" spans="1:6" ht="16.5">
      <c r="A12" s="8"/>
      <c r="B12" s="20" t="s">
        <v>131</v>
      </c>
      <c r="C12" s="142" t="s">
        <v>151</v>
      </c>
      <c r="D12" s="143"/>
      <c r="E12" s="101"/>
      <c r="F12" s="23">
        <f>ROUND((E12*$F$11),2)</f>
        <v>0</v>
      </c>
    </row>
    <row r="13" spans="1:6" ht="16.5">
      <c r="A13" s="8"/>
      <c r="B13" s="20" t="s">
        <v>132</v>
      </c>
      <c r="C13" s="175" t="s">
        <v>152</v>
      </c>
      <c r="D13" s="176"/>
      <c r="E13" s="101"/>
      <c r="F13" s="23">
        <f>ROUND((E13*$F$11),2)</f>
        <v>0</v>
      </c>
    </row>
    <row r="14" spans="1:6" ht="16.5">
      <c r="A14" s="8"/>
      <c r="B14" s="20" t="s">
        <v>134</v>
      </c>
      <c r="C14" s="142" t="s">
        <v>153</v>
      </c>
      <c r="D14" s="143"/>
      <c r="E14" s="101"/>
      <c r="F14" s="23">
        <f>ROUND((E14*$F$5),2)</f>
        <v>0</v>
      </c>
    </row>
    <row r="15" spans="1:6" ht="16.5">
      <c r="A15" s="8"/>
      <c r="B15" s="157" t="s">
        <v>190</v>
      </c>
      <c r="C15" s="157"/>
      <c r="D15" s="157"/>
      <c r="E15" s="157"/>
      <c r="F15" s="24">
        <f>SUM(F11:F14)</f>
        <v>2748.76</v>
      </c>
    </row>
    <row r="16" spans="1:6" s="80" customFormat="1" ht="9">
      <c r="A16" s="14"/>
      <c r="B16" s="11"/>
      <c r="C16" s="12"/>
      <c r="D16" s="12"/>
      <c r="E16" s="12"/>
      <c r="F16" s="13"/>
    </row>
    <row r="17" spans="1:6" ht="16.5">
      <c r="A17" s="8"/>
      <c r="B17" s="17" t="s">
        <v>156</v>
      </c>
      <c r="C17" s="18"/>
      <c r="D17" s="18"/>
      <c r="E17" s="25"/>
      <c r="F17" s="25"/>
    </row>
    <row r="18" spans="1:6" ht="16.5">
      <c r="A18" s="8"/>
      <c r="B18" s="17" t="s">
        <v>191</v>
      </c>
      <c r="C18" s="26"/>
      <c r="D18" s="27"/>
      <c r="E18" s="28"/>
      <c r="F18" s="28"/>
    </row>
    <row r="19" spans="1:6" ht="16.5">
      <c r="A19" s="8"/>
      <c r="B19" s="20" t="s">
        <v>192</v>
      </c>
      <c r="C19" s="170" t="s">
        <v>193</v>
      </c>
      <c r="D19" s="170"/>
      <c r="E19" s="21" t="s">
        <v>165</v>
      </c>
      <c r="F19" s="21" t="s">
        <v>168</v>
      </c>
    </row>
    <row r="20" spans="1:6" ht="16.5">
      <c r="A20" s="8"/>
      <c r="B20" s="20" t="s">
        <v>130</v>
      </c>
      <c r="C20" s="159" t="s">
        <v>194</v>
      </c>
      <c r="D20" s="159"/>
      <c r="E20" s="22">
        <f>ROUND((1/12)*100,2)</f>
        <v>8.33</v>
      </c>
      <c r="F20" s="23">
        <f>ROUND((E20%*$F$83),2)</f>
        <v>228.97</v>
      </c>
    </row>
    <row r="21" spans="1:6" ht="16.5">
      <c r="A21" s="8"/>
      <c r="B21" s="29" t="s">
        <v>131</v>
      </c>
      <c r="C21" s="160" t="s">
        <v>195</v>
      </c>
      <c r="D21" s="160"/>
      <c r="E21" s="30">
        <f>ROUND((1/3*1/12)*100,2)</f>
        <v>2.78</v>
      </c>
      <c r="F21" s="23">
        <f>ROUND((E21%*$F$83),2)</f>
        <v>76.42</v>
      </c>
    </row>
    <row r="22" spans="1:6" ht="16.5">
      <c r="A22" s="8"/>
      <c r="B22" s="134" t="s">
        <v>190</v>
      </c>
      <c r="C22" s="134"/>
      <c r="D22" s="134"/>
      <c r="E22" s="134"/>
      <c r="F22" s="31">
        <f>SUM(F20:F21)</f>
        <v>305.39</v>
      </c>
    </row>
    <row r="23" spans="1:6" ht="16.5" customHeight="1">
      <c r="A23" s="8"/>
      <c r="B23" s="169" t="s">
        <v>196</v>
      </c>
      <c r="C23" s="169"/>
      <c r="D23" s="169"/>
      <c r="E23" s="169"/>
      <c r="F23" s="169"/>
    </row>
    <row r="24" spans="1:6" ht="33" customHeight="1">
      <c r="A24" s="8"/>
      <c r="B24" s="20" t="s">
        <v>197</v>
      </c>
      <c r="C24" s="170" t="s">
        <v>198</v>
      </c>
      <c r="D24" s="170"/>
      <c r="E24" s="21" t="s">
        <v>165</v>
      </c>
      <c r="F24" s="21" t="s">
        <v>168</v>
      </c>
    </row>
    <row r="25" spans="1:6" ht="16.5">
      <c r="A25" s="8"/>
      <c r="B25" s="20" t="s">
        <v>130</v>
      </c>
      <c r="C25" s="159" t="s">
        <v>199</v>
      </c>
      <c r="D25" s="159"/>
      <c r="E25" s="32">
        <f ca="1">IF('Planilha Resumo'!F21="NÃO",20,0)</f>
        <v>0</v>
      </c>
      <c r="F25" s="23">
        <f t="shared" ref="F25:F32" si="0">ROUND((E25%*($F$83+$F$22)),2)</f>
        <v>0</v>
      </c>
    </row>
    <row r="26" spans="1:6" ht="16.5">
      <c r="A26" s="8"/>
      <c r="B26" s="29" t="s">
        <v>131</v>
      </c>
      <c r="C26" s="148" t="s">
        <v>200</v>
      </c>
      <c r="D26" s="148"/>
      <c r="E26" s="30">
        <v>2.5</v>
      </c>
      <c r="F26" s="23">
        <f t="shared" si="0"/>
        <v>76.349999999999994</v>
      </c>
    </row>
    <row r="27" spans="1:6" ht="16.5">
      <c r="A27" s="8"/>
      <c r="B27" s="29" t="s">
        <v>132</v>
      </c>
      <c r="C27" s="159" t="s">
        <v>201</v>
      </c>
      <c r="D27" s="159"/>
      <c r="E27" s="32">
        <v>3</v>
      </c>
      <c r="F27" s="23">
        <f t="shared" si="0"/>
        <v>91.62</v>
      </c>
    </row>
    <row r="28" spans="1:6" ht="16.5">
      <c r="A28" s="8"/>
      <c r="B28" s="29" t="s">
        <v>134</v>
      </c>
      <c r="C28" s="148" t="s">
        <v>202</v>
      </c>
      <c r="D28" s="148"/>
      <c r="E28" s="30">
        <v>1.5</v>
      </c>
      <c r="F28" s="23">
        <f t="shared" si="0"/>
        <v>45.81</v>
      </c>
    </row>
    <row r="29" spans="1:6" ht="16.5">
      <c r="A29" s="8"/>
      <c r="B29" s="29" t="s">
        <v>135</v>
      </c>
      <c r="C29" s="159" t="s">
        <v>203</v>
      </c>
      <c r="D29" s="159"/>
      <c r="E29" s="32">
        <v>1</v>
      </c>
      <c r="F29" s="23">
        <f t="shared" si="0"/>
        <v>30.54</v>
      </c>
    </row>
    <row r="30" spans="1:6" ht="16.5">
      <c r="A30" s="8"/>
      <c r="B30" s="29" t="s">
        <v>154</v>
      </c>
      <c r="C30" s="148" t="s">
        <v>204</v>
      </c>
      <c r="D30" s="148"/>
      <c r="E30" s="30">
        <v>0.6</v>
      </c>
      <c r="F30" s="23">
        <f t="shared" si="0"/>
        <v>18.32</v>
      </c>
    </row>
    <row r="31" spans="1:6" ht="16.5">
      <c r="A31" s="8"/>
      <c r="B31" s="29" t="s">
        <v>155</v>
      </c>
      <c r="C31" s="159" t="s">
        <v>205</v>
      </c>
      <c r="D31" s="159"/>
      <c r="E31" s="32">
        <v>0.2</v>
      </c>
      <c r="F31" s="23">
        <f t="shared" si="0"/>
        <v>6.11</v>
      </c>
    </row>
    <row r="32" spans="1:6" ht="16.5">
      <c r="A32" s="8"/>
      <c r="B32" s="29" t="s">
        <v>189</v>
      </c>
      <c r="C32" s="148" t="s">
        <v>206</v>
      </c>
      <c r="D32" s="148"/>
      <c r="E32" s="30">
        <v>8</v>
      </c>
      <c r="F32" s="23">
        <f t="shared" si="0"/>
        <v>244.33</v>
      </c>
    </row>
    <row r="33" spans="1:6" ht="16.5">
      <c r="A33" s="8"/>
      <c r="B33" s="158" t="s">
        <v>190</v>
      </c>
      <c r="C33" s="158"/>
      <c r="D33" s="158"/>
      <c r="E33" s="33">
        <f>SUM(E25:E32)</f>
        <v>16.799999999999997</v>
      </c>
      <c r="F33" s="34">
        <f>SUM(F25:F32)</f>
        <v>513.08000000000004</v>
      </c>
    </row>
    <row r="34" spans="1:6" ht="16.5">
      <c r="A34" s="8"/>
      <c r="B34" s="17" t="s">
        <v>157</v>
      </c>
      <c r="C34" s="35"/>
      <c r="D34" s="35"/>
      <c r="E34" s="35"/>
      <c r="F34" s="35"/>
    </row>
    <row r="35" spans="1:6" ht="16.5">
      <c r="A35" s="8"/>
      <c r="B35" s="20" t="s">
        <v>158</v>
      </c>
      <c r="C35" s="171" t="s">
        <v>159</v>
      </c>
      <c r="D35" s="172"/>
      <c r="E35" s="21" t="s">
        <v>235</v>
      </c>
      <c r="F35" s="21" t="s">
        <v>160</v>
      </c>
    </row>
    <row r="36" spans="1:6" ht="16.5">
      <c r="A36" s="8"/>
      <c r="B36" s="20" t="s">
        <v>130</v>
      </c>
      <c r="C36" s="166" t="s">
        <v>227</v>
      </c>
      <c r="D36" s="168"/>
      <c r="E36" s="102">
        <v>11</v>
      </c>
      <c r="F36" s="23">
        <f>ROUND(E36*$F$40,2)</f>
        <v>242</v>
      </c>
    </row>
    <row r="37" spans="1:6" ht="16.5">
      <c r="A37" s="8"/>
      <c r="B37" s="36" t="s">
        <v>231</v>
      </c>
      <c r="C37" s="173" t="s">
        <v>233</v>
      </c>
      <c r="D37" s="174"/>
      <c r="E37" s="101">
        <v>0</v>
      </c>
      <c r="F37" s="37">
        <f>IF((E37*F11)&gt;=F36,-F36,ROUND(-(E37*F11),2))</f>
        <v>0</v>
      </c>
    </row>
    <row r="38" spans="1:6" ht="16.5">
      <c r="A38" s="8"/>
      <c r="B38" s="20" t="s">
        <v>131</v>
      </c>
      <c r="C38" s="166" t="s">
        <v>228</v>
      </c>
      <c r="D38" s="168"/>
      <c r="E38" s="102">
        <v>21</v>
      </c>
      <c r="F38" s="23">
        <f>ROUND(E38*$F$40,2)</f>
        <v>462</v>
      </c>
    </row>
    <row r="39" spans="1:6" ht="16.5">
      <c r="A39" s="8"/>
      <c r="B39" s="36" t="s">
        <v>232</v>
      </c>
      <c r="C39" s="173" t="s">
        <v>234</v>
      </c>
      <c r="D39" s="174"/>
      <c r="E39" s="101">
        <v>0.09</v>
      </c>
      <c r="F39" s="37">
        <f>-ROUND((E39*F38),2)</f>
        <v>-41.58</v>
      </c>
    </row>
    <row r="40" spans="1:6" ht="16.5">
      <c r="A40" s="8"/>
      <c r="B40" s="20" t="s">
        <v>132</v>
      </c>
      <c r="C40" s="160" t="s">
        <v>188</v>
      </c>
      <c r="D40" s="160"/>
      <c r="E40" s="160"/>
      <c r="F40" s="38">
        <f ca="1">'Planilha Resumo'!F11</f>
        <v>22</v>
      </c>
    </row>
    <row r="41" spans="1:6" ht="16.5">
      <c r="A41" s="8"/>
      <c r="B41" s="20" t="s">
        <v>134</v>
      </c>
      <c r="C41" s="166" t="s">
        <v>236</v>
      </c>
      <c r="D41" s="168"/>
      <c r="E41" s="103">
        <v>5</v>
      </c>
      <c r="F41" s="39">
        <f>ROUND((E41*$F$40),2)</f>
        <v>110</v>
      </c>
    </row>
    <row r="42" spans="1:6" ht="16.5">
      <c r="A42" s="8"/>
      <c r="B42" s="20" t="s">
        <v>135</v>
      </c>
      <c r="C42" s="160" t="s">
        <v>230</v>
      </c>
      <c r="D42" s="160"/>
      <c r="E42" s="160"/>
      <c r="F42" s="1">
        <v>152.35</v>
      </c>
    </row>
    <row r="43" spans="1:6" ht="16.5">
      <c r="A43" s="8"/>
      <c r="B43" s="157" t="s">
        <v>190</v>
      </c>
      <c r="C43" s="157"/>
      <c r="D43" s="157"/>
      <c r="E43" s="157"/>
      <c r="F43" s="24">
        <f>SUM(F36:F39)+SUM(F41:F42)</f>
        <v>924.77</v>
      </c>
    </row>
    <row r="44" spans="1:6" s="80" customFormat="1" ht="9">
      <c r="A44" s="14"/>
      <c r="B44" s="11"/>
      <c r="C44" s="12"/>
      <c r="D44" s="12"/>
      <c r="E44" s="12"/>
      <c r="F44" s="13"/>
    </row>
    <row r="45" spans="1:6" ht="16.5">
      <c r="A45" s="8"/>
      <c r="B45" s="17" t="s">
        <v>207</v>
      </c>
      <c r="C45" s="26"/>
      <c r="D45" s="27"/>
      <c r="E45" s="28"/>
      <c r="F45" s="40"/>
    </row>
    <row r="46" spans="1:6" ht="16.5">
      <c r="A46" s="8"/>
      <c r="B46" s="20">
        <v>3</v>
      </c>
      <c r="C46" s="134" t="s">
        <v>208</v>
      </c>
      <c r="D46" s="134"/>
      <c r="E46" s="21" t="s">
        <v>165</v>
      </c>
      <c r="F46" s="21" t="s">
        <v>168</v>
      </c>
    </row>
    <row r="47" spans="1:6" ht="16.5">
      <c r="A47" s="8"/>
      <c r="B47" s="20" t="s">
        <v>130</v>
      </c>
      <c r="C47" s="159" t="s">
        <v>209</v>
      </c>
      <c r="D47" s="159"/>
      <c r="E47" s="32">
        <f>ROUND((62.93%*5.55%*(1/12))*100,2)</f>
        <v>0.28999999999999998</v>
      </c>
      <c r="F47" s="23">
        <f>ROUND((E47%*($F$83+$F$22+$F$32+F43)),2)</f>
        <v>12.25</v>
      </c>
    </row>
    <row r="48" spans="1:6" ht="16.5">
      <c r="A48" s="8"/>
      <c r="B48" s="29" t="s">
        <v>131</v>
      </c>
      <c r="C48" s="148" t="s">
        <v>210</v>
      </c>
      <c r="D48" s="148"/>
      <c r="E48" s="30">
        <f>ROUND((62.93%*94.45%*(7/30)/12)*100,2)</f>
        <v>1.1599999999999999</v>
      </c>
      <c r="F48" s="23">
        <f>ROUND((E48%*($F$83+$F$84)),2)</f>
        <v>52.11</v>
      </c>
    </row>
    <row r="49" spans="1:6" ht="16.5">
      <c r="A49" s="8"/>
      <c r="B49" s="29" t="s">
        <v>132</v>
      </c>
      <c r="C49" s="159" t="s">
        <v>211</v>
      </c>
      <c r="D49" s="159"/>
      <c r="E49" s="32">
        <f>ROUND((E48%*40%*E32%)*100,2)</f>
        <v>0.04</v>
      </c>
      <c r="F49" s="23">
        <f>ROUND((E49%*($F$83+$F$22)),2)</f>
        <v>1.22</v>
      </c>
    </row>
    <row r="50" spans="1:6" ht="16.5">
      <c r="A50" s="8"/>
      <c r="B50" s="134" t="s">
        <v>190</v>
      </c>
      <c r="C50" s="134"/>
      <c r="D50" s="134"/>
      <c r="E50" s="134"/>
      <c r="F50" s="31">
        <f>SUM(F47:F49)</f>
        <v>65.58</v>
      </c>
    </row>
    <row r="51" spans="1:6" s="80" customFormat="1" ht="9">
      <c r="A51" s="14"/>
      <c r="B51" s="11"/>
      <c r="C51" s="12"/>
      <c r="D51" s="12"/>
      <c r="E51" s="12"/>
      <c r="F51" s="13"/>
    </row>
    <row r="52" spans="1:6" ht="16.5">
      <c r="A52" s="8"/>
      <c r="B52" s="17" t="s">
        <v>161</v>
      </c>
      <c r="C52" s="26"/>
      <c r="D52" s="27"/>
      <c r="E52" s="16"/>
      <c r="F52" s="16"/>
    </row>
    <row r="53" spans="1:6" ht="16.5">
      <c r="A53" s="8"/>
      <c r="B53" s="17" t="s">
        <v>162</v>
      </c>
      <c r="C53" s="26"/>
      <c r="D53" s="27"/>
      <c r="E53" s="28"/>
      <c r="F53" s="28"/>
    </row>
    <row r="54" spans="1:6" ht="16.5">
      <c r="A54" s="8"/>
      <c r="B54" s="20" t="s">
        <v>163</v>
      </c>
      <c r="C54" s="155" t="s">
        <v>164</v>
      </c>
      <c r="D54" s="155"/>
      <c r="E54" s="21" t="s">
        <v>165</v>
      </c>
      <c r="F54" s="21" t="s">
        <v>168</v>
      </c>
    </row>
    <row r="55" spans="1:6" ht="16.5">
      <c r="A55" s="8"/>
      <c r="B55" s="29" t="s">
        <v>130</v>
      </c>
      <c r="C55" s="159" t="s">
        <v>212</v>
      </c>
      <c r="D55" s="159"/>
      <c r="E55" s="41">
        <f>ROUND((1/12)*100,2)</f>
        <v>8.33</v>
      </c>
      <c r="F55" s="23">
        <f>ROUND((E55%*($F$83+$F$84+$F$85)),2)</f>
        <v>379.65</v>
      </c>
    </row>
    <row r="56" spans="1:6" ht="16.5">
      <c r="A56" s="8"/>
      <c r="B56" s="29" t="s">
        <v>131</v>
      </c>
      <c r="C56" s="148" t="s">
        <v>213</v>
      </c>
      <c r="D56" s="148"/>
      <c r="E56" s="41">
        <f>ROUND((8/30/12)*100,2)</f>
        <v>2.2200000000000002</v>
      </c>
      <c r="F56" s="23">
        <f>ROUND((E56%*($F$83+$F$84+$F$85)),2)</f>
        <v>101.18</v>
      </c>
    </row>
    <row r="57" spans="1:6" ht="16.5">
      <c r="A57" s="8"/>
      <c r="B57" s="29" t="s">
        <v>132</v>
      </c>
      <c r="C57" s="159" t="s">
        <v>214</v>
      </c>
      <c r="D57" s="159"/>
      <c r="E57" s="41">
        <f>ROUND(((20/30/12)*1.416%*45.22%)*100,2)</f>
        <v>0.04</v>
      </c>
      <c r="F57" s="23">
        <f>ROUND((E57%*($F$83+$F$84+$F$85)),2)</f>
        <v>1.82</v>
      </c>
    </row>
    <row r="58" spans="1:6" ht="16.5" customHeight="1">
      <c r="A58" s="8"/>
      <c r="B58" s="29" t="s">
        <v>134</v>
      </c>
      <c r="C58" s="148" t="s">
        <v>215</v>
      </c>
      <c r="D58" s="148"/>
      <c r="E58" s="41">
        <f>ROUND(((15/30/12)*0.44%)*100,2)</f>
        <v>0.02</v>
      </c>
      <c r="F58" s="23">
        <f>ROUND((E58%*($F$83+$F$84+$F$85)),2)</f>
        <v>0.91</v>
      </c>
    </row>
    <row r="59" spans="1:6" ht="16.5">
      <c r="A59" s="8"/>
      <c r="B59" s="29" t="s">
        <v>135</v>
      </c>
      <c r="C59" s="159" t="s">
        <v>216</v>
      </c>
      <c r="D59" s="159"/>
      <c r="E59" s="41">
        <f>ROUND(((180/30/12)*1.416%*54.78%*36.8%)*100,2)</f>
        <v>0.14000000000000001</v>
      </c>
      <c r="F59" s="23">
        <f>ROUND((E59%*($F$83+$F$84+$F$85)),2)</f>
        <v>6.38</v>
      </c>
    </row>
    <row r="60" spans="1:6" ht="16.5">
      <c r="A60" s="8"/>
      <c r="B60" s="134" t="s">
        <v>190</v>
      </c>
      <c r="C60" s="134"/>
      <c r="D60" s="134"/>
      <c r="E60" s="134"/>
      <c r="F60" s="24">
        <f>SUM(F55:F59)</f>
        <v>489.94</v>
      </c>
    </row>
    <row r="61" spans="1:6" s="80" customFormat="1" ht="9">
      <c r="A61" s="14"/>
      <c r="B61" s="11"/>
      <c r="C61" s="12"/>
      <c r="D61" s="12"/>
      <c r="E61" s="12"/>
      <c r="F61" s="13"/>
    </row>
    <row r="62" spans="1:6" ht="16.5">
      <c r="A62" s="8"/>
      <c r="B62" s="17" t="s">
        <v>166</v>
      </c>
      <c r="C62" s="26"/>
      <c r="D62" s="26"/>
      <c r="E62" s="28"/>
      <c r="F62" s="28"/>
    </row>
    <row r="63" spans="1:6" ht="16.5">
      <c r="A63" s="8"/>
      <c r="B63" s="20">
        <v>5</v>
      </c>
      <c r="C63" s="171" t="s">
        <v>167</v>
      </c>
      <c r="D63" s="177"/>
      <c r="E63" s="172"/>
      <c r="F63" s="21" t="s">
        <v>168</v>
      </c>
    </row>
    <row r="64" spans="1:6" ht="16.5">
      <c r="A64" s="8"/>
      <c r="B64" s="9" t="s">
        <v>130</v>
      </c>
      <c r="C64" s="160" t="s">
        <v>169</v>
      </c>
      <c r="D64" s="160"/>
      <c r="E64" s="160"/>
      <c r="F64" s="1">
        <f ca="1">'Planilha Resumo'!F34</f>
        <v>40.65</v>
      </c>
    </row>
    <row r="65" spans="1:6" ht="16.5">
      <c r="A65" s="8"/>
      <c r="B65" s="9" t="s">
        <v>131</v>
      </c>
      <c r="C65" s="166" t="s">
        <v>247</v>
      </c>
      <c r="D65" s="167"/>
      <c r="E65" s="168"/>
      <c r="F65" s="23">
        <f ca="1">'Planilha Resumo'!F35</f>
        <v>58.44</v>
      </c>
    </row>
    <row r="66" spans="1:6" ht="16.5">
      <c r="A66" s="8"/>
      <c r="B66" s="9" t="s">
        <v>132</v>
      </c>
      <c r="C66" s="160" t="s">
        <v>248</v>
      </c>
      <c r="D66" s="160"/>
      <c r="E66" s="160"/>
      <c r="F66" s="1">
        <v>139.44</v>
      </c>
    </row>
    <row r="67" spans="1:6" ht="16.5">
      <c r="A67" s="8"/>
      <c r="B67" s="9" t="s">
        <v>134</v>
      </c>
      <c r="C67" s="166" t="s">
        <v>249</v>
      </c>
      <c r="D67" s="167"/>
      <c r="E67" s="168"/>
      <c r="F67" s="1">
        <f>204.95-F64</f>
        <v>164.29999999999998</v>
      </c>
    </row>
    <row r="68" spans="1:6" ht="16.5">
      <c r="A68" s="8"/>
      <c r="B68" s="9" t="s">
        <v>135</v>
      </c>
      <c r="C68" s="160" t="s">
        <v>297</v>
      </c>
      <c r="D68" s="160"/>
      <c r="E68" s="160"/>
      <c r="F68" s="1">
        <v>36</v>
      </c>
    </row>
    <row r="69" spans="1:6" ht="16.5">
      <c r="A69" s="8"/>
      <c r="B69" s="157" t="s">
        <v>190</v>
      </c>
      <c r="C69" s="157"/>
      <c r="D69" s="157"/>
      <c r="E69" s="157"/>
      <c r="F69" s="24">
        <f>SUM(F64:F68)</f>
        <v>438.83</v>
      </c>
    </row>
    <row r="70" spans="1:6" s="80" customFormat="1" ht="9">
      <c r="A70" s="14"/>
      <c r="B70" s="11"/>
      <c r="C70" s="12"/>
      <c r="D70" s="12"/>
      <c r="E70" s="12"/>
      <c r="F70" s="13"/>
    </row>
    <row r="71" spans="1:6" ht="16.5" customHeight="1">
      <c r="A71" s="8"/>
      <c r="B71" s="161" t="s">
        <v>170</v>
      </c>
      <c r="C71" s="161"/>
      <c r="D71" s="161"/>
      <c r="E71" s="161"/>
      <c r="F71" s="161"/>
    </row>
    <row r="72" spans="1:6" ht="16.5">
      <c r="A72" s="8"/>
      <c r="B72" s="20">
        <v>6</v>
      </c>
      <c r="C72" s="134" t="s">
        <v>171</v>
      </c>
      <c r="D72" s="134"/>
      <c r="E72" s="21" t="s">
        <v>165</v>
      </c>
      <c r="F72" s="21" t="s">
        <v>168</v>
      </c>
    </row>
    <row r="73" spans="1:6" ht="16.5">
      <c r="A73" s="8"/>
      <c r="B73" s="20" t="s">
        <v>130</v>
      </c>
      <c r="C73" s="159" t="str">
        <f ca="1">'Planilha Resumo'!$C$37</f>
        <v>Custos Indiretos</v>
      </c>
      <c r="D73" s="159"/>
      <c r="E73" s="41">
        <f ca="1">'Planilha Resumo'!$F$37</f>
        <v>4.7300000000000004</v>
      </c>
      <c r="F73" s="23">
        <f>ROUND((E73%*($F$83+$F$84+$F$85+$F$86+$F$87)),2)</f>
        <v>259.5</v>
      </c>
    </row>
    <row r="74" spans="1:6" ht="16.5">
      <c r="A74" s="8"/>
      <c r="B74" s="29" t="s">
        <v>131</v>
      </c>
      <c r="C74" s="148" t="str">
        <f ca="1">'Planilha Resumo'!$C$38</f>
        <v>Lucro</v>
      </c>
      <c r="D74" s="148"/>
      <c r="E74" s="41">
        <f ca="1">'Planilha Resumo'!$F$38</f>
        <v>5.57</v>
      </c>
      <c r="F74" s="23">
        <f>ROUND((E74%*($F$83+$F$84+$F$85+$F$86+$F$87+$F$73)),2)</f>
        <v>320.04000000000002</v>
      </c>
    </row>
    <row r="75" spans="1:6" ht="16.5">
      <c r="A75" s="8"/>
      <c r="B75" s="29" t="s">
        <v>132</v>
      </c>
      <c r="C75" s="148" t="str">
        <f ca="1">'Planilha Resumo'!$C$39</f>
        <v>Tributos</v>
      </c>
      <c r="D75" s="148"/>
      <c r="E75" s="42">
        <f ca="1">SUM(E76:E79)</f>
        <v>10.15</v>
      </c>
      <c r="F75" s="23">
        <f>SUM(F76:F79)</f>
        <v>685.23</v>
      </c>
    </row>
    <row r="76" spans="1:6">
      <c r="A76" s="8"/>
      <c r="B76" s="43" t="s">
        <v>174</v>
      </c>
      <c r="C76" s="156" t="str">
        <f ca="1">'Planilha Resumo'!$C$40</f>
        <v>PIS</v>
      </c>
      <c r="D76" s="156"/>
      <c r="E76" s="44">
        <f ca="1">'Planilha Resumo'!$F$40</f>
        <v>0.65</v>
      </c>
      <c r="F76" s="45">
        <f>ROUND((($F$83+$F$84+$F$85+$F$86+$F$87+$F$73+$F$74)*E76%)/(1-$E$75%),2)</f>
        <v>43.88</v>
      </c>
    </row>
    <row r="77" spans="1:6">
      <c r="A77" s="8"/>
      <c r="B77" s="43" t="s">
        <v>176</v>
      </c>
      <c r="C77" s="156" t="str">
        <f ca="1">'Planilha Resumo'!$C$41</f>
        <v>Cofins</v>
      </c>
      <c r="D77" s="156"/>
      <c r="E77" s="44">
        <f ca="1">'Planilha Resumo'!$F$41</f>
        <v>3</v>
      </c>
      <c r="F77" s="45">
        <f>ROUND((($F$83+$F$84+$F$85+$F$86+$F$87+$F$73+$F$74)*E77%)/(1-$E$75%),2)</f>
        <v>202.53</v>
      </c>
    </row>
    <row r="78" spans="1:6">
      <c r="A78" s="8"/>
      <c r="B78" s="43" t="s">
        <v>178</v>
      </c>
      <c r="C78" s="156" t="str">
        <f ca="1">'Planilha Resumo'!$C$42</f>
        <v>ISS</v>
      </c>
      <c r="D78" s="156"/>
      <c r="E78" s="44">
        <f ca="1">'Planilha Resumo'!$F$42</f>
        <v>2</v>
      </c>
      <c r="F78" s="45">
        <f>ROUND((($F$83+$F$84+$F$85+$F$86+$F$87+$F$73+$F$74)*E78%)/(1-$E$75%),2)</f>
        <v>135.02000000000001</v>
      </c>
    </row>
    <row r="79" spans="1:6" ht="16.5" customHeight="1">
      <c r="A79" s="8"/>
      <c r="B79" s="43" t="s">
        <v>359</v>
      </c>
      <c r="C79" s="156" t="str">
        <f ca="1">'Planilha Resumo'!$C$43</f>
        <v>CPRB (Somente se empresa optante pela desoneração fiscal)</v>
      </c>
      <c r="D79" s="156"/>
      <c r="E79" s="44">
        <f ca="1">'Planilha Resumo'!$F$43</f>
        <v>4.5</v>
      </c>
      <c r="F79" s="45">
        <f>ROUND((($F$83+$F$84+$F$85+$F$86+$F$87+$F$73+$F$74)*E79%)/(1-$E$75%),2)</f>
        <v>303.8</v>
      </c>
    </row>
    <row r="80" spans="1:6" ht="16.5">
      <c r="A80" s="8"/>
      <c r="B80" s="134" t="s">
        <v>190</v>
      </c>
      <c r="C80" s="134"/>
      <c r="D80" s="134"/>
      <c r="E80" s="134"/>
      <c r="F80" s="46">
        <f>SUM(F73:F75)</f>
        <v>1264.77</v>
      </c>
    </row>
    <row r="81" spans="1:6" ht="20.25">
      <c r="A81" s="8"/>
      <c r="B81" s="47" t="s">
        <v>218</v>
      </c>
      <c r="C81" s="48"/>
      <c r="D81" s="48"/>
      <c r="E81" s="48"/>
      <c r="F81" s="49"/>
    </row>
    <row r="82" spans="1:6" ht="16.5">
      <c r="A82" s="8"/>
      <c r="B82" s="29" t="s">
        <v>219</v>
      </c>
      <c r="C82" s="155" t="s">
        <v>220</v>
      </c>
      <c r="D82" s="155"/>
      <c r="E82" s="155"/>
      <c r="F82" s="21" t="s">
        <v>221</v>
      </c>
    </row>
    <row r="83" spans="1:6" ht="16.5">
      <c r="A83" s="8"/>
      <c r="B83" s="20">
        <v>1</v>
      </c>
      <c r="C83" s="148" t="s">
        <v>149</v>
      </c>
      <c r="D83" s="148"/>
      <c r="E83" s="148"/>
      <c r="F83" s="23">
        <f>F15</f>
        <v>2748.76</v>
      </c>
    </row>
    <row r="84" spans="1:6" ht="16.5">
      <c r="A84" s="8"/>
      <c r="B84" s="29">
        <v>2</v>
      </c>
      <c r="C84" s="148" t="s">
        <v>222</v>
      </c>
      <c r="D84" s="148"/>
      <c r="E84" s="148"/>
      <c r="F84" s="23">
        <f>F22+F33+F43</f>
        <v>1743.24</v>
      </c>
    </row>
    <row r="85" spans="1:6" ht="16.5">
      <c r="A85" s="8"/>
      <c r="B85" s="29">
        <v>3</v>
      </c>
      <c r="C85" s="148" t="s">
        <v>208</v>
      </c>
      <c r="D85" s="148"/>
      <c r="E85" s="148"/>
      <c r="F85" s="23">
        <f>F50</f>
        <v>65.58</v>
      </c>
    </row>
    <row r="86" spans="1:6" ht="16.5">
      <c r="A86" s="8"/>
      <c r="B86" s="29">
        <v>4</v>
      </c>
      <c r="C86" s="148" t="s">
        <v>223</v>
      </c>
      <c r="D86" s="148"/>
      <c r="E86" s="148"/>
      <c r="F86" s="23">
        <f>F60</f>
        <v>489.94</v>
      </c>
    </row>
    <row r="87" spans="1:6" ht="16.5">
      <c r="A87" s="8"/>
      <c r="B87" s="29">
        <v>5</v>
      </c>
      <c r="C87" s="148" t="s">
        <v>167</v>
      </c>
      <c r="D87" s="148"/>
      <c r="E87" s="148"/>
      <c r="F87" s="23">
        <f>F69</f>
        <v>438.83</v>
      </c>
    </row>
    <row r="88" spans="1:6" ht="16.5">
      <c r="A88" s="8"/>
      <c r="B88" s="29">
        <v>6</v>
      </c>
      <c r="C88" s="148" t="s">
        <v>171</v>
      </c>
      <c r="D88" s="148"/>
      <c r="E88" s="148"/>
      <c r="F88" s="23">
        <f>F80</f>
        <v>1264.77</v>
      </c>
    </row>
    <row r="89" spans="1:6" ht="16.5">
      <c r="A89" s="8"/>
      <c r="B89" s="155" t="s">
        <v>224</v>
      </c>
      <c r="C89" s="155"/>
      <c r="D89" s="155"/>
      <c r="E89" s="155"/>
      <c r="F89" s="46">
        <f>SUM(F83:F88)</f>
        <v>6751.119999999999</v>
      </c>
    </row>
  </sheetData>
  <sheetProtection sheet="1" objects="1" scenarios="1"/>
  <mergeCells count="73">
    <mergeCell ref="C65:E65"/>
    <mergeCell ref="C66:E66"/>
    <mergeCell ref="C14:D14"/>
    <mergeCell ref="C36:D36"/>
    <mergeCell ref="C38:D38"/>
    <mergeCell ref="C87:E87"/>
    <mergeCell ref="C88:E88"/>
    <mergeCell ref="C82:E82"/>
    <mergeCell ref="C37:D37"/>
    <mergeCell ref="C39:D39"/>
    <mergeCell ref="C41:D41"/>
    <mergeCell ref="C68:E68"/>
    <mergeCell ref="C67:E67"/>
    <mergeCell ref="C63:E63"/>
    <mergeCell ref="C64:E64"/>
    <mergeCell ref="B71:F71"/>
    <mergeCell ref="C72:D72"/>
    <mergeCell ref="C73:D73"/>
    <mergeCell ref="C42:E42"/>
    <mergeCell ref="B60:E60"/>
    <mergeCell ref="B89:E89"/>
    <mergeCell ref="C83:E83"/>
    <mergeCell ref="C84:E84"/>
    <mergeCell ref="C85:E85"/>
    <mergeCell ref="C86:E86"/>
    <mergeCell ref="C78:D78"/>
    <mergeCell ref="C79:D79"/>
    <mergeCell ref="B80:E80"/>
    <mergeCell ref="C57:D57"/>
    <mergeCell ref="C58:D58"/>
    <mergeCell ref="C74:D74"/>
    <mergeCell ref="C75:D75"/>
    <mergeCell ref="C76:D76"/>
    <mergeCell ref="C77:D77"/>
    <mergeCell ref="B69:E69"/>
    <mergeCell ref="C59:D59"/>
    <mergeCell ref="B43:E43"/>
    <mergeCell ref="C24:D24"/>
    <mergeCell ref="C25:D25"/>
    <mergeCell ref="C26:D26"/>
    <mergeCell ref="C27:D27"/>
    <mergeCell ref="C28:D28"/>
    <mergeCell ref="C29:D29"/>
    <mergeCell ref="C30:D30"/>
    <mergeCell ref="C46:D46"/>
    <mergeCell ref="C56:D56"/>
    <mergeCell ref="B23:F23"/>
    <mergeCell ref="C31:D31"/>
    <mergeCell ref="C32:D32"/>
    <mergeCell ref="B33:D33"/>
    <mergeCell ref="C40:E40"/>
    <mergeCell ref="B50:E50"/>
    <mergeCell ref="C47:D47"/>
    <mergeCell ref="C48:D48"/>
    <mergeCell ref="C49:D49"/>
    <mergeCell ref="B1:F1"/>
    <mergeCell ref="D2:F2"/>
    <mergeCell ref="D3:F3"/>
    <mergeCell ref="C4:E4"/>
    <mergeCell ref="C54:D54"/>
    <mergeCell ref="C55:D55"/>
    <mergeCell ref="C35:D35"/>
    <mergeCell ref="C10:D10"/>
    <mergeCell ref="C21:D21"/>
    <mergeCell ref="B22:E22"/>
    <mergeCell ref="C5:E5"/>
    <mergeCell ref="C11:D11"/>
    <mergeCell ref="C13:D13"/>
    <mergeCell ref="C12:D12"/>
    <mergeCell ref="D6:F6"/>
    <mergeCell ref="B15:E15"/>
    <mergeCell ref="C19:D19"/>
    <mergeCell ref="C20:D20"/>
  </mergeCells>
  <phoneticPr fontId="18" type="noConversion"/>
  <dataValidations disablePrompts="1" count="2"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48:E49">
      <formula1>0</formula1>
      <formula2>1.94</formula2>
    </dataValidation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47">
      <formula1>0</formula1>
      <formula2>0.46</formula2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19</vt:i4>
      </vt:variant>
    </vt:vector>
  </HeadingPairs>
  <TitlesOfParts>
    <vt:vector size="36" baseType="lpstr">
      <vt:lpstr>Planilha Resumo</vt:lpstr>
      <vt:lpstr>Supervisor</vt:lpstr>
      <vt:lpstr>Tec. Eletricista</vt:lpstr>
      <vt:lpstr>Tec. Rede</vt:lpstr>
      <vt:lpstr>Bombeiro Hidráulico</vt:lpstr>
      <vt:lpstr>Marceneiro</vt:lpstr>
      <vt:lpstr>Auxiliar de Manutenção</vt:lpstr>
      <vt:lpstr>Auxiliar Administrativo</vt:lpstr>
      <vt:lpstr>Pedreiro</vt:lpstr>
      <vt:lpstr>Eletrotécnico</vt:lpstr>
      <vt:lpstr>Serralheiro</vt:lpstr>
      <vt:lpstr>Eng. Eletricista</vt:lpstr>
      <vt:lpstr>Eng. Civil</vt:lpstr>
      <vt:lpstr>Tec. Segurança</vt:lpstr>
      <vt:lpstr>Peças e Materiais</vt:lpstr>
      <vt:lpstr>Serv. Especializados</vt:lpstr>
      <vt:lpstr>Veículos</vt:lpstr>
      <vt:lpstr>'Auxiliar Administrativo'!Area_de_impressao</vt:lpstr>
      <vt:lpstr>'Auxiliar de Manutenção'!Area_de_impressao</vt:lpstr>
      <vt:lpstr>'Bombeiro Hidráulico'!Area_de_impressao</vt:lpstr>
      <vt:lpstr>Eletrotécnico!Area_de_impressao</vt:lpstr>
      <vt:lpstr>'Eng. Civil'!Area_de_impressao</vt:lpstr>
      <vt:lpstr>'Eng. Eletricista'!Area_de_impressao</vt:lpstr>
      <vt:lpstr>Marceneiro!Area_de_impressao</vt:lpstr>
      <vt:lpstr>'Peças e Materiais'!Area_de_impressao</vt:lpstr>
      <vt:lpstr>Pedreiro!Area_de_impressao</vt:lpstr>
      <vt:lpstr>'Planilha Resumo'!Area_de_impressao</vt:lpstr>
      <vt:lpstr>Serralheiro!Area_de_impressao</vt:lpstr>
      <vt:lpstr>'Serv. Especializados'!Area_de_impressao</vt:lpstr>
      <vt:lpstr>Supervisor!Area_de_impressao</vt:lpstr>
      <vt:lpstr>'Tec. Eletricista'!Area_de_impressao</vt:lpstr>
      <vt:lpstr>'Tec. Rede'!Area_de_impressao</vt:lpstr>
      <vt:lpstr>'Tec. Segurança'!Area_de_impressao</vt:lpstr>
      <vt:lpstr>Veículos!Area_de_impressao</vt:lpstr>
      <vt:lpstr>'Peças e Materiais'!Titulos_de_impressao</vt:lpstr>
      <vt:lpstr>'Serv. Especializados'!Titulos_de_impressao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anacz</cp:lastModifiedBy>
  <cp:lastPrinted>2022-05-18T13:01:38Z</cp:lastPrinted>
  <dcterms:created xsi:type="dcterms:W3CDTF">2021-04-27T11:04:54Z</dcterms:created>
  <dcterms:modified xsi:type="dcterms:W3CDTF">2022-06-03T15:02:13Z</dcterms:modified>
</cp:coreProperties>
</file>