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040" tabRatio="880" activeTab="0"/>
  </bookViews>
  <sheets>
    <sheet name="Planilha Resumo" sheetId="1" r:id="rId1"/>
    <sheet name="Eng. Mecânico" sheetId="2" r:id="rId2"/>
    <sheet name="Encarregado" sheetId="3" r:id="rId3"/>
    <sheet name="Téc. Eletromecânica" sheetId="4" r:id="rId4"/>
    <sheet name="Tec. Mecânico" sheetId="5" r:id="rId5"/>
    <sheet name="Tec. Eletricista" sheetId="6" r:id="rId6"/>
    <sheet name="Oper. de Computador" sheetId="7" r:id="rId7"/>
    <sheet name="Auxiliar de Manutenção" sheetId="8" r:id="rId8"/>
    <sheet name="Assistente Administrativo" sheetId="9" r:id="rId9"/>
    <sheet name="Serv. Especializados" sheetId="10" r:id="rId10"/>
    <sheet name="Veículos" sheetId="11" r:id="rId11"/>
  </sheets>
  <externalReferences>
    <externalReference r:id="rId14"/>
  </externalReferences>
  <definedNames>
    <definedName name="_xlnm.Print_Area" localSheetId="8">'Assistente Administrativo'!$B$1:$F$89</definedName>
    <definedName name="_xlnm.Print_Area" localSheetId="7">'Auxiliar de Manutenção'!$B$1:$F$89</definedName>
    <definedName name="_xlnm.Print_Area" localSheetId="2">'Encarregado'!$B$1:$F$89</definedName>
    <definedName name="_xlnm.Print_Area" localSheetId="1">'Eng. Mecânico'!$B$1:$F$89</definedName>
    <definedName name="_xlnm.Print_Area" localSheetId="6">'Oper. de Computador'!$B$1:$F$89</definedName>
    <definedName name="_xlnm.Print_Area" localSheetId="0">'Planilha Resumo'!$B$1:$F$65</definedName>
    <definedName name="_xlnm.Print_Area" localSheetId="9">'Serv. Especializados'!$B$1:$G$30</definedName>
    <definedName name="_xlnm.Print_Area" localSheetId="5">'Tec. Eletricista'!$B$1:$F$89</definedName>
    <definedName name="_xlnm.Print_Area" localSheetId="3">'Téc. Eletromecânica'!$B$1:$F$89</definedName>
    <definedName name="_xlnm.Print_Area" localSheetId="4">'Tec. Mecânico'!$B$1:$F$89</definedName>
    <definedName name="_xlnm.Print_Area" localSheetId="10">'Veículos'!$B$1:$I$41</definedName>
    <definedName name="dias">'[1]Planilha de Custos e Formação'!$K$35</definedName>
    <definedName name="Excel_BuiltIn_Print_Area_1" localSheetId="10">#REF!</definedName>
    <definedName name="Excel_BuiltIn_Print_Area_1">#REF!</definedName>
    <definedName name="Excel_BuiltIn_Print_Area_1_1" localSheetId="10">#REF!</definedName>
    <definedName name="Excel_BuiltIn_Print_Area_1_1">#REF!</definedName>
    <definedName name="Excel_BuiltIn_Print_Area_1_1_1" localSheetId="10">#REF!</definedName>
    <definedName name="Excel_BuiltIn_Print_Area_1_1_1">#REF!</definedName>
    <definedName name="Excel_BuiltIn_Print_Area_1_1_1_1" localSheetId="10">#REF!</definedName>
    <definedName name="Excel_BuiltIn_Print_Area_1_1_1_1">#REF!</definedName>
    <definedName name="Excel_BuiltIn_Print_Area_1_1_1_1_1" localSheetId="10">#REF!</definedName>
    <definedName name="Excel_BuiltIn_Print_Area_1_1_1_1_1">#REF!</definedName>
    <definedName name="Excel_BuiltIn_Print_Area_1_1_1_1_1_1" localSheetId="10">#REF!</definedName>
    <definedName name="Excel_BuiltIn_Print_Area_1_1_1_1_1_1">#REF!</definedName>
    <definedName name="Excel_BuiltIn_Print_Area_1_1_1_1_1_1_1_1" localSheetId="10">#REF!</definedName>
    <definedName name="Excel_BuiltIn_Print_Area_1_1_1_1_1_1_1_1">#REF!</definedName>
    <definedName name="Excel_BuiltIn_Print_Area_2" localSheetId="10">#REF!</definedName>
    <definedName name="Excel_BuiltIn_Print_Area_2">#REF!</definedName>
    <definedName name="Excel_BuiltIn_Print_Area_2_1" localSheetId="10">#REF!</definedName>
    <definedName name="Excel_BuiltIn_Print_Area_2_1">#REF!</definedName>
    <definedName name="Excel_BuiltIn_Print_Area_2_1_1" localSheetId="10">#REF!</definedName>
    <definedName name="Excel_BuiltIn_Print_Area_2_1_1">#REF!</definedName>
    <definedName name="Excel_BuiltIn_Print_Area_2_1_1_1" localSheetId="10">#REF!</definedName>
    <definedName name="Excel_BuiltIn_Print_Area_2_1_1_1">#REF!</definedName>
    <definedName name="Excel_BuiltIn_Print_Area_4_1" localSheetId="10">#REF!</definedName>
    <definedName name="Excel_BuiltIn_Print_Area_4_1">#REF!</definedName>
    <definedName name="Excel_BuiltIn_Print_Area_4_1_1" localSheetId="10">#REF!</definedName>
    <definedName name="Excel_BuiltIn_Print_Area_4_1_1">#REF!</definedName>
    <definedName name="Excel_BuiltIn_Print_Area_4_1_1_1" localSheetId="10">#REF!</definedName>
    <definedName name="Excel_BuiltIn_Print_Area_4_1_1_1">#REF!</definedName>
    <definedName name="Excel_BuiltIn_Print_Area_5_1" localSheetId="10">#REF!</definedName>
    <definedName name="Excel_BuiltIn_Print_Area_5_1">#REF!</definedName>
    <definedName name="Excel_BuiltIn_Print_Area_5_1_1" localSheetId="10">#REF!</definedName>
    <definedName name="Excel_BuiltIn_Print_Area_5_1_1">#REF!</definedName>
    <definedName name="Excel_BuiltIn_Print_Area_6_1" localSheetId="10">#REF!</definedName>
    <definedName name="Excel_BuiltIn_Print_Area_6_1">#REF!</definedName>
    <definedName name="Excel_BuiltIn_Print_Titles_1" localSheetId="10">#REF!</definedName>
    <definedName name="Excel_BuiltIn_Print_Titles_1">#REF!</definedName>
    <definedName name="Excel_BuiltIn_Print_Titles_1_1" localSheetId="10">#REF!</definedName>
    <definedName name="Excel_BuiltIn_Print_Titles_1_1">#REF!</definedName>
    <definedName name="Excel_BuiltIn_Print_Titles_1_1_1" localSheetId="10">#REF!</definedName>
    <definedName name="Excel_BuiltIn_Print_Titles_1_1_1">#REF!</definedName>
    <definedName name="Excel_BuiltIn_Print_Titles_2" localSheetId="10">#REF!</definedName>
    <definedName name="Excel_BuiltIn_Print_Titles_2">#REF!</definedName>
    <definedName name="Excel_BuiltIn_Print_Titles_2_1" localSheetId="10">#REF!</definedName>
    <definedName name="Excel_BuiltIn_Print_Titles_2_1">#REF!</definedName>
    <definedName name="Excel_BuiltIn_Print_Titles_2_1_1" localSheetId="10">#REF!</definedName>
    <definedName name="Excel_BuiltIn_Print_Titles_2_1_1">#REF!</definedName>
    <definedName name="Excel_BuiltIn_Print_Titles_2_1_1_1" localSheetId="10">#REF!</definedName>
    <definedName name="Excel_BuiltIn_Print_Titles_2_1_1_1">#REF!</definedName>
    <definedName name="Excel_BuiltIn_Print_Titles_2_1_1_1_1" localSheetId="10">#REF!</definedName>
    <definedName name="Excel_BuiltIn_Print_Titles_2_1_1_1_1">#REF!</definedName>
    <definedName name="Excel_BuiltIn_Print_Titles_2_1_1_1_1_1" localSheetId="10">#REF!</definedName>
    <definedName name="Excel_BuiltIn_Print_Titles_2_1_1_1_1_1">#REF!</definedName>
    <definedName name="Excel_BuiltIn_Print_Titles_4" localSheetId="10">#REF!</definedName>
    <definedName name="Excel_BuiltIn_Print_Titles_4">#REF!</definedName>
    <definedName name="Excel_BuiltIn_Print_Titles_4_1" localSheetId="10">#REF!</definedName>
    <definedName name="Excel_BuiltIn_Print_Titles_4_1">#REF!</definedName>
    <definedName name="Excel_BuiltIn_Print_Titles_5" localSheetId="10">#REF!</definedName>
    <definedName name="Excel_BuiltIn_Print_Titles_5">#REF!</definedName>
    <definedName name="Excel_BuiltIn_Print_Titles_5_1" localSheetId="10">#REF!</definedName>
    <definedName name="Excel_BuiltIn_Print_Titles_5_1">#REF!</definedName>
    <definedName name="_xlnm.Print_Titles" localSheetId="9">'Serv. Especializados'!$1:$2</definedName>
    <definedName name="Z_A9F9385B_93FA_4B7E_B557_8A6B9B68FCE5_.wvu.PrintArea" localSheetId="10" hidden="1">'Veículos'!$B$1:$I$26</definedName>
  </definedNames>
  <calcPr fullCalcOnLoad="1"/>
</workbook>
</file>

<file path=xl/comments11.xml><?xml version="1.0" encoding="utf-8"?>
<comments xmlns="http://schemas.openxmlformats.org/spreadsheetml/2006/main">
  <authors>
    <author>User</author>
  </authors>
  <commentList>
    <comment ref="D6" authorId="0">
      <text>
        <r>
          <rPr>
            <b/>
            <sz val="9"/>
            <rFont val="Segoe UI"/>
            <family val="0"/>
          </rPr>
          <t>User:</t>
        </r>
        <r>
          <rPr>
            <sz val="9"/>
            <rFont val="Segoe UI"/>
            <family val="0"/>
          </rPr>
          <t xml:space="preserve">
Velocidade média de deslocamento: 35km/h</t>
        </r>
      </text>
    </comment>
  </commentList>
</comments>
</file>

<file path=xl/sharedStrings.xml><?xml version="1.0" encoding="utf-8"?>
<sst xmlns="http://schemas.openxmlformats.org/spreadsheetml/2006/main" count="1370" uniqueCount="247">
  <si>
    <t>Dados referentes à licitação</t>
  </si>
  <si>
    <t>Pregão nº</t>
  </si>
  <si>
    <t>Data / Horário</t>
  </si>
  <si>
    <t>HH:MM</t>
  </si>
  <si>
    <t>Dados referentes à contratação</t>
  </si>
  <si>
    <t>A</t>
  </si>
  <si>
    <t>B</t>
  </si>
  <si>
    <t>C</t>
  </si>
  <si>
    <t>Unidade da Federação</t>
  </si>
  <si>
    <t>D</t>
  </si>
  <si>
    <t>E</t>
  </si>
  <si>
    <t>Número de Meses de Execução Contratual</t>
  </si>
  <si>
    <t>Identificação do serviço</t>
  </si>
  <si>
    <t>Item</t>
  </si>
  <si>
    <t>Tipo de Serviço</t>
  </si>
  <si>
    <t>Unidade de Medida</t>
  </si>
  <si>
    <t>Empregados por Posto</t>
  </si>
  <si>
    <t>Qtde Total a Contratar</t>
  </si>
  <si>
    <t>Mão de obra</t>
  </si>
  <si>
    <t>Classificação Brasileira de Ocupações (CBO)</t>
  </si>
  <si>
    <t>Categoria Profissional (vinculada à execução contratual)</t>
  </si>
  <si>
    <t>Salário Mínimo vigente no país (em R$)</t>
  </si>
  <si>
    <t>CUSTOS POR EMPREGADO</t>
  </si>
  <si>
    <t>MÓDULO 1: COMPOSIÇÃO DA REMUNERAÇÃO</t>
  </si>
  <si>
    <t>Composição da Remuneração</t>
  </si>
  <si>
    <t>Salário-Base (em R$)</t>
  </si>
  <si>
    <t>Adicional de Periculosidade (em %)</t>
  </si>
  <si>
    <t>Adicional Noturno (em %)</t>
  </si>
  <si>
    <t>Adicional de Insalubridade (em %)</t>
  </si>
  <si>
    <t>F</t>
  </si>
  <si>
    <t>G</t>
  </si>
  <si>
    <t>MÓDULO 2: ENCARGOS E BENEFÍCIOS ANUAIS, MENSAIS E DIÁRIOS</t>
  </si>
  <si>
    <t>Submódulo 2.3 - Benefícios Mensais e Diários</t>
  </si>
  <si>
    <t>2.3</t>
  </si>
  <si>
    <t>Benefícios Mensais e Diários</t>
  </si>
  <si>
    <t>Valor (em R$)</t>
  </si>
  <si>
    <t>MÓDULO 4: CUSTO DE REPOSIÇÃO DO PROFISSIONAL AUSENTE</t>
  </si>
  <si>
    <t>Submódulo 4.1 - Substituto nas Ausências Legais</t>
  </si>
  <si>
    <t>4.1</t>
  </si>
  <si>
    <t>Substituto nas Ausências Legais</t>
  </si>
  <si>
    <t>%</t>
  </si>
  <si>
    <t>MÓDULO 5: INSUMOS DIVERSOS</t>
  </si>
  <si>
    <t>Insumos Diversos</t>
  </si>
  <si>
    <t>Valor (R$)</t>
  </si>
  <si>
    <t>Uniformes</t>
  </si>
  <si>
    <t>MÓDULO 6: CUSTOS INDIRETOS, TRIBUTOS E LUCRO</t>
  </si>
  <si>
    <t>Custos Indiretos, Tributos e Lucro</t>
  </si>
  <si>
    <t>Custos Indiretos</t>
  </si>
  <si>
    <t>Lucro</t>
  </si>
  <si>
    <t>C.1</t>
  </si>
  <si>
    <t>PIS</t>
  </si>
  <si>
    <t>C.2</t>
  </si>
  <si>
    <t>Cofins</t>
  </si>
  <si>
    <t>C.3</t>
  </si>
  <si>
    <t>ISS</t>
  </si>
  <si>
    <t>Nº do Processo</t>
  </si>
  <si>
    <t>Modalidade de Licitação nº</t>
  </si>
  <si>
    <t>Data de Apresentação da Proposta</t>
  </si>
  <si>
    <t>Diversos Edifícios do MPDFT</t>
  </si>
  <si>
    <t>DF</t>
  </si>
  <si>
    <t>posto</t>
  </si>
  <si>
    <t>Dias Trabalhados no mês</t>
  </si>
  <si>
    <t>H</t>
  </si>
  <si>
    <t>TOTAL</t>
  </si>
  <si>
    <t>Submódulo 2.1 - 13º (décimo terceiro) Salário e Adicional de Férias</t>
  </si>
  <si>
    <t>2.1</t>
  </si>
  <si>
    <t>13º Salário e Adicional de Férias</t>
  </si>
  <si>
    <t>13º Salário</t>
  </si>
  <si>
    <t>Adicional de Férias</t>
  </si>
  <si>
    <t>Submódulo 2.2 - Encargos Previdencários (GPS), Fundo de Garantia por Tempo de Serviço (FGTS) e Outras Contribuições</t>
  </si>
  <si>
    <t>2.2</t>
  </si>
  <si>
    <t>Encargos Previdenciários (GPS), Fundo de Garantia por Tempo de Serviço (FGTS) e outras contribuições</t>
  </si>
  <si>
    <t>INSS</t>
  </si>
  <si>
    <t>Salário Educação</t>
  </si>
  <si>
    <t>Riscos Ambientas do Trabalho</t>
  </si>
  <si>
    <t>SESC</t>
  </si>
  <si>
    <t>SENAC</t>
  </si>
  <si>
    <t>SEBRAE</t>
  </si>
  <si>
    <t>INCRA</t>
  </si>
  <si>
    <t>FGTS</t>
  </si>
  <si>
    <t>MÓDULO 3: PROVISÃO PARA RESCISÃO</t>
  </si>
  <si>
    <t>Provisão para Rescisão</t>
  </si>
  <si>
    <t>Aviso Prévio Indenizado</t>
  </si>
  <si>
    <t>Aviso Prévio Trabalhado</t>
  </si>
  <si>
    <t>Multa do FGTS sobre o Aviso Prévio Trabalhado</t>
  </si>
  <si>
    <t xml:space="preserve">Substituto na Cobertura de Férias 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</si>
  <si>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</si>
  <si>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</si>
  <si>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</si>
  <si>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</si>
  <si>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Tributos</t>
  </si>
  <si>
    <t>QUADRO RESUMO - CUSTO POR EMPREGADO</t>
  </si>
  <si>
    <t>MÓD.</t>
  </si>
  <si>
    <t>Mão-de-obra vinculada à execução contratual (valor por empregado)</t>
  </si>
  <si>
    <t>Valor    (R$)</t>
  </si>
  <si>
    <t>Encargos e Benefícios Anuais, Mensais e Diários</t>
  </si>
  <si>
    <t>Custo de Reposição do Profissional Ausente</t>
  </si>
  <si>
    <t>VALOR TOTAL DO EMPREGADO</t>
  </si>
  <si>
    <t>Local de Execução</t>
  </si>
  <si>
    <t>Data-Base da Categoria</t>
  </si>
  <si>
    <t>Transporte (diário)</t>
  </si>
  <si>
    <t>Auxílio-Refeição/Alimentação (diário)</t>
  </si>
  <si>
    <t>Seguro de vida e acidentes pessoais em grupo</t>
  </si>
  <si>
    <t>Exames</t>
  </si>
  <si>
    <t>A.1</t>
  </si>
  <si>
    <t>B.1</t>
  </si>
  <si>
    <t>Desconto transporte</t>
  </si>
  <si>
    <t>Desconto alimentação</t>
  </si>
  <si>
    <t>R$ / %</t>
  </si>
  <si>
    <t>Café da manhã (diário)</t>
  </si>
  <si>
    <t>ITEM</t>
  </si>
  <si>
    <t>DESCRIÇÃO</t>
  </si>
  <si>
    <t>QUANT. 
ANUAL</t>
  </si>
  <si>
    <t>litro</t>
  </si>
  <si>
    <t>un</t>
  </si>
  <si>
    <t>1</t>
  </si>
  <si>
    <t>Insumos</t>
  </si>
  <si>
    <t>Ferramentas</t>
  </si>
  <si>
    <t>EPI's</t>
  </si>
  <si>
    <t>Dados referentes ao licitante</t>
  </si>
  <si>
    <t xml:space="preserve">Razão Social: </t>
  </si>
  <si>
    <t xml:space="preserve">Endereço: </t>
  </si>
  <si>
    <t>e-mail:</t>
  </si>
  <si>
    <t>Telefone:</t>
  </si>
  <si>
    <t>Contato:</t>
  </si>
  <si>
    <t>Dados referente à Proposta</t>
  </si>
  <si>
    <t>Validade da proposta</t>
  </si>
  <si>
    <r>
      <t xml:space="preserve">CPRB </t>
    </r>
    <r>
      <rPr>
        <i/>
        <sz val="11"/>
        <rFont val="Segoe UI Light"/>
        <family val="2"/>
      </rPr>
      <t>(Somente se empresa optante pela desoneração fiscal)</t>
    </r>
  </si>
  <si>
    <t>Profissional</t>
  </si>
  <si>
    <t>Residentes</t>
  </si>
  <si>
    <t>Quant. de Postos</t>
  </si>
  <si>
    <t>Mensal</t>
  </si>
  <si>
    <t>Anual</t>
  </si>
  <si>
    <t>I</t>
  </si>
  <si>
    <t>II</t>
  </si>
  <si>
    <t>III</t>
  </si>
  <si>
    <t>IV</t>
  </si>
  <si>
    <t>V</t>
  </si>
  <si>
    <t>VI</t>
  </si>
  <si>
    <t>VII</t>
  </si>
  <si>
    <t>VIII</t>
  </si>
  <si>
    <t>QUADRO RESUMO DE MÃO DE OBRA - VALOR GLOBAL DA CONTRATAÇÃO</t>
  </si>
  <si>
    <t>CONSOLIDAÇÃO DAS PLANILHAS INDIVIDUALIZADAS DE CUSTOS E FORMAÇÃO DE PREÇO</t>
  </si>
  <si>
    <t>Descrição</t>
  </si>
  <si>
    <t>VALOR TOTAL MÃO DE OBRA</t>
  </si>
  <si>
    <t>Mão de Obra</t>
  </si>
  <si>
    <t>VALOR TOTAL DO CONTRATO</t>
  </si>
  <si>
    <t>Veículos para execução dos serviços de manutenção</t>
  </si>
  <si>
    <t>Serviços Especializados (executados sob demanda)</t>
  </si>
  <si>
    <t>Proposta desonerada</t>
  </si>
  <si>
    <t>Técnico Eletricista</t>
  </si>
  <si>
    <t>Número de dias trabalhados no mês</t>
  </si>
  <si>
    <t>9511-05</t>
  </si>
  <si>
    <t>Curso de Capacitação</t>
  </si>
  <si>
    <t>Auxiliar de Manutenção</t>
  </si>
  <si>
    <t>4110-05</t>
  </si>
  <si>
    <t>Convenção Coletiva</t>
  </si>
  <si>
    <t>Km</t>
  </si>
  <si>
    <t>VALOR DE DEPRECIAÇÃO E MANUTENÇÃO DOS VEÍCULOS PARA PRESTAÇÃO DOS SERVIÇOS</t>
  </si>
  <si>
    <t>Veículo 1:</t>
  </si>
  <si>
    <t>Valor inicial (zero km):</t>
  </si>
  <si>
    <t>Valor final (5 anos de uso):</t>
  </si>
  <si>
    <t>INTERVALO</t>
  </si>
  <si>
    <t>QUANT.</t>
  </si>
  <si>
    <t>UNID.</t>
  </si>
  <si>
    <t>V. UNIT</t>
  </si>
  <si>
    <t>V. MENSAL</t>
  </si>
  <si>
    <t>Custo de Manutenção</t>
  </si>
  <si>
    <t>h/dia</t>
  </si>
  <si>
    <t>h</t>
  </si>
  <si>
    <t>Custo de Combustível</t>
  </si>
  <si>
    <t>Km/l</t>
  </si>
  <si>
    <t>Custo de Depreciação</t>
  </si>
  <si>
    <t>mês</t>
  </si>
  <si>
    <t>Impostos sobre propriedade de veículo</t>
  </si>
  <si>
    <t>V. REFERÊNCIA</t>
  </si>
  <si>
    <t>V. ANUAL</t>
  </si>
  <si>
    <t>IPVA - ANO 1</t>
  </si>
  <si>
    <t>ano</t>
  </si>
  <si>
    <t>IPVA - ANO 2</t>
  </si>
  <si>
    <t>IPVA - ANO 3</t>
  </si>
  <si>
    <t>IPVA - ANO 4</t>
  </si>
  <si>
    <t>IPVA - ANO 5</t>
  </si>
  <si>
    <t>VALOR MÉDIO ANUAL DO IPVA (Veículo depreciado em 5 anos)</t>
  </si>
  <si>
    <t>DPVAT</t>
  </si>
  <si>
    <t>LICENCIAMENTO</t>
  </si>
  <si>
    <t>VALOR MÉDIO MENSAL DOS IMPOSTOS</t>
  </si>
  <si>
    <t>COMPOSIÇÃO AUXILIAR - CUSTO DE IMPOSTOS SOBRE PROPRIEDADE DE VEÍCULO 1</t>
  </si>
  <si>
    <t>OBSERVAÇÃO</t>
  </si>
  <si>
    <t>CUSTOS INDIRETOS, TRIBUTOS E LUCRO</t>
  </si>
  <si>
    <t>QUADRO RESUMO - CUSTO COM VEÍCULOS</t>
  </si>
  <si>
    <t>Custo direto mensal Veículo 1</t>
  </si>
  <si>
    <t>CUSTO DIRETO MENSAL VEÍCULO 1</t>
  </si>
  <si>
    <t>VALOR TOTAL VEÍCULOS</t>
  </si>
  <si>
    <t>C.4</t>
  </si>
  <si>
    <t>VALOR ANUAL</t>
  </si>
  <si>
    <t>VALOR UNITÁRIO</t>
  </si>
  <si>
    <t>UNIDADE</t>
  </si>
  <si>
    <t>-</t>
  </si>
  <si>
    <t>Custo total com veículos</t>
  </si>
  <si>
    <t>SERVIÇOS TÉCNICOS ESPECIALIZADOS (EXECUTADOS SOB DEMANDA)</t>
  </si>
  <si>
    <t>und.</t>
  </si>
  <si>
    <t>QUADRO RESUMO - CUSTO SERVIÇOS TÉCNICOS ESPECIALIZADOS (EXECUTADOS SOB DEMANDA)</t>
  </si>
  <si>
    <t>VALOR TOTAL SERVIÇOS TÉCNICOS ESPECIALIZADOS (EXECUTADOS SOB DEMANDA)</t>
  </si>
  <si>
    <t>Custo total de Serviços Técnicos Especializados</t>
  </si>
  <si>
    <t>Custo direto de Serviços Técnicos Especializados</t>
  </si>
  <si>
    <t>SERVIÇOS TÉCNICOS ESPECIALIZADOS</t>
  </si>
  <si>
    <t>XX/XX/2022</t>
  </si>
  <si>
    <t>Manutenção preventiva e corretiva dos sistemas e equipamentos autônomos de Ar Condicionado nos Edifícios do MPDFT</t>
  </si>
  <si>
    <t>2144-05</t>
  </si>
  <si>
    <t>3003-05</t>
  </si>
  <si>
    <t>9112-05</t>
  </si>
  <si>
    <t>3172-05</t>
  </si>
  <si>
    <t>5143-10</t>
  </si>
  <si>
    <t>Assistente Administrativo</t>
  </si>
  <si>
    <t>Veículo Popular - Referência - FIAT - MOBI EASY 1.0 Fire Flex 5p</t>
  </si>
  <si>
    <t>sv</t>
  </si>
  <si>
    <t>Serviço de rebobinamento e envernizamento de motores elétricos</t>
  </si>
  <si>
    <t>h/h</t>
  </si>
  <si>
    <t>Serviço de coleta e análise gravimétrico para dutos</t>
  </si>
  <si>
    <t>Serviço especializado de varetamento do trocador de calor do Chiller</t>
  </si>
  <si>
    <t>Serviço especializado laboratorial de análises de óleo</t>
  </si>
  <si>
    <t>Serviço especializado em dutos de ar ou acessórios</t>
  </si>
  <si>
    <t>Serviço especializado de usinagem em geral</t>
  </si>
  <si>
    <t>Serviço especializado de comissionamento de chiller</t>
  </si>
  <si>
    <t>Serviço especializado de Comissionamento anual do representante do fabricante com emissão de relatório para conjunto de condensadoras de sistema VRF SET FREE e chillers modulares RCU do MPDFT, c/ CSNET WEB (56 condensadoras e 2 conjuntos de 3 módulos RCU inverter e 5 RCU/'s convencionais de chiller modular).</t>
  </si>
  <si>
    <t>Mão de obra para execução de serviço especializado de instalação e remanejamento de splits</t>
  </si>
  <si>
    <t>Mão de obra para execução de serviço especializado de instalação e remanejamento de fancoletes hidrônicos ou evaporadora VRF</t>
  </si>
  <si>
    <t>Engenheiro Mecânico Pleno</t>
  </si>
  <si>
    <t>Encarregado Manutenção Mecânica</t>
  </si>
  <si>
    <t>9101-05</t>
  </si>
  <si>
    <t>Técnico em Eletromecânica</t>
  </si>
  <si>
    <t>Técnico Mecânico</t>
  </si>
  <si>
    <t>Operador de Computador</t>
  </si>
  <si>
    <t>* Cálculos realizados com base no histórico de deslocamento do ano de 2019.</t>
  </si>
  <si>
    <t>Peças e acessórios autorizados sob demanda (Termo de Referência - Item 16.9)</t>
  </si>
  <si>
    <t>08191.045625/2022-26</t>
  </si>
  <si>
    <t>BPR</t>
  </si>
  <si>
    <t>Benefícios pagos por ressarcimento</t>
  </si>
  <si>
    <t>Q. Postos</t>
  </si>
  <si>
    <t>BPR.1</t>
  </si>
  <si>
    <t>BPR.2</t>
  </si>
  <si>
    <t>Sinduscon / Sticombe - 05/2023 - 2º TA</t>
  </si>
  <si>
    <t>Sinduscon / Senge - 05/2021</t>
  </si>
  <si>
    <t>SIM</t>
  </si>
  <si>
    <t>XX/2022</t>
  </si>
  <si>
    <t>xx dias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</si>
</sst>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(&quot;R$ &quot;* #,##0.00_);_(&quot;R$ &quot;* \(#,##0.00\);_(&quot;R$ &quot;* &quot;-&quot;??_);_(@_)"/>
    <numFmt numFmtId="166" formatCode="&quot;R$&quot;\ #,##0.00"/>
    <numFmt numFmtId="167" formatCode="_-* #,##0.0000_-;\-* #,##0.0000_-;_-* &quot;-&quot;??_-;_-@_-"/>
  </numFmts>
  <fonts count="43">
    <font>
      <sz val="11"/>
      <color indexed="8"/>
      <name val="Calibri"/>
      <family val="2"/>
    </font>
    <font>
      <sz val="8"/>
      <name val="Segoe UI Light"/>
      <family val="2"/>
    </font>
    <font>
      <b/>
      <sz val="16"/>
      <color indexed="60"/>
      <name val="Segoe UI Light"/>
      <family val="2"/>
    </font>
    <font>
      <b/>
      <sz val="11"/>
      <color indexed="9"/>
      <name val="Segoe UI Light"/>
      <family val="2"/>
    </font>
    <font>
      <sz val="11"/>
      <name val="Segoe UI Light"/>
      <family val="2"/>
    </font>
    <font>
      <b/>
      <sz val="11"/>
      <name val="Segoe UI Light"/>
      <family val="2"/>
    </font>
    <font>
      <b/>
      <sz val="11"/>
      <color indexed="60"/>
      <name val="Segoe UI Light"/>
      <family val="2"/>
    </font>
    <font>
      <sz val="11"/>
      <color indexed="10"/>
      <name val="Segoe UI Light"/>
      <family val="2"/>
    </font>
    <font>
      <i/>
      <sz val="10"/>
      <color indexed="9"/>
      <name val="Segoe UI Light"/>
      <family val="2"/>
    </font>
    <font>
      <sz val="10"/>
      <name val="Arial"/>
      <family val="2"/>
    </font>
    <font>
      <i/>
      <sz val="10"/>
      <name val="Segoe UI Light"/>
      <family val="2"/>
    </font>
    <font>
      <b/>
      <sz val="14"/>
      <color indexed="60"/>
      <name val="Segoe UI Light"/>
      <family val="2"/>
    </font>
    <font>
      <b/>
      <i/>
      <sz val="11"/>
      <color indexed="9"/>
      <name val="Segoe UI Light"/>
      <family val="2"/>
    </font>
    <font>
      <i/>
      <sz val="11"/>
      <name val="Segoe UI Light"/>
      <family val="2"/>
    </font>
    <font>
      <b/>
      <sz val="7"/>
      <color indexed="9"/>
      <name val="Segoe UI Light"/>
      <family val="2"/>
    </font>
    <font>
      <sz val="7"/>
      <name val="Segoe UI Light"/>
      <family val="2"/>
    </font>
    <font>
      <sz val="7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53"/>
      <name val="Segoe UI Light"/>
      <family val="2"/>
    </font>
    <font>
      <b/>
      <sz val="11"/>
      <color indexed="8"/>
      <name val="Segoe UI Light"/>
      <family val="2"/>
    </font>
    <font>
      <b/>
      <sz val="11"/>
      <color indexed="23"/>
      <name val="Segoe UI Light"/>
      <family val="2"/>
    </font>
    <font>
      <sz val="9"/>
      <color indexed="63"/>
      <name val="Arial"/>
      <family val="2"/>
    </font>
    <font>
      <sz val="9"/>
      <name val="Segoe UI"/>
      <family val="0"/>
    </font>
    <font>
      <b/>
      <sz val="9"/>
      <name val="Segoe UI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12" borderId="0" applyNumberFormat="0" applyBorder="0" applyAlignment="0" applyProtection="0"/>
    <xf numFmtId="0" fontId="30" fillId="7" borderId="0" applyNumberFormat="0" applyBorder="0" applyAlignment="0" applyProtection="0"/>
    <xf numFmtId="0" fontId="35" fillId="9" borderId="1" applyNumberFormat="0" applyAlignment="0" applyProtection="0"/>
    <xf numFmtId="0" fontId="37" fillId="13" borderId="2" applyNumberFormat="0" applyAlignment="0" applyProtection="0"/>
    <xf numFmtId="0" fontId="36" fillId="0" borderId="3" applyNumberFormat="0" applyFill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33" fillId="3" borderId="1" applyNumberFormat="0" applyAlignment="0" applyProtection="0"/>
    <xf numFmtId="0" fontId="31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9" fillId="0" borderId="0" applyFill="0" applyBorder="0" applyAlignment="0" applyProtection="0"/>
    <xf numFmtId="0" fontId="32" fillId="1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ill="0" applyBorder="0" applyAlignment="0" applyProtection="0"/>
    <xf numFmtId="0" fontId="34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9" fillId="0" borderId="0" applyFill="0" applyBorder="0" applyAlignment="0" applyProtection="0"/>
  </cellStyleXfs>
  <cellXfs count="191">
    <xf numFmtId="0" fontId="0" fillId="0" borderId="0" xfId="0" applyAlignment="1">
      <alignment/>
    </xf>
    <xf numFmtId="39" fontId="4" fillId="15" borderId="4" xfId="0" applyNumberFormat="1" applyFont="1" applyFill="1" applyBorder="1" applyAlignment="1" applyProtection="1">
      <alignment horizontal="right" vertical="center" wrapText="1"/>
      <protection locked="0"/>
    </xf>
    <xf numFmtId="4" fontId="4" fillId="15" borderId="4" xfId="0" applyNumberFormat="1" applyFont="1" applyFill="1" applyBorder="1" applyAlignment="1" applyProtection="1">
      <alignment horizontal="right" vertical="center" wrapText="1"/>
      <protection locked="0"/>
    </xf>
    <xf numFmtId="14" fontId="4" fillId="18" borderId="4" xfId="0" applyNumberFormat="1" applyFont="1" applyFill="1" applyBorder="1" applyAlignment="1" applyProtection="1">
      <alignment horizontal="center"/>
      <protection locked="0"/>
    </xf>
    <xf numFmtId="4" fontId="4" fillId="18" borderId="4" xfId="0" applyNumberFormat="1" applyFont="1" applyFill="1" applyBorder="1" applyAlignment="1" applyProtection="1">
      <alignment horizontal="center" vertical="center" wrapText="1"/>
      <protection locked="0"/>
    </xf>
    <xf numFmtId="4" fontId="4" fillId="18" borderId="4" xfId="0" applyNumberFormat="1" applyFont="1" applyFill="1" applyBorder="1" applyAlignment="1" applyProtection="1">
      <alignment vertical="center" wrapText="1"/>
      <protection locked="0"/>
    </xf>
    <xf numFmtId="4" fontId="4" fillId="15" borderId="4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0" xfId="47" applyFont="1" applyFill="1" applyBorder="1" applyAlignment="1" applyProtection="1">
      <alignment vertical="center" wrapText="1"/>
      <protection/>
    </xf>
    <xf numFmtId="0" fontId="4" fillId="18" borderId="4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1" fillId="19" borderId="0" xfId="0" applyFont="1" applyFill="1" applyAlignment="1" applyProtection="1">
      <alignment/>
      <protection/>
    </xf>
    <xf numFmtId="0" fontId="5" fillId="19" borderId="0" xfId="0" applyFont="1" applyFill="1" applyAlignment="1" applyProtection="1">
      <alignment/>
      <protection/>
    </xf>
    <xf numFmtId="0" fontId="5" fillId="19" borderId="0" xfId="0" applyFont="1" applyFill="1" applyAlignment="1" applyProtection="1">
      <alignment horizontal="left"/>
      <protection/>
    </xf>
    <xf numFmtId="49" fontId="4" fillId="19" borderId="0" xfId="0" applyNumberFormat="1" applyFont="1" applyFill="1" applyAlignment="1" applyProtection="1">
      <alignment horizontal="center"/>
      <protection/>
    </xf>
    <xf numFmtId="0" fontId="3" fillId="15" borderId="4" xfId="0" applyFont="1" applyFill="1" applyBorder="1" applyAlignment="1" applyProtection="1">
      <alignment horizontal="center"/>
      <protection/>
    </xf>
    <xf numFmtId="0" fontId="3" fillId="15" borderId="4" xfId="0" applyFont="1" applyFill="1" applyBorder="1" applyAlignment="1" applyProtection="1">
      <alignment horizontal="center" vertical="center"/>
      <protection/>
    </xf>
    <xf numFmtId="0" fontId="4" fillId="20" borderId="4" xfId="0" applyFont="1" applyFill="1" applyBorder="1" applyAlignment="1" applyProtection="1">
      <alignment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15" borderId="4" xfId="0" applyFont="1" applyFill="1" applyBorder="1" applyAlignment="1" applyProtection="1">
      <alignment horizontal="center" vertical="center" wrapText="1"/>
      <protection/>
    </xf>
    <xf numFmtId="0" fontId="4" fillId="4" borderId="0" xfId="0" applyFont="1" applyFill="1" applyAlignment="1" applyProtection="1">
      <alignment horizontal="center"/>
      <protection/>
    </xf>
    <xf numFmtId="0" fontId="4" fillId="20" borderId="4" xfId="0" applyFont="1" applyFill="1" applyBorder="1" applyAlignment="1" applyProtection="1">
      <alignment horizontal="justify"/>
      <protection/>
    </xf>
    <xf numFmtId="0" fontId="3" fillId="21" borderId="4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4" fillId="20" borderId="4" xfId="0" applyFont="1" applyFill="1" applyBorder="1" applyAlignment="1" applyProtection="1">
      <alignment horizontal="center" vertical="center" wrapText="1"/>
      <protection/>
    </xf>
    <xf numFmtId="4" fontId="4" fillId="20" borderId="4" xfId="0" applyNumberFormat="1" applyFont="1" applyFill="1" applyBorder="1" applyAlignment="1" applyProtection="1">
      <alignment vertical="center" wrapText="1"/>
      <protection/>
    </xf>
    <xf numFmtId="0" fontId="8" fillId="15" borderId="4" xfId="0" applyFont="1" applyFill="1" applyBorder="1" applyAlignment="1" applyProtection="1">
      <alignment horizontal="center" vertical="center" wrapText="1"/>
      <protection/>
    </xf>
    <xf numFmtId="0" fontId="4" fillId="20" borderId="4" xfId="0" applyNumberFormat="1" applyFont="1" applyFill="1" applyBorder="1" applyAlignment="1" applyProtection="1">
      <alignment horizontal="left" vertical="center" wrapText="1"/>
      <protection/>
    </xf>
    <xf numFmtId="4" fontId="4" fillId="20" borderId="4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center"/>
      <protection/>
    </xf>
    <xf numFmtId="4" fontId="3" fillId="15" borderId="4" xfId="0" applyNumberFormat="1" applyFont="1" applyFill="1" applyBorder="1" applyAlignment="1" applyProtection="1">
      <alignment horizontal="center"/>
      <protection/>
    </xf>
    <xf numFmtId="43" fontId="0" fillId="0" borderId="0" xfId="55" applyFont="1" applyAlignment="1" applyProtection="1">
      <alignment/>
      <protection/>
    </xf>
    <xf numFmtId="0" fontId="4" fillId="20" borderId="4" xfId="0" applyNumberFormat="1" applyFont="1" applyFill="1" applyBorder="1" applyAlignment="1" applyProtection="1">
      <alignment vertical="center" wrapText="1"/>
      <protection/>
    </xf>
    <xf numFmtId="10" fontId="4" fillId="20" borderId="4" xfId="52" applyNumberFormat="1" applyFont="1" applyFill="1" applyBorder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/>
      <protection/>
    </xf>
    <xf numFmtId="0" fontId="4" fillId="20" borderId="4" xfId="0" applyFont="1" applyFill="1" applyBorder="1" applyAlignment="1">
      <alignment horizontal="center"/>
    </xf>
    <xf numFmtId="49" fontId="4" fillId="20" borderId="4" xfId="0" applyNumberFormat="1" applyFont="1" applyFill="1" applyBorder="1" applyAlignment="1">
      <alignment horizontal="justify" vertical="center" wrapText="1"/>
    </xf>
    <xf numFmtId="0" fontId="4" fillId="20" borderId="4" xfId="0" applyFont="1" applyFill="1" applyBorder="1" applyAlignment="1">
      <alignment horizontal="center" vertical="center" wrapText="1"/>
    </xf>
    <xf numFmtId="2" fontId="4" fillId="15" borderId="4" xfId="0" applyNumberFormat="1" applyFont="1" applyFill="1" applyBorder="1" applyAlignment="1" applyProtection="1">
      <alignment horizontal="center" vertical="center" wrapText="1"/>
      <protection locked="0"/>
    </xf>
    <xf numFmtId="10" fontId="13" fillId="15" borderId="4" xfId="52" applyNumberFormat="1" applyFont="1" applyFill="1" applyBorder="1" applyAlignment="1" applyProtection="1">
      <alignment horizontal="center" vertical="center" wrapText="1"/>
      <protection locked="0"/>
    </xf>
    <xf numFmtId="39" fontId="4" fillId="15" borderId="4" xfId="0" applyNumberFormat="1" applyFont="1" applyFill="1" applyBorder="1" applyAlignment="1" applyProtection="1">
      <alignment vertical="center" wrapText="1"/>
      <protection locked="0"/>
    </xf>
    <xf numFmtId="0" fontId="4" fillId="3" borderId="4" xfId="0" applyFont="1" applyFill="1" applyBorder="1" applyAlignment="1" applyProtection="1">
      <alignment/>
      <protection/>
    </xf>
    <xf numFmtId="39" fontId="4" fillId="3" borderId="4" xfId="0" applyNumberFormat="1" applyFont="1" applyFill="1" applyBorder="1" applyAlignment="1" applyProtection="1">
      <alignment horizontal="right" vertical="center" wrapText="1"/>
      <protection/>
    </xf>
    <xf numFmtId="0" fontId="14" fillId="4" borderId="0" xfId="0" applyFont="1" applyFill="1" applyAlignment="1" applyProtection="1">
      <alignment horizontal="center"/>
      <protection/>
    </xf>
    <xf numFmtId="0" fontId="15" fillId="4" borderId="0" xfId="0" applyFont="1" applyFill="1" applyAlignment="1" applyProtection="1">
      <alignment horizontal="left"/>
      <protection/>
    </xf>
    <xf numFmtId="14" fontId="15" fillId="19" borderId="0" xfId="0" applyNumberFormat="1" applyFont="1" applyFill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  <xf numFmtId="0" fontId="6" fillId="4" borderId="0" xfId="0" applyFont="1" applyFill="1" applyAlignment="1" applyProtection="1">
      <alignment horizontal="left"/>
      <protection/>
    </xf>
    <xf numFmtId="0" fontId="4" fillId="19" borderId="0" xfId="0" applyFont="1" applyFill="1" applyAlignment="1" applyProtection="1">
      <alignment/>
      <protection/>
    </xf>
    <xf numFmtId="39" fontId="4" fillId="4" borderId="0" xfId="0" applyNumberFormat="1" applyFont="1" applyFill="1" applyAlignment="1" applyProtection="1">
      <alignment horizontal="right"/>
      <protection/>
    </xf>
    <xf numFmtId="0" fontId="4" fillId="3" borderId="4" xfId="0" applyFont="1" applyFill="1" applyBorder="1" applyAlignment="1" applyProtection="1">
      <alignment horizontal="center"/>
      <protection/>
    </xf>
    <xf numFmtId="4" fontId="3" fillId="22" borderId="4" xfId="0" applyNumberFormat="1" applyFont="1" applyFill="1" applyBorder="1" applyAlignment="1" applyProtection="1">
      <alignment horizontal="right" vertical="center" wrapText="1"/>
      <protection/>
    </xf>
    <xf numFmtId="39" fontId="4" fillId="4" borderId="0" xfId="0" applyNumberFormat="1" applyFont="1" applyFill="1" applyAlignment="1" applyProtection="1">
      <alignment horizontal="center"/>
      <protection/>
    </xf>
    <xf numFmtId="0" fontId="5" fillId="4" borderId="0" xfId="0" applyFont="1" applyFill="1" applyAlignment="1" applyProtection="1">
      <alignment horizontal="left" vertical="center" wrapText="1"/>
      <protection/>
    </xf>
    <xf numFmtId="0" fontId="5" fillId="4" borderId="0" xfId="0" applyFont="1" applyFill="1" applyAlignment="1" applyProtection="1">
      <alignment horizontal="center" vertical="center" wrapText="1"/>
      <protection/>
    </xf>
    <xf numFmtId="39" fontId="4" fillId="3" borderId="11" xfId="0" applyNumberFormat="1" applyFont="1" applyFill="1" applyBorder="1" applyAlignment="1" applyProtection="1">
      <alignment horizontal="justify" vertical="center" wrapText="1"/>
      <protection/>
    </xf>
    <xf numFmtId="0" fontId="4" fillId="3" borderId="12" xfId="0" applyFont="1" applyFill="1" applyBorder="1" applyAlignment="1" applyProtection="1">
      <alignment horizontal="justify" vertical="center" wrapText="1"/>
      <protection/>
    </xf>
    <xf numFmtId="0" fontId="4" fillId="3" borderId="11" xfId="0" applyFont="1" applyFill="1" applyBorder="1" applyAlignment="1" applyProtection="1">
      <alignment horizontal="justify" vertical="center" wrapText="1"/>
      <protection/>
    </xf>
    <xf numFmtId="0" fontId="3" fillId="15" borderId="4" xfId="0" applyFont="1" applyFill="1" applyBorder="1" applyAlignment="1" applyProtection="1">
      <alignment horizontal="justify" vertical="center" wrapText="1"/>
      <protection/>
    </xf>
    <xf numFmtId="0" fontId="3" fillId="15" borderId="4" xfId="0" applyFont="1" applyFill="1" applyBorder="1" applyAlignment="1" applyProtection="1">
      <alignment vertical="center"/>
      <protection/>
    </xf>
    <xf numFmtId="39" fontId="5" fillId="4" borderId="0" xfId="0" applyNumberFormat="1" applyFont="1" applyFill="1" applyAlignment="1" applyProtection="1">
      <alignment horizontal="center" vertical="center" wrapText="1"/>
      <protection/>
    </xf>
    <xf numFmtId="2" fontId="4" fillId="3" borderId="4" xfId="0" applyNumberFormat="1" applyFont="1" applyFill="1" applyBorder="1" applyAlignment="1" applyProtection="1">
      <alignment horizontal="center" vertical="center"/>
      <protection/>
    </xf>
    <xf numFmtId="4" fontId="3" fillId="15" borderId="4" xfId="0" applyNumberFormat="1" applyFont="1" applyFill="1" applyBorder="1" applyAlignment="1" applyProtection="1">
      <alignment horizontal="right"/>
      <protection/>
    </xf>
    <xf numFmtId="2" fontId="4" fillId="3" borderId="4" xfId="0" applyNumberFormat="1" applyFont="1" applyFill="1" applyBorder="1" applyAlignment="1" applyProtection="1">
      <alignment horizontal="center"/>
      <protection/>
    </xf>
    <xf numFmtId="4" fontId="3" fillId="15" borderId="4" xfId="0" applyNumberFormat="1" applyFont="1" applyFill="1" applyBorder="1" applyAlignment="1" applyProtection="1">
      <alignment horizontal="center" vertical="center"/>
      <protection/>
    </xf>
    <xf numFmtId="4" fontId="3" fillId="15" borderId="4" xfId="0" applyNumberFormat="1" applyFont="1" applyFill="1" applyBorder="1" applyAlignment="1" applyProtection="1">
      <alignment horizontal="right" vertical="center"/>
      <protection/>
    </xf>
    <xf numFmtId="0" fontId="12" fillId="15" borderId="4" xfId="0" applyFont="1" applyFill="1" applyBorder="1" applyAlignment="1" applyProtection="1">
      <alignment horizontal="center" vertical="center"/>
      <protection/>
    </xf>
    <xf numFmtId="2" fontId="13" fillId="3" borderId="4" xfId="0" applyNumberFormat="1" applyFont="1" applyFill="1" applyBorder="1" applyAlignment="1" applyProtection="1">
      <alignment vertical="center" wrapText="1"/>
      <protection/>
    </xf>
    <xf numFmtId="37" fontId="4" fillId="3" borderId="4" xfId="0" applyNumberFormat="1" applyFont="1" applyFill="1" applyBorder="1" applyAlignment="1" applyProtection="1">
      <alignment horizontal="right" vertical="center" wrapText="1"/>
      <protection/>
    </xf>
    <xf numFmtId="2" fontId="4" fillId="3" borderId="4" xfId="0" applyNumberFormat="1" applyFont="1" applyFill="1" applyBorder="1" applyAlignment="1" applyProtection="1">
      <alignment vertical="center" wrapText="1"/>
      <protection/>
    </xf>
    <xf numFmtId="0" fontId="7" fillId="4" borderId="0" xfId="0" applyFont="1" applyFill="1" applyAlignment="1" applyProtection="1">
      <alignment/>
      <protection/>
    </xf>
    <xf numFmtId="2" fontId="4" fillId="3" borderId="4" xfId="0" applyNumberFormat="1" applyFont="1" applyFill="1" applyBorder="1" applyAlignment="1" applyProtection="1">
      <alignment horizontal="center" vertical="center" wrapText="1"/>
      <protection/>
    </xf>
    <xf numFmtId="39" fontId="4" fillId="3" borderId="4" xfId="0" applyNumberFormat="1" applyFont="1" applyFill="1" applyBorder="1" applyAlignment="1" applyProtection="1">
      <alignment horizontal="center" vertical="center" wrapText="1"/>
      <protection/>
    </xf>
    <xf numFmtId="2" fontId="10" fillId="3" borderId="4" xfId="0" applyNumberFormat="1" applyFont="1" applyFill="1" applyBorder="1" applyAlignment="1" applyProtection="1">
      <alignment horizontal="center" vertical="center" wrapText="1"/>
      <protection/>
    </xf>
    <xf numFmtId="39" fontId="10" fillId="3" borderId="4" xfId="0" applyNumberFormat="1" applyFont="1" applyFill="1" applyBorder="1" applyAlignment="1" applyProtection="1">
      <alignment horizontal="right" vertical="center" wrapText="1"/>
      <protection/>
    </xf>
    <xf numFmtId="39" fontId="3" fillId="15" borderId="4" xfId="0" applyNumberFormat="1" applyFont="1" applyFill="1" applyBorder="1" applyAlignment="1" applyProtection="1">
      <alignment horizontal="right" vertical="center" wrapText="1"/>
      <protection/>
    </xf>
    <xf numFmtId="0" fontId="11" fillId="4" borderId="0" xfId="0" applyFont="1" applyFill="1" applyAlignment="1" applyProtection="1">
      <alignment horizontal="left" vertical="center"/>
      <protection/>
    </xf>
    <xf numFmtId="0" fontId="4" fillId="4" borderId="0" xfId="0" applyFont="1" applyFill="1" applyAlignment="1" applyProtection="1">
      <alignment horizontal="left" vertical="center" wrapText="1"/>
      <protection/>
    </xf>
    <xf numFmtId="39" fontId="4" fillId="4" borderId="0" xfId="0" applyNumberFormat="1" applyFont="1" applyFill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44" fontId="4" fillId="3" borderId="12" xfId="45" applyFont="1" applyFill="1" applyBorder="1" applyAlignment="1" applyProtection="1">
      <alignment vertical="center" wrapText="1"/>
      <protection/>
    </xf>
    <xf numFmtId="44" fontId="4" fillId="15" borderId="4" xfId="45" applyFont="1" applyFill="1" applyBorder="1" applyAlignment="1" applyProtection="1">
      <alignment horizontal="right" vertical="center" wrapText="1"/>
      <protection locked="0"/>
    </xf>
    <xf numFmtId="0" fontId="18" fillId="0" borderId="0" xfId="49" applyFont="1" applyProtection="1">
      <alignment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44" fontId="3" fillId="21" borderId="12" xfId="45" applyFont="1" applyFill="1" applyBorder="1" applyAlignment="1" applyProtection="1">
      <alignment vertical="center" wrapText="1"/>
      <protection/>
    </xf>
    <xf numFmtId="0" fontId="3" fillId="15" borderId="4" xfId="0" applyFont="1" applyFill="1" applyBorder="1" applyAlignment="1" applyProtection="1" quotePrefix="1">
      <alignment horizontal="center" vertical="center"/>
      <protection/>
    </xf>
    <xf numFmtId="0" fontId="4" fillId="3" borderId="4" xfId="0" applyFont="1" applyFill="1" applyBorder="1" applyAlignment="1" applyProtection="1">
      <alignment horizontal="justify" vertical="center"/>
      <protection/>
    </xf>
    <xf numFmtId="0" fontId="4" fillId="3" borderId="4" xfId="0" applyFont="1" applyFill="1" applyBorder="1" applyAlignment="1" applyProtection="1">
      <alignment horizontal="center" vertical="center"/>
      <protection/>
    </xf>
    <xf numFmtId="0" fontId="4" fillId="3" borderId="4" xfId="0" applyFont="1" applyFill="1" applyBorder="1" applyAlignment="1" applyProtection="1">
      <alignment vertical="center" wrapText="1"/>
      <protection/>
    </xf>
    <xf numFmtId="0" fontId="3" fillId="21" borderId="12" xfId="0" applyFont="1" applyFill="1" applyBorder="1" applyAlignment="1" applyProtection="1">
      <alignment horizontal="justify" vertical="center" wrapText="1"/>
      <protection/>
    </xf>
    <xf numFmtId="0" fontId="3" fillId="21" borderId="11" xfId="0" applyFont="1" applyFill="1" applyBorder="1" applyAlignment="1" applyProtection="1">
      <alignment horizontal="justify" vertical="center" wrapText="1"/>
      <protection/>
    </xf>
    <xf numFmtId="39" fontId="4" fillId="3" borderId="12" xfId="0" applyNumberFormat="1" applyFont="1" applyFill="1" applyBorder="1" applyAlignment="1" applyProtection="1">
      <alignment horizontal="justify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/>
      <protection/>
    </xf>
    <xf numFmtId="44" fontId="4" fillId="3" borderId="4" xfId="45" applyFont="1" applyFill="1" applyBorder="1" applyAlignment="1" applyProtection="1">
      <alignment horizontal="right" vertical="center" wrapText="1"/>
      <protection/>
    </xf>
    <xf numFmtId="0" fontId="18" fillId="0" borderId="0" xfId="49" applyFont="1" applyAlignment="1" applyProtection="1">
      <alignment vertical="center"/>
      <protection/>
    </xf>
    <xf numFmtId="0" fontId="1" fillId="0" borderId="0" xfId="50" applyFont="1" applyProtection="1">
      <alignment/>
      <protection/>
    </xf>
    <xf numFmtId="0" fontId="3" fillId="15" borderId="12" xfId="0" applyFont="1" applyFill="1" applyBorder="1" applyAlignment="1" applyProtection="1">
      <alignment vertical="center"/>
      <protection/>
    </xf>
    <xf numFmtId="0" fontId="3" fillId="15" borderId="13" xfId="0" applyFont="1" applyFill="1" applyBorder="1" applyAlignment="1" applyProtection="1">
      <alignment vertical="center"/>
      <protection/>
    </xf>
    <xf numFmtId="0" fontId="3" fillId="15" borderId="4" xfId="0" applyFont="1" applyFill="1" applyBorder="1" applyAlignment="1" applyProtection="1">
      <alignment vertical="center"/>
      <protection/>
    </xf>
    <xf numFmtId="0" fontId="4" fillId="3" borderId="12" xfId="0" applyFont="1" applyFill="1" applyBorder="1" applyAlignment="1" applyProtection="1">
      <alignment wrapText="1"/>
      <protection/>
    </xf>
    <xf numFmtId="0" fontId="4" fillId="3" borderId="13" xfId="0" applyFont="1" applyFill="1" applyBorder="1" applyAlignment="1" applyProtection="1">
      <alignment wrapText="1"/>
      <protection/>
    </xf>
    <xf numFmtId="0" fontId="4" fillId="3" borderId="11" xfId="0" applyFont="1" applyFill="1" applyBorder="1" applyAlignment="1" applyProtection="1">
      <alignment wrapText="1"/>
      <protection/>
    </xf>
    <xf numFmtId="0" fontId="4" fillId="3" borderId="12" xfId="0" applyFont="1" applyFill="1" applyBorder="1" applyAlignment="1" applyProtection="1">
      <alignment vertical="center" wrapText="1"/>
      <protection/>
    </xf>
    <xf numFmtId="0" fontId="4" fillId="3" borderId="13" xfId="0" applyFont="1" applyFill="1" applyBorder="1" applyAlignment="1" applyProtection="1">
      <alignment vertical="center" wrapText="1"/>
      <protection/>
    </xf>
    <xf numFmtId="0" fontId="4" fillId="3" borderId="11" xfId="0" applyFont="1" applyFill="1" applyBorder="1" applyAlignment="1" applyProtection="1">
      <alignment vertical="center" wrapText="1"/>
      <protection/>
    </xf>
    <xf numFmtId="4" fontId="21" fillId="0" borderId="0" xfId="50" applyNumberFormat="1" applyFont="1" applyAlignment="1" applyProtection="1">
      <alignment horizontal="center" vertical="top" wrapText="1"/>
      <protection/>
    </xf>
    <xf numFmtId="0" fontId="4" fillId="0" borderId="0" xfId="50" applyFont="1" applyProtection="1">
      <alignment/>
      <protection/>
    </xf>
    <xf numFmtId="4" fontId="4" fillId="3" borderId="4" xfId="0" applyNumberFormat="1" applyFont="1" applyFill="1" applyBorder="1" applyAlignment="1" applyProtection="1">
      <alignment horizontal="center" vertical="center"/>
      <protection/>
    </xf>
    <xf numFmtId="44" fontId="4" fillId="3" borderId="4" xfId="45" applyFont="1" applyFill="1" applyBorder="1" applyAlignment="1" applyProtection="1">
      <alignment horizontal="center" vertical="center"/>
      <protection/>
    </xf>
    <xf numFmtId="43" fontId="4" fillId="0" borderId="0" xfId="50" applyNumberFormat="1" applyFont="1" applyProtection="1">
      <alignment/>
      <protection/>
    </xf>
    <xf numFmtId="44" fontId="3" fillId="22" borderId="4" xfId="45" applyFont="1" applyFill="1" applyBorder="1" applyAlignment="1" applyProtection="1">
      <alignment horizontal="right" vertical="center" wrapText="1"/>
      <protection/>
    </xf>
    <xf numFmtId="4" fontId="21" fillId="0" borderId="10" xfId="50" applyNumberFormat="1" applyFont="1" applyBorder="1" applyAlignment="1" applyProtection="1">
      <alignment vertical="center" wrapText="1"/>
      <protection/>
    </xf>
    <xf numFmtId="4" fontId="21" fillId="0" borderId="10" xfId="50" applyNumberFormat="1" applyFont="1" applyBorder="1" applyAlignment="1" applyProtection="1">
      <alignment horizontal="right" vertical="center" wrapText="1"/>
      <protection/>
    </xf>
    <xf numFmtId="0" fontId="6" fillId="4" borderId="14" xfId="0" applyFont="1" applyFill="1" applyBorder="1" applyAlignment="1" applyProtection="1">
      <alignment horizontal="left"/>
      <protection/>
    </xf>
    <xf numFmtId="4" fontId="21" fillId="0" borderId="14" xfId="50" applyNumberFormat="1" applyFont="1" applyBorder="1" applyAlignment="1" applyProtection="1">
      <alignment vertical="center" wrapText="1"/>
      <protection/>
    </xf>
    <xf numFmtId="44" fontId="13" fillId="3" borderId="4" xfId="45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50" applyFont="1" applyFill="1" applyBorder="1" applyProtection="1">
      <alignment/>
      <protection/>
    </xf>
    <xf numFmtId="39" fontId="4" fillId="3" borderId="4" xfId="0" applyNumberFormat="1" applyFont="1" applyFill="1" applyBorder="1" applyAlignment="1" applyProtection="1">
      <alignment vertical="center" wrapText="1"/>
      <protection/>
    </xf>
    <xf numFmtId="0" fontId="10" fillId="3" borderId="4" xfId="0" applyFont="1" applyFill="1" applyBorder="1" applyAlignment="1" applyProtection="1">
      <alignment horizontal="left" vertical="center" wrapText="1" indent="1"/>
      <protection/>
    </xf>
    <xf numFmtId="0" fontId="13" fillId="3" borderId="12" xfId="0" applyFont="1" applyFill="1" applyBorder="1" applyAlignment="1" applyProtection="1">
      <alignment horizontal="justify"/>
      <protection/>
    </xf>
    <xf numFmtId="0" fontId="13" fillId="3" borderId="11" xfId="0" applyFont="1" applyFill="1" applyBorder="1" applyAlignment="1" applyProtection="1">
      <alignment horizontal="justify"/>
      <protection/>
    </xf>
    <xf numFmtId="0" fontId="4" fillId="3" borderId="12" xfId="0" applyFont="1" applyFill="1" applyBorder="1" applyAlignment="1" applyProtection="1">
      <alignment horizontal="justify"/>
      <protection/>
    </xf>
    <xf numFmtId="0" fontId="4" fillId="3" borderId="11" xfId="0" applyFont="1" applyFill="1" applyBorder="1" applyAlignment="1" applyProtection="1">
      <alignment horizontal="justify"/>
      <protection/>
    </xf>
    <xf numFmtId="0" fontId="3" fillId="0" borderId="0" xfId="0" applyFont="1" applyFill="1" applyBorder="1" applyAlignment="1" applyProtection="1">
      <alignment vertical="center"/>
      <protection/>
    </xf>
    <xf numFmtId="44" fontId="3" fillId="0" borderId="0" xfId="45" applyFont="1" applyFill="1" applyBorder="1" applyAlignment="1" applyProtection="1">
      <alignment horizontal="right" vertical="center" wrapText="1"/>
      <protection/>
    </xf>
    <xf numFmtId="0" fontId="22" fillId="0" borderId="4" xfId="0" applyFont="1" applyBorder="1" applyAlignment="1" applyProtection="1">
      <alignment horizontal="center" vertical="center"/>
      <protection/>
    </xf>
    <xf numFmtId="0" fontId="5" fillId="0" borderId="0" xfId="50" applyFont="1" applyProtection="1">
      <alignment/>
      <protection/>
    </xf>
    <xf numFmtId="0" fontId="4" fillId="0" borderId="0" xfId="50" applyFont="1" applyBorder="1" applyProtection="1">
      <alignment/>
      <protection/>
    </xf>
    <xf numFmtId="44" fontId="4" fillId="15" borderId="4" xfId="45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>
      <alignment horizontal="justify" vertical="center" wrapText="1"/>
    </xf>
    <xf numFmtId="0" fontId="4" fillId="3" borderId="11" xfId="0" applyFont="1" applyFill="1" applyBorder="1" applyAlignment="1">
      <alignment horizontal="justify" vertical="center" wrapText="1"/>
    </xf>
    <xf numFmtId="0" fontId="4" fillId="20" borderId="12" xfId="0" applyFont="1" applyFill="1" applyBorder="1" applyAlignment="1">
      <alignment horizontal="justify" vertical="center" wrapText="1"/>
    </xf>
    <xf numFmtId="0" fontId="4" fillId="20" borderId="11" xfId="0" applyFont="1" applyFill="1" applyBorder="1" applyAlignment="1">
      <alignment horizontal="justify" vertical="center" wrapText="1"/>
    </xf>
    <xf numFmtId="0" fontId="3" fillId="15" borderId="4" xfId="0" applyFont="1" applyFill="1" applyBorder="1" applyAlignment="1" applyProtection="1">
      <alignment/>
      <protection/>
    </xf>
    <xf numFmtId="0" fontId="2" fillId="4" borderId="0" xfId="0" applyFont="1" applyFill="1" applyAlignment="1" applyProtection="1">
      <alignment horizontal="center" wrapText="1"/>
      <protection/>
    </xf>
    <xf numFmtId="0" fontId="3" fillId="15" borderId="4" xfId="0" applyFont="1" applyFill="1" applyBorder="1" applyAlignment="1" applyProtection="1">
      <alignment horizontal="left" vertical="center" wrapText="1"/>
      <protection/>
    </xf>
    <xf numFmtId="0" fontId="3" fillId="22" borderId="4" xfId="0" applyFont="1" applyFill="1" applyBorder="1" applyAlignment="1" applyProtection="1">
      <alignment horizontal="left" vertical="center" wrapText="1"/>
      <protection/>
    </xf>
    <xf numFmtId="0" fontId="6" fillId="4" borderId="0" xfId="0" applyFont="1" applyFill="1" applyAlignment="1" applyProtection="1">
      <alignment horizontal="left" wrapText="1"/>
      <protection/>
    </xf>
    <xf numFmtId="0" fontId="3" fillId="15" borderId="4" xfId="0" applyFont="1" applyFill="1" applyBorder="1" applyAlignment="1" applyProtection="1">
      <alignment horizontal="left" vertical="center"/>
      <protection/>
    </xf>
    <xf numFmtId="0" fontId="4" fillId="20" borderId="4" xfId="0" applyFont="1" applyFill="1" applyBorder="1" applyAlignment="1" applyProtection="1">
      <alignment horizontal="justify"/>
      <protection/>
    </xf>
    <xf numFmtId="0" fontId="4" fillId="20" borderId="4" xfId="0" applyFont="1" applyFill="1" applyBorder="1" applyAlignment="1" applyProtection="1">
      <alignment vertical="center" wrapText="1"/>
      <protection/>
    </xf>
    <xf numFmtId="0" fontId="4" fillId="3" borderId="4" xfId="0" applyFont="1" applyFill="1" applyBorder="1" applyAlignment="1" applyProtection="1">
      <alignment horizontal="left" vertical="center" wrapText="1"/>
      <protection/>
    </xf>
    <xf numFmtId="0" fontId="4" fillId="3" borderId="4" xfId="0" applyFont="1" applyFill="1" applyBorder="1" applyAlignment="1" applyProtection="1">
      <alignment horizontal="justify" vertical="center" wrapText="1"/>
      <protection/>
    </xf>
    <xf numFmtId="0" fontId="3" fillId="21" borderId="12" xfId="0" applyFont="1" applyFill="1" applyBorder="1" applyAlignment="1">
      <alignment horizontal="justify" vertical="center" wrapText="1"/>
    </xf>
    <xf numFmtId="0" fontId="3" fillId="21" borderId="11" xfId="0" applyFont="1" applyFill="1" applyBorder="1" applyAlignment="1">
      <alignment horizontal="justify" vertical="center" wrapText="1"/>
    </xf>
    <xf numFmtId="0" fontId="3" fillId="15" borderId="4" xfId="0" applyFont="1" applyFill="1" applyBorder="1" applyAlignment="1" applyProtection="1">
      <alignment horizontal="center" vertical="center"/>
      <protection/>
    </xf>
    <xf numFmtId="0" fontId="3" fillId="15" borderId="4" xfId="0" applyFont="1" applyFill="1" applyBorder="1" applyAlignment="1" applyProtection="1">
      <alignment horizontal="center" vertical="center" wrapText="1"/>
      <protection/>
    </xf>
    <xf numFmtId="0" fontId="4" fillId="20" borderId="4" xfId="0" applyFont="1" applyFill="1" applyBorder="1" applyAlignment="1" applyProtection="1">
      <alignment/>
      <protection/>
    </xf>
    <xf numFmtId="0" fontId="3" fillId="15" borderId="4" xfId="0" applyFont="1" applyFill="1" applyBorder="1" applyAlignment="1" applyProtection="1">
      <alignment horizontal="left"/>
      <protection/>
    </xf>
    <xf numFmtId="0" fontId="4" fillId="20" borderId="4" xfId="0" applyFont="1" applyFill="1" applyBorder="1" applyAlignment="1" applyProtection="1">
      <alignment horizontal="left"/>
      <protection/>
    </xf>
    <xf numFmtId="0" fontId="4" fillId="20" borderId="4" xfId="0" applyFont="1" applyFill="1" applyBorder="1" applyAlignment="1" applyProtection="1">
      <alignment horizontal="center"/>
      <protection/>
    </xf>
    <xf numFmtId="0" fontId="4" fillId="20" borderId="4" xfId="0" applyFont="1" applyFill="1" applyBorder="1" applyAlignment="1" applyProtection="1">
      <alignment horizontal="right" vertical="center" wrapText="1"/>
      <protection/>
    </xf>
    <xf numFmtId="0" fontId="4" fillId="18" borderId="4" xfId="0" applyFont="1" applyFill="1" applyBorder="1" applyAlignment="1" applyProtection="1">
      <alignment horizontal="center"/>
      <protection locked="0"/>
    </xf>
    <xf numFmtId="0" fontId="4" fillId="20" borderId="4" xfId="0" applyFont="1" applyFill="1" applyBorder="1" applyAlignment="1">
      <alignment horizontal="center"/>
    </xf>
    <xf numFmtId="0" fontId="5" fillId="3" borderId="4" xfId="0" applyFont="1" applyFill="1" applyBorder="1" applyAlignment="1" applyProtection="1">
      <alignment horizontal="center"/>
      <protection/>
    </xf>
    <xf numFmtId="0" fontId="4" fillId="3" borderId="4" xfId="0" applyFont="1" applyFill="1" applyBorder="1" applyAlignment="1" applyProtection="1">
      <alignment horizontal="left"/>
      <protection/>
    </xf>
    <xf numFmtId="0" fontId="4" fillId="15" borderId="4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horizontal="justify"/>
      <protection/>
    </xf>
    <xf numFmtId="0" fontId="6" fillId="4" borderId="10" xfId="0" applyFont="1" applyFill="1" applyBorder="1" applyAlignment="1" applyProtection="1">
      <alignment horizontal="left" vertical="center" wrapText="1"/>
      <protection/>
    </xf>
    <xf numFmtId="0" fontId="3" fillId="21" borderId="13" xfId="0" applyFont="1" applyFill="1" applyBorder="1" applyAlignment="1" applyProtection="1">
      <alignment horizontal="justify" vertical="center" wrapText="1"/>
      <protection/>
    </xf>
    <xf numFmtId="0" fontId="4" fillId="3" borderId="13" xfId="0" applyFont="1" applyFill="1" applyBorder="1" applyAlignment="1" applyProtection="1">
      <alignment horizontal="justify" vertical="center" wrapText="1"/>
      <protection/>
    </xf>
    <xf numFmtId="0" fontId="3" fillId="15" borderId="12" xfId="0" applyFont="1" applyFill="1" applyBorder="1" applyAlignment="1" applyProtection="1">
      <alignment horizontal="justify" vertical="center"/>
      <protection/>
    </xf>
    <xf numFmtId="0" fontId="3" fillId="15" borderId="13" xfId="0" applyFont="1" applyFill="1" applyBorder="1" applyAlignment="1" applyProtection="1">
      <alignment horizontal="justify" vertical="center"/>
      <protection/>
    </xf>
    <xf numFmtId="0" fontId="3" fillId="15" borderId="11" xfId="0" applyFont="1" applyFill="1" applyBorder="1" applyAlignment="1" applyProtection="1">
      <alignment horizontal="justify" vertical="center"/>
      <protection/>
    </xf>
    <xf numFmtId="0" fontId="3" fillId="15" borderId="12" xfId="0" applyFont="1" applyFill="1" applyBorder="1" applyAlignment="1" applyProtection="1">
      <alignment horizontal="center"/>
      <protection/>
    </xf>
    <xf numFmtId="0" fontId="3" fillId="15" borderId="13" xfId="0" applyFont="1" applyFill="1" applyBorder="1" applyAlignment="1" applyProtection="1">
      <alignment horizontal="center"/>
      <protection/>
    </xf>
    <xf numFmtId="0" fontId="6" fillId="4" borderId="14" xfId="0" applyFont="1" applyFill="1" applyBorder="1" applyAlignment="1" applyProtection="1">
      <alignment horizontal="left" wrapText="1"/>
      <protection/>
    </xf>
    <xf numFmtId="0" fontId="3" fillId="21" borderId="12" xfId="0" applyFont="1" applyFill="1" applyBorder="1" applyAlignment="1" applyProtection="1">
      <alignment horizontal="center" vertical="center" wrapText="1"/>
      <protection/>
    </xf>
    <xf numFmtId="0" fontId="3" fillId="21" borderId="13" xfId="0" applyFont="1" applyFill="1" applyBorder="1" applyAlignment="1" applyProtection="1">
      <alignment horizontal="center" vertical="center" wrapText="1"/>
      <protection/>
    </xf>
    <xf numFmtId="0" fontId="3" fillId="21" borderId="11" xfId="0" applyFont="1" applyFill="1" applyBorder="1" applyAlignment="1" applyProtection="1">
      <alignment horizontal="center" vertical="center" wrapText="1"/>
      <protection/>
    </xf>
    <xf numFmtId="39" fontId="4" fillId="3" borderId="13" xfId="0" applyNumberFormat="1" applyFont="1" applyFill="1" applyBorder="1" applyAlignment="1" applyProtection="1">
      <alignment horizontal="justify" vertical="center" wrapText="1"/>
      <protection/>
    </xf>
    <xf numFmtId="0" fontId="11" fillId="4" borderId="13" xfId="0" applyFont="1" applyFill="1" applyBorder="1" applyAlignment="1" applyProtection="1">
      <alignment horizontal="center" vertical="center" wrapText="1"/>
      <protection/>
    </xf>
    <xf numFmtId="0" fontId="3" fillId="15" borderId="12" xfId="0" applyFont="1" applyFill="1" applyBorder="1" applyAlignment="1" applyProtection="1">
      <alignment horizontal="justify" vertical="center" wrapText="1"/>
      <protection/>
    </xf>
    <xf numFmtId="0" fontId="3" fillId="15" borderId="13" xfId="0" applyFont="1" applyFill="1" applyBorder="1" applyAlignment="1" applyProtection="1">
      <alignment horizontal="justify" vertical="center" wrapText="1"/>
      <protection/>
    </xf>
    <xf numFmtId="0" fontId="3" fillId="15" borderId="11" xfId="0" applyFont="1" applyFill="1" applyBorder="1" applyAlignment="1" applyProtection="1">
      <alignment horizontal="justify" vertical="center" wrapText="1"/>
      <protection/>
    </xf>
    <xf numFmtId="0" fontId="10" fillId="3" borderId="12" xfId="0" applyFont="1" applyFill="1" applyBorder="1" applyAlignment="1" applyProtection="1">
      <alignment horizontal="justify" vertical="center" wrapText="1"/>
      <protection/>
    </xf>
    <xf numFmtId="0" fontId="10" fillId="3" borderId="13" xfId="0" applyFont="1" applyFill="1" applyBorder="1" applyAlignment="1" applyProtection="1">
      <alignment horizontal="justify" vertical="center" wrapText="1"/>
      <protection/>
    </xf>
    <xf numFmtId="0" fontId="10" fillId="3" borderId="11" xfId="0" applyFont="1" applyFill="1" applyBorder="1" applyAlignment="1" applyProtection="1">
      <alignment horizontal="justify" vertical="center" wrapText="1"/>
      <protection/>
    </xf>
    <xf numFmtId="39" fontId="10" fillId="3" borderId="12" xfId="0" applyNumberFormat="1" applyFont="1" applyFill="1" applyBorder="1" applyAlignment="1" applyProtection="1">
      <alignment horizontal="justify" vertical="center" wrapText="1"/>
      <protection/>
    </xf>
    <xf numFmtId="39" fontId="10" fillId="3" borderId="13" xfId="0" applyNumberFormat="1" applyFont="1" applyFill="1" applyBorder="1" applyAlignment="1" applyProtection="1">
      <alignment horizontal="justify" vertical="center" wrapText="1"/>
      <protection/>
    </xf>
    <xf numFmtId="39" fontId="10" fillId="3" borderId="11" xfId="0" applyNumberFormat="1" applyFont="1" applyFill="1" applyBorder="1" applyAlignment="1" applyProtection="1">
      <alignment horizontal="justify" vertical="center" wrapText="1"/>
      <protection/>
    </xf>
    <xf numFmtId="0" fontId="3" fillId="15" borderId="4" xfId="0" applyFont="1" applyFill="1" applyBorder="1" applyAlignment="1" applyProtection="1" quotePrefix="1">
      <alignment horizontal="center" vertical="center"/>
      <protection/>
    </xf>
    <xf numFmtId="0" fontId="13" fillId="3" borderId="4" xfId="0" applyFont="1" applyFill="1" applyBorder="1" applyAlignment="1" applyProtection="1">
      <alignment horizontal="right" vertical="center"/>
      <protection/>
    </xf>
    <xf numFmtId="0" fontId="3" fillId="21" borderId="4" xfId="0" applyFont="1" applyFill="1" applyBorder="1" applyAlignment="1" applyProtection="1">
      <alignment horizontal="center" vertical="center" wrapText="1"/>
      <protection/>
    </xf>
    <xf numFmtId="166" fontId="5" fillId="15" borderId="4" xfId="0" applyNumberFormat="1" applyFont="1" applyFill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justify" vertical="center"/>
      <protection/>
    </xf>
    <xf numFmtId="0" fontId="22" fillId="0" borderId="13" xfId="0" applyFont="1" applyBorder="1" applyAlignment="1" applyProtection="1">
      <alignment horizontal="justify" vertical="center"/>
      <protection/>
    </xf>
    <xf numFmtId="0" fontId="22" fillId="0" borderId="11" xfId="0" applyFont="1" applyBorder="1" applyAlignment="1" applyProtection="1">
      <alignment horizontal="justify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3" xfId="47"/>
    <cellStyle name="Neutra" xfId="48"/>
    <cellStyle name="Normal 2" xfId="49"/>
    <cellStyle name="Normal 3" xfId="50"/>
    <cellStyle name="Nota" xfId="51"/>
    <cellStyle name="Percent" xfId="52"/>
    <cellStyle name="Porcentagem 2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E_DAA\2016\33.%2008191.112107_2016-87%20-%20Contrata&#231;&#227;o%20de%20Manuten&#231;&#227;o%20de%20Elevadores%20ed.%20Sede\Estimado%20SPO%20Planilha%20de%20Custos%20e%20Forma&#231;&#227;o%20de%20Pre&#231;os%20(24_10_16)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file____R__DIPRO_NOR_or_C3_A7a"/>
      <sheetName val="Planilha de Custos e Formação"/>
      <sheetName val="Composição de Encagos Sociais"/>
      <sheetName val="Insumo mão-obra Uni e EPI"/>
      <sheetName val="FERRAMENTAS_DIMEG"/>
      <sheetName val="Serviço Especializado"/>
      <sheetName val="CONSUMO_DIMEG"/>
      <sheetName val="Anexo I"/>
    </sheetNames>
    <sheetDataSet>
      <sheetData sheetId="1">
        <row r="35">
          <cell r="K35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9" customWidth="1"/>
    <col min="2" max="2" width="9.00390625" style="9" customWidth="1"/>
    <col min="3" max="3" width="51.140625" style="9" bestFit="1" customWidth="1"/>
    <col min="4" max="4" width="12.7109375" style="9" customWidth="1"/>
    <col min="5" max="5" width="14.00390625" style="9" bestFit="1" customWidth="1"/>
    <col min="6" max="6" width="15.7109375" style="9" bestFit="1" customWidth="1"/>
    <col min="7" max="7" width="15.57421875" style="9" customWidth="1"/>
    <col min="8" max="16384" width="9.140625" style="9" customWidth="1"/>
  </cols>
  <sheetData>
    <row r="1" spans="2:6" ht="16.5">
      <c r="B1" s="151" t="s">
        <v>0</v>
      </c>
      <c r="C1" s="151"/>
      <c r="D1" s="151"/>
      <c r="E1" s="151"/>
      <c r="F1" s="151"/>
    </row>
    <row r="2" spans="2:6" ht="16.5">
      <c r="B2" s="152" t="s">
        <v>55</v>
      </c>
      <c r="C2" s="152"/>
      <c r="D2" s="153" t="s">
        <v>236</v>
      </c>
      <c r="E2" s="153"/>
      <c r="F2" s="153"/>
    </row>
    <row r="3" spans="2:6" ht="16.5">
      <c r="B3" s="150" t="s">
        <v>56</v>
      </c>
      <c r="C3" s="150"/>
      <c r="D3" s="154" t="s">
        <v>1</v>
      </c>
      <c r="E3" s="154"/>
      <c r="F3" s="8" t="s">
        <v>245</v>
      </c>
    </row>
    <row r="4" spans="2:6" ht="16.5">
      <c r="B4" s="152" t="s">
        <v>2</v>
      </c>
      <c r="C4" s="152"/>
      <c r="D4" s="155" t="s">
        <v>207</v>
      </c>
      <c r="E4" s="155"/>
      <c r="F4" s="8" t="s">
        <v>3</v>
      </c>
    </row>
    <row r="5" spans="2:6" ht="16.5">
      <c r="B5" s="10"/>
      <c r="C5" s="11"/>
      <c r="D5" s="12"/>
      <c r="E5" s="12"/>
      <c r="F5" s="13"/>
    </row>
    <row r="6" spans="2:6" ht="16.5">
      <c r="B6" s="151" t="s">
        <v>4</v>
      </c>
      <c r="C6" s="151"/>
      <c r="D6" s="151"/>
      <c r="E6" s="151"/>
      <c r="F6" s="151"/>
    </row>
    <row r="7" spans="2:6" ht="16.5">
      <c r="B7" s="14" t="s">
        <v>5</v>
      </c>
      <c r="C7" s="150" t="s">
        <v>57</v>
      </c>
      <c r="D7" s="150"/>
      <c r="E7" s="150"/>
      <c r="F7" s="8" t="s">
        <v>207</v>
      </c>
    </row>
    <row r="8" spans="2:6" ht="16.5">
      <c r="B8" s="15" t="s">
        <v>6</v>
      </c>
      <c r="C8" s="16" t="s">
        <v>98</v>
      </c>
      <c r="D8" s="156" t="s">
        <v>58</v>
      </c>
      <c r="E8" s="156"/>
      <c r="F8" s="156"/>
    </row>
    <row r="9" spans="2:6" ht="16.5">
      <c r="B9" s="14" t="s">
        <v>7</v>
      </c>
      <c r="C9" s="150" t="s">
        <v>8</v>
      </c>
      <c r="D9" s="150"/>
      <c r="E9" s="150"/>
      <c r="F9" s="35" t="s">
        <v>59</v>
      </c>
    </row>
    <row r="10" spans="2:6" ht="16.5" customHeight="1">
      <c r="B10" s="15" t="s">
        <v>9</v>
      </c>
      <c r="C10" s="150" t="s">
        <v>11</v>
      </c>
      <c r="D10" s="150"/>
      <c r="E10" s="150"/>
      <c r="F10" s="17">
        <v>12</v>
      </c>
    </row>
    <row r="11" spans="2:6" ht="16.5" customHeight="1">
      <c r="B11" s="14" t="s">
        <v>10</v>
      </c>
      <c r="C11" s="150" t="s">
        <v>151</v>
      </c>
      <c r="D11" s="150"/>
      <c r="E11" s="150"/>
      <c r="F11" s="18">
        <v>22</v>
      </c>
    </row>
    <row r="12" spans="2:6" ht="16.5">
      <c r="B12" s="10"/>
      <c r="C12" s="11"/>
      <c r="D12" s="12"/>
      <c r="E12" s="12"/>
      <c r="F12" s="13"/>
    </row>
    <row r="13" spans="2:6" ht="16.5">
      <c r="B13" s="151" t="s">
        <v>12</v>
      </c>
      <c r="C13" s="151"/>
      <c r="D13" s="151"/>
      <c r="E13" s="151"/>
      <c r="F13" s="151"/>
    </row>
    <row r="14" spans="2:6" ht="33">
      <c r="B14" s="15" t="s">
        <v>13</v>
      </c>
      <c r="C14" s="15" t="s">
        <v>14</v>
      </c>
      <c r="D14" s="19" t="s">
        <v>15</v>
      </c>
      <c r="E14" s="19" t="s">
        <v>16</v>
      </c>
      <c r="F14" s="19" t="s">
        <v>17</v>
      </c>
    </row>
    <row r="15" spans="2:6" ht="49.5">
      <c r="B15" s="14">
        <v>1</v>
      </c>
      <c r="C15" s="36" t="s">
        <v>208</v>
      </c>
      <c r="D15" s="37" t="s">
        <v>60</v>
      </c>
      <c r="E15" s="37">
        <v>1</v>
      </c>
      <c r="F15" s="37">
        <f>D54</f>
        <v>22</v>
      </c>
    </row>
    <row r="16" spans="2:6" ht="16.5">
      <c r="B16" s="20"/>
      <c r="C16" s="20"/>
      <c r="D16" s="20"/>
      <c r="E16" s="20"/>
      <c r="F16" s="20"/>
    </row>
    <row r="17" spans="2:6" ht="16.5">
      <c r="B17" s="151" t="s">
        <v>119</v>
      </c>
      <c r="C17" s="151"/>
      <c r="D17" s="151"/>
      <c r="E17" s="151"/>
      <c r="F17" s="151"/>
    </row>
    <row r="18" spans="2:6" ht="16.5">
      <c r="B18" s="14" t="s">
        <v>5</v>
      </c>
      <c r="C18" s="142" t="s">
        <v>120</v>
      </c>
      <c r="D18" s="142"/>
      <c r="E18" s="142"/>
      <c r="F18" s="142"/>
    </row>
    <row r="19" spans="2:6" ht="16.5">
      <c r="B19" s="15" t="s">
        <v>6</v>
      </c>
      <c r="C19" s="142" t="s">
        <v>121</v>
      </c>
      <c r="D19" s="142"/>
      <c r="E19" s="142"/>
      <c r="F19" s="142"/>
    </row>
    <row r="20" spans="2:6" ht="16.5">
      <c r="B20" s="14" t="s">
        <v>7</v>
      </c>
      <c r="C20" s="21" t="s">
        <v>123</v>
      </c>
      <c r="D20" s="142" t="s">
        <v>122</v>
      </c>
      <c r="E20" s="142"/>
      <c r="F20" s="142"/>
    </row>
    <row r="21" spans="2:6" ht="16.5" customHeight="1">
      <c r="B21" s="15" t="s">
        <v>9</v>
      </c>
      <c r="C21" s="16" t="s">
        <v>124</v>
      </c>
      <c r="D21" s="143" t="s">
        <v>149</v>
      </c>
      <c r="E21" s="143"/>
      <c r="F21" s="4" t="s">
        <v>244</v>
      </c>
    </row>
    <row r="22" spans="2:6" ht="16.5">
      <c r="B22" s="15" t="s">
        <v>10</v>
      </c>
      <c r="C22" s="144" t="s">
        <v>126</v>
      </c>
      <c r="D22" s="144"/>
      <c r="E22" s="144"/>
      <c r="F22" s="4" t="s">
        <v>246</v>
      </c>
    </row>
    <row r="23" spans="2:6" ht="16.5">
      <c r="B23" s="20"/>
      <c r="C23" s="20"/>
      <c r="D23" s="20"/>
      <c r="E23" s="20"/>
      <c r="F23" s="20"/>
    </row>
    <row r="24" spans="2:6" ht="16.5" customHeight="1">
      <c r="B24" s="151" t="s">
        <v>125</v>
      </c>
      <c r="C24" s="151"/>
      <c r="D24" s="151"/>
      <c r="E24" s="151"/>
      <c r="F24" s="151"/>
    </row>
    <row r="25" spans="2:6" ht="16.5" customHeight="1">
      <c r="B25" s="15"/>
      <c r="C25" s="141" t="s">
        <v>145</v>
      </c>
      <c r="D25" s="141"/>
      <c r="E25" s="141"/>
      <c r="F25" s="22" t="s">
        <v>43</v>
      </c>
    </row>
    <row r="26" spans="2:6" ht="16.5" customHeight="1">
      <c r="B26" s="14">
        <v>4</v>
      </c>
      <c r="C26" s="144" t="s">
        <v>21</v>
      </c>
      <c r="D26" s="144"/>
      <c r="E26" s="144"/>
      <c r="F26" s="5">
        <v>1212</v>
      </c>
    </row>
    <row r="27" spans="2:6" ht="16.5" customHeight="1">
      <c r="B27" s="15" t="s">
        <v>237</v>
      </c>
      <c r="C27" s="146" t="s">
        <v>238</v>
      </c>
      <c r="D27" s="147"/>
      <c r="E27" s="19" t="s">
        <v>239</v>
      </c>
      <c r="F27" s="22" t="s">
        <v>43</v>
      </c>
    </row>
    <row r="28" spans="2:6" ht="16.5">
      <c r="B28" s="14" t="s">
        <v>240</v>
      </c>
      <c r="C28" s="132" t="s">
        <v>102</v>
      </c>
      <c r="D28" s="133"/>
      <c r="E28" s="23">
        <f>SUM(D46)</f>
        <v>1</v>
      </c>
      <c r="F28" s="5">
        <v>11.8</v>
      </c>
    </row>
    <row r="29" spans="2:6" ht="16.5">
      <c r="B29" s="14" t="s">
        <v>241</v>
      </c>
      <c r="C29" s="134" t="s">
        <v>102</v>
      </c>
      <c r="D29" s="135"/>
      <c r="E29" s="24">
        <f>SUM(D47:D53)</f>
        <v>21</v>
      </c>
      <c r="F29" s="5">
        <v>11.8</v>
      </c>
    </row>
    <row r="30" spans="2:6" ht="16.5" customHeight="1">
      <c r="B30" s="15">
        <v>5</v>
      </c>
      <c r="C30" s="141" t="s">
        <v>42</v>
      </c>
      <c r="D30" s="141"/>
      <c r="E30" s="141"/>
      <c r="F30" s="22" t="s">
        <v>43</v>
      </c>
    </row>
    <row r="31" spans="2:6" ht="16.5" customHeight="1">
      <c r="B31" s="15" t="s">
        <v>5</v>
      </c>
      <c r="C31" s="145" t="s">
        <v>44</v>
      </c>
      <c r="D31" s="145"/>
      <c r="E31" s="145"/>
      <c r="F31" s="5">
        <v>40.65</v>
      </c>
    </row>
    <row r="32" spans="2:6" ht="16.5" customHeight="1">
      <c r="B32" s="14" t="s">
        <v>6</v>
      </c>
      <c r="C32" s="144" t="s">
        <v>116</v>
      </c>
      <c r="D32" s="144"/>
      <c r="E32" s="144"/>
      <c r="F32" s="5">
        <v>275.94</v>
      </c>
    </row>
    <row r="33" spans="2:6" ht="16.5">
      <c r="B33" s="15">
        <v>6</v>
      </c>
      <c r="C33" s="141" t="s">
        <v>46</v>
      </c>
      <c r="D33" s="141"/>
      <c r="E33" s="141"/>
      <c r="F33" s="22" t="s">
        <v>40</v>
      </c>
    </row>
    <row r="34" spans="2:6" ht="16.5">
      <c r="B34" s="15" t="s">
        <v>5</v>
      </c>
      <c r="C34" s="145" t="s">
        <v>47</v>
      </c>
      <c r="D34" s="145"/>
      <c r="E34" s="145"/>
      <c r="F34" s="5">
        <v>4.73</v>
      </c>
    </row>
    <row r="35" spans="2:6" ht="16.5">
      <c r="B35" s="19" t="s">
        <v>6</v>
      </c>
      <c r="C35" s="144" t="s">
        <v>48</v>
      </c>
      <c r="D35" s="144"/>
      <c r="E35" s="144"/>
      <c r="F35" s="5">
        <v>5.57</v>
      </c>
    </row>
    <row r="36" spans="2:6" ht="16.5">
      <c r="B36" s="19" t="s">
        <v>7</v>
      </c>
      <c r="C36" s="145" t="s">
        <v>90</v>
      </c>
      <c r="D36" s="145"/>
      <c r="E36" s="145"/>
      <c r="F36" s="25">
        <f>SUM(F37:F40)</f>
        <v>10.15</v>
      </c>
    </row>
    <row r="37" spans="2:6" ht="16.5">
      <c r="B37" s="26" t="s">
        <v>49</v>
      </c>
      <c r="C37" s="144" t="s">
        <v>50</v>
      </c>
      <c r="D37" s="144"/>
      <c r="E37" s="144" t="e">
        <f>PERC_PIS</f>
        <v>#NAME?</v>
      </c>
      <c r="F37" s="5">
        <v>0.65</v>
      </c>
    </row>
    <row r="38" spans="2:6" ht="16.5">
      <c r="B38" s="26" t="s">
        <v>51</v>
      </c>
      <c r="C38" s="145" t="s">
        <v>52</v>
      </c>
      <c r="D38" s="145"/>
      <c r="E38" s="145" t="e">
        <f>PERC_COFINS</f>
        <v>#NAME?</v>
      </c>
      <c r="F38" s="5">
        <v>3</v>
      </c>
    </row>
    <row r="39" spans="2:6" ht="16.5">
      <c r="B39" s="26" t="s">
        <v>53</v>
      </c>
      <c r="C39" s="144" t="s">
        <v>54</v>
      </c>
      <c r="D39" s="144"/>
      <c r="E39" s="144" t="e">
        <f>PERC_ISS</f>
        <v>#NAME?</v>
      </c>
      <c r="F39" s="5">
        <v>2</v>
      </c>
    </row>
    <row r="40" spans="2:6" ht="16.5" customHeight="1">
      <c r="B40" s="26" t="s">
        <v>194</v>
      </c>
      <c r="C40" s="145" t="s">
        <v>127</v>
      </c>
      <c r="D40" s="145"/>
      <c r="E40" s="145"/>
      <c r="F40" s="25">
        <f>IF(F21="SIM",4.5,0)</f>
        <v>4.5</v>
      </c>
    </row>
    <row r="42" spans="2:6" ht="16.5">
      <c r="B42" s="151" t="s">
        <v>141</v>
      </c>
      <c r="C42" s="151"/>
      <c r="D42" s="151"/>
      <c r="E42" s="151"/>
      <c r="F42" s="151"/>
    </row>
    <row r="43" spans="2:6" ht="29.25" customHeight="1">
      <c r="B43" s="148" t="s">
        <v>13</v>
      </c>
      <c r="C43" s="148" t="s">
        <v>128</v>
      </c>
      <c r="D43" s="149" t="s">
        <v>130</v>
      </c>
      <c r="E43" s="149" t="s">
        <v>43</v>
      </c>
      <c r="F43" s="149"/>
    </row>
    <row r="44" spans="2:6" ht="16.5">
      <c r="B44" s="148"/>
      <c r="C44" s="148"/>
      <c r="D44" s="149"/>
      <c r="E44" s="19" t="s">
        <v>131</v>
      </c>
      <c r="F44" s="19" t="s">
        <v>132</v>
      </c>
    </row>
    <row r="45" spans="2:6" ht="16.5">
      <c r="B45" s="151" t="s">
        <v>129</v>
      </c>
      <c r="C45" s="151"/>
      <c r="D45" s="151"/>
      <c r="E45" s="151"/>
      <c r="F45" s="151"/>
    </row>
    <row r="46" spans="2:6" ht="16.5">
      <c r="B46" s="14" t="s">
        <v>133</v>
      </c>
      <c r="C46" s="27" t="str">
        <f>'Eng. Mecânico'!D3</f>
        <v>Engenheiro Mecânico Pleno</v>
      </c>
      <c r="D46" s="24">
        <v>1</v>
      </c>
      <c r="E46" s="28">
        <f>ROUND('Eng. Mecânico'!F89*D46,2)</f>
        <v>30769.21</v>
      </c>
      <c r="F46" s="28">
        <f aca="true" t="shared" si="0" ref="F46:F53">ROUND(E46*$F$10,2)</f>
        <v>369230.52</v>
      </c>
    </row>
    <row r="47" spans="2:6" ht="16.5">
      <c r="B47" s="14" t="s">
        <v>134</v>
      </c>
      <c r="C47" s="27" t="str">
        <f>Encarregado!D3</f>
        <v>Encarregado Manutenção Mecânica</v>
      </c>
      <c r="D47" s="24">
        <v>1</v>
      </c>
      <c r="E47" s="28">
        <f>ROUND(Encarregado!F89*D47,2)</f>
        <v>10455.72</v>
      </c>
      <c r="F47" s="28">
        <f t="shared" si="0"/>
        <v>125468.64</v>
      </c>
    </row>
    <row r="48" spans="2:6" ht="16.5">
      <c r="B48" s="14" t="s">
        <v>135</v>
      </c>
      <c r="C48" s="27" t="str">
        <f>'Téc. Eletromecânica'!D3</f>
        <v>Técnico em Eletromecânica</v>
      </c>
      <c r="D48" s="24">
        <v>2</v>
      </c>
      <c r="E48" s="28">
        <f>ROUND('Téc. Eletromecânica'!F89*D48,2)</f>
        <v>17930.2</v>
      </c>
      <c r="F48" s="28">
        <f t="shared" si="0"/>
        <v>215162.4</v>
      </c>
    </row>
    <row r="49" spans="2:6" ht="16.5">
      <c r="B49" s="14" t="s">
        <v>136</v>
      </c>
      <c r="C49" s="27" t="str">
        <f>'Tec. Mecânico'!D3</f>
        <v>Técnico Mecânico</v>
      </c>
      <c r="D49" s="24">
        <v>10</v>
      </c>
      <c r="E49" s="28">
        <f>ROUND('Tec. Mecânico'!F89*D49,2)</f>
        <v>73685.7</v>
      </c>
      <c r="F49" s="28">
        <f t="shared" si="0"/>
        <v>884228.4</v>
      </c>
    </row>
    <row r="50" spans="2:6" ht="16.5">
      <c r="B50" s="14" t="s">
        <v>137</v>
      </c>
      <c r="C50" s="27" t="str">
        <f>'Tec. Eletricista'!D3</f>
        <v>Técnico Eletricista</v>
      </c>
      <c r="D50" s="24">
        <v>1</v>
      </c>
      <c r="E50" s="28">
        <f>ROUND('Tec. Eletricista'!F89*D50,2)</f>
        <v>8537.94</v>
      </c>
      <c r="F50" s="28">
        <f t="shared" si="0"/>
        <v>102455.28</v>
      </c>
    </row>
    <row r="51" spans="2:6" ht="16.5">
      <c r="B51" s="14" t="s">
        <v>138</v>
      </c>
      <c r="C51" s="27" t="str">
        <f>'Oper. de Computador'!D3</f>
        <v>Operador de Computador</v>
      </c>
      <c r="D51" s="24">
        <v>1</v>
      </c>
      <c r="E51" s="28">
        <f>ROUND('Oper. de Computador'!F89*D51,2)</f>
        <v>7397.83</v>
      </c>
      <c r="F51" s="28">
        <f t="shared" si="0"/>
        <v>88773.96</v>
      </c>
    </row>
    <row r="52" spans="2:6" ht="16.5">
      <c r="B52" s="14" t="s">
        <v>139</v>
      </c>
      <c r="C52" s="27" t="str">
        <f>'Auxiliar de Manutenção'!D3</f>
        <v>Auxiliar de Manutenção</v>
      </c>
      <c r="D52" s="24">
        <v>5</v>
      </c>
      <c r="E52" s="28">
        <f>ROUND('Auxiliar de Manutenção'!F89*D52,2)</f>
        <v>25022.95</v>
      </c>
      <c r="F52" s="28">
        <f t="shared" si="0"/>
        <v>300275.4</v>
      </c>
    </row>
    <row r="53" spans="2:6" ht="16.5">
      <c r="B53" s="14" t="s">
        <v>140</v>
      </c>
      <c r="C53" s="27" t="str">
        <f>'Assistente Administrativo'!D3</f>
        <v>Assistente Administrativo</v>
      </c>
      <c r="D53" s="24">
        <v>1</v>
      </c>
      <c r="E53" s="28">
        <f>ROUND('Assistente Administrativo'!F89*D53,2)</f>
        <v>7236.53</v>
      </c>
      <c r="F53" s="28">
        <f t="shared" si="0"/>
        <v>86838.36</v>
      </c>
    </row>
    <row r="54" spans="2:7" ht="16.5">
      <c r="B54" s="136" t="s">
        <v>144</v>
      </c>
      <c r="C54" s="136"/>
      <c r="D54" s="19">
        <f>SUM(D46:D53)</f>
        <v>22</v>
      </c>
      <c r="E54" s="30">
        <f>SUM(E46:E53)</f>
        <v>181036.08000000002</v>
      </c>
      <c r="F54" s="30">
        <f>SUM(F46:F53)</f>
        <v>2172432.96</v>
      </c>
      <c r="G54" s="31"/>
    </row>
    <row r="56" spans="2:6" ht="25.5" customHeight="1">
      <c r="B56" s="137" t="s">
        <v>142</v>
      </c>
      <c r="C56" s="137"/>
      <c r="D56" s="137"/>
      <c r="E56" s="137"/>
      <c r="F56" s="137"/>
    </row>
    <row r="57" spans="2:6" ht="25.5" customHeight="1">
      <c r="B57" s="137"/>
      <c r="C57" s="137"/>
      <c r="D57" s="137"/>
      <c r="E57" s="137"/>
      <c r="F57" s="137"/>
    </row>
    <row r="58" spans="2:6" ht="16.5">
      <c r="B58" s="148" t="s">
        <v>13</v>
      </c>
      <c r="C58" s="148" t="s">
        <v>143</v>
      </c>
      <c r="D58" s="149" t="s">
        <v>40</v>
      </c>
      <c r="E58" s="149" t="s">
        <v>43</v>
      </c>
      <c r="F58" s="149"/>
    </row>
    <row r="59" spans="2:6" ht="16.5">
      <c r="B59" s="148"/>
      <c r="C59" s="148"/>
      <c r="D59" s="149"/>
      <c r="E59" s="19" t="s">
        <v>131</v>
      </c>
      <c r="F59" s="19" t="s">
        <v>132</v>
      </c>
    </row>
    <row r="60" spans="2:6" ht="16.5">
      <c r="B60" s="14">
        <v>1</v>
      </c>
      <c r="C60" s="32" t="s">
        <v>145</v>
      </c>
      <c r="D60" s="33">
        <f>ROUND(F60/$F$65,4)</f>
        <v>0.8319</v>
      </c>
      <c r="E60" s="28">
        <f>E54</f>
        <v>181036.08000000002</v>
      </c>
      <c r="F60" s="28">
        <f>F54</f>
        <v>2172432.96</v>
      </c>
    </row>
    <row r="61" spans="2:6" ht="16.5">
      <c r="B61" s="14">
        <v>2</v>
      </c>
      <c r="C61" s="32" t="s">
        <v>147</v>
      </c>
      <c r="D61" s="33">
        <f>ROUND(F61/$F$65,4)</f>
        <v>0.0274</v>
      </c>
      <c r="E61" s="28">
        <f>Veículos!I41</f>
        <v>5954.93</v>
      </c>
      <c r="F61" s="28">
        <f>ROUND(E61*F10,2)</f>
        <v>71459.16</v>
      </c>
    </row>
    <row r="62" spans="2:6" ht="16.5">
      <c r="B62" s="14">
        <v>3</v>
      </c>
      <c r="C62" s="32" t="s">
        <v>148</v>
      </c>
      <c r="D62" s="33">
        <f>ROUND(F62/$F$65,4)</f>
        <v>0.1024</v>
      </c>
      <c r="E62" s="28" t="s">
        <v>198</v>
      </c>
      <c r="F62" s="28">
        <f>'Serv. Especializados'!G30</f>
        <v>267486.05</v>
      </c>
    </row>
    <row r="63" spans="2:6" ht="33">
      <c r="B63" s="14">
        <v>4</v>
      </c>
      <c r="C63" s="32" t="s">
        <v>235</v>
      </c>
      <c r="D63" s="33">
        <f>ROUND(F63/$F$65,4)</f>
        <v>0.0383</v>
      </c>
      <c r="E63" s="28" t="s">
        <v>198</v>
      </c>
      <c r="F63" s="28">
        <v>100000</v>
      </c>
    </row>
    <row r="64" spans="2:6" ht="16.5">
      <c r="B64" s="14">
        <v>5</v>
      </c>
      <c r="C64" s="32" t="s">
        <v>238</v>
      </c>
      <c r="D64" s="33">
        <f>ROUND(F64/$F$65,4)</f>
        <v>0.0012</v>
      </c>
      <c r="E64" s="28">
        <f>SUMPRODUCT(E28:E29,F28:F29)</f>
        <v>259.6</v>
      </c>
      <c r="F64" s="28">
        <f>ROUND(E64*F10,2)</f>
        <v>3115.2</v>
      </c>
    </row>
    <row r="65" spans="2:7" ht="16.5">
      <c r="B65" s="136" t="s">
        <v>146</v>
      </c>
      <c r="C65" s="136"/>
      <c r="D65" s="136"/>
      <c r="E65" s="30">
        <f>SUM(E60:E63)</f>
        <v>186991.01</v>
      </c>
      <c r="F65" s="30">
        <f>SUM(F60:F63)</f>
        <v>2611378.17</v>
      </c>
      <c r="G65" s="31"/>
    </row>
    <row r="66" ht="15">
      <c r="G66" s="34"/>
    </row>
  </sheetData>
  <sheetProtection sheet="1" objects="1" scenarios="1"/>
  <mergeCells count="50">
    <mergeCell ref="D43:D44"/>
    <mergeCell ref="E43:F43"/>
    <mergeCell ref="C40:E40"/>
    <mergeCell ref="C22:E22"/>
    <mergeCell ref="C30:E30"/>
    <mergeCell ref="C39:E39"/>
    <mergeCell ref="C11:E11"/>
    <mergeCell ref="B65:D65"/>
    <mergeCell ref="B42:F42"/>
    <mergeCell ref="B56:F57"/>
    <mergeCell ref="B58:B59"/>
    <mergeCell ref="E58:F58"/>
    <mergeCell ref="B54:C54"/>
    <mergeCell ref="B45:F45"/>
    <mergeCell ref="B43:B44"/>
    <mergeCell ref="C43:C44"/>
    <mergeCell ref="C34:E34"/>
    <mergeCell ref="C35:E35"/>
    <mergeCell ref="C37:E37"/>
    <mergeCell ref="C38:E38"/>
    <mergeCell ref="C36:E36"/>
    <mergeCell ref="C26:E26"/>
    <mergeCell ref="C31:E31"/>
    <mergeCell ref="C27:D27"/>
    <mergeCell ref="C28:D28"/>
    <mergeCell ref="C29:D29"/>
    <mergeCell ref="B13:F13"/>
    <mergeCell ref="C33:E33"/>
    <mergeCell ref="B17:F17"/>
    <mergeCell ref="C18:F18"/>
    <mergeCell ref="C19:F19"/>
    <mergeCell ref="D20:F20"/>
    <mergeCell ref="D21:E21"/>
    <mergeCell ref="C32:E32"/>
    <mergeCell ref="B24:F24"/>
    <mergeCell ref="C25:E25"/>
    <mergeCell ref="B6:F6"/>
    <mergeCell ref="D8:F8"/>
    <mergeCell ref="C9:E9"/>
    <mergeCell ref="C10:E10"/>
    <mergeCell ref="C58:C59"/>
    <mergeCell ref="D58:D59"/>
    <mergeCell ref="C7:E7"/>
    <mergeCell ref="B1:F1"/>
    <mergeCell ref="B2:C2"/>
    <mergeCell ref="D2:F2"/>
    <mergeCell ref="B3:C3"/>
    <mergeCell ref="D3:E3"/>
    <mergeCell ref="B4:C4"/>
    <mergeCell ref="D4:E4"/>
  </mergeCells>
  <dataValidations count="2">
    <dataValidation type="list" allowBlank="1" showInputMessage="1" showErrorMessage="1" sqref="F9">
      <formula1>"AC,AL,AP,AM,BA,CE,DF,ES,GO,MA,MG,MS,MT,PA,PB,PR,PE,PI,RJ,RN,RO,RR,RS,SC,SP,SE,TO"</formula1>
    </dataValidation>
    <dataValidation type="list" allowBlank="1" showInputMessage="1" showErrorMessage="1" sqref="F21">
      <formula1>"SIM, NÃO"</formula1>
    </dataValidation>
  </dataValidations>
  <printOptions horizontalCentered="1"/>
  <pageMargins left="0.1968503937007874" right="0.1968503937007874" top="0.7874015748031497" bottom="0.7874015748031497" header="0.07874015748031496" footer="0.1968503937007874"/>
  <pageSetup fitToHeight="0" fitToWidth="1" horizontalDpi="600" verticalDpi="600" orientation="portrait" paperSize="9" scale="97" r:id="rId1"/>
  <rowBreaks count="1" manualBreakCount="1">
    <brk id="41" min="1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H5" sqref="H5"/>
    </sheetView>
  </sheetViews>
  <sheetFormatPr defaultColWidth="8.8515625" defaultRowHeight="15"/>
  <cols>
    <col min="1" max="1" width="2.57421875" style="9" customWidth="1"/>
    <col min="2" max="2" width="6.28125" style="84" customWidth="1"/>
    <col min="3" max="3" width="62.421875" style="84" customWidth="1"/>
    <col min="4" max="4" width="10.8515625" style="84" customWidth="1"/>
    <col min="5" max="5" width="9.57421875" style="84" customWidth="1"/>
    <col min="6" max="6" width="13.421875" style="84" bestFit="1" customWidth="1"/>
    <col min="7" max="7" width="16.8515625" style="84" bestFit="1" customWidth="1"/>
    <col min="8" max="16384" width="8.8515625" style="84" customWidth="1"/>
  </cols>
  <sheetData>
    <row r="1" spans="2:7" ht="16.5">
      <c r="B1" s="167" t="s">
        <v>200</v>
      </c>
      <c r="C1" s="168"/>
      <c r="D1" s="168"/>
      <c r="E1" s="168"/>
      <c r="F1" s="168"/>
      <c r="G1" s="168"/>
    </row>
    <row r="2" spans="2:7" ht="33">
      <c r="B2" s="22" t="s">
        <v>110</v>
      </c>
      <c r="C2" s="22" t="s">
        <v>111</v>
      </c>
      <c r="D2" s="22" t="s">
        <v>197</v>
      </c>
      <c r="E2" s="22" t="s">
        <v>112</v>
      </c>
      <c r="F2" s="22" t="s">
        <v>196</v>
      </c>
      <c r="G2" s="22" t="s">
        <v>195</v>
      </c>
    </row>
    <row r="3" spans="2:7" ht="16.5">
      <c r="B3" s="85"/>
      <c r="C3" s="85"/>
      <c r="D3" s="85"/>
      <c r="E3" s="85"/>
      <c r="F3" s="85"/>
      <c r="G3" s="85"/>
    </row>
    <row r="4" spans="2:7" ht="16.5">
      <c r="B4" s="22"/>
      <c r="C4" s="170" t="s">
        <v>206</v>
      </c>
      <c r="D4" s="171"/>
      <c r="E4" s="171"/>
      <c r="F4" s="172"/>
      <c r="G4" s="86">
        <f>SUM(G5:G14)</f>
        <v>217374</v>
      </c>
    </row>
    <row r="5" spans="1:7" s="96" customFormat="1" ht="16.5">
      <c r="A5" s="9"/>
      <c r="B5" s="87">
        <v>1</v>
      </c>
      <c r="C5" s="88" t="s">
        <v>221</v>
      </c>
      <c r="D5" s="89" t="s">
        <v>216</v>
      </c>
      <c r="E5" s="94">
        <v>18</v>
      </c>
      <c r="F5" s="83">
        <v>138.88</v>
      </c>
      <c r="G5" s="95">
        <f>TRUNC(E5*F5,2)</f>
        <v>2499.84</v>
      </c>
    </row>
    <row r="6" spans="1:7" s="96" customFormat="1" ht="16.5">
      <c r="A6" s="9"/>
      <c r="B6" s="87">
        <f>B5+1</f>
        <v>2</v>
      </c>
      <c r="C6" s="88" t="s">
        <v>224</v>
      </c>
      <c r="D6" s="89" t="s">
        <v>216</v>
      </c>
      <c r="E6" s="94">
        <v>10</v>
      </c>
      <c r="F6" s="83">
        <v>5243.65</v>
      </c>
      <c r="G6" s="95">
        <f aca="true" t="shared" si="0" ref="G6:G14">TRUNC(E6*F6,2)</f>
        <v>52436.5</v>
      </c>
    </row>
    <row r="7" spans="1:7" s="96" customFormat="1" ht="99">
      <c r="A7" s="9"/>
      <c r="B7" s="87">
        <f aca="true" t="shared" si="1" ref="B7:B14">B6+1</f>
        <v>3</v>
      </c>
      <c r="C7" s="88" t="s">
        <v>225</v>
      </c>
      <c r="D7" s="89" t="s">
        <v>216</v>
      </c>
      <c r="E7" s="94">
        <v>1</v>
      </c>
      <c r="F7" s="83">
        <v>10487.3</v>
      </c>
      <c r="G7" s="95">
        <f>TRUNC(E7*F7,2)</f>
        <v>10487.3</v>
      </c>
    </row>
    <row r="8" spans="1:7" s="96" customFormat="1" ht="33">
      <c r="A8" s="9"/>
      <c r="B8" s="87">
        <f t="shared" si="1"/>
        <v>4</v>
      </c>
      <c r="C8" s="88" t="s">
        <v>220</v>
      </c>
      <c r="D8" s="89" t="s">
        <v>216</v>
      </c>
      <c r="E8" s="94">
        <v>2</v>
      </c>
      <c r="F8" s="83">
        <v>9800</v>
      </c>
      <c r="G8" s="95">
        <f t="shared" si="0"/>
        <v>19600</v>
      </c>
    </row>
    <row r="9" spans="1:7" s="96" customFormat="1" ht="16.5">
      <c r="A9" s="9"/>
      <c r="B9" s="87">
        <f t="shared" si="1"/>
        <v>5</v>
      </c>
      <c r="C9" s="88" t="s">
        <v>217</v>
      </c>
      <c r="D9" s="89" t="s">
        <v>218</v>
      </c>
      <c r="E9" s="94">
        <v>254.89</v>
      </c>
      <c r="F9" s="83">
        <v>39.87</v>
      </c>
      <c r="G9" s="95">
        <f t="shared" si="0"/>
        <v>10162.46</v>
      </c>
    </row>
    <row r="10" spans="1:7" s="96" customFormat="1" ht="16.5">
      <c r="A10" s="46"/>
      <c r="B10" s="87">
        <f t="shared" si="1"/>
        <v>6</v>
      </c>
      <c r="C10" s="88" t="s">
        <v>222</v>
      </c>
      <c r="D10" s="89" t="s">
        <v>218</v>
      </c>
      <c r="E10" s="94">
        <f>TRUNC(15*9,2)</f>
        <v>135</v>
      </c>
      <c r="F10" s="83">
        <v>63.8</v>
      </c>
      <c r="G10" s="95">
        <f t="shared" si="0"/>
        <v>8613</v>
      </c>
    </row>
    <row r="11" spans="1:7" s="96" customFormat="1" ht="16.5">
      <c r="A11" s="9"/>
      <c r="B11" s="87">
        <f t="shared" si="1"/>
        <v>7</v>
      </c>
      <c r="C11" s="88" t="s">
        <v>219</v>
      </c>
      <c r="D11" s="89" t="s">
        <v>216</v>
      </c>
      <c r="E11" s="94">
        <v>75</v>
      </c>
      <c r="F11" s="83">
        <v>980</v>
      </c>
      <c r="G11" s="95">
        <f t="shared" si="0"/>
        <v>73500</v>
      </c>
    </row>
    <row r="12" spans="2:7" ht="16.5">
      <c r="B12" s="87">
        <f t="shared" si="1"/>
        <v>8</v>
      </c>
      <c r="C12" s="88" t="s">
        <v>223</v>
      </c>
      <c r="D12" s="89" t="s">
        <v>218</v>
      </c>
      <c r="E12" s="94">
        <f>TRUNC(15*9,2)</f>
        <v>135</v>
      </c>
      <c r="F12" s="83">
        <v>63.8</v>
      </c>
      <c r="G12" s="95">
        <f t="shared" si="0"/>
        <v>8613</v>
      </c>
    </row>
    <row r="13" spans="2:7" ht="33">
      <c r="B13" s="87">
        <f t="shared" si="1"/>
        <v>9</v>
      </c>
      <c r="C13" s="88" t="s">
        <v>226</v>
      </c>
      <c r="D13" s="89" t="s">
        <v>201</v>
      </c>
      <c r="E13" s="94">
        <v>30</v>
      </c>
      <c r="F13" s="83">
        <v>393.28</v>
      </c>
      <c r="G13" s="95">
        <f>TRUNC(E13*F13,2)</f>
        <v>11798.4</v>
      </c>
    </row>
    <row r="14" spans="2:7" ht="33">
      <c r="B14" s="87">
        <f t="shared" si="1"/>
        <v>10</v>
      </c>
      <c r="C14" s="88" t="s">
        <v>227</v>
      </c>
      <c r="D14" s="89" t="s">
        <v>201</v>
      </c>
      <c r="E14" s="94">
        <v>30</v>
      </c>
      <c r="F14" s="83">
        <v>655.45</v>
      </c>
      <c r="G14" s="95">
        <f t="shared" si="0"/>
        <v>19663.5</v>
      </c>
    </row>
    <row r="16" spans="2:7" ht="16.5" customHeight="1">
      <c r="B16" s="169" t="s">
        <v>189</v>
      </c>
      <c r="C16" s="169"/>
      <c r="D16" s="169"/>
      <c r="E16" s="97"/>
      <c r="F16" s="97"/>
      <c r="G16" s="97"/>
    </row>
    <row r="17" spans="2:7" ht="16.5">
      <c r="B17" s="15"/>
      <c r="C17" s="164"/>
      <c r="D17" s="165"/>
      <c r="E17" s="166"/>
      <c r="F17" s="22" t="s">
        <v>40</v>
      </c>
      <c r="G17" s="22" t="s">
        <v>43</v>
      </c>
    </row>
    <row r="18" spans="2:7" ht="16.5">
      <c r="B18" s="15" t="s">
        <v>5</v>
      </c>
      <c r="C18" s="93" t="str">
        <f>'Planilha Resumo'!$C$34</f>
        <v>Custos Indiretos</v>
      </c>
      <c r="D18" s="173"/>
      <c r="E18" s="57"/>
      <c r="F18" s="73">
        <f>'Planilha Resumo'!$F$34</f>
        <v>4.73</v>
      </c>
      <c r="G18" s="42">
        <f>ROUND(F18%*($G$28),2)</f>
        <v>10281.79</v>
      </c>
    </row>
    <row r="19" spans="2:7" ht="16.5">
      <c r="B19" s="19" t="s">
        <v>6</v>
      </c>
      <c r="C19" s="58" t="str">
        <f>'Planilha Resumo'!$C$35</f>
        <v>Lucro</v>
      </c>
      <c r="D19" s="163"/>
      <c r="E19" s="59"/>
      <c r="F19" s="73">
        <f>'Planilha Resumo'!$F$35</f>
        <v>5.57</v>
      </c>
      <c r="G19" s="42">
        <f>ROUND(F19%*($G$28+$G$18),2)</f>
        <v>12680.43</v>
      </c>
    </row>
    <row r="20" spans="2:7" ht="16.5">
      <c r="B20" s="19" t="s">
        <v>7</v>
      </c>
      <c r="C20" s="93" t="s">
        <v>90</v>
      </c>
      <c r="D20" s="173"/>
      <c r="E20" s="57"/>
      <c r="F20" s="74">
        <f>SUM(F21:F24)</f>
        <v>10.15</v>
      </c>
      <c r="G20" s="42">
        <f>SUM(G21:G24)</f>
        <v>27149.83</v>
      </c>
    </row>
    <row r="21" spans="2:7" ht="15">
      <c r="B21" s="26" t="s">
        <v>49</v>
      </c>
      <c r="C21" s="178" t="str">
        <f>'Planilha Resumo'!$C$37</f>
        <v>PIS</v>
      </c>
      <c r="D21" s="179"/>
      <c r="E21" s="180"/>
      <c r="F21" s="75">
        <f>'Planilha Resumo'!$F$37</f>
        <v>0.65</v>
      </c>
      <c r="G21" s="76">
        <f>ROUND(((($G$28+$G$18+$G$19))*F21%)/(1-$F$20%),2)</f>
        <v>1738.66</v>
      </c>
    </row>
    <row r="22" spans="2:7" ht="15">
      <c r="B22" s="26" t="s">
        <v>51</v>
      </c>
      <c r="C22" s="181" t="str">
        <f>'Planilha Resumo'!$C$38</f>
        <v>Cofins</v>
      </c>
      <c r="D22" s="182"/>
      <c r="E22" s="183"/>
      <c r="F22" s="75">
        <f>'Planilha Resumo'!$F$38</f>
        <v>3</v>
      </c>
      <c r="G22" s="76">
        <f>ROUND(((($G$28+$G$18+$G$19))*F22%)/(1-$F$20%),2)</f>
        <v>8024.58</v>
      </c>
    </row>
    <row r="23" spans="2:7" ht="15">
      <c r="B23" s="26" t="s">
        <v>53</v>
      </c>
      <c r="C23" s="178" t="str">
        <f>'Planilha Resumo'!$C$39</f>
        <v>ISS</v>
      </c>
      <c r="D23" s="179"/>
      <c r="E23" s="180"/>
      <c r="F23" s="75">
        <f>'Planilha Resumo'!$F$39</f>
        <v>2</v>
      </c>
      <c r="G23" s="76">
        <f>ROUND(((($G$28+$G$18+$G$19))*F23%)/(1-$F$20%),2)</f>
        <v>5349.72</v>
      </c>
    </row>
    <row r="24" spans="2:7" ht="15">
      <c r="B24" s="26" t="s">
        <v>194</v>
      </c>
      <c r="C24" s="181" t="str">
        <f>'Planilha Resumo'!$C$40</f>
        <v>CPRB (Somente se empresa optante pela desoneração fiscal)</v>
      </c>
      <c r="D24" s="182"/>
      <c r="E24" s="183"/>
      <c r="F24" s="75">
        <f>'Planilha Resumo'!$F$40</f>
        <v>4.5</v>
      </c>
      <c r="G24" s="76">
        <f>ROUND(((($G$28+$G$18+$G$19))*F24%)/(1-$F$20%),2)</f>
        <v>12036.87</v>
      </c>
    </row>
    <row r="25" spans="2:7" ht="16.5">
      <c r="B25" s="98" t="s">
        <v>63</v>
      </c>
      <c r="C25" s="99"/>
      <c r="D25" s="99"/>
      <c r="E25" s="99"/>
      <c r="F25" s="100"/>
      <c r="G25" s="77">
        <f>SUM(G18:G20)</f>
        <v>50112.05</v>
      </c>
    </row>
    <row r="26" spans="2:7" ht="50.25" customHeight="1">
      <c r="B26" s="174" t="s">
        <v>202</v>
      </c>
      <c r="C26" s="174"/>
      <c r="D26" s="174"/>
      <c r="E26" s="174"/>
      <c r="F26" s="174"/>
      <c r="G26" s="174"/>
    </row>
    <row r="27" spans="2:7" ht="16.5">
      <c r="B27" s="19"/>
      <c r="C27" s="164" t="s">
        <v>204</v>
      </c>
      <c r="D27" s="165"/>
      <c r="E27" s="165"/>
      <c r="F27" s="166"/>
      <c r="G27" s="22" t="s">
        <v>43</v>
      </c>
    </row>
    <row r="28" spans="2:7" ht="16.5">
      <c r="B28" s="19">
        <v>1</v>
      </c>
      <c r="C28" s="101" t="s">
        <v>205</v>
      </c>
      <c r="D28" s="102"/>
      <c r="E28" s="102"/>
      <c r="F28" s="103"/>
      <c r="G28" s="82">
        <f>G4</f>
        <v>217374</v>
      </c>
    </row>
    <row r="29" spans="2:7" ht="16.5">
      <c r="B29" s="87">
        <f>B28+1</f>
        <v>2</v>
      </c>
      <c r="C29" s="104" t="s">
        <v>46</v>
      </c>
      <c r="D29" s="105"/>
      <c r="E29" s="105"/>
      <c r="F29" s="106"/>
      <c r="G29" s="82">
        <f>G25</f>
        <v>50112.05</v>
      </c>
    </row>
    <row r="30" spans="2:7" ht="16.5" customHeight="1">
      <c r="B30" s="175" t="s">
        <v>203</v>
      </c>
      <c r="C30" s="176"/>
      <c r="D30" s="176"/>
      <c r="E30" s="176"/>
      <c r="F30" s="177"/>
      <c r="G30" s="77">
        <f>SUM(G28:G29)</f>
        <v>267486.05</v>
      </c>
    </row>
  </sheetData>
  <sheetProtection sheet="1" objects="1" scenarios="1"/>
  <mergeCells count="14">
    <mergeCell ref="B30:F30"/>
    <mergeCell ref="C20:E20"/>
    <mergeCell ref="C21:E21"/>
    <mergeCell ref="C22:E22"/>
    <mergeCell ref="C23:E23"/>
    <mergeCell ref="C24:E24"/>
    <mergeCell ref="C19:E19"/>
    <mergeCell ref="C27:F27"/>
    <mergeCell ref="B1:G1"/>
    <mergeCell ref="B16:D16"/>
    <mergeCell ref="C4:F4"/>
    <mergeCell ref="C17:E17"/>
    <mergeCell ref="C18:E18"/>
    <mergeCell ref="B26:G26"/>
  </mergeCells>
  <printOptions horizontalCentered="1"/>
  <pageMargins left="0.1968503937007874" right="0.1968503937007874" top="0.7874015748031497" bottom="0.7874015748031497" header="0.07874015748031496" footer="0.1968503937007874"/>
  <pageSetup fitToHeight="0" fitToWidth="1"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2.57421875" style="9" customWidth="1"/>
    <col min="2" max="2" width="8.8515625" style="97" customWidth="1"/>
    <col min="3" max="3" width="38.00390625" style="97" customWidth="1"/>
    <col min="4" max="5" width="7.57421875" style="97" customWidth="1"/>
    <col min="6" max="6" width="9.57421875" style="97" bestFit="1" customWidth="1"/>
    <col min="7" max="7" width="7.421875" style="97" customWidth="1"/>
    <col min="8" max="9" width="15.28125" style="97" customWidth="1"/>
    <col min="10" max="16384" width="11.421875" style="97" customWidth="1"/>
  </cols>
  <sheetData>
    <row r="1" spans="2:9" ht="50.25" customHeight="1">
      <c r="B1" s="137" t="s">
        <v>158</v>
      </c>
      <c r="C1" s="137"/>
      <c r="D1" s="137"/>
      <c r="E1" s="137"/>
      <c r="F1" s="137"/>
      <c r="G1" s="137"/>
      <c r="H1" s="137"/>
      <c r="I1" s="137"/>
    </row>
    <row r="2" spans="1:9" s="108" customFormat="1" ht="16.5">
      <c r="A2" s="9"/>
      <c r="B2" s="107"/>
      <c r="C2" s="107"/>
      <c r="D2" s="107"/>
      <c r="E2" s="107"/>
      <c r="F2" s="107"/>
      <c r="G2" s="107"/>
      <c r="H2" s="107"/>
      <c r="I2" s="107"/>
    </row>
    <row r="3" spans="1:9" s="108" customFormat="1" ht="16.5">
      <c r="A3" s="9"/>
      <c r="B3" s="186" t="s">
        <v>159</v>
      </c>
      <c r="C3" s="186" t="s">
        <v>215</v>
      </c>
      <c r="D3" s="186" t="s">
        <v>160</v>
      </c>
      <c r="E3" s="186"/>
      <c r="F3" s="186"/>
      <c r="G3" s="186"/>
      <c r="H3" s="187">
        <v>51824</v>
      </c>
      <c r="I3" s="187"/>
    </row>
    <row r="4" spans="1:9" s="108" customFormat="1" ht="16.5">
      <c r="A4" s="9"/>
      <c r="B4" s="186"/>
      <c r="C4" s="186"/>
      <c r="D4" s="186" t="s">
        <v>161</v>
      </c>
      <c r="E4" s="186"/>
      <c r="F4" s="186"/>
      <c r="G4" s="186"/>
      <c r="H4" s="187">
        <v>38037</v>
      </c>
      <c r="I4" s="187"/>
    </row>
    <row r="5" spans="1:9" s="108" customFormat="1" ht="16.5">
      <c r="A5" s="9"/>
      <c r="B5" s="15" t="s">
        <v>110</v>
      </c>
      <c r="C5" s="15" t="s">
        <v>111</v>
      </c>
      <c r="D5" s="148" t="s">
        <v>162</v>
      </c>
      <c r="E5" s="148"/>
      <c r="F5" s="15" t="s">
        <v>163</v>
      </c>
      <c r="G5" s="15" t="s">
        <v>164</v>
      </c>
      <c r="H5" s="15" t="s">
        <v>165</v>
      </c>
      <c r="I5" s="15" t="s">
        <v>166</v>
      </c>
    </row>
    <row r="6" spans="1:9" s="108" customFormat="1" ht="16.5">
      <c r="A6" s="9"/>
      <c r="B6" s="87">
        <v>1</v>
      </c>
      <c r="C6" s="88" t="s">
        <v>167</v>
      </c>
      <c r="D6" s="109">
        <f>ROUND(H25/'Planilha Resumo'!F11/35,2)</f>
        <v>2.28</v>
      </c>
      <c r="E6" s="89" t="s">
        <v>168</v>
      </c>
      <c r="F6" s="109">
        <f>ROUND(D6*'Planilha Resumo'!$F$11,2)</f>
        <v>50.16</v>
      </c>
      <c r="G6" s="89" t="s">
        <v>169</v>
      </c>
      <c r="H6" s="131">
        <v>5.46</v>
      </c>
      <c r="I6" s="110">
        <f>ROUND(F6*H6,2)</f>
        <v>273.87</v>
      </c>
    </row>
    <row r="7" spans="1:9" s="108" customFormat="1" ht="16.5">
      <c r="A7" s="46"/>
      <c r="B7" s="87">
        <v>2</v>
      </c>
      <c r="C7" s="88" t="s">
        <v>170</v>
      </c>
      <c r="D7" s="6">
        <v>13.5</v>
      </c>
      <c r="E7" s="89" t="s">
        <v>171</v>
      </c>
      <c r="F7" s="109" t="s">
        <v>115</v>
      </c>
      <c r="G7" s="89" t="s">
        <v>113</v>
      </c>
      <c r="H7" s="131">
        <v>7.58</v>
      </c>
      <c r="I7" s="110">
        <f>ROUND((H7*F7/D7)*$H$25,2)</f>
        <v>986.37</v>
      </c>
    </row>
    <row r="8" spans="1:10" s="108" customFormat="1" ht="16.5">
      <c r="A8" s="9"/>
      <c r="B8" s="87">
        <v>3</v>
      </c>
      <c r="C8" s="88" t="s">
        <v>172</v>
      </c>
      <c r="D8" s="109"/>
      <c r="E8" s="89"/>
      <c r="F8" s="109" t="s">
        <v>115</v>
      </c>
      <c r="G8" s="89" t="s">
        <v>173</v>
      </c>
      <c r="H8" s="110">
        <f>ROUND((H3-H4)/60,2)</f>
        <v>229.78</v>
      </c>
      <c r="I8" s="110">
        <f>ROUND(H8*F8,2)</f>
        <v>229.78</v>
      </c>
      <c r="J8" s="111"/>
    </row>
    <row r="9" spans="1:9" s="108" customFormat="1" ht="16.5">
      <c r="A9" s="9"/>
      <c r="B9" s="87">
        <v>4</v>
      </c>
      <c r="C9" s="88" t="s">
        <v>174</v>
      </c>
      <c r="D9" s="109"/>
      <c r="E9" s="89"/>
      <c r="F9" s="109" t="s">
        <v>115</v>
      </c>
      <c r="G9" s="89" t="s">
        <v>173</v>
      </c>
      <c r="H9" s="110">
        <f>I22</f>
        <v>123.08</v>
      </c>
      <c r="I9" s="110">
        <f>ROUND(H9*F9,2)</f>
        <v>123.08</v>
      </c>
    </row>
    <row r="10" spans="1:9" s="108" customFormat="1" ht="16.5">
      <c r="A10" s="9"/>
      <c r="B10" s="61" t="s">
        <v>192</v>
      </c>
      <c r="C10" s="61"/>
      <c r="D10" s="61"/>
      <c r="E10" s="61"/>
      <c r="F10" s="61"/>
      <c r="G10" s="61"/>
      <c r="H10" s="61"/>
      <c r="I10" s="112">
        <f>SUM(I6:I9)</f>
        <v>1613.1</v>
      </c>
    </row>
    <row r="11" spans="1:9" s="108" customFormat="1" ht="16.5">
      <c r="A11" s="9"/>
      <c r="B11" s="113"/>
      <c r="C11" s="114"/>
      <c r="D11" s="114"/>
      <c r="E11" s="114"/>
      <c r="F11" s="114"/>
      <c r="G11" s="114"/>
      <c r="H11" s="114"/>
      <c r="I11" s="7"/>
    </row>
    <row r="12" spans="1:9" s="108" customFormat="1" ht="16.5">
      <c r="A12" s="9"/>
      <c r="B12" s="115" t="s">
        <v>187</v>
      </c>
      <c r="C12" s="116"/>
      <c r="D12" s="116"/>
      <c r="E12" s="116"/>
      <c r="F12" s="116"/>
      <c r="G12" s="116"/>
      <c r="H12" s="116"/>
      <c r="I12" s="116"/>
    </row>
    <row r="13" spans="1:9" s="108" customFormat="1" ht="16.5">
      <c r="A13" s="9"/>
      <c r="B13" s="15" t="s">
        <v>110</v>
      </c>
      <c r="C13" s="15" t="s">
        <v>111</v>
      </c>
      <c r="D13" s="148" t="s">
        <v>162</v>
      </c>
      <c r="E13" s="148"/>
      <c r="F13" s="15" t="s">
        <v>163</v>
      </c>
      <c r="G13" s="15" t="s">
        <v>164</v>
      </c>
      <c r="H13" s="15" t="s">
        <v>175</v>
      </c>
      <c r="I13" s="15" t="s">
        <v>176</v>
      </c>
    </row>
    <row r="14" spans="1:9" s="108" customFormat="1" ht="16.5">
      <c r="A14" s="9"/>
      <c r="B14" s="184" t="s">
        <v>133</v>
      </c>
      <c r="C14" s="88" t="s">
        <v>177</v>
      </c>
      <c r="D14" s="109">
        <v>1</v>
      </c>
      <c r="E14" s="89" t="s">
        <v>178</v>
      </c>
      <c r="F14" s="109">
        <v>3</v>
      </c>
      <c r="G14" s="89" t="s">
        <v>40</v>
      </c>
      <c r="H14" s="110">
        <f>H3</f>
        <v>51824</v>
      </c>
      <c r="I14" s="110">
        <f>ROUND(F14%*H14,2)</f>
        <v>1554.72</v>
      </c>
    </row>
    <row r="15" spans="1:9" s="108" customFormat="1" ht="16.5">
      <c r="A15" s="9"/>
      <c r="B15" s="184"/>
      <c r="C15" s="88" t="s">
        <v>179</v>
      </c>
      <c r="D15" s="109">
        <v>1</v>
      </c>
      <c r="E15" s="89" t="s">
        <v>178</v>
      </c>
      <c r="F15" s="109">
        <v>3</v>
      </c>
      <c r="G15" s="89" t="s">
        <v>40</v>
      </c>
      <c r="H15" s="110">
        <f>ROUND(H14-(12*$I$8),2)</f>
        <v>49066.64</v>
      </c>
      <c r="I15" s="110">
        <f>ROUND(F15%*H15,2)</f>
        <v>1472</v>
      </c>
    </row>
    <row r="16" spans="1:9" s="108" customFormat="1" ht="16.5">
      <c r="A16" s="46"/>
      <c r="B16" s="184"/>
      <c r="C16" s="88" t="s">
        <v>180</v>
      </c>
      <c r="D16" s="109">
        <v>1</v>
      </c>
      <c r="E16" s="89" t="s">
        <v>178</v>
      </c>
      <c r="F16" s="109">
        <v>3</v>
      </c>
      <c r="G16" s="89" t="s">
        <v>40</v>
      </c>
      <c r="H16" s="110">
        <f>ROUND(H15-(12*$I$8),2)</f>
        <v>46309.28</v>
      </c>
      <c r="I16" s="110">
        <f>ROUND(F16%*H16,2)</f>
        <v>1389.28</v>
      </c>
    </row>
    <row r="17" spans="1:9" s="108" customFormat="1" ht="16.5">
      <c r="A17" s="9"/>
      <c r="B17" s="184"/>
      <c r="C17" s="88" t="s">
        <v>181</v>
      </c>
      <c r="D17" s="109">
        <v>1</v>
      </c>
      <c r="E17" s="89" t="s">
        <v>178</v>
      </c>
      <c r="F17" s="109">
        <v>3</v>
      </c>
      <c r="G17" s="89" t="s">
        <v>40</v>
      </c>
      <c r="H17" s="110">
        <f>ROUND(H16-(12*$I$8),2)</f>
        <v>43551.92</v>
      </c>
      <c r="I17" s="110">
        <f>ROUND(F17%*H17,2)</f>
        <v>1306.56</v>
      </c>
    </row>
    <row r="18" spans="1:9" s="108" customFormat="1" ht="16.5">
      <c r="A18" s="9"/>
      <c r="B18" s="184"/>
      <c r="C18" s="88" t="s">
        <v>182</v>
      </c>
      <c r="D18" s="109">
        <v>1</v>
      </c>
      <c r="E18" s="89" t="s">
        <v>178</v>
      </c>
      <c r="F18" s="109">
        <v>3</v>
      </c>
      <c r="G18" s="89" t="s">
        <v>40</v>
      </c>
      <c r="H18" s="110">
        <f>ROUND(H17-(12*$I$8),2)</f>
        <v>40794.56</v>
      </c>
      <c r="I18" s="110">
        <f>ROUND(F18%*H18,2)</f>
        <v>1223.84</v>
      </c>
    </row>
    <row r="19" spans="1:9" s="108" customFormat="1" ht="16.5">
      <c r="A19" s="9"/>
      <c r="B19" s="184"/>
      <c r="C19" s="185" t="s">
        <v>183</v>
      </c>
      <c r="D19" s="185"/>
      <c r="E19" s="185"/>
      <c r="F19" s="185"/>
      <c r="G19" s="185"/>
      <c r="H19" s="185"/>
      <c r="I19" s="117">
        <f>AVERAGE(I14:I18)</f>
        <v>1389.28</v>
      </c>
    </row>
    <row r="20" spans="1:9" s="108" customFormat="1" ht="16.5">
      <c r="A20" s="9"/>
      <c r="B20" s="87" t="s">
        <v>134</v>
      </c>
      <c r="C20" s="88" t="s">
        <v>184</v>
      </c>
      <c r="D20" s="109">
        <v>1</v>
      </c>
      <c r="E20" s="89" t="s">
        <v>178</v>
      </c>
      <c r="F20" s="109">
        <v>1</v>
      </c>
      <c r="G20" s="89" t="s">
        <v>114</v>
      </c>
      <c r="H20" s="110">
        <v>0</v>
      </c>
      <c r="I20" s="110">
        <f>ROUND(F20*H20,2)</f>
        <v>0</v>
      </c>
    </row>
    <row r="21" spans="1:9" s="108" customFormat="1" ht="16.5">
      <c r="A21" s="9"/>
      <c r="B21" s="87" t="s">
        <v>135</v>
      </c>
      <c r="C21" s="88" t="s">
        <v>185</v>
      </c>
      <c r="D21" s="109">
        <v>1</v>
      </c>
      <c r="E21" s="89" t="s">
        <v>178</v>
      </c>
      <c r="F21" s="109">
        <v>1</v>
      </c>
      <c r="G21" s="89" t="s">
        <v>114</v>
      </c>
      <c r="H21" s="110">
        <v>87.66</v>
      </c>
      <c r="I21" s="110">
        <f>ROUND(F21*H21,2)</f>
        <v>87.66</v>
      </c>
    </row>
    <row r="22" spans="1:9" s="108" customFormat="1" ht="16.5">
      <c r="A22" s="9"/>
      <c r="B22" s="61" t="s">
        <v>63</v>
      </c>
      <c r="C22" s="61" t="s">
        <v>186</v>
      </c>
      <c r="D22" s="61"/>
      <c r="E22" s="61"/>
      <c r="F22" s="61"/>
      <c r="G22" s="61"/>
      <c r="H22" s="61"/>
      <c r="I22" s="112">
        <f>ROUND(SUM(I19:I21)/12,2)</f>
        <v>123.08</v>
      </c>
    </row>
    <row r="23" s="108" customFormat="1" ht="16.5">
      <c r="A23" s="9"/>
    </row>
    <row r="24" spans="1:9" s="108" customFormat="1" ht="16.5">
      <c r="A24" s="46"/>
      <c r="B24" s="118" t="s">
        <v>188</v>
      </c>
      <c r="C24" s="119"/>
      <c r="D24" s="119"/>
      <c r="E24" s="119"/>
      <c r="F24" s="119"/>
      <c r="G24" s="119"/>
      <c r="H24" s="126"/>
      <c r="I24" s="127"/>
    </row>
    <row r="25" spans="1:10" s="108" customFormat="1" ht="16.5" customHeight="1">
      <c r="A25" s="9"/>
      <c r="B25" s="188" t="s">
        <v>234</v>
      </c>
      <c r="C25" s="189"/>
      <c r="D25" s="189"/>
      <c r="E25" s="189"/>
      <c r="F25" s="189"/>
      <c r="G25" s="190"/>
      <c r="H25" s="128">
        <v>1756.72</v>
      </c>
      <c r="I25" s="108" t="s">
        <v>157</v>
      </c>
      <c r="J25" s="129"/>
    </row>
    <row r="26" spans="1:9" s="108" customFormat="1" ht="16.5">
      <c r="A26" s="9"/>
      <c r="B26" s="130"/>
      <c r="C26" s="130"/>
      <c r="D26" s="130"/>
      <c r="E26" s="130"/>
      <c r="F26" s="130"/>
      <c r="G26" s="130"/>
      <c r="H26" s="130"/>
      <c r="I26" s="130"/>
    </row>
    <row r="27" spans="2:6" ht="16.5" customHeight="1">
      <c r="B27" s="140" t="s">
        <v>189</v>
      </c>
      <c r="C27" s="140"/>
      <c r="D27" s="140"/>
      <c r="E27" s="140"/>
      <c r="F27" s="140"/>
    </row>
    <row r="28" spans="2:9" ht="16.5">
      <c r="B28" s="15"/>
      <c r="C28" s="164" t="s">
        <v>46</v>
      </c>
      <c r="D28" s="165"/>
      <c r="E28" s="165"/>
      <c r="F28" s="165"/>
      <c r="G28" s="166"/>
      <c r="H28" s="22" t="s">
        <v>40</v>
      </c>
      <c r="I28" s="22" t="s">
        <v>43</v>
      </c>
    </row>
    <row r="29" spans="2:9" ht="16.5">
      <c r="B29" s="15" t="s">
        <v>5</v>
      </c>
      <c r="C29" s="93" t="str">
        <f>'Planilha Resumo'!$C$34</f>
        <v>Custos Indiretos</v>
      </c>
      <c r="D29" s="173"/>
      <c r="E29" s="173"/>
      <c r="F29" s="173"/>
      <c r="G29" s="57"/>
      <c r="H29" s="73">
        <f>'Planilha Resumo'!$F$34</f>
        <v>4.73</v>
      </c>
      <c r="I29" s="42">
        <f>ROUND(H29%*($I$39),2)</f>
        <v>228.9</v>
      </c>
    </row>
    <row r="30" spans="2:9" ht="16.5">
      <c r="B30" s="19" t="s">
        <v>6</v>
      </c>
      <c r="C30" s="58" t="str">
        <f>'Planilha Resumo'!$C$35</f>
        <v>Lucro</v>
      </c>
      <c r="D30" s="163"/>
      <c r="E30" s="163"/>
      <c r="F30" s="163"/>
      <c r="G30" s="59"/>
      <c r="H30" s="73">
        <f>'Planilha Resumo'!$F$35</f>
        <v>5.57</v>
      </c>
      <c r="I30" s="42">
        <f>ROUND(H30%*($I$39+$I$29),2)</f>
        <v>282.3</v>
      </c>
    </row>
    <row r="31" spans="2:9" ht="16.5">
      <c r="B31" s="19" t="s">
        <v>7</v>
      </c>
      <c r="C31" s="93" t="s">
        <v>90</v>
      </c>
      <c r="D31" s="173"/>
      <c r="E31" s="173"/>
      <c r="F31" s="173"/>
      <c r="G31" s="57"/>
      <c r="H31" s="74">
        <f>SUM(H32:H35)</f>
        <v>10.15</v>
      </c>
      <c r="I31" s="42">
        <f>SUM(I32:I35)</f>
        <v>604.4300000000001</v>
      </c>
    </row>
    <row r="32" spans="2:9" ht="15">
      <c r="B32" s="26" t="s">
        <v>49</v>
      </c>
      <c r="C32" s="178" t="str">
        <f>'Planilha Resumo'!$C$37</f>
        <v>PIS</v>
      </c>
      <c r="D32" s="179"/>
      <c r="E32" s="179"/>
      <c r="F32" s="179"/>
      <c r="G32" s="180"/>
      <c r="H32" s="75">
        <f>'Planilha Resumo'!$F$37</f>
        <v>0.65</v>
      </c>
      <c r="I32" s="76">
        <f>ROUND((($I$39+$I$29+$I$30)*H32%)/(1-$H$31%),2)</f>
        <v>38.71</v>
      </c>
    </row>
    <row r="33" spans="1:9" ht="14.25">
      <c r="A33" s="46"/>
      <c r="B33" s="26" t="s">
        <v>51</v>
      </c>
      <c r="C33" s="181" t="str">
        <f>'Planilha Resumo'!$C$38</f>
        <v>Cofins</v>
      </c>
      <c r="D33" s="182"/>
      <c r="E33" s="182"/>
      <c r="F33" s="182"/>
      <c r="G33" s="183"/>
      <c r="H33" s="75">
        <f>'Planilha Resumo'!$F$38</f>
        <v>3</v>
      </c>
      <c r="I33" s="76">
        <f>ROUND((($I$39+$I$29+$I$30)*H33%)/(1-$H$31%),2)</f>
        <v>178.65</v>
      </c>
    </row>
    <row r="34" spans="2:9" ht="15">
      <c r="B34" s="26" t="s">
        <v>53</v>
      </c>
      <c r="C34" s="178" t="str">
        <f>'Planilha Resumo'!$C$39</f>
        <v>ISS</v>
      </c>
      <c r="D34" s="179"/>
      <c r="E34" s="179"/>
      <c r="F34" s="179"/>
      <c r="G34" s="180"/>
      <c r="H34" s="75">
        <f>'Planilha Resumo'!$F$39</f>
        <v>2</v>
      </c>
      <c r="I34" s="76">
        <f>ROUND((($I$39+$I$29+$I$30)*H34%)/(1-$H$31%),2)</f>
        <v>119.1</v>
      </c>
    </row>
    <row r="35" spans="2:9" ht="15" customHeight="1">
      <c r="B35" s="26" t="s">
        <v>194</v>
      </c>
      <c r="C35" s="181" t="str">
        <f>'Planilha Resumo'!$C$40</f>
        <v>CPRB (Somente se empresa optante pela desoneração fiscal)</v>
      </c>
      <c r="D35" s="182"/>
      <c r="E35" s="182"/>
      <c r="F35" s="182"/>
      <c r="G35" s="183"/>
      <c r="H35" s="75">
        <f>'Planilha Resumo'!$F$40</f>
        <v>4.5</v>
      </c>
      <c r="I35" s="76">
        <f>ROUND((($I$39+$I$29+$I$30)*H35%)/(1-$H$31%),2)</f>
        <v>267.97</v>
      </c>
    </row>
    <row r="36" spans="2:9" ht="16.5">
      <c r="B36" s="164" t="s">
        <v>63</v>
      </c>
      <c r="C36" s="165"/>
      <c r="D36" s="165"/>
      <c r="E36" s="165"/>
      <c r="F36" s="165"/>
      <c r="G36" s="165"/>
      <c r="H36" s="166"/>
      <c r="I36" s="77">
        <f>SUM(I29:I31)</f>
        <v>1115.63</v>
      </c>
    </row>
    <row r="37" spans="2:6" ht="20.25">
      <c r="B37" s="78" t="s">
        <v>190</v>
      </c>
      <c r="C37" s="79"/>
      <c r="D37" s="79"/>
      <c r="E37" s="79"/>
      <c r="F37" s="80"/>
    </row>
    <row r="38" spans="2:9" ht="16.5">
      <c r="B38" s="19"/>
      <c r="C38" s="164" t="s">
        <v>199</v>
      </c>
      <c r="D38" s="165"/>
      <c r="E38" s="165"/>
      <c r="F38" s="165"/>
      <c r="G38" s="166"/>
      <c r="H38" s="22" t="s">
        <v>163</v>
      </c>
      <c r="I38" s="22" t="s">
        <v>94</v>
      </c>
    </row>
    <row r="39" spans="2:9" ht="16.5">
      <c r="B39" s="15">
        <v>1</v>
      </c>
      <c r="C39" s="93" t="s">
        <v>191</v>
      </c>
      <c r="D39" s="173"/>
      <c r="E39" s="173"/>
      <c r="F39" s="173"/>
      <c r="G39" s="57"/>
      <c r="H39" s="73">
        <v>3</v>
      </c>
      <c r="I39" s="42">
        <f>ROUND(I10*H39,2)</f>
        <v>4839.3</v>
      </c>
    </row>
    <row r="40" spans="2:9" ht="16.5">
      <c r="B40" s="19">
        <v>2</v>
      </c>
      <c r="C40" s="58" t="s">
        <v>46</v>
      </c>
      <c r="D40" s="163"/>
      <c r="E40" s="163"/>
      <c r="F40" s="163"/>
      <c r="G40" s="59"/>
      <c r="H40" s="73"/>
      <c r="I40" s="42">
        <f>I36</f>
        <v>1115.63</v>
      </c>
    </row>
    <row r="41" spans="2:9" ht="16.5" customHeight="1">
      <c r="B41" s="164" t="s">
        <v>193</v>
      </c>
      <c r="C41" s="165"/>
      <c r="D41" s="165"/>
      <c r="E41" s="165"/>
      <c r="F41" s="165"/>
      <c r="G41" s="165"/>
      <c r="H41" s="166"/>
      <c r="I41" s="77">
        <f>SUM(I39:I40)</f>
        <v>5954.93</v>
      </c>
    </row>
  </sheetData>
  <sheetProtection sheet="1" objects="1" scenarios="1"/>
  <mergeCells count="28">
    <mergeCell ref="C31:G31"/>
    <mergeCell ref="C32:G32"/>
    <mergeCell ref="C33:G33"/>
    <mergeCell ref="C34:G34"/>
    <mergeCell ref="B41:H41"/>
    <mergeCell ref="C3:C4"/>
    <mergeCell ref="D3:G3"/>
    <mergeCell ref="H3:I3"/>
    <mergeCell ref="D4:G4"/>
    <mergeCell ref="H4:I4"/>
    <mergeCell ref="B3:B4"/>
    <mergeCell ref="B25:G25"/>
    <mergeCell ref="B27:F27"/>
    <mergeCell ref="C28:G28"/>
    <mergeCell ref="C40:G40"/>
    <mergeCell ref="B1:I1"/>
    <mergeCell ref="B10:H10"/>
    <mergeCell ref="B22:H22"/>
    <mergeCell ref="B14:B19"/>
    <mergeCell ref="D5:E5"/>
    <mergeCell ref="D13:E13"/>
    <mergeCell ref="C19:H19"/>
    <mergeCell ref="C29:G29"/>
    <mergeCell ref="C30:G30"/>
    <mergeCell ref="C35:G35"/>
    <mergeCell ref="B36:H36"/>
    <mergeCell ref="C38:G38"/>
    <mergeCell ref="C39:G39"/>
  </mergeCells>
  <printOptions horizontalCentered="1"/>
  <pageMargins left="0.1968503937007874" right="0.1968503937007874" top="0.7874015748031497" bottom="0.7874015748031497" header="0.07874015748031496" footer="0.1968503937007874"/>
  <pageSetup fitToHeight="0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8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9" customWidth="1"/>
    <col min="2" max="2" width="9.00390625" style="9" customWidth="1"/>
    <col min="3" max="3" width="51.140625" style="9" bestFit="1" customWidth="1"/>
    <col min="4" max="4" width="14.00390625" style="9" customWidth="1"/>
    <col min="5" max="5" width="8.7109375" style="9" customWidth="1"/>
    <col min="6" max="6" width="15.7109375" style="9" bestFit="1" customWidth="1"/>
    <col min="7" max="16384" width="9.140625" style="9" customWidth="1"/>
  </cols>
  <sheetData>
    <row r="1" spans="2:6" ht="16.5">
      <c r="B1" s="151" t="s">
        <v>18</v>
      </c>
      <c r="C1" s="151"/>
      <c r="D1" s="151"/>
      <c r="E1" s="151"/>
      <c r="F1" s="151"/>
    </row>
    <row r="2" spans="2:6" ht="16.5">
      <c r="B2" s="14">
        <v>1</v>
      </c>
      <c r="C2" s="41" t="s">
        <v>19</v>
      </c>
      <c r="D2" s="29" t="s">
        <v>209</v>
      </c>
      <c r="E2" s="29"/>
      <c r="F2" s="29"/>
    </row>
    <row r="3" spans="2:6" ht="16.5">
      <c r="B3" s="14">
        <v>2</v>
      </c>
      <c r="C3" s="41" t="s">
        <v>20</v>
      </c>
      <c r="D3" s="157" t="s">
        <v>228</v>
      </c>
      <c r="E3" s="157"/>
      <c r="F3" s="157"/>
    </row>
    <row r="4" spans="2:6" ht="16.5">
      <c r="B4" s="14">
        <v>3</v>
      </c>
      <c r="C4" s="158" t="s">
        <v>99</v>
      </c>
      <c r="D4" s="158"/>
      <c r="E4" s="158"/>
      <c r="F4" s="3">
        <v>44317</v>
      </c>
    </row>
    <row r="5" spans="2:6" ht="16.5">
      <c r="B5" s="14">
        <v>4</v>
      </c>
      <c r="C5" s="124" t="s">
        <v>21</v>
      </c>
      <c r="D5" s="160"/>
      <c r="E5" s="125"/>
      <c r="F5" s="42">
        <f>'Planilha Resumo'!F26</f>
        <v>1212</v>
      </c>
    </row>
    <row r="6" spans="2:6" ht="16.5">
      <c r="B6" s="14">
        <v>5</v>
      </c>
      <c r="C6" s="41" t="s">
        <v>156</v>
      </c>
      <c r="D6" s="159" t="s">
        <v>243</v>
      </c>
      <c r="E6" s="159"/>
      <c r="F6" s="159"/>
    </row>
    <row r="7" spans="2:6" s="46" customFormat="1" ht="9">
      <c r="B7" s="43"/>
      <c r="C7" s="44"/>
      <c r="D7" s="44"/>
      <c r="E7" s="44"/>
      <c r="F7" s="45"/>
    </row>
    <row r="8" spans="2:6" ht="25.5">
      <c r="B8" s="47" t="s">
        <v>22</v>
      </c>
      <c r="C8" s="48"/>
      <c r="D8" s="48"/>
      <c r="E8" s="48"/>
      <c r="F8" s="48"/>
    </row>
    <row r="9" spans="2:6" ht="16.5">
      <c r="B9" s="49" t="s">
        <v>23</v>
      </c>
      <c r="C9" s="50"/>
      <c r="D9" s="50"/>
      <c r="E9" s="51"/>
      <c r="F9" s="51"/>
    </row>
    <row r="10" spans="2:6" ht="16.5" customHeight="1">
      <c r="B10" s="15">
        <v>1</v>
      </c>
      <c r="C10" s="91" t="s">
        <v>24</v>
      </c>
      <c r="D10" s="92"/>
      <c r="E10" s="22" t="s">
        <v>40</v>
      </c>
      <c r="F10" s="22" t="s">
        <v>43</v>
      </c>
    </row>
    <row r="11" spans="2:6" ht="16.5">
      <c r="B11" s="15" t="s">
        <v>5</v>
      </c>
      <c r="C11" s="93" t="s">
        <v>25</v>
      </c>
      <c r="D11" s="57"/>
      <c r="E11" s="52"/>
      <c r="F11" s="2">
        <v>16109.66</v>
      </c>
    </row>
    <row r="12" spans="2:6" ht="16.5">
      <c r="B12" s="15" t="s">
        <v>6</v>
      </c>
      <c r="C12" s="58" t="s">
        <v>26</v>
      </c>
      <c r="D12" s="59"/>
      <c r="E12" s="39"/>
      <c r="F12" s="42">
        <f>ROUND((E12*$F$11),2)</f>
        <v>0</v>
      </c>
    </row>
    <row r="13" spans="2:6" ht="16.5">
      <c r="B13" s="15" t="s">
        <v>7</v>
      </c>
      <c r="C13" s="93" t="s">
        <v>27</v>
      </c>
      <c r="D13" s="57"/>
      <c r="E13" s="39"/>
      <c r="F13" s="42">
        <f>ROUND((E13*$F$11),2)</f>
        <v>0</v>
      </c>
    </row>
    <row r="14" spans="2:6" ht="16.5">
      <c r="B14" s="15" t="s">
        <v>9</v>
      </c>
      <c r="C14" s="58" t="s">
        <v>28</v>
      </c>
      <c r="D14" s="59"/>
      <c r="E14" s="39"/>
      <c r="F14" s="42">
        <f>ROUND((E14*$F$5),2)</f>
        <v>0</v>
      </c>
    </row>
    <row r="15" spans="2:6" ht="16.5">
      <c r="B15" s="139" t="s">
        <v>63</v>
      </c>
      <c r="C15" s="139"/>
      <c r="D15" s="139"/>
      <c r="E15" s="139"/>
      <c r="F15" s="53">
        <f>SUM(F11:F14)</f>
        <v>16109.66</v>
      </c>
    </row>
    <row r="16" spans="2:6" s="46" customFormat="1" ht="9">
      <c r="B16" s="43"/>
      <c r="C16" s="44"/>
      <c r="D16" s="44"/>
      <c r="E16" s="44"/>
      <c r="F16" s="45"/>
    </row>
    <row r="17" spans="2:6" ht="16.5">
      <c r="B17" s="49" t="s">
        <v>31</v>
      </c>
      <c r="C17" s="50"/>
      <c r="D17" s="50"/>
      <c r="E17" s="54"/>
      <c r="F17" s="54"/>
    </row>
    <row r="18" spans="2:6" ht="16.5">
      <c r="B18" s="49" t="s">
        <v>64</v>
      </c>
      <c r="C18" s="55"/>
      <c r="D18" s="56"/>
      <c r="E18" s="62"/>
      <c r="F18" s="62"/>
    </row>
    <row r="19" spans="2:6" ht="16.5">
      <c r="B19" s="15" t="s">
        <v>65</v>
      </c>
      <c r="C19" s="60" t="s">
        <v>66</v>
      </c>
      <c r="D19" s="60"/>
      <c r="E19" s="22" t="s">
        <v>40</v>
      </c>
      <c r="F19" s="22" t="s">
        <v>43</v>
      </c>
    </row>
    <row r="20" spans="2:6" ht="16.5">
      <c r="B20" s="15" t="s">
        <v>5</v>
      </c>
      <c r="C20" s="120" t="s">
        <v>67</v>
      </c>
      <c r="D20" s="120"/>
      <c r="E20" s="52">
        <f>ROUND((1/12)*100,2)</f>
        <v>8.33</v>
      </c>
      <c r="F20" s="42">
        <f>ROUND((E20%*$F$83),2)</f>
        <v>1341.93</v>
      </c>
    </row>
    <row r="21" spans="2:6" ht="16.5">
      <c r="B21" s="19" t="s">
        <v>6</v>
      </c>
      <c r="C21" s="90" t="s">
        <v>68</v>
      </c>
      <c r="D21" s="90"/>
      <c r="E21" s="63">
        <f>ROUND((1/3*1/12)*100,2)</f>
        <v>2.78</v>
      </c>
      <c r="F21" s="42">
        <f>ROUND((E21%*$F$83),2)</f>
        <v>447.85</v>
      </c>
    </row>
    <row r="22" spans="2:6" ht="16.5">
      <c r="B22" s="141" t="s">
        <v>63</v>
      </c>
      <c r="C22" s="141"/>
      <c r="D22" s="141"/>
      <c r="E22" s="141"/>
      <c r="F22" s="64">
        <f>SUM(F20:F21)</f>
        <v>1789.7800000000002</v>
      </c>
    </row>
    <row r="23" spans="2:6" ht="16.5" customHeight="1">
      <c r="B23" s="161" t="s">
        <v>69</v>
      </c>
      <c r="C23" s="161"/>
      <c r="D23" s="161"/>
      <c r="E23" s="161"/>
      <c r="F23" s="161"/>
    </row>
    <row r="24" spans="2:6" ht="33" customHeight="1">
      <c r="B24" s="15" t="s">
        <v>70</v>
      </c>
      <c r="C24" s="60" t="s">
        <v>71</v>
      </c>
      <c r="D24" s="60"/>
      <c r="E24" s="22" t="s">
        <v>40</v>
      </c>
      <c r="F24" s="22" t="s">
        <v>43</v>
      </c>
    </row>
    <row r="25" spans="2:6" ht="16.5">
      <c r="B25" s="15" t="s">
        <v>5</v>
      </c>
      <c r="C25" s="120" t="s">
        <v>72</v>
      </c>
      <c r="D25" s="120"/>
      <c r="E25" s="65">
        <f>IF('Planilha Resumo'!F21="NÃO",20,0)</f>
        <v>0</v>
      </c>
      <c r="F25" s="42">
        <f aca="true" t="shared" si="0" ref="F25:F32">ROUND((E25%*($F$83+$F$22)),2)</f>
        <v>0</v>
      </c>
    </row>
    <row r="26" spans="2:6" ht="16.5">
      <c r="B26" s="19" t="s">
        <v>6</v>
      </c>
      <c r="C26" s="144" t="s">
        <v>73</v>
      </c>
      <c r="D26" s="144"/>
      <c r="E26" s="63">
        <v>2.5</v>
      </c>
      <c r="F26" s="42">
        <f t="shared" si="0"/>
        <v>447.49</v>
      </c>
    </row>
    <row r="27" spans="2:6" ht="16.5">
      <c r="B27" s="19" t="s">
        <v>7</v>
      </c>
      <c r="C27" s="120" t="s">
        <v>74</v>
      </c>
      <c r="D27" s="120"/>
      <c r="E27" s="65">
        <v>3</v>
      </c>
      <c r="F27" s="42">
        <f t="shared" si="0"/>
        <v>536.98</v>
      </c>
    </row>
    <row r="28" spans="2:6" ht="16.5">
      <c r="B28" s="19" t="s">
        <v>9</v>
      </c>
      <c r="C28" s="144" t="s">
        <v>75</v>
      </c>
      <c r="D28" s="144"/>
      <c r="E28" s="63">
        <v>1.5</v>
      </c>
      <c r="F28" s="42">
        <f t="shared" si="0"/>
        <v>268.49</v>
      </c>
    </row>
    <row r="29" spans="2:6" ht="16.5">
      <c r="B29" s="19" t="s">
        <v>10</v>
      </c>
      <c r="C29" s="120" t="s">
        <v>76</v>
      </c>
      <c r="D29" s="120"/>
      <c r="E29" s="65">
        <v>1</v>
      </c>
      <c r="F29" s="42">
        <f t="shared" si="0"/>
        <v>178.99</v>
      </c>
    </row>
    <row r="30" spans="2:6" ht="16.5">
      <c r="B30" s="19" t="s">
        <v>29</v>
      </c>
      <c r="C30" s="144" t="s">
        <v>77</v>
      </c>
      <c r="D30" s="144"/>
      <c r="E30" s="63">
        <v>0.6</v>
      </c>
      <c r="F30" s="42">
        <f t="shared" si="0"/>
        <v>107.4</v>
      </c>
    </row>
    <row r="31" spans="2:6" ht="16.5">
      <c r="B31" s="19" t="s">
        <v>30</v>
      </c>
      <c r="C31" s="120" t="s">
        <v>78</v>
      </c>
      <c r="D31" s="120"/>
      <c r="E31" s="65">
        <v>0.2</v>
      </c>
      <c r="F31" s="42">
        <f t="shared" si="0"/>
        <v>35.8</v>
      </c>
    </row>
    <row r="32" spans="2:6" ht="16.5">
      <c r="B32" s="19" t="s">
        <v>62</v>
      </c>
      <c r="C32" s="144" t="s">
        <v>79</v>
      </c>
      <c r="D32" s="144"/>
      <c r="E32" s="63">
        <v>8</v>
      </c>
      <c r="F32" s="42">
        <f t="shared" si="0"/>
        <v>1431.96</v>
      </c>
    </row>
    <row r="33" spans="2:6" ht="16.5">
      <c r="B33" s="61" t="s">
        <v>63</v>
      </c>
      <c r="C33" s="61"/>
      <c r="D33" s="61"/>
      <c r="E33" s="66">
        <f>SUM(E25:E32)</f>
        <v>16.799999999999997</v>
      </c>
      <c r="F33" s="67">
        <f>SUM(F25:F32)</f>
        <v>3007.11</v>
      </c>
    </row>
    <row r="34" spans="2:6" ht="16.5">
      <c r="B34" s="49" t="s">
        <v>32</v>
      </c>
      <c r="C34" s="10"/>
      <c r="D34" s="10"/>
      <c r="E34" s="10"/>
      <c r="F34" s="10"/>
    </row>
    <row r="35" spans="2:6" ht="16.5">
      <c r="B35" s="15" t="s">
        <v>33</v>
      </c>
      <c r="C35" s="91" t="s">
        <v>34</v>
      </c>
      <c r="D35" s="92"/>
      <c r="E35" s="22" t="s">
        <v>108</v>
      </c>
      <c r="F35" s="22" t="s">
        <v>35</v>
      </c>
    </row>
    <row r="36" spans="2:6" ht="16.5">
      <c r="B36" s="15" t="s">
        <v>5</v>
      </c>
      <c r="C36" s="124" t="s">
        <v>100</v>
      </c>
      <c r="D36" s="125"/>
      <c r="E36" s="38">
        <v>11</v>
      </c>
      <c r="F36" s="42">
        <f>ROUND(E36*$F$40,2)</f>
        <v>242</v>
      </c>
    </row>
    <row r="37" spans="2:6" ht="16.5">
      <c r="B37" s="68" t="s">
        <v>104</v>
      </c>
      <c r="C37" s="122" t="s">
        <v>106</v>
      </c>
      <c r="D37" s="123"/>
      <c r="E37" s="39">
        <v>0.06</v>
      </c>
      <c r="F37" s="69">
        <f>IF((E37*F11)&gt;=F36,-F36,ROUND(-(E37*F11),2))</f>
        <v>-242</v>
      </c>
    </row>
    <row r="38" spans="2:6" ht="16.5">
      <c r="B38" s="15" t="s">
        <v>6</v>
      </c>
      <c r="C38" s="124" t="s">
        <v>101</v>
      </c>
      <c r="D38" s="125"/>
      <c r="E38" s="38">
        <v>27.03</v>
      </c>
      <c r="F38" s="42">
        <f>ROUND(E38*$F$40,2)</f>
        <v>594.66</v>
      </c>
    </row>
    <row r="39" spans="2:6" ht="16.5">
      <c r="B39" s="68" t="s">
        <v>105</v>
      </c>
      <c r="C39" s="122" t="s">
        <v>107</v>
      </c>
      <c r="D39" s="123"/>
      <c r="E39" s="39">
        <v>0.1</v>
      </c>
      <c r="F39" s="69">
        <f>-ROUND((E39*F38),2)</f>
        <v>-59.47</v>
      </c>
    </row>
    <row r="40" spans="2:6" ht="16.5">
      <c r="B40" s="15" t="s">
        <v>7</v>
      </c>
      <c r="C40" s="90" t="s">
        <v>61</v>
      </c>
      <c r="D40" s="90"/>
      <c r="E40" s="90"/>
      <c r="F40" s="70">
        <f>'Planilha Resumo'!F11</f>
        <v>22</v>
      </c>
    </row>
    <row r="41" spans="2:6" ht="16.5">
      <c r="B41" s="15" t="s">
        <v>9</v>
      </c>
      <c r="C41" s="124" t="s">
        <v>109</v>
      </c>
      <c r="D41" s="125"/>
      <c r="E41" s="40"/>
      <c r="F41" s="71">
        <f>ROUND((E41*$F$40),2)</f>
        <v>0</v>
      </c>
    </row>
    <row r="42" spans="2:6" ht="16.5">
      <c r="B42" s="15" t="s">
        <v>10</v>
      </c>
      <c r="C42" s="90" t="s">
        <v>103</v>
      </c>
      <c r="D42" s="90"/>
      <c r="E42" s="90"/>
      <c r="F42" s="1">
        <v>152.35</v>
      </c>
    </row>
    <row r="43" spans="2:6" ht="16.5">
      <c r="B43" s="139" t="s">
        <v>63</v>
      </c>
      <c r="C43" s="139"/>
      <c r="D43" s="139"/>
      <c r="E43" s="139"/>
      <c r="F43" s="53">
        <f>SUM(F36:F39)+SUM(F41:F42)</f>
        <v>687.54</v>
      </c>
    </row>
    <row r="44" spans="2:6" s="46" customFormat="1" ht="9">
      <c r="B44" s="43"/>
      <c r="C44" s="44"/>
      <c r="D44" s="44"/>
      <c r="E44" s="44"/>
      <c r="F44" s="45"/>
    </row>
    <row r="45" spans="2:6" ht="16.5">
      <c r="B45" s="49" t="s">
        <v>80</v>
      </c>
      <c r="C45" s="55"/>
      <c r="D45" s="56"/>
      <c r="E45" s="62"/>
      <c r="F45" s="72"/>
    </row>
    <row r="46" spans="2:6" ht="16.5">
      <c r="B46" s="15">
        <v>3</v>
      </c>
      <c r="C46" s="141" t="s">
        <v>81</v>
      </c>
      <c r="D46" s="141"/>
      <c r="E46" s="22" t="s">
        <v>40</v>
      </c>
      <c r="F46" s="22" t="s">
        <v>43</v>
      </c>
    </row>
    <row r="47" spans="2:6" ht="16.5">
      <c r="B47" s="15" t="s">
        <v>5</v>
      </c>
      <c r="C47" s="120" t="s">
        <v>82</v>
      </c>
      <c r="D47" s="120"/>
      <c r="E47" s="65">
        <f>ROUND((62.93%*5.55%*(1/12))*100,2)</f>
        <v>0.29</v>
      </c>
      <c r="F47" s="42">
        <f>ROUND((E47%*($F$83+$F$22+$F$32+F43)),2)</f>
        <v>58.05</v>
      </c>
    </row>
    <row r="48" spans="2:6" ht="16.5">
      <c r="B48" s="19" t="s">
        <v>6</v>
      </c>
      <c r="C48" s="144" t="s">
        <v>83</v>
      </c>
      <c r="D48" s="144"/>
      <c r="E48" s="63">
        <f>ROUND((62.93%*94.45%*(7/30)/12)*100,2)</f>
        <v>1.16</v>
      </c>
      <c r="F48" s="42">
        <f>ROUND((E48%*($F$83+$F$84)),2)</f>
        <v>250.49</v>
      </c>
    </row>
    <row r="49" spans="2:6" ht="16.5">
      <c r="B49" s="19" t="s">
        <v>7</v>
      </c>
      <c r="C49" s="120" t="s">
        <v>84</v>
      </c>
      <c r="D49" s="120"/>
      <c r="E49" s="65">
        <f>ROUND((E48%*40%*E32%)*100,2)</f>
        <v>0.04</v>
      </c>
      <c r="F49" s="42">
        <f>ROUND((E49%*($F$83+$F$22)),2)</f>
        <v>7.16</v>
      </c>
    </row>
    <row r="50" spans="2:6" ht="16.5">
      <c r="B50" s="141" t="s">
        <v>63</v>
      </c>
      <c r="C50" s="141"/>
      <c r="D50" s="141"/>
      <c r="E50" s="141"/>
      <c r="F50" s="64">
        <f>SUM(F47:F49)</f>
        <v>315.70000000000005</v>
      </c>
    </row>
    <row r="51" spans="2:6" s="46" customFormat="1" ht="9">
      <c r="B51" s="43"/>
      <c r="C51" s="44"/>
      <c r="D51" s="44"/>
      <c r="E51" s="44"/>
      <c r="F51" s="45"/>
    </row>
    <row r="52" spans="2:6" ht="16.5">
      <c r="B52" s="49" t="s">
        <v>36</v>
      </c>
      <c r="C52" s="55"/>
      <c r="D52" s="56"/>
      <c r="E52" s="48"/>
      <c r="F52" s="48"/>
    </row>
    <row r="53" spans="2:6" ht="16.5">
      <c r="B53" s="49" t="s">
        <v>37</v>
      </c>
      <c r="C53" s="55"/>
      <c r="D53" s="56"/>
      <c r="E53" s="62"/>
      <c r="F53" s="62"/>
    </row>
    <row r="54" spans="2:6" ht="16.5">
      <c r="B54" s="15" t="s">
        <v>38</v>
      </c>
      <c r="C54" s="138" t="s">
        <v>39</v>
      </c>
      <c r="D54" s="138"/>
      <c r="E54" s="22" t="s">
        <v>40</v>
      </c>
      <c r="F54" s="22" t="s">
        <v>43</v>
      </c>
    </row>
    <row r="55" spans="2:6" ht="16.5">
      <c r="B55" s="19" t="s">
        <v>5</v>
      </c>
      <c r="C55" s="120" t="s">
        <v>85</v>
      </c>
      <c r="D55" s="120"/>
      <c r="E55" s="73">
        <f>ROUND((1/12)*100,2)</f>
        <v>8.33</v>
      </c>
      <c r="F55" s="42">
        <f>ROUND((E55%*($F$83+$F$84+$F$85)),2)</f>
        <v>1825.09</v>
      </c>
    </row>
    <row r="56" spans="2:6" ht="16.5">
      <c r="B56" s="19" t="s">
        <v>6</v>
      </c>
      <c r="C56" s="144" t="s">
        <v>86</v>
      </c>
      <c r="D56" s="144"/>
      <c r="E56" s="73">
        <f>ROUND((8/30/12)*100,2)</f>
        <v>2.22</v>
      </c>
      <c r="F56" s="42">
        <f>ROUND((E56%*($F$83+$F$84+$F$85)),2)</f>
        <v>486.4</v>
      </c>
    </row>
    <row r="57" spans="2:6" ht="16.5">
      <c r="B57" s="19" t="s">
        <v>7</v>
      </c>
      <c r="C57" s="120" t="s">
        <v>87</v>
      </c>
      <c r="D57" s="120"/>
      <c r="E57" s="73">
        <f>ROUND(((20/30/12)*1.416%*45.22%)*100,2)</f>
        <v>0.04</v>
      </c>
      <c r="F57" s="42">
        <f>ROUND((E57%*($F$83+$F$84+$F$85)),2)</f>
        <v>8.76</v>
      </c>
    </row>
    <row r="58" spans="2:6" ht="16.5" customHeight="1">
      <c r="B58" s="19" t="s">
        <v>9</v>
      </c>
      <c r="C58" s="144" t="s">
        <v>88</v>
      </c>
      <c r="D58" s="144"/>
      <c r="E58" s="73">
        <f>ROUND(((15/30/12)*0.44%)*100,2)</f>
        <v>0.02</v>
      </c>
      <c r="F58" s="42">
        <f>ROUND((E58%*($F$83+$F$84+$F$85)),2)</f>
        <v>4.38</v>
      </c>
    </row>
    <row r="59" spans="2:6" ht="16.5">
      <c r="B59" s="19" t="s">
        <v>10</v>
      </c>
      <c r="C59" s="120" t="s">
        <v>89</v>
      </c>
      <c r="D59" s="120"/>
      <c r="E59" s="73">
        <f>ROUND(((180/30/12)*1.416%*54.78%*36.8%)*100,2)</f>
        <v>0.14</v>
      </c>
      <c r="F59" s="42">
        <f>ROUND((E59%*($F$83+$F$84+$F$85)),2)</f>
        <v>30.67</v>
      </c>
    </row>
    <row r="60" spans="2:6" ht="16.5">
      <c r="B60" s="141" t="s">
        <v>63</v>
      </c>
      <c r="C60" s="141"/>
      <c r="D60" s="141"/>
      <c r="E60" s="141"/>
      <c r="F60" s="53">
        <f>SUM(F55:F59)</f>
        <v>2355.3</v>
      </c>
    </row>
    <row r="61" spans="2:6" s="46" customFormat="1" ht="9">
      <c r="B61" s="43"/>
      <c r="C61" s="44"/>
      <c r="D61" s="44"/>
      <c r="E61" s="44"/>
      <c r="F61" s="45"/>
    </row>
    <row r="62" spans="2:6" ht="16.5">
      <c r="B62" s="49" t="s">
        <v>41</v>
      </c>
      <c r="C62" s="55"/>
      <c r="D62" s="55"/>
      <c r="E62" s="62"/>
      <c r="F62" s="62"/>
    </row>
    <row r="63" spans="2:6" ht="16.5">
      <c r="B63" s="15">
        <v>5</v>
      </c>
      <c r="C63" s="91" t="s">
        <v>42</v>
      </c>
      <c r="D63" s="162"/>
      <c r="E63" s="92"/>
      <c r="F63" s="22" t="s">
        <v>43</v>
      </c>
    </row>
    <row r="64" spans="2:6" ht="16.5">
      <c r="B64" s="14" t="s">
        <v>5</v>
      </c>
      <c r="C64" s="90" t="s">
        <v>44</v>
      </c>
      <c r="D64" s="90"/>
      <c r="E64" s="90"/>
      <c r="F64" s="1">
        <f>'Planilha Resumo'!F31</f>
        <v>40.65</v>
      </c>
    </row>
    <row r="65" spans="2:6" ht="16.5">
      <c r="B65" s="14" t="s">
        <v>6</v>
      </c>
      <c r="C65" s="124" t="s">
        <v>116</v>
      </c>
      <c r="D65" s="160"/>
      <c r="E65" s="125"/>
      <c r="F65" s="42">
        <f>'Planilha Resumo'!F32</f>
        <v>275.94</v>
      </c>
    </row>
    <row r="66" spans="2:6" ht="16.5">
      <c r="B66" s="14" t="s">
        <v>7</v>
      </c>
      <c r="C66" s="90" t="s">
        <v>117</v>
      </c>
      <c r="D66" s="90"/>
      <c r="E66" s="90"/>
      <c r="F66" s="1">
        <v>1.9</v>
      </c>
    </row>
    <row r="67" spans="2:6" ht="16.5">
      <c r="B67" s="14" t="s">
        <v>9</v>
      </c>
      <c r="C67" s="124" t="s">
        <v>118</v>
      </c>
      <c r="D67" s="160"/>
      <c r="E67" s="125"/>
      <c r="F67" s="1">
        <f>123.54-F64</f>
        <v>82.89000000000001</v>
      </c>
    </row>
    <row r="68" spans="2:6" ht="16.5">
      <c r="B68" s="14" t="s">
        <v>10</v>
      </c>
      <c r="C68" s="90" t="s">
        <v>153</v>
      </c>
      <c r="D68" s="90"/>
      <c r="E68" s="90"/>
      <c r="F68" s="1">
        <v>338.3</v>
      </c>
    </row>
    <row r="69" spans="2:6" ht="16.5">
      <c r="B69" s="139" t="s">
        <v>63</v>
      </c>
      <c r="C69" s="139"/>
      <c r="D69" s="139"/>
      <c r="E69" s="139"/>
      <c r="F69" s="53">
        <f>SUM(F64:F68)</f>
        <v>739.6800000000001</v>
      </c>
    </row>
    <row r="70" spans="2:6" s="46" customFormat="1" ht="9">
      <c r="B70" s="43"/>
      <c r="C70" s="44"/>
      <c r="D70" s="44"/>
      <c r="E70" s="44"/>
      <c r="F70" s="45"/>
    </row>
    <row r="71" spans="2:6" ht="16.5" customHeight="1">
      <c r="B71" s="140" t="s">
        <v>45</v>
      </c>
      <c r="C71" s="140"/>
      <c r="D71" s="140"/>
      <c r="E71" s="140"/>
      <c r="F71" s="140"/>
    </row>
    <row r="72" spans="2:6" ht="16.5">
      <c r="B72" s="15">
        <v>6</v>
      </c>
      <c r="C72" s="141" t="s">
        <v>46</v>
      </c>
      <c r="D72" s="141"/>
      <c r="E72" s="22" t="s">
        <v>40</v>
      </c>
      <c r="F72" s="22" t="s">
        <v>43</v>
      </c>
    </row>
    <row r="73" spans="2:6" ht="16.5">
      <c r="B73" s="15" t="s">
        <v>5</v>
      </c>
      <c r="C73" s="120" t="str">
        <f>'Planilha Resumo'!$C$34</f>
        <v>Custos Indiretos</v>
      </c>
      <c r="D73" s="120"/>
      <c r="E73" s="73">
        <f>'Planilha Resumo'!$F$34</f>
        <v>4.73</v>
      </c>
      <c r="F73" s="42">
        <f>ROUND((E73%*($F$83+$F$84+$F$85+$F$86+$F$87)),2)</f>
        <v>1182.73</v>
      </c>
    </row>
    <row r="74" spans="2:6" ht="16.5">
      <c r="B74" s="19" t="s">
        <v>6</v>
      </c>
      <c r="C74" s="144" t="str">
        <f>'Planilha Resumo'!$C$35</f>
        <v>Lucro</v>
      </c>
      <c r="D74" s="144"/>
      <c r="E74" s="73">
        <f>'Planilha Resumo'!$F$35</f>
        <v>5.57</v>
      </c>
      <c r="F74" s="42">
        <f>ROUND((E74%*($F$83+$F$84+$F$85+$F$86+$F$87+$F$73)),2)</f>
        <v>1458.64</v>
      </c>
    </row>
    <row r="75" spans="2:6" ht="16.5">
      <c r="B75" s="19" t="s">
        <v>7</v>
      </c>
      <c r="C75" s="144" t="str">
        <f>'Planilha Resumo'!$C$36</f>
        <v>Tributos</v>
      </c>
      <c r="D75" s="144"/>
      <c r="E75" s="74">
        <f>SUM(E76:E79)</f>
        <v>10.15</v>
      </c>
      <c r="F75" s="42">
        <f>SUM(F76:F79)</f>
        <v>3123.0699999999997</v>
      </c>
    </row>
    <row r="76" spans="2:6" ht="15">
      <c r="B76" s="26" t="s">
        <v>49</v>
      </c>
      <c r="C76" s="121" t="str">
        <f>'Planilha Resumo'!$C$37</f>
        <v>PIS</v>
      </c>
      <c r="D76" s="121"/>
      <c r="E76" s="75">
        <f>'Planilha Resumo'!$F$37</f>
        <v>0.65</v>
      </c>
      <c r="F76" s="76">
        <f>ROUND((($F$83+$F$84+$F$85+$F$86+$F$87+$F$73+$F$74)*E76%)/(1-$E$75%),2)</f>
        <v>200</v>
      </c>
    </row>
    <row r="77" spans="2:6" ht="15">
      <c r="B77" s="26" t="s">
        <v>51</v>
      </c>
      <c r="C77" s="121" t="str">
        <f>'Planilha Resumo'!$C$38</f>
        <v>Cofins</v>
      </c>
      <c r="D77" s="121"/>
      <c r="E77" s="75">
        <f>'Planilha Resumo'!$F$38</f>
        <v>3</v>
      </c>
      <c r="F77" s="76">
        <f>ROUND((($F$83+$F$84+$F$85+$F$86+$F$87+$F$73+$F$74)*E77%)/(1-$E$75%),2)</f>
        <v>923.08</v>
      </c>
    </row>
    <row r="78" spans="2:6" ht="15">
      <c r="B78" s="26" t="s">
        <v>53</v>
      </c>
      <c r="C78" s="121" t="str">
        <f>'Planilha Resumo'!$C$39</f>
        <v>ISS</v>
      </c>
      <c r="D78" s="121"/>
      <c r="E78" s="75">
        <f>'Planilha Resumo'!$F$39</f>
        <v>2</v>
      </c>
      <c r="F78" s="76">
        <f>ROUND((($F$83+$F$84+$F$85+$F$86+$F$87+$F$73+$F$74)*E78%)/(1-$E$75%),2)</f>
        <v>615.38</v>
      </c>
    </row>
    <row r="79" spans="2:6" ht="16.5" customHeight="1">
      <c r="B79" s="26" t="s">
        <v>194</v>
      </c>
      <c r="C79" s="121" t="str">
        <f>'Planilha Resumo'!$C$40</f>
        <v>CPRB (Somente se empresa optante pela desoneração fiscal)</v>
      </c>
      <c r="D79" s="121"/>
      <c r="E79" s="75">
        <f>'Planilha Resumo'!$F$40</f>
        <v>4.5</v>
      </c>
      <c r="F79" s="76">
        <f>ROUND((($F$83+$F$84+$F$85+$F$86+$F$87+$F$73+$F$74)*E79%)/(1-$E$75%),2)</f>
        <v>1384.61</v>
      </c>
    </row>
    <row r="80" spans="2:6" ht="16.5">
      <c r="B80" s="141" t="s">
        <v>63</v>
      </c>
      <c r="C80" s="141"/>
      <c r="D80" s="141"/>
      <c r="E80" s="141"/>
      <c r="F80" s="77">
        <f>SUM(F73:F75)</f>
        <v>5764.44</v>
      </c>
    </row>
    <row r="81" spans="2:6" ht="20.25">
      <c r="B81" s="78" t="s">
        <v>91</v>
      </c>
      <c r="C81" s="79"/>
      <c r="D81" s="79"/>
      <c r="E81" s="79"/>
      <c r="F81" s="80"/>
    </row>
    <row r="82" spans="2:6" ht="16.5">
      <c r="B82" s="19" t="s">
        <v>92</v>
      </c>
      <c r="C82" s="138" t="s">
        <v>93</v>
      </c>
      <c r="D82" s="138"/>
      <c r="E82" s="138"/>
      <c r="F82" s="22" t="s">
        <v>94</v>
      </c>
    </row>
    <row r="83" spans="2:6" ht="16.5">
      <c r="B83" s="15">
        <v>1</v>
      </c>
      <c r="C83" s="144" t="s">
        <v>24</v>
      </c>
      <c r="D83" s="144"/>
      <c r="E83" s="144"/>
      <c r="F83" s="42">
        <f>F15</f>
        <v>16109.66</v>
      </c>
    </row>
    <row r="84" spans="2:6" ht="16.5">
      <c r="B84" s="19">
        <v>2</v>
      </c>
      <c r="C84" s="144" t="s">
        <v>95</v>
      </c>
      <c r="D84" s="144"/>
      <c r="E84" s="144"/>
      <c r="F84" s="42">
        <f>F22+F33+F43</f>
        <v>5484.43</v>
      </c>
    </row>
    <row r="85" spans="2:6" ht="16.5">
      <c r="B85" s="19">
        <v>3</v>
      </c>
      <c r="C85" s="144" t="s">
        <v>81</v>
      </c>
      <c r="D85" s="144"/>
      <c r="E85" s="144"/>
      <c r="F85" s="42">
        <f>F50</f>
        <v>315.70000000000005</v>
      </c>
    </row>
    <row r="86" spans="2:6" ht="16.5">
      <c r="B86" s="19">
        <v>4</v>
      </c>
      <c r="C86" s="144" t="s">
        <v>96</v>
      </c>
      <c r="D86" s="144"/>
      <c r="E86" s="144"/>
      <c r="F86" s="42">
        <f>F60</f>
        <v>2355.3</v>
      </c>
    </row>
    <row r="87" spans="2:6" ht="16.5">
      <c r="B87" s="19">
        <v>5</v>
      </c>
      <c r="C87" s="144" t="s">
        <v>42</v>
      </c>
      <c r="D87" s="144"/>
      <c r="E87" s="144"/>
      <c r="F87" s="42">
        <f>F69</f>
        <v>739.6800000000001</v>
      </c>
    </row>
    <row r="88" spans="2:6" ht="16.5">
      <c r="B88" s="19">
        <v>6</v>
      </c>
      <c r="C88" s="144" t="s">
        <v>46</v>
      </c>
      <c r="D88" s="144"/>
      <c r="E88" s="144"/>
      <c r="F88" s="42">
        <f>F80</f>
        <v>5764.44</v>
      </c>
    </row>
    <row r="89" spans="2:6" ht="16.5">
      <c r="B89" s="138" t="s">
        <v>97</v>
      </c>
      <c r="C89" s="138"/>
      <c r="D89" s="138"/>
      <c r="E89" s="138"/>
      <c r="F89" s="77">
        <f>SUM(F83:F88)</f>
        <v>30769.21</v>
      </c>
    </row>
  </sheetData>
  <sheetProtection sheet="1" objects="1" scenarios="1"/>
  <mergeCells count="73">
    <mergeCell ref="C68:E68"/>
    <mergeCell ref="C63:E63"/>
    <mergeCell ref="C64:E64"/>
    <mergeCell ref="C65:E65"/>
    <mergeCell ref="C66:E66"/>
    <mergeCell ref="C67:E67"/>
    <mergeCell ref="B23:F23"/>
    <mergeCell ref="B15:E15"/>
    <mergeCell ref="C19:D19"/>
    <mergeCell ref="C20:D20"/>
    <mergeCell ref="C21:D21"/>
    <mergeCell ref="B22:E22"/>
    <mergeCell ref="D6:F6"/>
    <mergeCell ref="C5:E5"/>
    <mergeCell ref="C13:D13"/>
    <mergeCell ref="C14:D14"/>
    <mergeCell ref="B1:F1"/>
    <mergeCell ref="D2:F2"/>
    <mergeCell ref="D3:F3"/>
    <mergeCell ref="C4:E4"/>
    <mergeCell ref="C31:D31"/>
    <mergeCell ref="C32:D32"/>
    <mergeCell ref="B33:D33"/>
    <mergeCell ref="C40:E40"/>
    <mergeCell ref="C38:D38"/>
    <mergeCell ref="C35:D35"/>
    <mergeCell ref="C36:D36"/>
    <mergeCell ref="C37:D37"/>
    <mergeCell ref="C27:D27"/>
    <mergeCell ref="C28:D28"/>
    <mergeCell ref="C29:D29"/>
    <mergeCell ref="C30:D30"/>
    <mergeCell ref="C57:D57"/>
    <mergeCell ref="C58:D58"/>
    <mergeCell ref="C59:D59"/>
    <mergeCell ref="C10:D10"/>
    <mergeCell ref="C11:D11"/>
    <mergeCell ref="C12:D12"/>
    <mergeCell ref="B43:E43"/>
    <mergeCell ref="C24:D24"/>
    <mergeCell ref="C25:D25"/>
    <mergeCell ref="C26:D26"/>
    <mergeCell ref="B50:E50"/>
    <mergeCell ref="C54:D54"/>
    <mergeCell ref="C55:D55"/>
    <mergeCell ref="C56:D56"/>
    <mergeCell ref="C79:D79"/>
    <mergeCell ref="B80:E80"/>
    <mergeCell ref="C39:D39"/>
    <mergeCell ref="C41:D41"/>
    <mergeCell ref="C42:E42"/>
    <mergeCell ref="B60:E60"/>
    <mergeCell ref="C46:D46"/>
    <mergeCell ref="C47:D47"/>
    <mergeCell ref="C48:D48"/>
    <mergeCell ref="C49:D49"/>
    <mergeCell ref="C82:E82"/>
    <mergeCell ref="B69:E69"/>
    <mergeCell ref="B71:F71"/>
    <mergeCell ref="C72:D72"/>
    <mergeCell ref="C73:D73"/>
    <mergeCell ref="C74:D74"/>
    <mergeCell ref="C75:D75"/>
    <mergeCell ref="C76:D76"/>
    <mergeCell ref="C77:D77"/>
    <mergeCell ref="C78:D78"/>
    <mergeCell ref="B89:E89"/>
    <mergeCell ref="C83:E83"/>
    <mergeCell ref="C84:E84"/>
    <mergeCell ref="C85:E85"/>
    <mergeCell ref="C86:E86"/>
    <mergeCell ref="C87:E87"/>
    <mergeCell ref="C88:E88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47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48:E49">
      <formula1>0</formula1>
      <formula2>1.94</formula2>
    </dataValidation>
  </dataValidations>
  <printOptions horizontalCentered="1"/>
  <pageMargins left="0.1968503937007874" right="0.1968503937007874" top="0.7874015748031497" bottom="0.7874015748031497" header="0.07874015748031496" footer="0.1968503937007874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9" customWidth="1"/>
    <col min="2" max="2" width="9.00390625" style="9" customWidth="1"/>
    <col min="3" max="3" width="51.140625" style="9" bestFit="1" customWidth="1"/>
    <col min="4" max="4" width="14.00390625" style="9" customWidth="1"/>
    <col min="5" max="5" width="8.7109375" style="9" customWidth="1"/>
    <col min="6" max="6" width="15.7109375" style="9" bestFit="1" customWidth="1"/>
    <col min="7" max="16384" width="9.140625" style="9" customWidth="1"/>
  </cols>
  <sheetData>
    <row r="1" spans="2:6" ht="16.5">
      <c r="B1" s="151" t="s">
        <v>18</v>
      </c>
      <c r="C1" s="151"/>
      <c r="D1" s="151"/>
      <c r="E1" s="151"/>
      <c r="F1" s="151"/>
    </row>
    <row r="2" spans="2:6" ht="16.5">
      <c r="B2" s="14">
        <v>1</v>
      </c>
      <c r="C2" s="41" t="s">
        <v>19</v>
      </c>
      <c r="D2" s="29" t="s">
        <v>230</v>
      </c>
      <c r="E2" s="29"/>
      <c r="F2" s="29"/>
    </row>
    <row r="3" spans="2:6" ht="16.5">
      <c r="B3" s="14">
        <v>2</v>
      </c>
      <c r="C3" s="41" t="s">
        <v>20</v>
      </c>
      <c r="D3" s="157" t="s">
        <v>229</v>
      </c>
      <c r="E3" s="157"/>
      <c r="F3" s="157"/>
    </row>
    <row r="4" spans="2:6" ht="16.5">
      <c r="B4" s="14">
        <v>3</v>
      </c>
      <c r="C4" s="158" t="s">
        <v>99</v>
      </c>
      <c r="D4" s="158"/>
      <c r="E4" s="158"/>
      <c r="F4" s="3">
        <v>44317</v>
      </c>
    </row>
    <row r="5" spans="2:6" ht="16.5">
      <c r="B5" s="14">
        <v>4</v>
      </c>
      <c r="C5" s="124" t="s">
        <v>21</v>
      </c>
      <c r="D5" s="160"/>
      <c r="E5" s="125"/>
      <c r="F5" s="42">
        <f>'Planilha Resumo'!F26</f>
        <v>1212</v>
      </c>
    </row>
    <row r="6" spans="2:6" ht="16.5">
      <c r="B6" s="14">
        <v>5</v>
      </c>
      <c r="C6" s="41" t="s">
        <v>156</v>
      </c>
      <c r="D6" s="159" t="s">
        <v>242</v>
      </c>
      <c r="E6" s="159"/>
      <c r="F6" s="159"/>
    </row>
    <row r="7" spans="2:6" s="46" customFormat="1" ht="9">
      <c r="B7" s="43"/>
      <c r="C7" s="44"/>
      <c r="D7" s="44"/>
      <c r="E7" s="44"/>
      <c r="F7" s="45"/>
    </row>
    <row r="8" spans="2:6" ht="25.5">
      <c r="B8" s="47" t="s">
        <v>22</v>
      </c>
      <c r="C8" s="48"/>
      <c r="D8" s="48"/>
      <c r="E8" s="48"/>
      <c r="F8" s="48"/>
    </row>
    <row r="9" spans="2:6" ht="16.5">
      <c r="B9" s="49" t="s">
        <v>23</v>
      </c>
      <c r="C9" s="50"/>
      <c r="D9" s="50"/>
      <c r="E9" s="51"/>
      <c r="F9" s="51"/>
    </row>
    <row r="10" spans="2:6" ht="16.5" customHeight="1">
      <c r="B10" s="15">
        <v>1</v>
      </c>
      <c r="C10" s="91" t="s">
        <v>24</v>
      </c>
      <c r="D10" s="92"/>
      <c r="E10" s="22" t="s">
        <v>40</v>
      </c>
      <c r="F10" s="22" t="s">
        <v>43</v>
      </c>
    </row>
    <row r="11" spans="2:6" ht="16.5">
      <c r="B11" s="15" t="s">
        <v>5</v>
      </c>
      <c r="C11" s="93" t="s">
        <v>25</v>
      </c>
      <c r="D11" s="57"/>
      <c r="E11" s="52"/>
      <c r="F11" s="2">
        <v>3568.4</v>
      </c>
    </row>
    <row r="12" spans="2:6" ht="16.5">
      <c r="B12" s="15" t="s">
        <v>6</v>
      </c>
      <c r="C12" s="58" t="s">
        <v>26</v>
      </c>
      <c r="D12" s="59"/>
      <c r="E12" s="39">
        <v>0.3</v>
      </c>
      <c r="F12" s="42">
        <f>ROUND((E12*$F$11),2)</f>
        <v>1070.52</v>
      </c>
    </row>
    <row r="13" spans="2:6" ht="16.5">
      <c r="B13" s="15" t="s">
        <v>7</v>
      </c>
      <c r="C13" s="93" t="s">
        <v>27</v>
      </c>
      <c r="D13" s="57"/>
      <c r="E13" s="39"/>
      <c r="F13" s="42">
        <f>ROUND((E13*$F$11),2)</f>
        <v>0</v>
      </c>
    </row>
    <row r="14" spans="2:6" ht="16.5">
      <c r="B14" s="15" t="s">
        <v>9</v>
      </c>
      <c r="C14" s="58" t="s">
        <v>28</v>
      </c>
      <c r="D14" s="59"/>
      <c r="E14" s="39"/>
      <c r="F14" s="42">
        <f>ROUND((E14*$F$5),2)</f>
        <v>0</v>
      </c>
    </row>
    <row r="15" spans="2:6" ht="16.5">
      <c r="B15" s="139" t="s">
        <v>63</v>
      </c>
      <c r="C15" s="139"/>
      <c r="D15" s="139"/>
      <c r="E15" s="139"/>
      <c r="F15" s="53">
        <f>SUM(F11:F14)</f>
        <v>4638.92</v>
      </c>
    </row>
    <row r="16" spans="2:6" s="46" customFormat="1" ht="9">
      <c r="B16" s="43"/>
      <c r="C16" s="44"/>
      <c r="D16" s="44"/>
      <c r="E16" s="44"/>
      <c r="F16" s="45"/>
    </row>
    <row r="17" spans="2:6" ht="16.5">
      <c r="B17" s="49" t="s">
        <v>31</v>
      </c>
      <c r="C17" s="50"/>
      <c r="D17" s="50"/>
      <c r="E17" s="54"/>
      <c r="F17" s="54"/>
    </row>
    <row r="18" spans="2:6" ht="16.5">
      <c r="B18" s="49" t="s">
        <v>64</v>
      </c>
      <c r="C18" s="55"/>
      <c r="D18" s="56"/>
      <c r="E18" s="62"/>
      <c r="F18" s="62"/>
    </row>
    <row r="19" spans="2:6" ht="16.5">
      <c r="B19" s="15" t="s">
        <v>65</v>
      </c>
      <c r="C19" s="60" t="s">
        <v>66</v>
      </c>
      <c r="D19" s="60"/>
      <c r="E19" s="22" t="s">
        <v>40</v>
      </c>
      <c r="F19" s="22" t="s">
        <v>43</v>
      </c>
    </row>
    <row r="20" spans="2:6" ht="16.5">
      <c r="B20" s="15" t="s">
        <v>5</v>
      </c>
      <c r="C20" s="120" t="s">
        <v>67</v>
      </c>
      <c r="D20" s="120"/>
      <c r="E20" s="52">
        <f>ROUND((1/12)*100,2)</f>
        <v>8.33</v>
      </c>
      <c r="F20" s="42">
        <f>ROUND((E20%*$F$83),2)</f>
        <v>386.42</v>
      </c>
    </row>
    <row r="21" spans="2:6" ht="16.5">
      <c r="B21" s="19" t="s">
        <v>6</v>
      </c>
      <c r="C21" s="90" t="s">
        <v>68</v>
      </c>
      <c r="D21" s="90"/>
      <c r="E21" s="63">
        <f>ROUND((1/3*1/12)*100,2)</f>
        <v>2.78</v>
      </c>
      <c r="F21" s="42">
        <f>ROUND((E21%*$F$83),2)</f>
        <v>128.96</v>
      </c>
    </row>
    <row r="22" spans="2:6" ht="16.5">
      <c r="B22" s="141" t="s">
        <v>63</v>
      </c>
      <c r="C22" s="141"/>
      <c r="D22" s="141"/>
      <c r="E22" s="141"/>
      <c r="F22" s="64">
        <f>SUM(F20:F21)</f>
        <v>515.38</v>
      </c>
    </row>
    <row r="23" spans="2:6" ht="16.5" customHeight="1">
      <c r="B23" s="161" t="s">
        <v>69</v>
      </c>
      <c r="C23" s="161"/>
      <c r="D23" s="161"/>
      <c r="E23" s="161"/>
      <c r="F23" s="161"/>
    </row>
    <row r="24" spans="2:6" ht="33" customHeight="1">
      <c r="B24" s="15" t="s">
        <v>70</v>
      </c>
      <c r="C24" s="60" t="s">
        <v>71</v>
      </c>
      <c r="D24" s="60"/>
      <c r="E24" s="22" t="s">
        <v>40</v>
      </c>
      <c r="F24" s="22" t="s">
        <v>43</v>
      </c>
    </row>
    <row r="25" spans="2:6" ht="16.5">
      <c r="B25" s="15" t="s">
        <v>5</v>
      </c>
      <c r="C25" s="120" t="s">
        <v>72</v>
      </c>
      <c r="D25" s="120"/>
      <c r="E25" s="65">
        <f>IF('Planilha Resumo'!F21="NÃO",20,0)</f>
        <v>0</v>
      </c>
      <c r="F25" s="42">
        <f aca="true" t="shared" si="0" ref="F25:F32">ROUND((E25%*($F$83+$F$22)),2)</f>
        <v>0</v>
      </c>
    </row>
    <row r="26" spans="2:6" ht="16.5">
      <c r="B26" s="19" t="s">
        <v>6</v>
      </c>
      <c r="C26" s="144" t="s">
        <v>73</v>
      </c>
      <c r="D26" s="144"/>
      <c r="E26" s="63">
        <v>2.5</v>
      </c>
      <c r="F26" s="42">
        <f t="shared" si="0"/>
        <v>128.86</v>
      </c>
    </row>
    <row r="27" spans="2:6" ht="16.5">
      <c r="B27" s="19" t="s">
        <v>7</v>
      </c>
      <c r="C27" s="120" t="s">
        <v>74</v>
      </c>
      <c r="D27" s="120"/>
      <c r="E27" s="65">
        <v>3</v>
      </c>
      <c r="F27" s="42">
        <f t="shared" si="0"/>
        <v>154.63</v>
      </c>
    </row>
    <row r="28" spans="2:6" ht="16.5">
      <c r="B28" s="19" t="s">
        <v>9</v>
      </c>
      <c r="C28" s="144" t="s">
        <v>75</v>
      </c>
      <c r="D28" s="144"/>
      <c r="E28" s="63">
        <v>1.5</v>
      </c>
      <c r="F28" s="42">
        <f t="shared" si="0"/>
        <v>77.31</v>
      </c>
    </row>
    <row r="29" spans="2:6" ht="16.5">
      <c r="B29" s="19" t="s">
        <v>10</v>
      </c>
      <c r="C29" s="120" t="s">
        <v>76</v>
      </c>
      <c r="D29" s="120"/>
      <c r="E29" s="65">
        <v>1</v>
      </c>
      <c r="F29" s="42">
        <f t="shared" si="0"/>
        <v>51.54</v>
      </c>
    </row>
    <row r="30" spans="2:6" ht="16.5">
      <c r="B30" s="19" t="s">
        <v>29</v>
      </c>
      <c r="C30" s="144" t="s">
        <v>77</v>
      </c>
      <c r="D30" s="144"/>
      <c r="E30" s="63">
        <v>0.6</v>
      </c>
      <c r="F30" s="42">
        <f t="shared" si="0"/>
        <v>30.93</v>
      </c>
    </row>
    <row r="31" spans="2:6" ht="16.5">
      <c r="B31" s="19" t="s">
        <v>30</v>
      </c>
      <c r="C31" s="120" t="s">
        <v>78</v>
      </c>
      <c r="D31" s="120"/>
      <c r="E31" s="65">
        <v>0.2</v>
      </c>
      <c r="F31" s="42">
        <f t="shared" si="0"/>
        <v>10.31</v>
      </c>
    </row>
    <row r="32" spans="2:6" ht="16.5">
      <c r="B32" s="19" t="s">
        <v>62</v>
      </c>
      <c r="C32" s="144" t="s">
        <v>79</v>
      </c>
      <c r="D32" s="144"/>
      <c r="E32" s="63">
        <v>8</v>
      </c>
      <c r="F32" s="42">
        <f t="shared" si="0"/>
        <v>412.34</v>
      </c>
    </row>
    <row r="33" spans="2:6" ht="16.5">
      <c r="B33" s="61" t="s">
        <v>63</v>
      </c>
      <c r="C33" s="61"/>
      <c r="D33" s="61"/>
      <c r="E33" s="66">
        <f>SUM(E25:E32)</f>
        <v>16.799999999999997</v>
      </c>
      <c r="F33" s="67">
        <f>SUM(F25:F32)</f>
        <v>865.9200000000001</v>
      </c>
    </row>
    <row r="34" spans="2:6" ht="16.5">
      <c r="B34" s="49" t="s">
        <v>32</v>
      </c>
      <c r="C34" s="10"/>
      <c r="D34" s="10"/>
      <c r="E34" s="10"/>
      <c r="F34" s="10"/>
    </row>
    <row r="35" spans="2:6" ht="16.5">
      <c r="B35" s="15" t="s">
        <v>33</v>
      </c>
      <c r="C35" s="91" t="s">
        <v>34</v>
      </c>
      <c r="D35" s="92"/>
      <c r="E35" s="22" t="s">
        <v>108</v>
      </c>
      <c r="F35" s="22" t="s">
        <v>35</v>
      </c>
    </row>
    <row r="36" spans="2:6" ht="16.5">
      <c r="B36" s="15" t="s">
        <v>5</v>
      </c>
      <c r="C36" s="124" t="s">
        <v>100</v>
      </c>
      <c r="D36" s="125"/>
      <c r="E36" s="38">
        <v>11</v>
      </c>
      <c r="F36" s="42">
        <f>ROUND(E36*$F$40,2)</f>
        <v>242</v>
      </c>
    </row>
    <row r="37" spans="2:6" ht="16.5">
      <c r="B37" s="68" t="s">
        <v>104</v>
      </c>
      <c r="C37" s="122" t="s">
        <v>106</v>
      </c>
      <c r="D37" s="123"/>
      <c r="E37" s="39">
        <v>0</v>
      </c>
      <c r="F37" s="69">
        <f>IF((E37*F11)&gt;=F36,-F36,ROUND(-(E37*F11),2))</f>
        <v>0</v>
      </c>
    </row>
    <row r="38" spans="2:6" ht="16.5">
      <c r="B38" s="15" t="s">
        <v>6</v>
      </c>
      <c r="C38" s="124" t="s">
        <v>101</v>
      </c>
      <c r="D38" s="125"/>
      <c r="E38" s="38">
        <v>21</v>
      </c>
      <c r="F38" s="42">
        <f>ROUND(E38*$F$40,2)</f>
        <v>462</v>
      </c>
    </row>
    <row r="39" spans="2:6" ht="16.5">
      <c r="B39" s="68" t="s">
        <v>105</v>
      </c>
      <c r="C39" s="122" t="s">
        <v>107</v>
      </c>
      <c r="D39" s="123"/>
      <c r="E39" s="39">
        <v>0.09</v>
      </c>
      <c r="F39" s="69">
        <f>-ROUND((E39*F38),2)</f>
        <v>-41.58</v>
      </c>
    </row>
    <row r="40" spans="2:6" ht="16.5">
      <c r="B40" s="15" t="s">
        <v>7</v>
      </c>
      <c r="C40" s="90" t="s">
        <v>61</v>
      </c>
      <c r="D40" s="90"/>
      <c r="E40" s="90"/>
      <c r="F40" s="70">
        <f>'Planilha Resumo'!F11</f>
        <v>22</v>
      </c>
    </row>
    <row r="41" spans="2:6" ht="16.5">
      <c r="B41" s="15" t="s">
        <v>9</v>
      </c>
      <c r="C41" s="124" t="s">
        <v>109</v>
      </c>
      <c r="D41" s="125"/>
      <c r="E41" s="40">
        <v>5</v>
      </c>
      <c r="F41" s="71">
        <f>ROUND((E41*$F$40),2)</f>
        <v>110</v>
      </c>
    </row>
    <row r="42" spans="2:6" ht="16.5">
      <c r="B42" s="15" t="s">
        <v>10</v>
      </c>
      <c r="C42" s="90" t="s">
        <v>103</v>
      </c>
      <c r="D42" s="90"/>
      <c r="E42" s="90"/>
      <c r="F42" s="1">
        <v>152.35</v>
      </c>
    </row>
    <row r="43" spans="2:6" ht="16.5">
      <c r="B43" s="139" t="s">
        <v>63</v>
      </c>
      <c r="C43" s="139"/>
      <c r="D43" s="139"/>
      <c r="E43" s="139"/>
      <c r="F43" s="53">
        <f>SUM(F36:F39)+SUM(F41:F42)</f>
        <v>924.77</v>
      </c>
    </row>
    <row r="44" spans="2:6" s="46" customFormat="1" ht="9">
      <c r="B44" s="43"/>
      <c r="C44" s="44"/>
      <c r="D44" s="44"/>
      <c r="E44" s="44"/>
      <c r="F44" s="45"/>
    </row>
    <row r="45" spans="2:6" ht="16.5">
      <c r="B45" s="49" t="s">
        <v>80</v>
      </c>
      <c r="C45" s="55"/>
      <c r="D45" s="56"/>
      <c r="E45" s="62"/>
      <c r="F45" s="72"/>
    </row>
    <row r="46" spans="2:6" ht="16.5">
      <c r="B46" s="15">
        <v>3</v>
      </c>
      <c r="C46" s="141" t="s">
        <v>81</v>
      </c>
      <c r="D46" s="141"/>
      <c r="E46" s="22" t="s">
        <v>40</v>
      </c>
      <c r="F46" s="22" t="s">
        <v>43</v>
      </c>
    </row>
    <row r="47" spans="2:6" ht="16.5">
      <c r="B47" s="15" t="s">
        <v>5</v>
      </c>
      <c r="C47" s="120" t="s">
        <v>82</v>
      </c>
      <c r="D47" s="120"/>
      <c r="E47" s="65">
        <f>ROUND((62.93%*5.55%*(1/12))*100,2)</f>
        <v>0.29</v>
      </c>
      <c r="F47" s="42">
        <f>ROUND((E47%*($F$83+$F$22+$F$32+F43)),2)</f>
        <v>18.83</v>
      </c>
    </row>
    <row r="48" spans="2:6" ht="16.5">
      <c r="B48" s="19" t="s">
        <v>6</v>
      </c>
      <c r="C48" s="144" t="s">
        <v>83</v>
      </c>
      <c r="D48" s="144"/>
      <c r="E48" s="63">
        <f>ROUND((62.93%*94.45%*(7/30)/12)*100,2)</f>
        <v>1.16</v>
      </c>
      <c r="F48" s="42">
        <f>ROUND((E48%*($F$83+$F$84)),2)</f>
        <v>80.56</v>
      </c>
    </row>
    <row r="49" spans="2:6" ht="16.5">
      <c r="B49" s="19" t="s">
        <v>7</v>
      </c>
      <c r="C49" s="120" t="s">
        <v>84</v>
      </c>
      <c r="D49" s="120"/>
      <c r="E49" s="65">
        <f>ROUND((E48%*40%*E32%)*100,2)</f>
        <v>0.04</v>
      </c>
      <c r="F49" s="42">
        <f>ROUND((E49%*($F$83+$F$22)),2)</f>
        <v>2.06</v>
      </c>
    </row>
    <row r="50" spans="2:6" ht="16.5">
      <c r="B50" s="141" t="s">
        <v>63</v>
      </c>
      <c r="C50" s="141"/>
      <c r="D50" s="141"/>
      <c r="E50" s="141"/>
      <c r="F50" s="64">
        <f>SUM(F47:F49)</f>
        <v>101.45</v>
      </c>
    </row>
    <row r="51" spans="2:6" s="46" customFormat="1" ht="9">
      <c r="B51" s="43"/>
      <c r="C51" s="44"/>
      <c r="D51" s="44"/>
      <c r="E51" s="44"/>
      <c r="F51" s="45"/>
    </row>
    <row r="52" spans="2:6" ht="16.5">
      <c r="B52" s="49" t="s">
        <v>36</v>
      </c>
      <c r="C52" s="55"/>
      <c r="D52" s="56"/>
      <c r="E52" s="48"/>
      <c r="F52" s="48"/>
    </row>
    <row r="53" spans="2:6" ht="16.5">
      <c r="B53" s="49" t="s">
        <v>37</v>
      </c>
      <c r="C53" s="55"/>
      <c r="D53" s="56"/>
      <c r="E53" s="62"/>
      <c r="F53" s="62"/>
    </row>
    <row r="54" spans="2:6" ht="16.5">
      <c r="B54" s="15" t="s">
        <v>38</v>
      </c>
      <c r="C54" s="138" t="s">
        <v>39</v>
      </c>
      <c r="D54" s="138"/>
      <c r="E54" s="22" t="s">
        <v>40</v>
      </c>
      <c r="F54" s="22" t="s">
        <v>43</v>
      </c>
    </row>
    <row r="55" spans="2:6" ht="16.5">
      <c r="B55" s="19" t="s">
        <v>5</v>
      </c>
      <c r="C55" s="120" t="s">
        <v>85</v>
      </c>
      <c r="D55" s="120"/>
      <c r="E55" s="73">
        <f>ROUND((1/12)*100,2)</f>
        <v>8.33</v>
      </c>
      <c r="F55" s="42">
        <f>ROUND((E55%*($F$83+$F$84+$F$85)),2)</f>
        <v>586.97</v>
      </c>
    </row>
    <row r="56" spans="2:6" ht="16.5">
      <c r="B56" s="19" t="s">
        <v>6</v>
      </c>
      <c r="C56" s="144" t="s">
        <v>86</v>
      </c>
      <c r="D56" s="144"/>
      <c r="E56" s="73">
        <f>ROUND((8/30/12)*100,2)</f>
        <v>2.22</v>
      </c>
      <c r="F56" s="42">
        <f>ROUND((E56%*($F$83+$F$84+$F$85)),2)</f>
        <v>156.43</v>
      </c>
    </row>
    <row r="57" spans="2:6" ht="16.5">
      <c r="B57" s="19" t="s">
        <v>7</v>
      </c>
      <c r="C57" s="120" t="s">
        <v>87</v>
      </c>
      <c r="D57" s="120"/>
      <c r="E57" s="73">
        <f>ROUND(((20/30/12)*1.416%*45.22%)*100,2)</f>
        <v>0.04</v>
      </c>
      <c r="F57" s="42">
        <f>ROUND((E57%*($F$83+$F$84+$F$85)),2)</f>
        <v>2.82</v>
      </c>
    </row>
    <row r="58" spans="2:6" ht="16.5" customHeight="1">
      <c r="B58" s="19" t="s">
        <v>9</v>
      </c>
      <c r="C58" s="144" t="s">
        <v>88</v>
      </c>
      <c r="D58" s="144"/>
      <c r="E58" s="73">
        <f>ROUND(((15/30/12)*0.44%)*100,2)</f>
        <v>0.02</v>
      </c>
      <c r="F58" s="42">
        <f>ROUND((E58%*($F$83+$F$84+$F$85)),2)</f>
        <v>1.41</v>
      </c>
    </row>
    <row r="59" spans="2:6" ht="16.5">
      <c r="B59" s="19" t="s">
        <v>10</v>
      </c>
      <c r="C59" s="120" t="s">
        <v>89</v>
      </c>
      <c r="D59" s="120"/>
      <c r="E59" s="73">
        <f>ROUND(((180/30/12)*1.416%*54.78%*36.8%)*100,2)</f>
        <v>0.14</v>
      </c>
      <c r="F59" s="42">
        <f>ROUND((E59%*($F$83+$F$84+$F$85)),2)</f>
        <v>9.87</v>
      </c>
    </row>
    <row r="60" spans="2:6" ht="16.5">
      <c r="B60" s="141" t="s">
        <v>63</v>
      </c>
      <c r="C60" s="141"/>
      <c r="D60" s="141"/>
      <c r="E60" s="141"/>
      <c r="F60" s="53">
        <f>SUM(F55:F59)</f>
        <v>757.5000000000001</v>
      </c>
    </row>
    <row r="61" spans="2:6" s="46" customFormat="1" ht="9">
      <c r="B61" s="43"/>
      <c r="C61" s="44"/>
      <c r="D61" s="44"/>
      <c r="E61" s="44"/>
      <c r="F61" s="45"/>
    </row>
    <row r="62" spans="2:6" ht="16.5">
      <c r="B62" s="49" t="s">
        <v>41</v>
      </c>
      <c r="C62" s="55"/>
      <c r="D62" s="55"/>
      <c r="E62" s="62"/>
      <c r="F62" s="62"/>
    </row>
    <row r="63" spans="2:6" ht="16.5">
      <c r="B63" s="15">
        <v>5</v>
      </c>
      <c r="C63" s="91" t="s">
        <v>42</v>
      </c>
      <c r="D63" s="162"/>
      <c r="E63" s="92"/>
      <c r="F63" s="22" t="s">
        <v>43</v>
      </c>
    </row>
    <row r="64" spans="2:6" ht="16.5">
      <c r="B64" s="14" t="s">
        <v>5</v>
      </c>
      <c r="C64" s="90" t="s">
        <v>44</v>
      </c>
      <c r="D64" s="90"/>
      <c r="E64" s="90"/>
      <c r="F64" s="1">
        <f>'Planilha Resumo'!F31</f>
        <v>40.65</v>
      </c>
    </row>
    <row r="65" spans="2:6" ht="16.5">
      <c r="B65" s="14" t="s">
        <v>6</v>
      </c>
      <c r="C65" s="124" t="s">
        <v>116</v>
      </c>
      <c r="D65" s="160"/>
      <c r="E65" s="125"/>
      <c r="F65" s="42">
        <f>'Planilha Resumo'!F32</f>
        <v>275.94</v>
      </c>
    </row>
    <row r="66" spans="2:6" ht="16.5">
      <c r="B66" s="14" t="s">
        <v>7</v>
      </c>
      <c r="C66" s="90" t="s">
        <v>117</v>
      </c>
      <c r="D66" s="90"/>
      <c r="E66" s="90"/>
      <c r="F66" s="1">
        <v>147.23</v>
      </c>
    </row>
    <row r="67" spans="2:6" ht="16.5">
      <c r="B67" s="14" t="s">
        <v>9</v>
      </c>
      <c r="C67" s="124" t="s">
        <v>118</v>
      </c>
      <c r="D67" s="160"/>
      <c r="E67" s="125"/>
      <c r="F67" s="1">
        <f>201.65-F64</f>
        <v>161</v>
      </c>
    </row>
    <row r="68" spans="2:6" ht="16.5">
      <c r="B68" s="14" t="s">
        <v>10</v>
      </c>
      <c r="C68" s="90" t="s">
        <v>153</v>
      </c>
      <c r="D68" s="90"/>
      <c r="E68" s="90"/>
      <c r="F68" s="1">
        <v>68.15</v>
      </c>
    </row>
    <row r="69" spans="2:6" ht="16.5">
      <c r="B69" s="139" t="s">
        <v>63</v>
      </c>
      <c r="C69" s="139"/>
      <c r="D69" s="139"/>
      <c r="E69" s="139"/>
      <c r="F69" s="53">
        <f>SUM(F64:F68)</f>
        <v>692.9699999999999</v>
      </c>
    </row>
    <row r="70" spans="2:6" s="46" customFormat="1" ht="9">
      <c r="B70" s="43"/>
      <c r="C70" s="44"/>
      <c r="D70" s="44"/>
      <c r="E70" s="44"/>
      <c r="F70" s="45"/>
    </row>
    <row r="71" spans="2:6" ht="16.5" customHeight="1">
      <c r="B71" s="140" t="s">
        <v>45</v>
      </c>
      <c r="C71" s="140"/>
      <c r="D71" s="140"/>
      <c r="E71" s="140"/>
      <c r="F71" s="140"/>
    </row>
    <row r="72" spans="2:6" ht="16.5">
      <c r="B72" s="15">
        <v>6</v>
      </c>
      <c r="C72" s="141" t="s">
        <v>46</v>
      </c>
      <c r="D72" s="141"/>
      <c r="E72" s="22" t="s">
        <v>40</v>
      </c>
      <c r="F72" s="22" t="s">
        <v>43</v>
      </c>
    </row>
    <row r="73" spans="2:6" ht="16.5">
      <c r="B73" s="15" t="s">
        <v>5</v>
      </c>
      <c r="C73" s="120" t="str">
        <f>'Planilha Resumo'!$C$34</f>
        <v>Custos Indiretos</v>
      </c>
      <c r="D73" s="120"/>
      <c r="E73" s="73">
        <f>'Planilha Resumo'!$F$34</f>
        <v>4.73</v>
      </c>
      <c r="F73" s="42">
        <f>ROUND((E73%*($F$83+$F$84+$F$85+$F$86+$F$87)),2)</f>
        <v>401.9</v>
      </c>
    </row>
    <row r="74" spans="2:6" ht="16.5">
      <c r="B74" s="19" t="s">
        <v>6</v>
      </c>
      <c r="C74" s="144" t="str">
        <f>'Planilha Resumo'!$C$35</f>
        <v>Lucro</v>
      </c>
      <c r="D74" s="144"/>
      <c r="E74" s="73">
        <f>'Planilha Resumo'!$F$35</f>
        <v>5.57</v>
      </c>
      <c r="F74" s="42">
        <f>ROUND((E74%*($F$83+$F$84+$F$85+$F$86+$F$87+$F$73)),2)</f>
        <v>495.66</v>
      </c>
    </row>
    <row r="75" spans="2:6" ht="16.5">
      <c r="B75" s="19" t="s">
        <v>7</v>
      </c>
      <c r="C75" s="144" t="str">
        <f>'Planilha Resumo'!$C$36</f>
        <v>Tributos</v>
      </c>
      <c r="D75" s="144"/>
      <c r="E75" s="74">
        <f>SUM(E76:E79)</f>
        <v>10.15</v>
      </c>
      <c r="F75" s="42">
        <f>SUM(F76:F79)</f>
        <v>1061.25</v>
      </c>
    </row>
    <row r="76" spans="2:6" ht="15">
      <c r="B76" s="26" t="s">
        <v>49</v>
      </c>
      <c r="C76" s="121" t="str">
        <f>'Planilha Resumo'!$C$37</f>
        <v>PIS</v>
      </c>
      <c r="D76" s="121"/>
      <c r="E76" s="75">
        <f>'Planilha Resumo'!$F$37</f>
        <v>0.65</v>
      </c>
      <c r="F76" s="76">
        <f>ROUND((($F$83+$F$84+$F$85+$F$86+$F$87+$F$73+$F$74)*E76%)/(1-$E$75%),2)</f>
        <v>67.96</v>
      </c>
    </row>
    <row r="77" spans="2:6" ht="15">
      <c r="B77" s="26" t="s">
        <v>51</v>
      </c>
      <c r="C77" s="121" t="str">
        <f>'Planilha Resumo'!$C$38</f>
        <v>Cofins</v>
      </c>
      <c r="D77" s="121"/>
      <c r="E77" s="75">
        <f>'Planilha Resumo'!$F$38</f>
        <v>3</v>
      </c>
      <c r="F77" s="76">
        <f>ROUND((($F$83+$F$84+$F$85+$F$86+$F$87+$F$73+$F$74)*E77%)/(1-$E$75%),2)</f>
        <v>313.67</v>
      </c>
    </row>
    <row r="78" spans="2:6" ht="15">
      <c r="B78" s="26" t="s">
        <v>53</v>
      </c>
      <c r="C78" s="121" t="str">
        <f>'Planilha Resumo'!$C$39</f>
        <v>ISS</v>
      </c>
      <c r="D78" s="121"/>
      <c r="E78" s="75">
        <f>'Planilha Resumo'!$F$39</f>
        <v>2</v>
      </c>
      <c r="F78" s="76">
        <f>ROUND((($F$83+$F$84+$F$85+$F$86+$F$87+$F$73+$F$74)*E78%)/(1-$E$75%),2)</f>
        <v>209.11</v>
      </c>
    </row>
    <row r="79" spans="2:6" ht="16.5" customHeight="1">
      <c r="B79" s="26" t="s">
        <v>194</v>
      </c>
      <c r="C79" s="121" t="str">
        <f>'Planilha Resumo'!$C$40</f>
        <v>CPRB (Somente se empresa optante pela desoneração fiscal)</v>
      </c>
      <c r="D79" s="121"/>
      <c r="E79" s="75">
        <f>'Planilha Resumo'!$F$40</f>
        <v>4.5</v>
      </c>
      <c r="F79" s="76">
        <f>ROUND((($F$83+$F$84+$F$85+$F$86+$F$87+$F$73+$F$74)*E79%)/(1-$E$75%),2)</f>
        <v>470.51</v>
      </c>
    </row>
    <row r="80" spans="2:6" ht="16.5">
      <c r="B80" s="141" t="s">
        <v>63</v>
      </c>
      <c r="C80" s="141"/>
      <c r="D80" s="141"/>
      <c r="E80" s="141"/>
      <c r="F80" s="77">
        <f>SUM(F73:F75)</f>
        <v>1958.81</v>
      </c>
    </row>
    <row r="81" spans="2:6" ht="20.25">
      <c r="B81" s="78" t="s">
        <v>91</v>
      </c>
      <c r="C81" s="79"/>
      <c r="D81" s="79"/>
      <c r="E81" s="79"/>
      <c r="F81" s="80"/>
    </row>
    <row r="82" spans="2:6" ht="16.5">
      <c r="B82" s="19" t="s">
        <v>92</v>
      </c>
      <c r="C82" s="138" t="s">
        <v>93</v>
      </c>
      <c r="D82" s="138"/>
      <c r="E82" s="138"/>
      <c r="F82" s="22" t="s">
        <v>94</v>
      </c>
    </row>
    <row r="83" spans="2:6" ht="16.5">
      <c r="B83" s="15">
        <v>1</v>
      </c>
      <c r="C83" s="144" t="s">
        <v>24</v>
      </c>
      <c r="D83" s="144"/>
      <c r="E83" s="144"/>
      <c r="F83" s="42">
        <f>F15</f>
        <v>4638.92</v>
      </c>
    </row>
    <row r="84" spans="2:6" ht="16.5">
      <c r="B84" s="19">
        <v>2</v>
      </c>
      <c r="C84" s="144" t="s">
        <v>95</v>
      </c>
      <c r="D84" s="144"/>
      <c r="E84" s="144"/>
      <c r="F84" s="42">
        <f>F22+F33+F43</f>
        <v>2306.07</v>
      </c>
    </row>
    <row r="85" spans="2:6" ht="16.5">
      <c r="B85" s="19">
        <v>3</v>
      </c>
      <c r="C85" s="144" t="s">
        <v>81</v>
      </c>
      <c r="D85" s="144"/>
      <c r="E85" s="144"/>
      <c r="F85" s="42">
        <f>F50</f>
        <v>101.45</v>
      </c>
    </row>
    <row r="86" spans="2:6" ht="16.5">
      <c r="B86" s="19">
        <v>4</v>
      </c>
      <c r="C86" s="144" t="s">
        <v>96</v>
      </c>
      <c r="D86" s="144"/>
      <c r="E86" s="144"/>
      <c r="F86" s="42">
        <f>F60</f>
        <v>757.5000000000001</v>
      </c>
    </row>
    <row r="87" spans="2:6" ht="16.5">
      <c r="B87" s="19">
        <v>5</v>
      </c>
      <c r="C87" s="144" t="s">
        <v>42</v>
      </c>
      <c r="D87" s="144"/>
      <c r="E87" s="144"/>
      <c r="F87" s="42">
        <f>F69</f>
        <v>692.9699999999999</v>
      </c>
    </row>
    <row r="88" spans="2:6" ht="16.5">
      <c r="B88" s="19">
        <v>6</v>
      </c>
      <c r="C88" s="144" t="s">
        <v>46</v>
      </c>
      <c r="D88" s="144"/>
      <c r="E88" s="144"/>
      <c r="F88" s="42">
        <f>F80</f>
        <v>1958.81</v>
      </c>
    </row>
    <row r="89" spans="2:6" ht="16.5">
      <c r="B89" s="138" t="s">
        <v>97</v>
      </c>
      <c r="C89" s="138"/>
      <c r="D89" s="138"/>
      <c r="E89" s="138"/>
      <c r="F89" s="77">
        <f>SUM(F83:F88)</f>
        <v>10455.72</v>
      </c>
    </row>
  </sheetData>
  <sheetProtection sheet="1" objects="1" scenarios="1"/>
  <mergeCells count="73">
    <mergeCell ref="C49:D49"/>
    <mergeCell ref="C66:E66"/>
    <mergeCell ref="C67:E67"/>
    <mergeCell ref="C68:E68"/>
    <mergeCell ref="C41:D41"/>
    <mergeCell ref="C42:E42"/>
    <mergeCell ref="C63:E63"/>
    <mergeCell ref="C64:E64"/>
    <mergeCell ref="C65:E65"/>
    <mergeCell ref="C56:D56"/>
    <mergeCell ref="C57:D57"/>
    <mergeCell ref="C72:D72"/>
    <mergeCell ref="C10:D10"/>
    <mergeCell ref="C11:D11"/>
    <mergeCell ref="C12:D12"/>
    <mergeCell ref="C13:D13"/>
    <mergeCell ref="C14:D14"/>
    <mergeCell ref="C35:D35"/>
    <mergeCell ref="C36:D36"/>
    <mergeCell ref="C37:D37"/>
    <mergeCell ref="C38:D38"/>
    <mergeCell ref="C88:E88"/>
    <mergeCell ref="C75:D75"/>
    <mergeCell ref="C76:D76"/>
    <mergeCell ref="C77:D77"/>
    <mergeCell ref="C78:D78"/>
    <mergeCell ref="B80:E80"/>
    <mergeCell ref="C82:E82"/>
    <mergeCell ref="C73:D73"/>
    <mergeCell ref="C40:E40"/>
    <mergeCell ref="C79:D79"/>
    <mergeCell ref="B89:E89"/>
    <mergeCell ref="B69:E69"/>
    <mergeCell ref="C83:E83"/>
    <mergeCell ref="C84:E84"/>
    <mergeCell ref="C85:E85"/>
    <mergeCell ref="C86:E86"/>
    <mergeCell ref="C87:E87"/>
    <mergeCell ref="B60:E60"/>
    <mergeCell ref="C54:D54"/>
    <mergeCell ref="C55:D55"/>
    <mergeCell ref="B33:D33"/>
    <mergeCell ref="C39:D39"/>
    <mergeCell ref="C46:D46"/>
    <mergeCell ref="C47:D47"/>
    <mergeCell ref="B43:E43"/>
    <mergeCell ref="B50:E50"/>
    <mergeCell ref="C48:D48"/>
    <mergeCell ref="B1:F1"/>
    <mergeCell ref="C74:D74"/>
    <mergeCell ref="B71:F71"/>
    <mergeCell ref="C28:D28"/>
    <mergeCell ref="C29:D29"/>
    <mergeCell ref="C30:D30"/>
    <mergeCell ref="C31:D31"/>
    <mergeCell ref="C32:D32"/>
    <mergeCell ref="C58:D58"/>
    <mergeCell ref="C59:D59"/>
    <mergeCell ref="D6:F6"/>
    <mergeCell ref="D2:F2"/>
    <mergeCell ref="D3:F3"/>
    <mergeCell ref="C4:E4"/>
    <mergeCell ref="C5:E5"/>
    <mergeCell ref="C27:D27"/>
    <mergeCell ref="B23:F23"/>
    <mergeCell ref="C21:D21"/>
    <mergeCell ref="B22:E22"/>
    <mergeCell ref="B15:E15"/>
    <mergeCell ref="C24:D24"/>
    <mergeCell ref="C25:D25"/>
    <mergeCell ref="C26:D26"/>
    <mergeCell ref="C19:D19"/>
    <mergeCell ref="C20:D20"/>
  </mergeCells>
  <dataValidations count="2"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48:E49">
      <formula1>0</formula1>
      <formula2>1.94</formula2>
    </dataValidation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47">
      <formula1>0</formula1>
      <formula2>0.46</formula2>
    </dataValidation>
  </dataValidations>
  <printOptions horizontalCentered="1"/>
  <pageMargins left="0.1968503937007874" right="0.1968503937007874" top="0.7874015748031497" bottom="0.7874015748031497" header="0.07874015748031496" footer="0.196850393700787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8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9" customWidth="1"/>
    <col min="2" max="2" width="9.00390625" style="9" customWidth="1"/>
    <col min="3" max="3" width="51.140625" style="9" bestFit="1" customWidth="1"/>
    <col min="4" max="4" width="14.00390625" style="9" customWidth="1"/>
    <col min="5" max="5" width="8.7109375" style="9" customWidth="1"/>
    <col min="6" max="6" width="15.7109375" style="9" bestFit="1" customWidth="1"/>
    <col min="7" max="16384" width="9.140625" style="9" customWidth="1"/>
  </cols>
  <sheetData>
    <row r="1" spans="2:6" ht="16.5">
      <c r="B1" s="151" t="s">
        <v>18</v>
      </c>
      <c r="C1" s="151"/>
      <c r="D1" s="151"/>
      <c r="E1" s="151"/>
      <c r="F1" s="151"/>
    </row>
    <row r="2" spans="2:6" ht="16.5">
      <c r="B2" s="14">
        <v>1</v>
      </c>
      <c r="C2" s="41" t="s">
        <v>19</v>
      </c>
      <c r="D2" s="29" t="s">
        <v>210</v>
      </c>
      <c r="E2" s="29"/>
      <c r="F2" s="29"/>
    </row>
    <row r="3" spans="2:6" ht="16.5">
      <c r="B3" s="14">
        <v>2</v>
      </c>
      <c r="C3" s="41" t="s">
        <v>20</v>
      </c>
      <c r="D3" s="157" t="s">
        <v>231</v>
      </c>
      <c r="E3" s="157"/>
      <c r="F3" s="157"/>
    </row>
    <row r="4" spans="2:6" ht="16.5">
      <c r="B4" s="14">
        <v>3</v>
      </c>
      <c r="C4" s="158" t="s">
        <v>99</v>
      </c>
      <c r="D4" s="158"/>
      <c r="E4" s="158"/>
      <c r="F4" s="3">
        <v>44317</v>
      </c>
    </row>
    <row r="5" spans="2:6" ht="16.5">
      <c r="B5" s="14">
        <v>4</v>
      </c>
      <c r="C5" s="124" t="s">
        <v>21</v>
      </c>
      <c r="D5" s="160"/>
      <c r="E5" s="125"/>
      <c r="F5" s="42">
        <f>'Planilha Resumo'!F26</f>
        <v>1212</v>
      </c>
    </row>
    <row r="6" spans="2:6" ht="16.5">
      <c r="B6" s="14">
        <v>5</v>
      </c>
      <c r="C6" s="41" t="s">
        <v>156</v>
      </c>
      <c r="D6" s="159" t="s">
        <v>242</v>
      </c>
      <c r="E6" s="159"/>
      <c r="F6" s="159"/>
    </row>
    <row r="7" spans="2:6" s="46" customFormat="1" ht="9">
      <c r="B7" s="43"/>
      <c r="C7" s="44"/>
      <c r="D7" s="44"/>
      <c r="E7" s="44"/>
      <c r="F7" s="45"/>
    </row>
    <row r="8" spans="2:6" ht="25.5">
      <c r="B8" s="47" t="s">
        <v>22</v>
      </c>
      <c r="C8" s="48"/>
      <c r="D8" s="48"/>
      <c r="E8" s="48"/>
      <c r="F8" s="48"/>
    </row>
    <row r="9" spans="2:6" ht="16.5">
      <c r="B9" s="49" t="s">
        <v>23</v>
      </c>
      <c r="C9" s="50"/>
      <c r="D9" s="50"/>
      <c r="E9" s="51"/>
      <c r="F9" s="51"/>
    </row>
    <row r="10" spans="2:6" ht="16.5" customHeight="1">
      <c r="B10" s="15">
        <v>1</v>
      </c>
      <c r="C10" s="91" t="s">
        <v>24</v>
      </c>
      <c r="D10" s="92"/>
      <c r="E10" s="22" t="s">
        <v>40</v>
      </c>
      <c r="F10" s="22" t="s">
        <v>43</v>
      </c>
    </row>
    <row r="11" spans="2:8" ht="16.5">
      <c r="B11" s="15" t="s">
        <v>5</v>
      </c>
      <c r="C11" s="93" t="s">
        <v>25</v>
      </c>
      <c r="D11" s="57"/>
      <c r="E11" s="52"/>
      <c r="F11" s="2">
        <v>2938.86</v>
      </c>
      <c r="H11" s="81"/>
    </row>
    <row r="12" spans="2:6" ht="16.5">
      <c r="B12" s="15" t="s">
        <v>6</v>
      </c>
      <c r="C12" s="58" t="s">
        <v>26</v>
      </c>
      <c r="D12" s="59"/>
      <c r="E12" s="39">
        <v>0.3</v>
      </c>
      <c r="F12" s="42">
        <f>ROUND((E12*$F$11),2)</f>
        <v>881.66</v>
      </c>
    </row>
    <row r="13" spans="2:6" ht="16.5">
      <c r="B13" s="15" t="s">
        <v>7</v>
      </c>
      <c r="C13" s="93" t="s">
        <v>27</v>
      </c>
      <c r="D13" s="57"/>
      <c r="E13" s="39"/>
      <c r="F13" s="42">
        <f>ROUND((E13*$F$11),2)</f>
        <v>0</v>
      </c>
    </row>
    <row r="14" spans="2:6" ht="16.5">
      <c r="B14" s="15" t="s">
        <v>9</v>
      </c>
      <c r="C14" s="58" t="s">
        <v>28</v>
      </c>
      <c r="D14" s="59"/>
      <c r="E14" s="39"/>
      <c r="F14" s="42">
        <f>ROUND((E14*$F$5),2)</f>
        <v>0</v>
      </c>
    </row>
    <row r="15" spans="2:6" ht="16.5">
      <c r="B15" s="139" t="s">
        <v>63</v>
      </c>
      <c r="C15" s="139"/>
      <c r="D15" s="139"/>
      <c r="E15" s="139"/>
      <c r="F15" s="53">
        <f>SUM(F11:F14)</f>
        <v>3820.52</v>
      </c>
    </row>
    <row r="16" spans="2:6" s="46" customFormat="1" ht="9">
      <c r="B16" s="43"/>
      <c r="C16" s="44"/>
      <c r="D16" s="44"/>
      <c r="E16" s="44"/>
      <c r="F16" s="45"/>
    </row>
    <row r="17" spans="2:6" ht="16.5">
      <c r="B17" s="49" t="s">
        <v>31</v>
      </c>
      <c r="C17" s="50"/>
      <c r="D17" s="50"/>
      <c r="E17" s="54"/>
      <c r="F17" s="54"/>
    </row>
    <row r="18" spans="2:6" ht="16.5">
      <c r="B18" s="49" t="s">
        <v>64</v>
      </c>
      <c r="C18" s="55"/>
      <c r="D18" s="56"/>
      <c r="E18" s="62"/>
      <c r="F18" s="62"/>
    </row>
    <row r="19" spans="2:6" ht="16.5">
      <c r="B19" s="15" t="s">
        <v>65</v>
      </c>
      <c r="C19" s="60" t="s">
        <v>66</v>
      </c>
      <c r="D19" s="60"/>
      <c r="E19" s="22" t="s">
        <v>40</v>
      </c>
      <c r="F19" s="22" t="s">
        <v>43</v>
      </c>
    </row>
    <row r="20" spans="2:6" ht="16.5">
      <c r="B20" s="15" t="s">
        <v>5</v>
      </c>
      <c r="C20" s="120" t="s">
        <v>67</v>
      </c>
      <c r="D20" s="120"/>
      <c r="E20" s="52">
        <f>ROUND((1/12)*100,2)</f>
        <v>8.33</v>
      </c>
      <c r="F20" s="42">
        <f>ROUND((E20%*$F$83),2)</f>
        <v>318.25</v>
      </c>
    </row>
    <row r="21" spans="2:6" ht="16.5">
      <c r="B21" s="19" t="s">
        <v>6</v>
      </c>
      <c r="C21" s="90" t="s">
        <v>68</v>
      </c>
      <c r="D21" s="90"/>
      <c r="E21" s="63">
        <f>ROUND((1/3*1/12)*100,2)</f>
        <v>2.78</v>
      </c>
      <c r="F21" s="42">
        <f>ROUND((E21%*$F$83),2)</f>
        <v>106.21</v>
      </c>
    </row>
    <row r="22" spans="2:6" ht="16.5">
      <c r="B22" s="141" t="s">
        <v>63</v>
      </c>
      <c r="C22" s="141"/>
      <c r="D22" s="141"/>
      <c r="E22" s="141"/>
      <c r="F22" s="64">
        <f>SUM(F20:F21)</f>
        <v>424.46</v>
      </c>
    </row>
    <row r="23" spans="2:6" ht="16.5" customHeight="1">
      <c r="B23" s="161" t="s">
        <v>69</v>
      </c>
      <c r="C23" s="161"/>
      <c r="D23" s="161"/>
      <c r="E23" s="161"/>
      <c r="F23" s="161"/>
    </row>
    <row r="24" spans="2:6" ht="33" customHeight="1">
      <c r="B24" s="15" t="s">
        <v>70</v>
      </c>
      <c r="C24" s="60" t="s">
        <v>71</v>
      </c>
      <c r="D24" s="60"/>
      <c r="E24" s="22" t="s">
        <v>40</v>
      </c>
      <c r="F24" s="22" t="s">
        <v>43</v>
      </c>
    </row>
    <row r="25" spans="2:6" ht="16.5">
      <c r="B25" s="15" t="s">
        <v>5</v>
      </c>
      <c r="C25" s="120" t="s">
        <v>72</v>
      </c>
      <c r="D25" s="120"/>
      <c r="E25" s="65">
        <f>IF('Planilha Resumo'!F21="NÃO",20,0)</f>
        <v>0</v>
      </c>
      <c r="F25" s="42">
        <f aca="true" t="shared" si="0" ref="F25:F32">ROUND((E25%*($F$83+$F$22)),2)</f>
        <v>0</v>
      </c>
    </row>
    <row r="26" spans="2:6" ht="16.5">
      <c r="B26" s="19" t="s">
        <v>6</v>
      </c>
      <c r="C26" s="144" t="s">
        <v>73</v>
      </c>
      <c r="D26" s="144"/>
      <c r="E26" s="63">
        <v>2.5</v>
      </c>
      <c r="F26" s="42">
        <f t="shared" si="0"/>
        <v>106.12</v>
      </c>
    </row>
    <row r="27" spans="2:6" ht="16.5">
      <c r="B27" s="19" t="s">
        <v>7</v>
      </c>
      <c r="C27" s="120" t="s">
        <v>74</v>
      </c>
      <c r="D27" s="120"/>
      <c r="E27" s="65">
        <v>3</v>
      </c>
      <c r="F27" s="42">
        <f t="shared" si="0"/>
        <v>127.35</v>
      </c>
    </row>
    <row r="28" spans="2:6" ht="16.5">
      <c r="B28" s="19" t="s">
        <v>9</v>
      </c>
      <c r="C28" s="144" t="s">
        <v>75</v>
      </c>
      <c r="D28" s="144"/>
      <c r="E28" s="63">
        <v>1.5</v>
      </c>
      <c r="F28" s="42">
        <f t="shared" si="0"/>
        <v>63.67</v>
      </c>
    </row>
    <row r="29" spans="2:6" ht="16.5">
      <c r="B29" s="19" t="s">
        <v>10</v>
      </c>
      <c r="C29" s="120" t="s">
        <v>76</v>
      </c>
      <c r="D29" s="120"/>
      <c r="E29" s="65">
        <v>1</v>
      </c>
      <c r="F29" s="42">
        <f t="shared" si="0"/>
        <v>42.45</v>
      </c>
    </row>
    <row r="30" spans="2:6" ht="16.5">
      <c r="B30" s="19" t="s">
        <v>29</v>
      </c>
      <c r="C30" s="144" t="s">
        <v>77</v>
      </c>
      <c r="D30" s="144"/>
      <c r="E30" s="63">
        <v>0.6</v>
      </c>
      <c r="F30" s="42">
        <f t="shared" si="0"/>
        <v>25.47</v>
      </c>
    </row>
    <row r="31" spans="2:6" ht="16.5">
      <c r="B31" s="19" t="s">
        <v>30</v>
      </c>
      <c r="C31" s="120" t="s">
        <v>78</v>
      </c>
      <c r="D31" s="120"/>
      <c r="E31" s="65">
        <v>0.2</v>
      </c>
      <c r="F31" s="42">
        <f t="shared" si="0"/>
        <v>8.49</v>
      </c>
    </row>
    <row r="32" spans="2:6" ht="16.5">
      <c r="B32" s="19" t="s">
        <v>62</v>
      </c>
      <c r="C32" s="144" t="s">
        <v>79</v>
      </c>
      <c r="D32" s="144"/>
      <c r="E32" s="63">
        <v>8</v>
      </c>
      <c r="F32" s="42">
        <f t="shared" si="0"/>
        <v>339.6</v>
      </c>
    </row>
    <row r="33" spans="2:6" ht="16.5">
      <c r="B33" s="61" t="s">
        <v>63</v>
      </c>
      <c r="C33" s="61"/>
      <c r="D33" s="61"/>
      <c r="E33" s="66">
        <f>SUM(E25:E32)</f>
        <v>16.799999999999997</v>
      </c>
      <c r="F33" s="67">
        <f>SUM(F25:F32)</f>
        <v>713.15</v>
      </c>
    </row>
    <row r="34" spans="2:6" ht="16.5">
      <c r="B34" s="49" t="s">
        <v>32</v>
      </c>
      <c r="C34" s="10"/>
      <c r="D34" s="10"/>
      <c r="E34" s="10"/>
      <c r="F34" s="10"/>
    </row>
    <row r="35" spans="2:6" ht="16.5">
      <c r="B35" s="15" t="s">
        <v>33</v>
      </c>
      <c r="C35" s="91" t="s">
        <v>34</v>
      </c>
      <c r="D35" s="92"/>
      <c r="E35" s="22" t="s">
        <v>108</v>
      </c>
      <c r="F35" s="22" t="s">
        <v>35</v>
      </c>
    </row>
    <row r="36" spans="2:6" ht="16.5">
      <c r="B36" s="15" t="s">
        <v>5</v>
      </c>
      <c r="C36" s="124" t="s">
        <v>100</v>
      </c>
      <c r="D36" s="125"/>
      <c r="E36" s="38">
        <v>11</v>
      </c>
      <c r="F36" s="42">
        <f>ROUND(E36*$F$40,2)</f>
        <v>242</v>
      </c>
    </row>
    <row r="37" spans="2:6" ht="16.5">
      <c r="B37" s="68" t="s">
        <v>104</v>
      </c>
      <c r="C37" s="122" t="s">
        <v>106</v>
      </c>
      <c r="D37" s="123"/>
      <c r="E37" s="39">
        <v>0</v>
      </c>
      <c r="F37" s="69">
        <f>IF((E37*F11)&gt;=F36,-F36,ROUND(-(E37*F11),2))</f>
        <v>0</v>
      </c>
    </row>
    <row r="38" spans="2:6" ht="16.5">
      <c r="B38" s="15" t="s">
        <v>6</v>
      </c>
      <c r="C38" s="124" t="s">
        <v>101</v>
      </c>
      <c r="D38" s="125"/>
      <c r="E38" s="38">
        <v>21</v>
      </c>
      <c r="F38" s="42">
        <f>ROUND(E38*$F$40,2)</f>
        <v>462</v>
      </c>
    </row>
    <row r="39" spans="2:6" ht="16.5">
      <c r="B39" s="68" t="s">
        <v>105</v>
      </c>
      <c r="C39" s="122" t="s">
        <v>107</v>
      </c>
      <c r="D39" s="123"/>
      <c r="E39" s="39">
        <v>0.09</v>
      </c>
      <c r="F39" s="69">
        <f>-ROUND((E39*F38),2)</f>
        <v>-41.58</v>
      </c>
    </row>
    <row r="40" spans="2:6" ht="16.5">
      <c r="B40" s="15" t="s">
        <v>7</v>
      </c>
      <c r="C40" s="90" t="s">
        <v>61</v>
      </c>
      <c r="D40" s="90"/>
      <c r="E40" s="90"/>
      <c r="F40" s="70">
        <f>'Planilha Resumo'!F11</f>
        <v>22</v>
      </c>
    </row>
    <row r="41" spans="2:6" ht="16.5">
      <c r="B41" s="15" t="s">
        <v>9</v>
      </c>
      <c r="C41" s="124" t="s">
        <v>109</v>
      </c>
      <c r="D41" s="125"/>
      <c r="E41" s="40">
        <v>5</v>
      </c>
      <c r="F41" s="71">
        <f>ROUND((E41*$F$40),2)</f>
        <v>110</v>
      </c>
    </row>
    <row r="42" spans="2:6" ht="16.5">
      <c r="B42" s="15" t="s">
        <v>10</v>
      </c>
      <c r="C42" s="90" t="s">
        <v>103</v>
      </c>
      <c r="D42" s="90"/>
      <c r="E42" s="90"/>
      <c r="F42" s="1">
        <v>152.35</v>
      </c>
    </row>
    <row r="43" spans="2:6" ht="16.5">
      <c r="B43" s="139" t="s">
        <v>63</v>
      </c>
      <c r="C43" s="139"/>
      <c r="D43" s="139"/>
      <c r="E43" s="139"/>
      <c r="F43" s="53">
        <f>SUM(F36:F39)+SUM(F41:F42)</f>
        <v>924.77</v>
      </c>
    </row>
    <row r="44" spans="2:6" s="46" customFormat="1" ht="9">
      <c r="B44" s="43"/>
      <c r="C44" s="44"/>
      <c r="D44" s="44"/>
      <c r="E44" s="44"/>
      <c r="F44" s="45"/>
    </row>
    <row r="45" spans="2:6" ht="16.5">
      <c r="B45" s="49" t="s">
        <v>80</v>
      </c>
      <c r="C45" s="55"/>
      <c r="D45" s="56"/>
      <c r="E45" s="62"/>
      <c r="F45" s="72"/>
    </row>
    <row r="46" spans="2:6" ht="16.5">
      <c r="B46" s="15">
        <v>3</v>
      </c>
      <c r="C46" s="141" t="s">
        <v>81</v>
      </c>
      <c r="D46" s="141"/>
      <c r="E46" s="22" t="s">
        <v>40</v>
      </c>
      <c r="F46" s="22" t="s">
        <v>43</v>
      </c>
    </row>
    <row r="47" spans="2:6" ht="16.5">
      <c r="B47" s="15" t="s">
        <v>5</v>
      </c>
      <c r="C47" s="120" t="s">
        <v>82</v>
      </c>
      <c r="D47" s="120"/>
      <c r="E47" s="65">
        <f>ROUND((62.93%*5.55%*(1/12))*100,2)</f>
        <v>0.29</v>
      </c>
      <c r="F47" s="42">
        <f>ROUND((E47%*($F$83+$F$22+$F$32+F43)),2)</f>
        <v>15.98</v>
      </c>
    </row>
    <row r="48" spans="2:6" ht="16.5">
      <c r="B48" s="19" t="s">
        <v>6</v>
      </c>
      <c r="C48" s="144" t="s">
        <v>83</v>
      </c>
      <c r="D48" s="144"/>
      <c r="E48" s="63">
        <f>ROUND((62.93%*94.45%*(7/30)/12)*100,2)</f>
        <v>1.16</v>
      </c>
      <c r="F48" s="42">
        <f>ROUND((E48%*($F$83+$F$84)),2)</f>
        <v>68.24</v>
      </c>
    </row>
    <row r="49" spans="2:6" ht="16.5">
      <c r="B49" s="19" t="s">
        <v>7</v>
      </c>
      <c r="C49" s="120" t="s">
        <v>84</v>
      </c>
      <c r="D49" s="120"/>
      <c r="E49" s="65">
        <f>ROUND((E48%*40%*E32%)*100,2)</f>
        <v>0.04</v>
      </c>
      <c r="F49" s="42">
        <f>ROUND((E49%*($F$83+$F$22)),2)</f>
        <v>1.7</v>
      </c>
    </row>
    <row r="50" spans="2:6" ht="16.5">
      <c r="B50" s="141" t="s">
        <v>63</v>
      </c>
      <c r="C50" s="141"/>
      <c r="D50" s="141"/>
      <c r="E50" s="141"/>
      <c r="F50" s="64">
        <f>SUM(F47:F49)</f>
        <v>85.92</v>
      </c>
    </row>
    <row r="51" spans="2:6" s="46" customFormat="1" ht="9">
      <c r="B51" s="43"/>
      <c r="C51" s="44"/>
      <c r="D51" s="44"/>
      <c r="E51" s="44"/>
      <c r="F51" s="45"/>
    </row>
    <row r="52" spans="2:6" ht="16.5">
      <c r="B52" s="49" t="s">
        <v>36</v>
      </c>
      <c r="C52" s="55"/>
      <c r="D52" s="56"/>
      <c r="E52" s="48"/>
      <c r="F52" s="48"/>
    </row>
    <row r="53" spans="2:6" ht="16.5">
      <c r="B53" s="49" t="s">
        <v>37</v>
      </c>
      <c r="C53" s="55"/>
      <c r="D53" s="56"/>
      <c r="E53" s="62"/>
      <c r="F53" s="62"/>
    </row>
    <row r="54" spans="2:6" ht="16.5">
      <c r="B54" s="15" t="s">
        <v>38</v>
      </c>
      <c r="C54" s="138" t="s">
        <v>39</v>
      </c>
      <c r="D54" s="138"/>
      <c r="E54" s="22" t="s">
        <v>40</v>
      </c>
      <c r="F54" s="22" t="s">
        <v>43</v>
      </c>
    </row>
    <row r="55" spans="2:6" ht="16.5">
      <c r="B55" s="19" t="s">
        <v>5</v>
      </c>
      <c r="C55" s="120" t="s">
        <v>85</v>
      </c>
      <c r="D55" s="120"/>
      <c r="E55" s="73">
        <f>ROUND((1/12)*100,2)</f>
        <v>8.33</v>
      </c>
      <c r="F55" s="42">
        <f>ROUND((E55%*($F$83+$F$84+$F$85)),2)</f>
        <v>497.2</v>
      </c>
    </row>
    <row r="56" spans="2:6" ht="16.5">
      <c r="B56" s="19" t="s">
        <v>6</v>
      </c>
      <c r="C56" s="144" t="s">
        <v>86</v>
      </c>
      <c r="D56" s="144"/>
      <c r="E56" s="73">
        <f>ROUND((8/30/12)*100,2)</f>
        <v>2.22</v>
      </c>
      <c r="F56" s="42">
        <f>ROUND((E56%*($F$83+$F$84+$F$85)),2)</f>
        <v>132.51</v>
      </c>
    </row>
    <row r="57" spans="2:6" ht="16.5">
      <c r="B57" s="19" t="s">
        <v>7</v>
      </c>
      <c r="C57" s="120" t="s">
        <v>87</v>
      </c>
      <c r="D57" s="120"/>
      <c r="E57" s="73">
        <f>ROUND(((20/30/12)*1.416%*45.22%)*100,2)</f>
        <v>0.04</v>
      </c>
      <c r="F57" s="42">
        <f>ROUND((E57%*($F$83+$F$84+$F$85)),2)</f>
        <v>2.39</v>
      </c>
    </row>
    <row r="58" spans="2:6" ht="16.5" customHeight="1">
      <c r="B58" s="19" t="s">
        <v>9</v>
      </c>
      <c r="C58" s="144" t="s">
        <v>88</v>
      </c>
      <c r="D58" s="144"/>
      <c r="E58" s="73">
        <f>ROUND(((15/30/12)*0.44%)*100,2)</f>
        <v>0.02</v>
      </c>
      <c r="F58" s="42">
        <f>ROUND((E58%*($F$83+$F$84+$F$85)),2)</f>
        <v>1.19</v>
      </c>
    </row>
    <row r="59" spans="2:6" ht="16.5">
      <c r="B59" s="19" t="s">
        <v>10</v>
      </c>
      <c r="C59" s="120" t="s">
        <v>89</v>
      </c>
      <c r="D59" s="120"/>
      <c r="E59" s="73">
        <f>ROUND(((180/30/12)*1.416%*54.78%*36.8%)*100,2)</f>
        <v>0.14</v>
      </c>
      <c r="F59" s="42">
        <f>ROUND((E59%*($F$83+$F$84+$F$85)),2)</f>
        <v>8.36</v>
      </c>
    </row>
    <row r="60" spans="2:6" ht="16.5">
      <c r="B60" s="141" t="s">
        <v>63</v>
      </c>
      <c r="C60" s="141"/>
      <c r="D60" s="141"/>
      <c r="E60" s="141"/>
      <c r="F60" s="53">
        <f>SUM(F55:F59)</f>
        <v>641.6500000000001</v>
      </c>
    </row>
    <row r="61" spans="2:6" s="46" customFormat="1" ht="9">
      <c r="B61" s="43"/>
      <c r="C61" s="44"/>
      <c r="D61" s="44"/>
      <c r="E61" s="44"/>
      <c r="F61" s="45"/>
    </row>
    <row r="62" spans="2:6" ht="16.5">
      <c r="B62" s="49" t="s">
        <v>41</v>
      </c>
      <c r="C62" s="55"/>
      <c r="D62" s="55"/>
      <c r="E62" s="62"/>
      <c r="F62" s="62"/>
    </row>
    <row r="63" spans="2:6" ht="16.5">
      <c r="B63" s="15">
        <v>5</v>
      </c>
      <c r="C63" s="91" t="s">
        <v>42</v>
      </c>
      <c r="D63" s="162"/>
      <c r="E63" s="92"/>
      <c r="F63" s="22" t="s">
        <v>43</v>
      </c>
    </row>
    <row r="64" spans="2:6" ht="16.5">
      <c r="B64" s="14" t="s">
        <v>5</v>
      </c>
      <c r="C64" s="90" t="s">
        <v>44</v>
      </c>
      <c r="D64" s="90"/>
      <c r="E64" s="90"/>
      <c r="F64" s="1">
        <f>'Planilha Resumo'!F31</f>
        <v>40.65</v>
      </c>
    </row>
    <row r="65" spans="2:6" ht="16.5">
      <c r="B65" s="14" t="s">
        <v>6</v>
      </c>
      <c r="C65" s="124" t="s">
        <v>116</v>
      </c>
      <c r="D65" s="160"/>
      <c r="E65" s="125"/>
      <c r="F65" s="42">
        <f>'Planilha Resumo'!F32</f>
        <v>275.94</v>
      </c>
    </row>
    <row r="66" spans="2:6" ht="16.5">
      <c r="B66" s="14" t="s">
        <v>7</v>
      </c>
      <c r="C66" s="90" t="s">
        <v>117</v>
      </c>
      <c r="D66" s="90"/>
      <c r="E66" s="90"/>
      <c r="F66" s="1">
        <v>147.23</v>
      </c>
    </row>
    <row r="67" spans="2:6" ht="16.5">
      <c r="B67" s="14" t="s">
        <v>9</v>
      </c>
      <c r="C67" s="124" t="s">
        <v>118</v>
      </c>
      <c r="D67" s="160"/>
      <c r="E67" s="125"/>
      <c r="F67" s="1">
        <f>201.65-F64</f>
        <v>161</v>
      </c>
    </row>
    <row r="68" spans="2:6" ht="16.5">
      <c r="B68" s="14" t="s">
        <v>10</v>
      </c>
      <c r="C68" s="90" t="s">
        <v>153</v>
      </c>
      <c r="D68" s="90"/>
      <c r="E68" s="90"/>
      <c r="F68" s="1">
        <v>50.25</v>
      </c>
    </row>
    <row r="69" spans="2:6" ht="16.5">
      <c r="B69" s="139" t="s">
        <v>63</v>
      </c>
      <c r="C69" s="139"/>
      <c r="D69" s="139"/>
      <c r="E69" s="139"/>
      <c r="F69" s="53">
        <f>SUM(F64:F68)</f>
        <v>675.0699999999999</v>
      </c>
    </row>
    <row r="70" spans="2:6" s="46" customFormat="1" ht="9">
      <c r="B70" s="43"/>
      <c r="C70" s="44"/>
      <c r="D70" s="44"/>
      <c r="E70" s="44"/>
      <c r="F70" s="45"/>
    </row>
    <row r="71" spans="2:6" ht="16.5" customHeight="1">
      <c r="B71" s="140" t="s">
        <v>45</v>
      </c>
      <c r="C71" s="140"/>
      <c r="D71" s="140"/>
      <c r="E71" s="140"/>
      <c r="F71" s="140"/>
    </row>
    <row r="72" spans="2:6" ht="16.5">
      <c r="B72" s="15">
        <v>6</v>
      </c>
      <c r="C72" s="141" t="s">
        <v>46</v>
      </c>
      <c r="D72" s="141"/>
      <c r="E72" s="22" t="s">
        <v>40</v>
      </c>
      <c r="F72" s="22" t="s">
        <v>43</v>
      </c>
    </row>
    <row r="73" spans="2:6" ht="16.5">
      <c r="B73" s="15" t="s">
        <v>5</v>
      </c>
      <c r="C73" s="120" t="str">
        <f>'Planilha Resumo'!$C$34</f>
        <v>Custos Indiretos</v>
      </c>
      <c r="D73" s="120"/>
      <c r="E73" s="73">
        <f>'Planilha Resumo'!$F$34</f>
        <v>4.73</v>
      </c>
      <c r="F73" s="42">
        <f>ROUND((E73%*($F$83+$F$84+$F$85+$F$86+$F$87)),2)</f>
        <v>344.61</v>
      </c>
    </row>
    <row r="74" spans="2:6" ht="16.5">
      <c r="B74" s="19" t="s">
        <v>6</v>
      </c>
      <c r="C74" s="144" t="str">
        <f>'Planilha Resumo'!$C$35</f>
        <v>Lucro</v>
      </c>
      <c r="D74" s="144"/>
      <c r="E74" s="73">
        <f>'Planilha Resumo'!$F$35</f>
        <v>5.57</v>
      </c>
      <c r="F74" s="42">
        <f>ROUND((E74%*($F$83+$F$84+$F$85+$F$86+$F$87+$F$73)),2)</f>
        <v>425</v>
      </c>
    </row>
    <row r="75" spans="2:6" ht="16.5">
      <c r="B75" s="19" t="s">
        <v>7</v>
      </c>
      <c r="C75" s="144" t="str">
        <f>'Planilha Resumo'!$C$36</f>
        <v>Tributos</v>
      </c>
      <c r="D75" s="144"/>
      <c r="E75" s="74">
        <f>SUM(E76:E79)</f>
        <v>10.15</v>
      </c>
      <c r="F75" s="42">
        <f>SUM(F76:F79)</f>
        <v>909.95</v>
      </c>
    </row>
    <row r="76" spans="2:6" ht="15">
      <c r="B76" s="26" t="s">
        <v>49</v>
      </c>
      <c r="C76" s="121" t="str">
        <f>'Planilha Resumo'!$C$37</f>
        <v>PIS</v>
      </c>
      <c r="D76" s="121"/>
      <c r="E76" s="75">
        <f>'Planilha Resumo'!$F$37</f>
        <v>0.65</v>
      </c>
      <c r="F76" s="76">
        <f>ROUND((($F$83+$F$84+$F$85+$F$86+$F$87+$F$73+$F$74)*E76%)/(1-$E$75%),2)</f>
        <v>58.27</v>
      </c>
    </row>
    <row r="77" spans="2:6" ht="15">
      <c r="B77" s="26" t="s">
        <v>51</v>
      </c>
      <c r="C77" s="121" t="str">
        <f>'Planilha Resumo'!$C$38</f>
        <v>Cofins</v>
      </c>
      <c r="D77" s="121"/>
      <c r="E77" s="75">
        <f>'Planilha Resumo'!$F$38</f>
        <v>3</v>
      </c>
      <c r="F77" s="76">
        <f>ROUND((($F$83+$F$84+$F$85+$F$86+$F$87+$F$73+$F$74)*E77%)/(1-$E$75%),2)</f>
        <v>268.95</v>
      </c>
    </row>
    <row r="78" spans="2:6" ht="15">
      <c r="B78" s="26" t="s">
        <v>53</v>
      </c>
      <c r="C78" s="121" t="str">
        <f>'Planilha Resumo'!$C$39</f>
        <v>ISS</v>
      </c>
      <c r="D78" s="121"/>
      <c r="E78" s="75">
        <f>'Planilha Resumo'!$F$39</f>
        <v>2</v>
      </c>
      <c r="F78" s="76">
        <f>ROUND((($F$83+$F$84+$F$85+$F$86+$F$87+$F$73+$F$74)*E78%)/(1-$E$75%),2)</f>
        <v>179.3</v>
      </c>
    </row>
    <row r="79" spans="2:6" ht="16.5" customHeight="1">
      <c r="B79" s="26" t="s">
        <v>194</v>
      </c>
      <c r="C79" s="121" t="str">
        <f>'Planilha Resumo'!$C$40</f>
        <v>CPRB (Somente se empresa optante pela desoneração fiscal)</v>
      </c>
      <c r="D79" s="121"/>
      <c r="E79" s="75">
        <f>'Planilha Resumo'!$F$40</f>
        <v>4.5</v>
      </c>
      <c r="F79" s="76">
        <f>ROUND((($F$83+$F$84+$F$85+$F$86+$F$87+$F$73+$F$74)*E79%)/(1-$E$75%),2)</f>
        <v>403.43</v>
      </c>
    </row>
    <row r="80" spans="2:6" ht="16.5">
      <c r="B80" s="141" t="s">
        <v>63</v>
      </c>
      <c r="C80" s="141"/>
      <c r="D80" s="141"/>
      <c r="E80" s="141"/>
      <c r="F80" s="77">
        <f>SUM(F73:F75)</f>
        <v>1679.56</v>
      </c>
    </row>
    <row r="81" spans="2:6" ht="20.25">
      <c r="B81" s="78" t="s">
        <v>91</v>
      </c>
      <c r="C81" s="79"/>
      <c r="D81" s="79"/>
      <c r="E81" s="79"/>
      <c r="F81" s="80"/>
    </row>
    <row r="82" spans="2:6" ht="16.5">
      <c r="B82" s="19" t="s">
        <v>92</v>
      </c>
      <c r="C82" s="138" t="s">
        <v>93</v>
      </c>
      <c r="D82" s="138"/>
      <c r="E82" s="138"/>
      <c r="F82" s="22" t="s">
        <v>94</v>
      </c>
    </row>
    <row r="83" spans="2:6" ht="16.5">
      <c r="B83" s="15">
        <v>1</v>
      </c>
      <c r="C83" s="144" t="s">
        <v>24</v>
      </c>
      <c r="D83" s="144"/>
      <c r="E83" s="144"/>
      <c r="F83" s="42">
        <f>F15</f>
        <v>3820.52</v>
      </c>
    </row>
    <row r="84" spans="2:6" ht="16.5">
      <c r="B84" s="19">
        <v>2</v>
      </c>
      <c r="C84" s="144" t="s">
        <v>95</v>
      </c>
      <c r="D84" s="144"/>
      <c r="E84" s="144"/>
      <c r="F84" s="42">
        <f>F22+F33+F43</f>
        <v>2062.38</v>
      </c>
    </row>
    <row r="85" spans="2:6" ht="16.5">
      <c r="B85" s="19">
        <v>3</v>
      </c>
      <c r="C85" s="144" t="s">
        <v>81</v>
      </c>
      <c r="D85" s="144"/>
      <c r="E85" s="144"/>
      <c r="F85" s="42">
        <f>F50</f>
        <v>85.92</v>
      </c>
    </row>
    <row r="86" spans="2:6" ht="16.5">
      <c r="B86" s="19">
        <v>4</v>
      </c>
      <c r="C86" s="144" t="s">
        <v>96</v>
      </c>
      <c r="D86" s="144"/>
      <c r="E86" s="144"/>
      <c r="F86" s="42">
        <f>F60</f>
        <v>641.6500000000001</v>
      </c>
    </row>
    <row r="87" spans="2:6" ht="16.5">
      <c r="B87" s="19">
        <v>5</v>
      </c>
      <c r="C87" s="144" t="s">
        <v>42</v>
      </c>
      <c r="D87" s="144"/>
      <c r="E87" s="144"/>
      <c r="F87" s="42">
        <f>F69</f>
        <v>675.0699999999999</v>
      </c>
    </row>
    <row r="88" spans="2:6" ht="16.5">
      <c r="B88" s="19">
        <v>6</v>
      </c>
      <c r="C88" s="144" t="s">
        <v>46</v>
      </c>
      <c r="D88" s="144"/>
      <c r="E88" s="144"/>
      <c r="F88" s="42">
        <f>F80</f>
        <v>1679.56</v>
      </c>
    </row>
    <row r="89" spans="2:6" ht="16.5">
      <c r="B89" s="138" t="s">
        <v>97</v>
      </c>
      <c r="C89" s="138"/>
      <c r="D89" s="138"/>
      <c r="E89" s="138"/>
      <c r="F89" s="77">
        <f>SUM(F83:F88)</f>
        <v>8965.099999999999</v>
      </c>
    </row>
  </sheetData>
  <sheetProtection sheet="1" objects="1" scenarios="1"/>
  <mergeCells count="73">
    <mergeCell ref="C68:E68"/>
    <mergeCell ref="C63:E63"/>
    <mergeCell ref="C64:E64"/>
    <mergeCell ref="C65:E65"/>
    <mergeCell ref="C66:E66"/>
    <mergeCell ref="C67:E67"/>
    <mergeCell ref="B23:F23"/>
    <mergeCell ref="B15:E15"/>
    <mergeCell ref="C19:D19"/>
    <mergeCell ref="C20:D20"/>
    <mergeCell ref="C21:D21"/>
    <mergeCell ref="B22:E22"/>
    <mergeCell ref="D6:F6"/>
    <mergeCell ref="C5:E5"/>
    <mergeCell ref="C13:D13"/>
    <mergeCell ref="C14:D14"/>
    <mergeCell ref="B1:F1"/>
    <mergeCell ref="D2:F2"/>
    <mergeCell ref="D3:F3"/>
    <mergeCell ref="C4:E4"/>
    <mergeCell ref="C31:D31"/>
    <mergeCell ref="C32:D32"/>
    <mergeCell ref="B33:D33"/>
    <mergeCell ref="C40:E40"/>
    <mergeCell ref="C38:D38"/>
    <mergeCell ref="C35:D35"/>
    <mergeCell ref="C36:D36"/>
    <mergeCell ref="C37:D37"/>
    <mergeCell ref="C27:D27"/>
    <mergeCell ref="C28:D28"/>
    <mergeCell ref="C29:D29"/>
    <mergeCell ref="C30:D30"/>
    <mergeCell ref="C57:D57"/>
    <mergeCell ref="C58:D58"/>
    <mergeCell ref="C59:D59"/>
    <mergeCell ref="C10:D10"/>
    <mergeCell ref="C11:D11"/>
    <mergeCell ref="C12:D12"/>
    <mergeCell ref="B43:E43"/>
    <mergeCell ref="C24:D24"/>
    <mergeCell ref="C25:D25"/>
    <mergeCell ref="C26:D26"/>
    <mergeCell ref="B50:E50"/>
    <mergeCell ref="C54:D54"/>
    <mergeCell ref="C55:D55"/>
    <mergeCell ref="C56:D56"/>
    <mergeCell ref="C79:D79"/>
    <mergeCell ref="B80:E80"/>
    <mergeCell ref="C39:D39"/>
    <mergeCell ref="C41:D41"/>
    <mergeCell ref="C42:E42"/>
    <mergeCell ref="B60:E60"/>
    <mergeCell ref="C46:D46"/>
    <mergeCell ref="C47:D47"/>
    <mergeCell ref="C48:D48"/>
    <mergeCell ref="C49:D49"/>
    <mergeCell ref="C82:E82"/>
    <mergeCell ref="B69:E69"/>
    <mergeCell ref="B71:F71"/>
    <mergeCell ref="C72:D72"/>
    <mergeCell ref="C73:D73"/>
    <mergeCell ref="C74:D74"/>
    <mergeCell ref="C75:D75"/>
    <mergeCell ref="C76:D76"/>
    <mergeCell ref="C77:D77"/>
    <mergeCell ref="C78:D78"/>
    <mergeCell ref="B89:E89"/>
    <mergeCell ref="C83:E83"/>
    <mergeCell ref="C84:E84"/>
    <mergeCell ref="C85:E85"/>
    <mergeCell ref="C86:E86"/>
    <mergeCell ref="C87:E87"/>
    <mergeCell ref="C88:E88"/>
  </mergeCells>
  <dataValidations count="2"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48:E49">
      <formula1>0</formula1>
      <formula2>1.94</formula2>
    </dataValidation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47">
      <formula1>0</formula1>
      <formula2>0.46</formula2>
    </dataValidation>
  </dataValidations>
  <printOptions horizontalCentered="1"/>
  <pageMargins left="0.1968503937007874" right="0.1968503937007874" top="0.7874015748031497" bottom="0.7874015748031497" header="0.07874015748031496" footer="0.1968503937007874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8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9" customWidth="1"/>
    <col min="2" max="2" width="9.00390625" style="9" customWidth="1"/>
    <col min="3" max="3" width="51.140625" style="9" bestFit="1" customWidth="1"/>
    <col min="4" max="4" width="14.00390625" style="9" customWidth="1"/>
    <col min="5" max="5" width="8.7109375" style="9" customWidth="1"/>
    <col min="6" max="6" width="15.7109375" style="9" bestFit="1" customWidth="1"/>
    <col min="7" max="16384" width="9.140625" style="9" customWidth="1"/>
  </cols>
  <sheetData>
    <row r="1" spans="2:6" ht="16.5">
      <c r="B1" s="151" t="s">
        <v>18</v>
      </c>
      <c r="C1" s="151"/>
      <c r="D1" s="151"/>
      <c r="E1" s="151"/>
      <c r="F1" s="151"/>
    </row>
    <row r="2" spans="2:6" ht="16.5">
      <c r="B2" s="14">
        <v>1</v>
      </c>
      <c r="C2" s="41" t="s">
        <v>19</v>
      </c>
      <c r="D2" s="29" t="s">
        <v>211</v>
      </c>
      <c r="E2" s="29"/>
      <c r="F2" s="29"/>
    </row>
    <row r="3" spans="2:6" ht="16.5">
      <c r="B3" s="14">
        <v>2</v>
      </c>
      <c r="C3" s="41" t="s">
        <v>20</v>
      </c>
      <c r="D3" s="157" t="s">
        <v>232</v>
      </c>
      <c r="E3" s="157"/>
      <c r="F3" s="157"/>
    </row>
    <row r="4" spans="2:6" ht="16.5">
      <c r="B4" s="14">
        <v>3</v>
      </c>
      <c r="C4" s="158" t="s">
        <v>99</v>
      </c>
      <c r="D4" s="158"/>
      <c r="E4" s="158"/>
      <c r="F4" s="3">
        <v>44317</v>
      </c>
    </row>
    <row r="5" spans="2:6" ht="16.5">
      <c r="B5" s="14">
        <v>4</v>
      </c>
      <c r="C5" s="124" t="s">
        <v>21</v>
      </c>
      <c r="D5" s="160"/>
      <c r="E5" s="125"/>
      <c r="F5" s="42">
        <f>'Planilha Resumo'!F26</f>
        <v>1212</v>
      </c>
    </row>
    <row r="6" spans="2:6" ht="16.5">
      <c r="B6" s="14">
        <v>5</v>
      </c>
      <c r="C6" s="41" t="s">
        <v>156</v>
      </c>
      <c r="D6" s="159" t="s">
        <v>242</v>
      </c>
      <c r="E6" s="159"/>
      <c r="F6" s="159"/>
    </row>
    <row r="7" spans="2:6" s="46" customFormat="1" ht="9">
      <c r="B7" s="43"/>
      <c r="C7" s="44"/>
      <c r="D7" s="44"/>
      <c r="E7" s="44"/>
      <c r="F7" s="45"/>
    </row>
    <row r="8" spans="2:6" ht="25.5">
      <c r="B8" s="47" t="s">
        <v>22</v>
      </c>
      <c r="C8" s="48"/>
      <c r="D8" s="48"/>
      <c r="E8" s="48"/>
      <c r="F8" s="48"/>
    </row>
    <row r="9" spans="2:6" ht="16.5">
      <c r="B9" s="49" t="s">
        <v>23</v>
      </c>
      <c r="C9" s="50"/>
      <c r="D9" s="50"/>
      <c r="E9" s="51"/>
      <c r="F9" s="51"/>
    </row>
    <row r="10" spans="2:6" ht="16.5" customHeight="1">
      <c r="B10" s="15">
        <v>1</v>
      </c>
      <c r="C10" s="91" t="s">
        <v>24</v>
      </c>
      <c r="D10" s="92"/>
      <c r="E10" s="22" t="s">
        <v>40</v>
      </c>
      <c r="F10" s="22" t="s">
        <v>43</v>
      </c>
    </row>
    <row r="11" spans="2:6" ht="16.5">
      <c r="B11" s="15" t="s">
        <v>5</v>
      </c>
      <c r="C11" s="93" t="s">
        <v>25</v>
      </c>
      <c r="D11" s="57"/>
      <c r="E11" s="52"/>
      <c r="F11" s="2">
        <v>2954.94</v>
      </c>
    </row>
    <row r="12" spans="2:6" ht="16.5">
      <c r="B12" s="15" t="s">
        <v>6</v>
      </c>
      <c r="C12" s="58" t="s">
        <v>26</v>
      </c>
      <c r="D12" s="59"/>
      <c r="E12" s="39"/>
      <c r="F12" s="42">
        <f>ROUND((E12*$F$11),2)</f>
        <v>0</v>
      </c>
    </row>
    <row r="13" spans="2:6" ht="16.5">
      <c r="B13" s="15" t="s">
        <v>7</v>
      </c>
      <c r="C13" s="93" t="s">
        <v>27</v>
      </c>
      <c r="D13" s="57"/>
      <c r="E13" s="39"/>
      <c r="F13" s="42">
        <f>ROUND((E13*$F$11),2)</f>
        <v>0</v>
      </c>
    </row>
    <row r="14" spans="2:6" ht="16.5">
      <c r="B14" s="15" t="s">
        <v>9</v>
      </c>
      <c r="C14" s="58" t="s">
        <v>28</v>
      </c>
      <c r="D14" s="59"/>
      <c r="E14" s="39"/>
      <c r="F14" s="42">
        <f>ROUND((E14*$F$5),2)</f>
        <v>0</v>
      </c>
    </row>
    <row r="15" spans="2:6" ht="16.5">
      <c r="B15" s="139" t="s">
        <v>63</v>
      </c>
      <c r="C15" s="139"/>
      <c r="D15" s="139"/>
      <c r="E15" s="139"/>
      <c r="F15" s="53">
        <f>SUM(F11:F14)</f>
        <v>2954.94</v>
      </c>
    </row>
    <row r="16" spans="2:6" s="46" customFormat="1" ht="9">
      <c r="B16" s="43"/>
      <c r="C16" s="44"/>
      <c r="D16" s="44"/>
      <c r="E16" s="44"/>
      <c r="F16" s="45"/>
    </row>
    <row r="17" spans="2:6" ht="16.5">
      <c r="B17" s="49" t="s">
        <v>31</v>
      </c>
      <c r="C17" s="50"/>
      <c r="D17" s="50"/>
      <c r="E17" s="54"/>
      <c r="F17" s="54"/>
    </row>
    <row r="18" spans="2:6" ht="16.5">
      <c r="B18" s="49" t="s">
        <v>64</v>
      </c>
      <c r="C18" s="55"/>
      <c r="D18" s="56"/>
      <c r="E18" s="62"/>
      <c r="F18" s="62"/>
    </row>
    <row r="19" spans="2:6" ht="16.5">
      <c r="B19" s="15" t="s">
        <v>65</v>
      </c>
      <c r="C19" s="60" t="s">
        <v>66</v>
      </c>
      <c r="D19" s="60"/>
      <c r="E19" s="22" t="s">
        <v>40</v>
      </c>
      <c r="F19" s="22" t="s">
        <v>43</v>
      </c>
    </row>
    <row r="20" spans="2:6" ht="16.5">
      <c r="B20" s="15" t="s">
        <v>5</v>
      </c>
      <c r="C20" s="120" t="s">
        <v>67</v>
      </c>
      <c r="D20" s="120"/>
      <c r="E20" s="52">
        <f>ROUND((1/12)*100,2)</f>
        <v>8.33</v>
      </c>
      <c r="F20" s="42">
        <f>ROUND((E20%*$F$83),2)</f>
        <v>246.15</v>
      </c>
    </row>
    <row r="21" spans="2:6" ht="16.5">
      <c r="B21" s="19" t="s">
        <v>6</v>
      </c>
      <c r="C21" s="90" t="s">
        <v>68</v>
      </c>
      <c r="D21" s="90"/>
      <c r="E21" s="63">
        <f>ROUND((1/3*1/12)*100,2)</f>
        <v>2.78</v>
      </c>
      <c r="F21" s="42">
        <f>ROUND((E21%*$F$83),2)</f>
        <v>82.15</v>
      </c>
    </row>
    <row r="22" spans="2:6" ht="16.5">
      <c r="B22" s="141" t="s">
        <v>63</v>
      </c>
      <c r="C22" s="141"/>
      <c r="D22" s="141"/>
      <c r="E22" s="141"/>
      <c r="F22" s="64">
        <f>SUM(F20:F21)</f>
        <v>328.3</v>
      </c>
    </row>
    <row r="23" spans="2:6" ht="16.5" customHeight="1">
      <c r="B23" s="161" t="s">
        <v>69</v>
      </c>
      <c r="C23" s="161"/>
      <c r="D23" s="161"/>
      <c r="E23" s="161"/>
      <c r="F23" s="161"/>
    </row>
    <row r="24" spans="2:6" ht="33" customHeight="1">
      <c r="B24" s="15" t="s">
        <v>70</v>
      </c>
      <c r="C24" s="60" t="s">
        <v>71</v>
      </c>
      <c r="D24" s="60"/>
      <c r="E24" s="22" t="s">
        <v>40</v>
      </c>
      <c r="F24" s="22" t="s">
        <v>43</v>
      </c>
    </row>
    <row r="25" spans="2:6" ht="16.5">
      <c r="B25" s="15" t="s">
        <v>5</v>
      </c>
      <c r="C25" s="120" t="s">
        <v>72</v>
      </c>
      <c r="D25" s="120"/>
      <c r="E25" s="65">
        <f>IF('Planilha Resumo'!F21="NÃO",20,0)</f>
        <v>0</v>
      </c>
      <c r="F25" s="42">
        <f aca="true" t="shared" si="0" ref="F25:F32">ROUND((E25%*($F$83+$F$22)),2)</f>
        <v>0</v>
      </c>
    </row>
    <row r="26" spans="2:6" ht="16.5">
      <c r="B26" s="19" t="s">
        <v>6</v>
      </c>
      <c r="C26" s="144" t="s">
        <v>73</v>
      </c>
      <c r="D26" s="144"/>
      <c r="E26" s="63">
        <v>2.5</v>
      </c>
      <c r="F26" s="42">
        <f t="shared" si="0"/>
        <v>82.08</v>
      </c>
    </row>
    <row r="27" spans="2:6" ht="16.5">
      <c r="B27" s="19" t="s">
        <v>7</v>
      </c>
      <c r="C27" s="120" t="s">
        <v>74</v>
      </c>
      <c r="D27" s="120"/>
      <c r="E27" s="65">
        <v>3</v>
      </c>
      <c r="F27" s="42">
        <f t="shared" si="0"/>
        <v>98.5</v>
      </c>
    </row>
    <row r="28" spans="2:6" ht="16.5">
      <c r="B28" s="19" t="s">
        <v>9</v>
      </c>
      <c r="C28" s="144" t="s">
        <v>75</v>
      </c>
      <c r="D28" s="144"/>
      <c r="E28" s="63">
        <v>1.5</v>
      </c>
      <c r="F28" s="42">
        <f t="shared" si="0"/>
        <v>49.25</v>
      </c>
    </row>
    <row r="29" spans="2:6" ht="16.5">
      <c r="B29" s="19" t="s">
        <v>10</v>
      </c>
      <c r="C29" s="120" t="s">
        <v>76</v>
      </c>
      <c r="D29" s="120"/>
      <c r="E29" s="65">
        <v>1</v>
      </c>
      <c r="F29" s="42">
        <f t="shared" si="0"/>
        <v>32.83</v>
      </c>
    </row>
    <row r="30" spans="2:6" ht="16.5">
      <c r="B30" s="19" t="s">
        <v>29</v>
      </c>
      <c r="C30" s="144" t="s">
        <v>77</v>
      </c>
      <c r="D30" s="144"/>
      <c r="E30" s="63">
        <v>0.6</v>
      </c>
      <c r="F30" s="42">
        <f t="shared" si="0"/>
        <v>19.7</v>
      </c>
    </row>
    <row r="31" spans="2:6" ht="16.5">
      <c r="B31" s="19" t="s">
        <v>30</v>
      </c>
      <c r="C31" s="120" t="s">
        <v>78</v>
      </c>
      <c r="D31" s="120"/>
      <c r="E31" s="65">
        <v>0.2</v>
      </c>
      <c r="F31" s="42">
        <f t="shared" si="0"/>
        <v>6.57</v>
      </c>
    </row>
    <row r="32" spans="2:6" ht="16.5">
      <c r="B32" s="19" t="s">
        <v>62</v>
      </c>
      <c r="C32" s="144" t="s">
        <v>79</v>
      </c>
      <c r="D32" s="144"/>
      <c r="E32" s="63">
        <v>8</v>
      </c>
      <c r="F32" s="42">
        <f t="shared" si="0"/>
        <v>262.66</v>
      </c>
    </row>
    <row r="33" spans="2:6" ht="16.5">
      <c r="B33" s="61" t="s">
        <v>63</v>
      </c>
      <c r="C33" s="61"/>
      <c r="D33" s="61"/>
      <c r="E33" s="66">
        <f>SUM(E25:E32)</f>
        <v>16.799999999999997</v>
      </c>
      <c r="F33" s="67">
        <f>SUM(F25:F32)</f>
        <v>551.5899999999999</v>
      </c>
    </row>
    <row r="34" spans="2:6" ht="16.5">
      <c r="B34" s="49" t="s">
        <v>32</v>
      </c>
      <c r="C34" s="10"/>
      <c r="D34" s="10"/>
      <c r="E34" s="10"/>
      <c r="F34" s="10"/>
    </row>
    <row r="35" spans="2:6" ht="16.5">
      <c r="B35" s="15" t="s">
        <v>33</v>
      </c>
      <c r="C35" s="91" t="s">
        <v>34</v>
      </c>
      <c r="D35" s="92"/>
      <c r="E35" s="22" t="s">
        <v>108</v>
      </c>
      <c r="F35" s="22" t="s">
        <v>35</v>
      </c>
    </row>
    <row r="36" spans="2:6" ht="16.5">
      <c r="B36" s="15" t="s">
        <v>5</v>
      </c>
      <c r="C36" s="124" t="s">
        <v>100</v>
      </c>
      <c r="D36" s="125"/>
      <c r="E36" s="38">
        <v>11</v>
      </c>
      <c r="F36" s="42">
        <f>ROUND(E36*$F$40,2)</f>
        <v>242</v>
      </c>
    </row>
    <row r="37" spans="2:6" ht="16.5">
      <c r="B37" s="68" t="s">
        <v>104</v>
      </c>
      <c r="C37" s="122" t="s">
        <v>106</v>
      </c>
      <c r="D37" s="123"/>
      <c r="E37" s="39">
        <v>0</v>
      </c>
      <c r="F37" s="69">
        <f>IF((E37*F11)&gt;=F36,-F36,ROUND(-(E37*F11),2))</f>
        <v>0</v>
      </c>
    </row>
    <row r="38" spans="2:6" ht="16.5">
      <c r="B38" s="15" t="s">
        <v>6</v>
      </c>
      <c r="C38" s="124" t="s">
        <v>101</v>
      </c>
      <c r="D38" s="125"/>
      <c r="E38" s="38">
        <v>21</v>
      </c>
      <c r="F38" s="42">
        <f>ROUND(E38*$F$40,2)</f>
        <v>462</v>
      </c>
    </row>
    <row r="39" spans="2:6" ht="16.5">
      <c r="B39" s="68" t="s">
        <v>105</v>
      </c>
      <c r="C39" s="122" t="s">
        <v>107</v>
      </c>
      <c r="D39" s="123"/>
      <c r="E39" s="39">
        <v>0.09</v>
      </c>
      <c r="F39" s="69">
        <f>-ROUND((E39*F38),2)</f>
        <v>-41.58</v>
      </c>
    </row>
    <row r="40" spans="2:6" ht="16.5">
      <c r="B40" s="15" t="s">
        <v>7</v>
      </c>
      <c r="C40" s="90" t="s">
        <v>61</v>
      </c>
      <c r="D40" s="90"/>
      <c r="E40" s="90"/>
      <c r="F40" s="70">
        <f>'Planilha Resumo'!F11</f>
        <v>22</v>
      </c>
    </row>
    <row r="41" spans="2:6" ht="16.5">
      <c r="B41" s="15" t="s">
        <v>9</v>
      </c>
      <c r="C41" s="124" t="s">
        <v>109</v>
      </c>
      <c r="D41" s="125"/>
      <c r="E41" s="40">
        <v>5</v>
      </c>
      <c r="F41" s="71">
        <f>ROUND((E41*$F$40),2)</f>
        <v>110</v>
      </c>
    </row>
    <row r="42" spans="2:6" ht="16.5">
      <c r="B42" s="15" t="s">
        <v>10</v>
      </c>
      <c r="C42" s="90" t="s">
        <v>103</v>
      </c>
      <c r="D42" s="90"/>
      <c r="E42" s="90"/>
      <c r="F42" s="1">
        <v>152.35</v>
      </c>
    </row>
    <row r="43" spans="2:6" ht="16.5">
      <c r="B43" s="139" t="s">
        <v>63</v>
      </c>
      <c r="C43" s="139"/>
      <c r="D43" s="139"/>
      <c r="E43" s="139"/>
      <c r="F43" s="53">
        <f>SUM(F36:F39)+SUM(F41:F42)</f>
        <v>924.77</v>
      </c>
    </row>
    <row r="44" spans="2:6" s="46" customFormat="1" ht="9">
      <c r="B44" s="43"/>
      <c r="C44" s="44"/>
      <c r="D44" s="44"/>
      <c r="E44" s="44"/>
      <c r="F44" s="45"/>
    </row>
    <row r="45" spans="2:6" ht="16.5">
      <c r="B45" s="49" t="s">
        <v>80</v>
      </c>
      <c r="C45" s="55"/>
      <c r="D45" s="56"/>
      <c r="E45" s="62"/>
      <c r="F45" s="72"/>
    </row>
    <row r="46" spans="2:6" ht="16.5">
      <c r="B46" s="15">
        <v>3</v>
      </c>
      <c r="C46" s="141" t="s">
        <v>81</v>
      </c>
      <c r="D46" s="141"/>
      <c r="E46" s="22" t="s">
        <v>40</v>
      </c>
      <c r="F46" s="22" t="s">
        <v>43</v>
      </c>
    </row>
    <row r="47" spans="2:6" ht="16.5">
      <c r="B47" s="15" t="s">
        <v>5</v>
      </c>
      <c r="C47" s="120" t="s">
        <v>82</v>
      </c>
      <c r="D47" s="120"/>
      <c r="E47" s="65">
        <f>ROUND((62.93%*5.55%*(1/12))*100,2)</f>
        <v>0.29</v>
      </c>
      <c r="F47" s="42">
        <f>ROUND((E47%*($F$83+$F$22+$F$32+F43)),2)</f>
        <v>12.96</v>
      </c>
    </row>
    <row r="48" spans="2:6" ht="16.5">
      <c r="B48" s="19" t="s">
        <v>6</v>
      </c>
      <c r="C48" s="144" t="s">
        <v>83</v>
      </c>
      <c r="D48" s="144"/>
      <c r="E48" s="63">
        <f>ROUND((62.93%*94.45%*(7/30)/12)*100,2)</f>
        <v>1.16</v>
      </c>
      <c r="F48" s="42">
        <f>ROUND((E48%*($F$83+$F$84)),2)</f>
        <v>55.21</v>
      </c>
    </row>
    <row r="49" spans="2:6" ht="16.5">
      <c r="B49" s="19" t="s">
        <v>7</v>
      </c>
      <c r="C49" s="120" t="s">
        <v>84</v>
      </c>
      <c r="D49" s="120"/>
      <c r="E49" s="65">
        <f>ROUND((E48%*40%*E32%)*100,2)</f>
        <v>0.04</v>
      </c>
      <c r="F49" s="42">
        <f>ROUND((E49%*($F$83+$F$22)),2)</f>
        <v>1.31</v>
      </c>
    </row>
    <row r="50" spans="2:6" ht="16.5">
      <c r="B50" s="141" t="s">
        <v>63</v>
      </c>
      <c r="C50" s="141"/>
      <c r="D50" s="141"/>
      <c r="E50" s="141"/>
      <c r="F50" s="64">
        <f>SUM(F47:F49)</f>
        <v>69.48</v>
      </c>
    </row>
    <row r="51" spans="2:6" s="46" customFormat="1" ht="9">
      <c r="B51" s="43"/>
      <c r="C51" s="44"/>
      <c r="D51" s="44"/>
      <c r="E51" s="44"/>
      <c r="F51" s="45"/>
    </row>
    <row r="52" spans="2:6" ht="16.5">
      <c r="B52" s="49" t="s">
        <v>36</v>
      </c>
      <c r="C52" s="55"/>
      <c r="D52" s="56"/>
      <c r="E52" s="48"/>
      <c r="F52" s="48"/>
    </row>
    <row r="53" spans="2:6" ht="16.5">
      <c r="B53" s="49" t="s">
        <v>37</v>
      </c>
      <c r="C53" s="55"/>
      <c r="D53" s="56"/>
      <c r="E53" s="62"/>
      <c r="F53" s="62"/>
    </row>
    <row r="54" spans="2:6" ht="16.5">
      <c r="B54" s="15" t="s">
        <v>38</v>
      </c>
      <c r="C54" s="138" t="s">
        <v>39</v>
      </c>
      <c r="D54" s="138"/>
      <c r="E54" s="22" t="s">
        <v>40</v>
      </c>
      <c r="F54" s="22" t="s">
        <v>43</v>
      </c>
    </row>
    <row r="55" spans="2:6" ht="16.5">
      <c r="B55" s="19" t="s">
        <v>5</v>
      </c>
      <c r="C55" s="120" t="s">
        <v>85</v>
      </c>
      <c r="D55" s="120"/>
      <c r="E55" s="73">
        <f>ROUND((1/12)*100,2)</f>
        <v>8.33</v>
      </c>
      <c r="F55" s="42">
        <f>ROUND((E55%*($F$83+$F$84+$F$85)),2)</f>
        <v>402.26</v>
      </c>
    </row>
    <row r="56" spans="2:6" ht="16.5">
      <c r="B56" s="19" t="s">
        <v>6</v>
      </c>
      <c r="C56" s="144" t="s">
        <v>86</v>
      </c>
      <c r="D56" s="144"/>
      <c r="E56" s="73">
        <f>ROUND((8/30/12)*100,2)</f>
        <v>2.22</v>
      </c>
      <c r="F56" s="42">
        <f>ROUND((E56%*($F$83+$F$84+$F$85)),2)</f>
        <v>107.21</v>
      </c>
    </row>
    <row r="57" spans="2:6" ht="16.5">
      <c r="B57" s="19" t="s">
        <v>7</v>
      </c>
      <c r="C57" s="120" t="s">
        <v>87</v>
      </c>
      <c r="D57" s="120"/>
      <c r="E57" s="73">
        <f>ROUND(((20/30/12)*1.416%*45.22%)*100,2)</f>
        <v>0.04</v>
      </c>
      <c r="F57" s="42">
        <f>ROUND((E57%*($F$83+$F$84+$F$85)),2)</f>
        <v>1.93</v>
      </c>
    </row>
    <row r="58" spans="2:6" ht="16.5" customHeight="1">
      <c r="B58" s="19" t="s">
        <v>9</v>
      </c>
      <c r="C58" s="144" t="s">
        <v>88</v>
      </c>
      <c r="D58" s="144"/>
      <c r="E58" s="73">
        <f>ROUND(((15/30/12)*0.44%)*100,2)</f>
        <v>0.02</v>
      </c>
      <c r="F58" s="42">
        <f>ROUND((E58%*($F$83+$F$84+$F$85)),2)</f>
        <v>0.97</v>
      </c>
    </row>
    <row r="59" spans="2:6" ht="16.5">
      <c r="B59" s="19" t="s">
        <v>10</v>
      </c>
      <c r="C59" s="120" t="s">
        <v>89</v>
      </c>
      <c r="D59" s="120"/>
      <c r="E59" s="73">
        <f>ROUND(((180/30/12)*1.416%*54.78%*36.8%)*100,2)</f>
        <v>0.14</v>
      </c>
      <c r="F59" s="42">
        <f>ROUND((E59%*($F$83+$F$84+$F$85)),2)</f>
        <v>6.76</v>
      </c>
    </row>
    <row r="60" spans="2:6" ht="16.5">
      <c r="B60" s="141" t="s">
        <v>63</v>
      </c>
      <c r="C60" s="141"/>
      <c r="D60" s="141"/>
      <c r="E60" s="141"/>
      <c r="F60" s="53">
        <f>SUM(F55:F59)</f>
        <v>519.13</v>
      </c>
    </row>
    <row r="61" spans="2:6" s="46" customFormat="1" ht="9">
      <c r="B61" s="43"/>
      <c r="C61" s="44"/>
      <c r="D61" s="44"/>
      <c r="E61" s="44"/>
      <c r="F61" s="45"/>
    </row>
    <row r="62" spans="2:6" ht="16.5">
      <c r="B62" s="49" t="s">
        <v>41</v>
      </c>
      <c r="C62" s="55"/>
      <c r="D62" s="55"/>
      <c r="E62" s="62"/>
      <c r="F62" s="62"/>
    </row>
    <row r="63" spans="2:6" ht="16.5">
      <c r="B63" s="15">
        <v>5</v>
      </c>
      <c r="C63" s="91" t="s">
        <v>42</v>
      </c>
      <c r="D63" s="162"/>
      <c r="E63" s="92"/>
      <c r="F63" s="22" t="s">
        <v>43</v>
      </c>
    </row>
    <row r="64" spans="2:6" ht="16.5">
      <c r="B64" s="14" t="s">
        <v>5</v>
      </c>
      <c r="C64" s="90" t="s">
        <v>44</v>
      </c>
      <c r="D64" s="90"/>
      <c r="E64" s="90"/>
      <c r="F64" s="1">
        <f>'Planilha Resumo'!F31</f>
        <v>40.65</v>
      </c>
    </row>
    <row r="65" spans="2:6" ht="16.5">
      <c r="B65" s="14" t="s">
        <v>6</v>
      </c>
      <c r="C65" s="124" t="s">
        <v>116</v>
      </c>
      <c r="D65" s="160"/>
      <c r="E65" s="125"/>
      <c r="F65" s="42">
        <f>'Planilha Resumo'!F32</f>
        <v>275.94</v>
      </c>
    </row>
    <row r="66" spans="2:6" ht="16.5">
      <c r="B66" s="14" t="s">
        <v>7</v>
      </c>
      <c r="C66" s="90" t="s">
        <v>117</v>
      </c>
      <c r="D66" s="90"/>
      <c r="E66" s="90"/>
      <c r="F66" s="1">
        <v>147.23</v>
      </c>
    </row>
    <row r="67" spans="2:6" ht="16.5">
      <c r="B67" s="14" t="s">
        <v>9</v>
      </c>
      <c r="C67" s="124" t="s">
        <v>118</v>
      </c>
      <c r="D67" s="160"/>
      <c r="E67" s="125"/>
      <c r="F67" s="1">
        <f>201.65-F64</f>
        <v>161</v>
      </c>
    </row>
    <row r="68" spans="2:6" ht="16.5">
      <c r="B68" s="14" t="s">
        <v>10</v>
      </c>
      <c r="C68" s="90" t="s">
        <v>153</v>
      </c>
      <c r="D68" s="90"/>
      <c r="E68" s="90"/>
      <c r="F68" s="1">
        <v>15.07</v>
      </c>
    </row>
    <row r="69" spans="2:6" ht="16.5">
      <c r="B69" s="139" t="s">
        <v>63</v>
      </c>
      <c r="C69" s="139"/>
      <c r="D69" s="139"/>
      <c r="E69" s="139"/>
      <c r="F69" s="53">
        <f>SUM(F64:F68)</f>
        <v>639.89</v>
      </c>
    </row>
    <row r="70" spans="2:6" s="46" customFormat="1" ht="9">
      <c r="B70" s="43"/>
      <c r="C70" s="44"/>
      <c r="D70" s="44"/>
      <c r="E70" s="44"/>
      <c r="F70" s="45"/>
    </row>
    <row r="71" spans="2:6" ht="16.5" customHeight="1">
      <c r="B71" s="140" t="s">
        <v>45</v>
      </c>
      <c r="C71" s="140"/>
      <c r="D71" s="140"/>
      <c r="E71" s="140"/>
      <c r="F71" s="140"/>
    </row>
    <row r="72" spans="2:6" ht="16.5">
      <c r="B72" s="15">
        <v>6</v>
      </c>
      <c r="C72" s="141" t="s">
        <v>46</v>
      </c>
      <c r="D72" s="141"/>
      <c r="E72" s="22" t="s">
        <v>40</v>
      </c>
      <c r="F72" s="22" t="s">
        <v>43</v>
      </c>
    </row>
    <row r="73" spans="2:6" ht="16.5">
      <c r="B73" s="15" t="s">
        <v>5</v>
      </c>
      <c r="C73" s="120" t="str">
        <f>'Planilha Resumo'!$C$34</f>
        <v>Custos Indiretos</v>
      </c>
      <c r="D73" s="120"/>
      <c r="E73" s="73">
        <f>'Planilha Resumo'!$F$34</f>
        <v>4.73</v>
      </c>
      <c r="F73" s="42">
        <f>ROUND((E73%*($F$83+$F$84+$F$85+$F$86+$F$87)),2)</f>
        <v>283.24</v>
      </c>
    </row>
    <row r="74" spans="2:6" ht="16.5">
      <c r="B74" s="19" t="s">
        <v>6</v>
      </c>
      <c r="C74" s="144" t="str">
        <f>'Planilha Resumo'!$C$35</f>
        <v>Lucro</v>
      </c>
      <c r="D74" s="144"/>
      <c r="E74" s="73">
        <f>'Planilha Resumo'!$F$35</f>
        <v>5.57</v>
      </c>
      <c r="F74" s="42">
        <f>ROUND((E74%*($F$83+$F$84+$F$85+$F$86+$F$87+$F$73)),2)</f>
        <v>349.31</v>
      </c>
    </row>
    <row r="75" spans="2:6" ht="16.5">
      <c r="B75" s="19" t="s">
        <v>7</v>
      </c>
      <c r="C75" s="144" t="str">
        <f>'Planilha Resumo'!$C$36</f>
        <v>Tributos</v>
      </c>
      <c r="D75" s="144"/>
      <c r="E75" s="74">
        <f>SUM(E76:E79)</f>
        <v>10.15</v>
      </c>
      <c r="F75" s="42">
        <f>SUM(F76:F79)</f>
        <v>747.92</v>
      </c>
    </row>
    <row r="76" spans="2:6" ht="15">
      <c r="B76" s="26" t="s">
        <v>49</v>
      </c>
      <c r="C76" s="121" t="str">
        <f>'Planilha Resumo'!$C$37</f>
        <v>PIS</v>
      </c>
      <c r="D76" s="121"/>
      <c r="E76" s="75">
        <f>'Planilha Resumo'!$F$37</f>
        <v>0.65</v>
      </c>
      <c r="F76" s="76">
        <f>ROUND((($F$83+$F$84+$F$85+$F$86+$F$87+$F$73+$F$74)*E76%)/(1-$E$75%),2)</f>
        <v>47.9</v>
      </c>
    </row>
    <row r="77" spans="2:6" ht="15">
      <c r="B77" s="26" t="s">
        <v>51</v>
      </c>
      <c r="C77" s="121" t="str">
        <f>'Planilha Resumo'!$C$38</f>
        <v>Cofins</v>
      </c>
      <c r="D77" s="121"/>
      <c r="E77" s="75">
        <f>'Planilha Resumo'!$F$38</f>
        <v>3</v>
      </c>
      <c r="F77" s="76">
        <f>ROUND((($F$83+$F$84+$F$85+$F$86+$F$87+$F$73+$F$74)*E77%)/(1-$E$75%),2)</f>
        <v>221.06</v>
      </c>
    </row>
    <row r="78" spans="2:6" ht="15">
      <c r="B78" s="26" t="s">
        <v>53</v>
      </c>
      <c r="C78" s="121" t="str">
        <f>'Planilha Resumo'!$C$39</f>
        <v>ISS</v>
      </c>
      <c r="D78" s="121"/>
      <c r="E78" s="75">
        <f>'Planilha Resumo'!$F$39</f>
        <v>2</v>
      </c>
      <c r="F78" s="76">
        <f>ROUND((($F$83+$F$84+$F$85+$F$86+$F$87+$F$73+$F$74)*E78%)/(1-$E$75%),2)</f>
        <v>147.37</v>
      </c>
    </row>
    <row r="79" spans="2:6" ht="16.5" customHeight="1">
      <c r="B79" s="26" t="s">
        <v>194</v>
      </c>
      <c r="C79" s="121" t="str">
        <f>'Planilha Resumo'!$C$40</f>
        <v>CPRB (Somente se empresa optante pela desoneração fiscal)</v>
      </c>
      <c r="D79" s="121"/>
      <c r="E79" s="75">
        <f>'Planilha Resumo'!$F$40</f>
        <v>4.5</v>
      </c>
      <c r="F79" s="76">
        <f>ROUND((($F$83+$F$84+$F$85+$F$86+$F$87+$F$73+$F$74)*E79%)/(1-$E$75%),2)</f>
        <v>331.59</v>
      </c>
    </row>
    <row r="80" spans="2:6" ht="16.5">
      <c r="B80" s="141" t="s">
        <v>63</v>
      </c>
      <c r="C80" s="141"/>
      <c r="D80" s="141"/>
      <c r="E80" s="141"/>
      <c r="F80" s="77">
        <f>SUM(F73:F75)</f>
        <v>1380.4699999999998</v>
      </c>
    </row>
    <row r="81" spans="2:6" ht="20.25">
      <c r="B81" s="78" t="s">
        <v>91</v>
      </c>
      <c r="C81" s="79"/>
      <c r="D81" s="79"/>
      <c r="E81" s="79"/>
      <c r="F81" s="80"/>
    </row>
    <row r="82" spans="2:6" ht="16.5">
      <c r="B82" s="19" t="s">
        <v>92</v>
      </c>
      <c r="C82" s="138" t="s">
        <v>93</v>
      </c>
      <c r="D82" s="138"/>
      <c r="E82" s="138"/>
      <c r="F82" s="22" t="s">
        <v>94</v>
      </c>
    </row>
    <row r="83" spans="2:6" ht="16.5">
      <c r="B83" s="15">
        <v>1</v>
      </c>
      <c r="C83" s="144" t="s">
        <v>24</v>
      </c>
      <c r="D83" s="144"/>
      <c r="E83" s="144"/>
      <c r="F83" s="42">
        <f>F15</f>
        <v>2954.94</v>
      </c>
    </row>
    <row r="84" spans="2:6" ht="16.5">
      <c r="B84" s="19">
        <v>2</v>
      </c>
      <c r="C84" s="144" t="s">
        <v>95</v>
      </c>
      <c r="D84" s="144"/>
      <c r="E84" s="144"/>
      <c r="F84" s="42">
        <f>F22+F33+F43</f>
        <v>1804.6599999999999</v>
      </c>
    </row>
    <row r="85" spans="2:6" ht="16.5">
      <c r="B85" s="19">
        <v>3</v>
      </c>
      <c r="C85" s="144" t="s">
        <v>81</v>
      </c>
      <c r="D85" s="144"/>
      <c r="E85" s="144"/>
      <c r="F85" s="42">
        <f>F50</f>
        <v>69.48</v>
      </c>
    </row>
    <row r="86" spans="2:6" ht="16.5">
      <c r="B86" s="19">
        <v>4</v>
      </c>
      <c r="C86" s="144" t="s">
        <v>96</v>
      </c>
      <c r="D86" s="144"/>
      <c r="E86" s="144"/>
      <c r="F86" s="42">
        <f>F60</f>
        <v>519.13</v>
      </c>
    </row>
    <row r="87" spans="2:6" ht="16.5">
      <c r="B87" s="19">
        <v>5</v>
      </c>
      <c r="C87" s="144" t="s">
        <v>42</v>
      </c>
      <c r="D87" s="144"/>
      <c r="E87" s="144"/>
      <c r="F87" s="42">
        <f>F69</f>
        <v>639.89</v>
      </c>
    </row>
    <row r="88" spans="2:6" ht="16.5">
      <c r="B88" s="19">
        <v>6</v>
      </c>
      <c r="C88" s="144" t="s">
        <v>46</v>
      </c>
      <c r="D88" s="144"/>
      <c r="E88" s="144"/>
      <c r="F88" s="42">
        <f>F80</f>
        <v>1380.4699999999998</v>
      </c>
    </row>
    <row r="89" spans="2:6" ht="16.5">
      <c r="B89" s="138" t="s">
        <v>97</v>
      </c>
      <c r="C89" s="138"/>
      <c r="D89" s="138"/>
      <c r="E89" s="138"/>
      <c r="F89" s="77">
        <f>SUM(F83:F88)</f>
        <v>7368.57</v>
      </c>
    </row>
  </sheetData>
  <sheetProtection sheet="1" objects="1" scenarios="1"/>
  <mergeCells count="73">
    <mergeCell ref="C68:E68"/>
    <mergeCell ref="C63:E63"/>
    <mergeCell ref="C64:E64"/>
    <mergeCell ref="C65:E65"/>
    <mergeCell ref="C66:E66"/>
    <mergeCell ref="C67:E67"/>
    <mergeCell ref="C13:D13"/>
    <mergeCell ref="C14:D14"/>
    <mergeCell ref="C35:D35"/>
    <mergeCell ref="C36:D36"/>
    <mergeCell ref="B23:F23"/>
    <mergeCell ref="B15:E15"/>
    <mergeCell ref="C19:D19"/>
    <mergeCell ref="C20:D20"/>
    <mergeCell ref="C21:D21"/>
    <mergeCell ref="B22:E22"/>
    <mergeCell ref="C79:D79"/>
    <mergeCell ref="B80:E80"/>
    <mergeCell ref="B89:E89"/>
    <mergeCell ref="C83:E83"/>
    <mergeCell ref="C84:E84"/>
    <mergeCell ref="C85:E85"/>
    <mergeCell ref="C86:E86"/>
    <mergeCell ref="C87:E87"/>
    <mergeCell ref="C88:E88"/>
    <mergeCell ref="C82:E82"/>
    <mergeCell ref="B69:E69"/>
    <mergeCell ref="B71:F71"/>
    <mergeCell ref="C72:D72"/>
    <mergeCell ref="C73:D73"/>
    <mergeCell ref="C74:D74"/>
    <mergeCell ref="C75:D75"/>
    <mergeCell ref="C76:D76"/>
    <mergeCell ref="C77:D77"/>
    <mergeCell ref="C78:D78"/>
    <mergeCell ref="C56:D56"/>
    <mergeCell ref="C57:D57"/>
    <mergeCell ref="C58:D58"/>
    <mergeCell ref="C59:D59"/>
    <mergeCell ref="C41:D41"/>
    <mergeCell ref="C42:E42"/>
    <mergeCell ref="B60:E60"/>
    <mergeCell ref="C46:D46"/>
    <mergeCell ref="C47:D47"/>
    <mergeCell ref="C48:D48"/>
    <mergeCell ref="C49:D49"/>
    <mergeCell ref="B50:E50"/>
    <mergeCell ref="C54:D54"/>
    <mergeCell ref="C55:D55"/>
    <mergeCell ref="B33:D33"/>
    <mergeCell ref="C40:E40"/>
    <mergeCell ref="C38:D38"/>
    <mergeCell ref="C39:D39"/>
    <mergeCell ref="C37:D37"/>
    <mergeCell ref="B43:E4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10:D10"/>
    <mergeCell ref="C11:D11"/>
    <mergeCell ref="C12:D12"/>
    <mergeCell ref="B1:F1"/>
    <mergeCell ref="D2:F2"/>
    <mergeCell ref="D3:F3"/>
    <mergeCell ref="C4:E4"/>
    <mergeCell ref="D6:F6"/>
    <mergeCell ref="C5:E5"/>
  </mergeCells>
  <dataValidations count="2"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48:E49">
      <formula1>0</formula1>
      <formula2>1.94</formula2>
    </dataValidation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47">
      <formula1>0</formula1>
      <formula2>0.46</formula2>
    </dataValidation>
  </dataValidations>
  <printOptions horizontalCentered="1"/>
  <pageMargins left="0.1968503937007874" right="0.1968503937007874" top="0.7874015748031497" bottom="0.7874015748031497" header="0.07874015748031496" footer="0.1968503937007874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8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9" customWidth="1"/>
    <col min="2" max="2" width="9.00390625" style="9" customWidth="1"/>
    <col min="3" max="3" width="51.140625" style="9" bestFit="1" customWidth="1"/>
    <col min="4" max="4" width="14.00390625" style="9" customWidth="1"/>
    <col min="5" max="5" width="8.7109375" style="9" customWidth="1"/>
    <col min="6" max="6" width="15.7109375" style="9" bestFit="1" customWidth="1"/>
    <col min="7" max="16384" width="9.140625" style="9" customWidth="1"/>
  </cols>
  <sheetData>
    <row r="1" spans="2:6" ht="16.5">
      <c r="B1" s="151" t="s">
        <v>18</v>
      </c>
      <c r="C1" s="151"/>
      <c r="D1" s="151"/>
      <c r="E1" s="151"/>
      <c r="F1" s="151"/>
    </row>
    <row r="2" spans="2:6" ht="16.5">
      <c r="B2" s="14">
        <v>1</v>
      </c>
      <c r="C2" s="41" t="s">
        <v>19</v>
      </c>
      <c r="D2" s="29" t="s">
        <v>152</v>
      </c>
      <c r="E2" s="29"/>
      <c r="F2" s="29"/>
    </row>
    <row r="3" spans="2:6" ht="16.5">
      <c r="B3" s="14">
        <v>2</v>
      </c>
      <c r="C3" s="41" t="s">
        <v>20</v>
      </c>
      <c r="D3" s="157" t="s">
        <v>150</v>
      </c>
      <c r="E3" s="157"/>
      <c r="F3" s="157"/>
    </row>
    <row r="4" spans="2:6" ht="16.5">
      <c r="B4" s="14">
        <v>3</v>
      </c>
      <c r="C4" s="158" t="s">
        <v>99</v>
      </c>
      <c r="D4" s="158"/>
      <c r="E4" s="158"/>
      <c r="F4" s="3">
        <v>44317</v>
      </c>
    </row>
    <row r="5" spans="2:6" ht="16.5">
      <c r="B5" s="14">
        <v>4</v>
      </c>
      <c r="C5" s="124" t="s">
        <v>21</v>
      </c>
      <c r="D5" s="160"/>
      <c r="E5" s="125"/>
      <c r="F5" s="42">
        <f>'Planilha Resumo'!F26</f>
        <v>1212</v>
      </c>
    </row>
    <row r="6" spans="2:6" ht="16.5">
      <c r="B6" s="14">
        <v>5</v>
      </c>
      <c r="C6" s="41" t="s">
        <v>156</v>
      </c>
      <c r="D6" s="159" t="s">
        <v>242</v>
      </c>
      <c r="E6" s="159"/>
      <c r="F6" s="159"/>
    </row>
    <row r="7" spans="2:6" s="46" customFormat="1" ht="9">
      <c r="B7" s="43"/>
      <c r="C7" s="44"/>
      <c r="D7" s="44"/>
      <c r="E7" s="44"/>
      <c r="F7" s="45"/>
    </row>
    <row r="8" spans="2:6" ht="25.5">
      <c r="B8" s="47" t="s">
        <v>22</v>
      </c>
      <c r="C8" s="48"/>
      <c r="D8" s="48"/>
      <c r="E8" s="48"/>
      <c r="F8" s="48"/>
    </row>
    <row r="9" spans="2:6" ht="16.5">
      <c r="B9" s="49" t="s">
        <v>23</v>
      </c>
      <c r="C9" s="50"/>
      <c r="D9" s="50"/>
      <c r="E9" s="51"/>
      <c r="F9" s="51"/>
    </row>
    <row r="10" spans="2:6" ht="16.5" customHeight="1">
      <c r="B10" s="15">
        <v>1</v>
      </c>
      <c r="C10" s="91" t="s">
        <v>24</v>
      </c>
      <c r="D10" s="92"/>
      <c r="E10" s="22" t="s">
        <v>40</v>
      </c>
      <c r="F10" s="22" t="s">
        <v>43</v>
      </c>
    </row>
    <row r="11" spans="2:6" ht="16.5">
      <c r="B11" s="15" t="s">
        <v>5</v>
      </c>
      <c r="C11" s="93" t="s">
        <v>25</v>
      </c>
      <c r="D11" s="57"/>
      <c r="E11" s="52"/>
      <c r="F11" s="2">
        <v>2748.76</v>
      </c>
    </row>
    <row r="12" spans="2:6" ht="16.5">
      <c r="B12" s="15" t="s">
        <v>6</v>
      </c>
      <c r="C12" s="58" t="s">
        <v>26</v>
      </c>
      <c r="D12" s="59"/>
      <c r="E12" s="39">
        <v>0.3</v>
      </c>
      <c r="F12" s="42">
        <f>ROUND((E12*$F$11),2)</f>
        <v>824.63</v>
      </c>
    </row>
    <row r="13" spans="2:6" ht="16.5">
      <c r="B13" s="15" t="s">
        <v>7</v>
      </c>
      <c r="C13" s="93" t="s">
        <v>27</v>
      </c>
      <c r="D13" s="57"/>
      <c r="E13" s="39"/>
      <c r="F13" s="42">
        <f>ROUND((E13*$F$11),2)</f>
        <v>0</v>
      </c>
    </row>
    <row r="14" spans="2:6" ht="16.5">
      <c r="B14" s="15" t="s">
        <v>9</v>
      </c>
      <c r="C14" s="58" t="s">
        <v>28</v>
      </c>
      <c r="D14" s="59"/>
      <c r="E14" s="39"/>
      <c r="F14" s="42">
        <f>ROUND((E14*$F$5),2)</f>
        <v>0</v>
      </c>
    </row>
    <row r="15" spans="2:6" ht="16.5">
      <c r="B15" s="139" t="s">
        <v>63</v>
      </c>
      <c r="C15" s="139"/>
      <c r="D15" s="139"/>
      <c r="E15" s="139"/>
      <c r="F15" s="53">
        <f>SUM(F11:F14)</f>
        <v>3573.3900000000003</v>
      </c>
    </row>
    <row r="16" spans="2:6" s="46" customFormat="1" ht="9">
      <c r="B16" s="43"/>
      <c r="C16" s="44"/>
      <c r="D16" s="44"/>
      <c r="E16" s="44"/>
      <c r="F16" s="45"/>
    </row>
    <row r="17" spans="2:6" ht="16.5">
      <c r="B17" s="49" t="s">
        <v>31</v>
      </c>
      <c r="C17" s="50"/>
      <c r="D17" s="50"/>
      <c r="E17" s="54"/>
      <c r="F17" s="54"/>
    </row>
    <row r="18" spans="2:6" ht="16.5">
      <c r="B18" s="49" t="s">
        <v>64</v>
      </c>
      <c r="C18" s="55"/>
      <c r="D18" s="56"/>
      <c r="E18" s="62"/>
      <c r="F18" s="62"/>
    </row>
    <row r="19" spans="2:6" ht="16.5">
      <c r="B19" s="15" t="s">
        <v>65</v>
      </c>
      <c r="C19" s="60" t="s">
        <v>66</v>
      </c>
      <c r="D19" s="60"/>
      <c r="E19" s="22" t="s">
        <v>40</v>
      </c>
      <c r="F19" s="22" t="s">
        <v>43</v>
      </c>
    </row>
    <row r="20" spans="2:6" ht="16.5">
      <c r="B20" s="15" t="s">
        <v>5</v>
      </c>
      <c r="C20" s="120" t="s">
        <v>67</v>
      </c>
      <c r="D20" s="120"/>
      <c r="E20" s="52">
        <f>ROUND((1/12)*100,2)</f>
        <v>8.33</v>
      </c>
      <c r="F20" s="42">
        <f>ROUND((E20%*$F$83),2)</f>
        <v>297.66</v>
      </c>
    </row>
    <row r="21" spans="2:6" ht="16.5">
      <c r="B21" s="19" t="s">
        <v>6</v>
      </c>
      <c r="C21" s="90" t="s">
        <v>68</v>
      </c>
      <c r="D21" s="90"/>
      <c r="E21" s="63">
        <f>ROUND((1/3*1/12)*100,2)</f>
        <v>2.78</v>
      </c>
      <c r="F21" s="42">
        <f>ROUND((E21%*$F$83),2)</f>
        <v>99.34</v>
      </c>
    </row>
    <row r="22" spans="2:6" ht="16.5">
      <c r="B22" s="141" t="s">
        <v>63</v>
      </c>
      <c r="C22" s="141"/>
      <c r="D22" s="141"/>
      <c r="E22" s="141"/>
      <c r="F22" s="64">
        <f>SUM(F20:F21)</f>
        <v>397</v>
      </c>
    </row>
    <row r="23" spans="2:6" ht="16.5" customHeight="1">
      <c r="B23" s="161" t="s">
        <v>69</v>
      </c>
      <c r="C23" s="161"/>
      <c r="D23" s="161"/>
      <c r="E23" s="161"/>
      <c r="F23" s="161"/>
    </row>
    <row r="24" spans="2:6" ht="33" customHeight="1">
      <c r="B24" s="15" t="s">
        <v>70</v>
      </c>
      <c r="C24" s="60" t="s">
        <v>71</v>
      </c>
      <c r="D24" s="60"/>
      <c r="E24" s="22" t="s">
        <v>40</v>
      </c>
      <c r="F24" s="22" t="s">
        <v>43</v>
      </c>
    </row>
    <row r="25" spans="2:6" ht="16.5">
      <c r="B25" s="15" t="s">
        <v>5</v>
      </c>
      <c r="C25" s="120" t="s">
        <v>72</v>
      </c>
      <c r="D25" s="120"/>
      <c r="E25" s="65">
        <f>IF('Planilha Resumo'!F21="NÃO",20,0)</f>
        <v>0</v>
      </c>
      <c r="F25" s="42">
        <f aca="true" t="shared" si="0" ref="F25:F32">ROUND((E25%*($F$83+$F$22)),2)</f>
        <v>0</v>
      </c>
    </row>
    <row r="26" spans="2:6" ht="16.5">
      <c r="B26" s="19" t="s">
        <v>6</v>
      </c>
      <c r="C26" s="144" t="s">
        <v>73</v>
      </c>
      <c r="D26" s="144"/>
      <c r="E26" s="63">
        <v>2.5</v>
      </c>
      <c r="F26" s="42">
        <f t="shared" si="0"/>
        <v>99.26</v>
      </c>
    </row>
    <row r="27" spans="2:6" ht="16.5">
      <c r="B27" s="19" t="s">
        <v>7</v>
      </c>
      <c r="C27" s="120" t="s">
        <v>74</v>
      </c>
      <c r="D27" s="120"/>
      <c r="E27" s="65">
        <v>3</v>
      </c>
      <c r="F27" s="42">
        <f t="shared" si="0"/>
        <v>119.11</v>
      </c>
    </row>
    <row r="28" spans="2:6" ht="16.5">
      <c r="B28" s="19" t="s">
        <v>9</v>
      </c>
      <c r="C28" s="144" t="s">
        <v>75</v>
      </c>
      <c r="D28" s="144"/>
      <c r="E28" s="63">
        <v>1.5</v>
      </c>
      <c r="F28" s="42">
        <f t="shared" si="0"/>
        <v>59.56</v>
      </c>
    </row>
    <row r="29" spans="2:6" ht="16.5">
      <c r="B29" s="19" t="s">
        <v>10</v>
      </c>
      <c r="C29" s="120" t="s">
        <v>76</v>
      </c>
      <c r="D29" s="120"/>
      <c r="E29" s="65">
        <v>1</v>
      </c>
      <c r="F29" s="42">
        <f t="shared" si="0"/>
        <v>39.7</v>
      </c>
    </row>
    <row r="30" spans="2:6" ht="16.5">
      <c r="B30" s="19" t="s">
        <v>29</v>
      </c>
      <c r="C30" s="144" t="s">
        <v>77</v>
      </c>
      <c r="D30" s="144"/>
      <c r="E30" s="63">
        <v>0.6</v>
      </c>
      <c r="F30" s="42">
        <f t="shared" si="0"/>
        <v>23.82</v>
      </c>
    </row>
    <row r="31" spans="2:6" ht="16.5">
      <c r="B31" s="19" t="s">
        <v>30</v>
      </c>
      <c r="C31" s="120" t="s">
        <v>78</v>
      </c>
      <c r="D31" s="120"/>
      <c r="E31" s="65">
        <v>0.2</v>
      </c>
      <c r="F31" s="42">
        <f t="shared" si="0"/>
        <v>7.94</v>
      </c>
    </row>
    <row r="32" spans="2:6" ht="16.5">
      <c r="B32" s="19" t="s">
        <v>62</v>
      </c>
      <c r="C32" s="144" t="s">
        <v>79</v>
      </c>
      <c r="D32" s="144"/>
      <c r="E32" s="63">
        <v>8</v>
      </c>
      <c r="F32" s="42">
        <f t="shared" si="0"/>
        <v>317.63</v>
      </c>
    </row>
    <row r="33" spans="2:6" ht="16.5">
      <c r="B33" s="61" t="s">
        <v>63</v>
      </c>
      <c r="C33" s="61"/>
      <c r="D33" s="61"/>
      <c r="E33" s="66">
        <f>SUM(E25:E32)</f>
        <v>16.799999999999997</v>
      </c>
      <c r="F33" s="67">
        <f>SUM(F25:F32)</f>
        <v>667.02</v>
      </c>
    </row>
    <row r="34" spans="2:6" ht="16.5">
      <c r="B34" s="49" t="s">
        <v>32</v>
      </c>
      <c r="C34" s="10"/>
      <c r="D34" s="10"/>
      <c r="E34" s="10"/>
      <c r="F34" s="10"/>
    </row>
    <row r="35" spans="2:6" ht="16.5">
      <c r="B35" s="15" t="s">
        <v>33</v>
      </c>
      <c r="C35" s="91" t="s">
        <v>34</v>
      </c>
      <c r="D35" s="92"/>
      <c r="E35" s="22" t="s">
        <v>108</v>
      </c>
      <c r="F35" s="22" t="s">
        <v>35</v>
      </c>
    </row>
    <row r="36" spans="2:6" ht="16.5">
      <c r="B36" s="15" t="s">
        <v>5</v>
      </c>
      <c r="C36" s="124" t="s">
        <v>100</v>
      </c>
      <c r="D36" s="125"/>
      <c r="E36" s="38">
        <v>11</v>
      </c>
      <c r="F36" s="42">
        <f>ROUND(E36*$F$40,2)</f>
        <v>242</v>
      </c>
    </row>
    <row r="37" spans="2:6" ht="16.5">
      <c r="B37" s="68" t="s">
        <v>104</v>
      </c>
      <c r="C37" s="122" t="s">
        <v>106</v>
      </c>
      <c r="D37" s="123"/>
      <c r="E37" s="39">
        <v>0</v>
      </c>
      <c r="F37" s="69">
        <f>IF((E37*F11)&gt;=F36,-F36,ROUND(-(E37*F11),2))</f>
        <v>0</v>
      </c>
    </row>
    <row r="38" spans="2:6" ht="16.5">
      <c r="B38" s="15" t="s">
        <v>6</v>
      </c>
      <c r="C38" s="124" t="s">
        <v>101</v>
      </c>
      <c r="D38" s="125"/>
      <c r="E38" s="38">
        <v>21</v>
      </c>
      <c r="F38" s="42">
        <f>ROUND(E38*$F$40,2)</f>
        <v>462</v>
      </c>
    </row>
    <row r="39" spans="2:6" ht="16.5">
      <c r="B39" s="68" t="s">
        <v>105</v>
      </c>
      <c r="C39" s="122" t="s">
        <v>107</v>
      </c>
      <c r="D39" s="123"/>
      <c r="E39" s="39">
        <v>0.09</v>
      </c>
      <c r="F39" s="69">
        <f>-ROUND((E39*F38),2)</f>
        <v>-41.58</v>
      </c>
    </row>
    <row r="40" spans="2:6" ht="16.5">
      <c r="B40" s="15" t="s">
        <v>7</v>
      </c>
      <c r="C40" s="90" t="s">
        <v>61</v>
      </c>
      <c r="D40" s="90"/>
      <c r="E40" s="90"/>
      <c r="F40" s="70">
        <f>'Planilha Resumo'!F11</f>
        <v>22</v>
      </c>
    </row>
    <row r="41" spans="2:6" ht="16.5">
      <c r="B41" s="15" t="s">
        <v>9</v>
      </c>
      <c r="C41" s="124" t="s">
        <v>109</v>
      </c>
      <c r="D41" s="125"/>
      <c r="E41" s="40">
        <v>5</v>
      </c>
      <c r="F41" s="71">
        <f>ROUND((E41*$F$40),2)</f>
        <v>110</v>
      </c>
    </row>
    <row r="42" spans="2:6" ht="16.5">
      <c r="B42" s="15" t="s">
        <v>10</v>
      </c>
      <c r="C42" s="90" t="s">
        <v>103</v>
      </c>
      <c r="D42" s="90"/>
      <c r="E42" s="90"/>
      <c r="F42" s="1">
        <v>152.35</v>
      </c>
    </row>
    <row r="43" spans="2:6" ht="16.5">
      <c r="B43" s="139" t="s">
        <v>63</v>
      </c>
      <c r="C43" s="139"/>
      <c r="D43" s="139"/>
      <c r="E43" s="139"/>
      <c r="F43" s="53">
        <f>SUM(F36:F39)+SUM(F41:F42)</f>
        <v>924.77</v>
      </c>
    </row>
    <row r="44" spans="2:6" s="46" customFormat="1" ht="9">
      <c r="B44" s="43"/>
      <c r="C44" s="44"/>
      <c r="D44" s="44"/>
      <c r="E44" s="44"/>
      <c r="F44" s="45"/>
    </row>
    <row r="45" spans="2:6" ht="16.5">
      <c r="B45" s="49" t="s">
        <v>80</v>
      </c>
      <c r="C45" s="55"/>
      <c r="D45" s="56"/>
      <c r="E45" s="62"/>
      <c r="F45" s="72"/>
    </row>
    <row r="46" spans="2:6" ht="16.5">
      <c r="B46" s="15">
        <v>3</v>
      </c>
      <c r="C46" s="141" t="s">
        <v>81</v>
      </c>
      <c r="D46" s="141"/>
      <c r="E46" s="22" t="s">
        <v>40</v>
      </c>
      <c r="F46" s="22" t="s">
        <v>43</v>
      </c>
    </row>
    <row r="47" spans="2:6" ht="16.5">
      <c r="B47" s="15" t="s">
        <v>5</v>
      </c>
      <c r="C47" s="120" t="s">
        <v>82</v>
      </c>
      <c r="D47" s="120"/>
      <c r="E47" s="65">
        <f>ROUND((62.93%*5.55%*(1/12))*100,2)</f>
        <v>0.29</v>
      </c>
      <c r="F47" s="42">
        <f>ROUND((E47%*($F$83+$F$22+$F$32+F43)),2)</f>
        <v>15.12</v>
      </c>
    </row>
    <row r="48" spans="2:6" ht="16.5">
      <c r="B48" s="19" t="s">
        <v>6</v>
      </c>
      <c r="C48" s="144" t="s">
        <v>83</v>
      </c>
      <c r="D48" s="144"/>
      <c r="E48" s="63">
        <f>ROUND((62.93%*94.45%*(7/30)/12)*100,2)</f>
        <v>1.16</v>
      </c>
      <c r="F48" s="42">
        <f>ROUND((E48%*($F$83+$F$84)),2)</f>
        <v>64.52</v>
      </c>
    </row>
    <row r="49" spans="2:6" ht="16.5">
      <c r="B49" s="19" t="s">
        <v>7</v>
      </c>
      <c r="C49" s="120" t="s">
        <v>84</v>
      </c>
      <c r="D49" s="120"/>
      <c r="E49" s="65">
        <f>ROUND((E48%*40%*E32%)*100,2)</f>
        <v>0.04</v>
      </c>
      <c r="F49" s="42">
        <f>ROUND((E49%*($F$83+$F$22)),2)</f>
        <v>1.59</v>
      </c>
    </row>
    <row r="50" spans="2:6" ht="16.5">
      <c r="B50" s="141" t="s">
        <v>63</v>
      </c>
      <c r="C50" s="141"/>
      <c r="D50" s="141"/>
      <c r="E50" s="141"/>
      <c r="F50" s="64">
        <f>SUM(F47:F49)</f>
        <v>81.23</v>
      </c>
    </row>
    <row r="51" spans="2:6" s="46" customFormat="1" ht="9">
      <c r="B51" s="43"/>
      <c r="C51" s="44"/>
      <c r="D51" s="44"/>
      <c r="E51" s="44"/>
      <c r="F51" s="45"/>
    </row>
    <row r="52" spans="2:6" ht="16.5">
      <c r="B52" s="49" t="s">
        <v>36</v>
      </c>
      <c r="C52" s="55"/>
      <c r="D52" s="56"/>
      <c r="E52" s="48"/>
      <c r="F52" s="48"/>
    </row>
    <row r="53" spans="2:6" ht="16.5">
      <c r="B53" s="49" t="s">
        <v>37</v>
      </c>
      <c r="C53" s="55"/>
      <c r="D53" s="56"/>
      <c r="E53" s="62"/>
      <c r="F53" s="62"/>
    </row>
    <row r="54" spans="2:6" ht="16.5">
      <c r="B54" s="15" t="s">
        <v>38</v>
      </c>
      <c r="C54" s="138" t="s">
        <v>39</v>
      </c>
      <c r="D54" s="138"/>
      <c r="E54" s="22" t="s">
        <v>40</v>
      </c>
      <c r="F54" s="22" t="s">
        <v>43</v>
      </c>
    </row>
    <row r="55" spans="2:6" ht="16.5">
      <c r="B55" s="19" t="s">
        <v>5</v>
      </c>
      <c r="C55" s="120" t="s">
        <v>85</v>
      </c>
      <c r="D55" s="120"/>
      <c r="E55" s="73">
        <f>ROUND((1/12)*100,2)</f>
        <v>8.33</v>
      </c>
      <c r="F55" s="42">
        <f>ROUND((E55%*($F$83+$F$84+$F$85)),2)</f>
        <v>470.1</v>
      </c>
    </row>
    <row r="56" spans="2:6" ht="16.5">
      <c r="B56" s="19" t="s">
        <v>6</v>
      </c>
      <c r="C56" s="144" t="s">
        <v>86</v>
      </c>
      <c r="D56" s="144"/>
      <c r="E56" s="73">
        <f>ROUND((8/30/12)*100,2)</f>
        <v>2.22</v>
      </c>
      <c r="F56" s="42">
        <f>ROUND((E56%*($F$83+$F$84+$F$85)),2)</f>
        <v>125.28</v>
      </c>
    </row>
    <row r="57" spans="2:6" ht="16.5">
      <c r="B57" s="19" t="s">
        <v>7</v>
      </c>
      <c r="C57" s="120" t="s">
        <v>87</v>
      </c>
      <c r="D57" s="120"/>
      <c r="E57" s="73">
        <f>ROUND(((20/30/12)*1.416%*45.22%)*100,2)</f>
        <v>0.04</v>
      </c>
      <c r="F57" s="42">
        <f>ROUND((E57%*($F$83+$F$84+$F$85)),2)</f>
        <v>2.26</v>
      </c>
    </row>
    <row r="58" spans="2:6" ht="16.5" customHeight="1">
      <c r="B58" s="19" t="s">
        <v>9</v>
      </c>
      <c r="C58" s="144" t="s">
        <v>88</v>
      </c>
      <c r="D58" s="144"/>
      <c r="E58" s="73">
        <f>ROUND(((15/30/12)*0.44%)*100,2)</f>
        <v>0.02</v>
      </c>
      <c r="F58" s="42">
        <f>ROUND((E58%*($F$83+$F$84+$F$85)),2)</f>
        <v>1.13</v>
      </c>
    </row>
    <row r="59" spans="2:6" ht="16.5">
      <c r="B59" s="19" t="s">
        <v>10</v>
      </c>
      <c r="C59" s="120" t="s">
        <v>89</v>
      </c>
      <c r="D59" s="120"/>
      <c r="E59" s="73">
        <f>ROUND(((180/30/12)*1.416%*54.78%*36.8%)*100,2)</f>
        <v>0.14</v>
      </c>
      <c r="F59" s="42">
        <f>ROUND((E59%*($F$83+$F$84+$F$85)),2)</f>
        <v>7.9</v>
      </c>
    </row>
    <row r="60" spans="2:6" ht="16.5">
      <c r="B60" s="141" t="s">
        <v>63</v>
      </c>
      <c r="C60" s="141"/>
      <c r="D60" s="141"/>
      <c r="E60" s="141"/>
      <c r="F60" s="53">
        <f>SUM(F55:F59)</f>
        <v>606.67</v>
      </c>
    </row>
    <row r="61" spans="2:6" s="46" customFormat="1" ht="9">
      <c r="B61" s="43"/>
      <c r="C61" s="44"/>
      <c r="D61" s="44"/>
      <c r="E61" s="44"/>
      <c r="F61" s="45"/>
    </row>
    <row r="62" spans="2:6" ht="16.5">
      <c r="B62" s="49" t="s">
        <v>41</v>
      </c>
      <c r="C62" s="55"/>
      <c r="D62" s="55"/>
      <c r="E62" s="62"/>
      <c r="F62" s="62"/>
    </row>
    <row r="63" spans="2:6" ht="16.5">
      <c r="B63" s="15">
        <v>5</v>
      </c>
      <c r="C63" s="91" t="s">
        <v>42</v>
      </c>
      <c r="D63" s="162"/>
      <c r="E63" s="92"/>
      <c r="F63" s="22" t="s">
        <v>43</v>
      </c>
    </row>
    <row r="64" spans="2:6" ht="16.5">
      <c r="B64" s="14" t="s">
        <v>5</v>
      </c>
      <c r="C64" s="90" t="s">
        <v>44</v>
      </c>
      <c r="D64" s="90"/>
      <c r="E64" s="90"/>
      <c r="F64" s="1">
        <f>'Planilha Resumo'!F31</f>
        <v>40.65</v>
      </c>
    </row>
    <row r="65" spans="2:6" ht="16.5">
      <c r="B65" s="14" t="s">
        <v>6</v>
      </c>
      <c r="C65" s="124" t="s">
        <v>116</v>
      </c>
      <c r="D65" s="160"/>
      <c r="E65" s="125"/>
      <c r="F65" s="42">
        <f>'Planilha Resumo'!F32</f>
        <v>275.94</v>
      </c>
    </row>
    <row r="66" spans="2:6" ht="16.5">
      <c r="B66" s="14" t="s">
        <v>7</v>
      </c>
      <c r="C66" s="90" t="s">
        <v>117</v>
      </c>
      <c r="D66" s="90"/>
      <c r="E66" s="90"/>
      <c r="F66" s="1">
        <v>147.23</v>
      </c>
    </row>
    <row r="67" spans="2:6" ht="16.5">
      <c r="B67" s="14" t="s">
        <v>9</v>
      </c>
      <c r="C67" s="124" t="s">
        <v>118</v>
      </c>
      <c r="D67" s="160"/>
      <c r="E67" s="125"/>
      <c r="F67" s="1">
        <f>201.65-F64</f>
        <v>161</v>
      </c>
    </row>
    <row r="68" spans="2:6" ht="16.5">
      <c r="B68" s="14" t="s">
        <v>10</v>
      </c>
      <c r="C68" s="90" t="s">
        <v>153</v>
      </c>
      <c r="D68" s="90"/>
      <c r="E68" s="90"/>
      <c r="F68" s="1">
        <v>63.49</v>
      </c>
    </row>
    <row r="69" spans="2:6" ht="16.5">
      <c r="B69" s="139" t="s">
        <v>63</v>
      </c>
      <c r="C69" s="139"/>
      <c r="D69" s="139"/>
      <c r="E69" s="139"/>
      <c r="F69" s="53">
        <f>SUM(F64:F68)</f>
        <v>688.31</v>
      </c>
    </row>
    <row r="70" spans="2:6" s="46" customFormat="1" ht="9">
      <c r="B70" s="43"/>
      <c r="C70" s="44"/>
      <c r="D70" s="44"/>
      <c r="E70" s="44"/>
      <c r="F70" s="45"/>
    </row>
    <row r="71" spans="2:6" ht="16.5" customHeight="1">
      <c r="B71" s="140" t="s">
        <v>45</v>
      </c>
      <c r="C71" s="140"/>
      <c r="D71" s="140"/>
      <c r="E71" s="140"/>
      <c r="F71" s="140"/>
    </row>
    <row r="72" spans="2:6" ht="16.5">
      <c r="B72" s="15">
        <v>6</v>
      </c>
      <c r="C72" s="141" t="s">
        <v>46</v>
      </c>
      <c r="D72" s="141"/>
      <c r="E72" s="22" t="s">
        <v>40</v>
      </c>
      <c r="F72" s="22" t="s">
        <v>43</v>
      </c>
    </row>
    <row r="73" spans="2:6" ht="16.5">
      <c r="B73" s="15" t="s">
        <v>5</v>
      </c>
      <c r="C73" s="120" t="str">
        <f>'Planilha Resumo'!$C$34</f>
        <v>Custos Indiretos</v>
      </c>
      <c r="D73" s="120"/>
      <c r="E73" s="73">
        <f>'Planilha Resumo'!$F$34</f>
        <v>4.73</v>
      </c>
      <c r="F73" s="42">
        <f>ROUND((E73%*($F$83+$F$84+$F$85+$F$86+$F$87)),2)</f>
        <v>328.19</v>
      </c>
    </row>
    <row r="74" spans="2:6" ht="16.5">
      <c r="B74" s="19" t="s">
        <v>6</v>
      </c>
      <c r="C74" s="144" t="str">
        <f>'Planilha Resumo'!$C$35</f>
        <v>Lucro</v>
      </c>
      <c r="D74" s="144"/>
      <c r="E74" s="73">
        <f>'Planilha Resumo'!$F$35</f>
        <v>5.57</v>
      </c>
      <c r="F74" s="42">
        <f>ROUND((E74%*($F$83+$F$84+$F$85+$F$86+$F$87+$F$73)),2)</f>
        <v>404.75</v>
      </c>
    </row>
    <row r="75" spans="2:6" ht="16.5">
      <c r="B75" s="19" t="s">
        <v>7</v>
      </c>
      <c r="C75" s="144" t="str">
        <f>'Planilha Resumo'!$C$36</f>
        <v>Tributos</v>
      </c>
      <c r="D75" s="144"/>
      <c r="E75" s="74">
        <f>SUM(E76:E79)</f>
        <v>10.15</v>
      </c>
      <c r="F75" s="42">
        <f>SUM(F76:F79)</f>
        <v>866.6099999999999</v>
      </c>
    </row>
    <row r="76" spans="2:6" ht="15">
      <c r="B76" s="26" t="s">
        <v>49</v>
      </c>
      <c r="C76" s="121" t="str">
        <f>'Planilha Resumo'!$C$37</f>
        <v>PIS</v>
      </c>
      <c r="D76" s="121"/>
      <c r="E76" s="75">
        <f>'Planilha Resumo'!$F$37</f>
        <v>0.65</v>
      </c>
      <c r="F76" s="76">
        <f>ROUND((($F$83+$F$84+$F$85+$F$86+$F$87+$F$73+$F$74)*E76%)/(1-$E$75%),2)</f>
        <v>55.5</v>
      </c>
    </row>
    <row r="77" spans="2:6" ht="15">
      <c r="B77" s="26" t="s">
        <v>51</v>
      </c>
      <c r="C77" s="121" t="str">
        <f>'Planilha Resumo'!$C$38</f>
        <v>Cofins</v>
      </c>
      <c r="D77" s="121"/>
      <c r="E77" s="75">
        <f>'Planilha Resumo'!$F$38</f>
        <v>3</v>
      </c>
      <c r="F77" s="76">
        <f>ROUND((($F$83+$F$84+$F$85+$F$86+$F$87+$F$73+$F$74)*E77%)/(1-$E$75%),2)</f>
        <v>256.14</v>
      </c>
    </row>
    <row r="78" spans="2:6" ht="15">
      <c r="B78" s="26" t="s">
        <v>53</v>
      </c>
      <c r="C78" s="121" t="str">
        <f>'Planilha Resumo'!$C$39</f>
        <v>ISS</v>
      </c>
      <c r="D78" s="121"/>
      <c r="E78" s="75">
        <f>'Planilha Resumo'!$F$39</f>
        <v>2</v>
      </c>
      <c r="F78" s="76">
        <f>ROUND((($F$83+$F$84+$F$85+$F$86+$F$87+$F$73+$F$74)*E78%)/(1-$E$75%),2)</f>
        <v>170.76</v>
      </c>
    </row>
    <row r="79" spans="2:6" ht="16.5" customHeight="1">
      <c r="B79" s="26" t="s">
        <v>194</v>
      </c>
      <c r="C79" s="121" t="str">
        <f>'Planilha Resumo'!$C$40</f>
        <v>CPRB (Somente se empresa optante pela desoneração fiscal)</v>
      </c>
      <c r="D79" s="121"/>
      <c r="E79" s="75">
        <f>'Planilha Resumo'!$F$40</f>
        <v>4.5</v>
      </c>
      <c r="F79" s="76">
        <f>ROUND((($F$83+$F$84+$F$85+$F$86+$F$87+$F$73+$F$74)*E79%)/(1-$E$75%),2)</f>
        <v>384.21</v>
      </c>
    </row>
    <row r="80" spans="2:6" ht="16.5">
      <c r="B80" s="141" t="s">
        <v>63</v>
      </c>
      <c r="C80" s="141"/>
      <c r="D80" s="141"/>
      <c r="E80" s="141"/>
      <c r="F80" s="77">
        <f>SUM(F73:F75)</f>
        <v>1599.55</v>
      </c>
    </row>
    <row r="81" spans="2:6" ht="20.25">
      <c r="B81" s="78" t="s">
        <v>91</v>
      </c>
      <c r="C81" s="79"/>
      <c r="D81" s="79"/>
      <c r="E81" s="79"/>
      <c r="F81" s="80"/>
    </row>
    <row r="82" spans="2:6" ht="16.5">
      <c r="B82" s="19" t="s">
        <v>92</v>
      </c>
      <c r="C82" s="138" t="s">
        <v>93</v>
      </c>
      <c r="D82" s="138"/>
      <c r="E82" s="138"/>
      <c r="F82" s="22" t="s">
        <v>94</v>
      </c>
    </row>
    <row r="83" spans="2:6" ht="16.5">
      <c r="B83" s="15">
        <v>1</v>
      </c>
      <c r="C83" s="144" t="s">
        <v>24</v>
      </c>
      <c r="D83" s="144"/>
      <c r="E83" s="144"/>
      <c r="F83" s="42">
        <f>F15</f>
        <v>3573.3900000000003</v>
      </c>
    </row>
    <row r="84" spans="2:6" ht="16.5">
      <c r="B84" s="19">
        <v>2</v>
      </c>
      <c r="C84" s="144" t="s">
        <v>95</v>
      </c>
      <c r="D84" s="144"/>
      <c r="E84" s="144"/>
      <c r="F84" s="42">
        <f>F22+F33+F43</f>
        <v>1988.79</v>
      </c>
    </row>
    <row r="85" spans="2:6" ht="16.5">
      <c r="B85" s="19">
        <v>3</v>
      </c>
      <c r="C85" s="144" t="s">
        <v>81</v>
      </c>
      <c r="D85" s="144"/>
      <c r="E85" s="144"/>
      <c r="F85" s="42">
        <f>F50</f>
        <v>81.23</v>
      </c>
    </row>
    <row r="86" spans="2:6" ht="16.5">
      <c r="B86" s="19">
        <v>4</v>
      </c>
      <c r="C86" s="144" t="s">
        <v>96</v>
      </c>
      <c r="D86" s="144"/>
      <c r="E86" s="144"/>
      <c r="F86" s="42">
        <f>F60</f>
        <v>606.67</v>
      </c>
    </row>
    <row r="87" spans="2:6" ht="16.5">
      <c r="B87" s="19">
        <v>5</v>
      </c>
      <c r="C87" s="144" t="s">
        <v>42</v>
      </c>
      <c r="D87" s="144"/>
      <c r="E87" s="144"/>
      <c r="F87" s="42">
        <f>F69</f>
        <v>688.31</v>
      </c>
    </row>
    <row r="88" spans="2:6" ht="16.5">
      <c r="B88" s="19">
        <v>6</v>
      </c>
      <c r="C88" s="144" t="s">
        <v>46</v>
      </c>
      <c r="D88" s="144"/>
      <c r="E88" s="144"/>
      <c r="F88" s="42">
        <f>F80</f>
        <v>1599.55</v>
      </c>
    </row>
    <row r="89" spans="2:6" ht="16.5">
      <c r="B89" s="138" t="s">
        <v>97</v>
      </c>
      <c r="C89" s="138"/>
      <c r="D89" s="138"/>
      <c r="E89" s="138"/>
      <c r="F89" s="77">
        <f>SUM(F83:F88)</f>
        <v>8537.939999999999</v>
      </c>
    </row>
  </sheetData>
  <sheetProtection sheet="1" objects="1" scenarios="1"/>
  <mergeCells count="73">
    <mergeCell ref="C68:E68"/>
    <mergeCell ref="C63:E63"/>
    <mergeCell ref="C64:E64"/>
    <mergeCell ref="C65:E65"/>
    <mergeCell ref="C66:E66"/>
    <mergeCell ref="C67:E67"/>
    <mergeCell ref="C13:D13"/>
    <mergeCell ref="C14:D14"/>
    <mergeCell ref="C35:D35"/>
    <mergeCell ref="C36:D36"/>
    <mergeCell ref="B23:F23"/>
    <mergeCell ref="B15:E15"/>
    <mergeCell ref="C19:D19"/>
    <mergeCell ref="C20:D20"/>
    <mergeCell ref="C21:D21"/>
    <mergeCell ref="B22:E22"/>
    <mergeCell ref="C79:D79"/>
    <mergeCell ref="B80:E80"/>
    <mergeCell ref="B89:E89"/>
    <mergeCell ref="C83:E83"/>
    <mergeCell ref="C84:E84"/>
    <mergeCell ref="C85:E85"/>
    <mergeCell ref="C86:E86"/>
    <mergeCell ref="C87:E87"/>
    <mergeCell ref="C88:E88"/>
    <mergeCell ref="C82:E82"/>
    <mergeCell ref="B69:E69"/>
    <mergeCell ref="B71:F71"/>
    <mergeCell ref="C72:D72"/>
    <mergeCell ref="C73:D73"/>
    <mergeCell ref="C74:D74"/>
    <mergeCell ref="C75:D75"/>
    <mergeCell ref="C76:D76"/>
    <mergeCell ref="C77:D77"/>
    <mergeCell ref="C78:D78"/>
    <mergeCell ref="C56:D56"/>
    <mergeCell ref="C57:D57"/>
    <mergeCell ref="C58:D58"/>
    <mergeCell ref="C59:D59"/>
    <mergeCell ref="C41:D41"/>
    <mergeCell ref="C42:E42"/>
    <mergeCell ref="B60:E60"/>
    <mergeCell ref="C46:D46"/>
    <mergeCell ref="C47:D47"/>
    <mergeCell ref="C48:D48"/>
    <mergeCell ref="C49:D49"/>
    <mergeCell ref="B50:E50"/>
    <mergeCell ref="C54:D54"/>
    <mergeCell ref="C55:D55"/>
    <mergeCell ref="B33:D33"/>
    <mergeCell ref="C40:E40"/>
    <mergeCell ref="C38:D38"/>
    <mergeCell ref="C39:D39"/>
    <mergeCell ref="C37:D37"/>
    <mergeCell ref="B43:E4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10:D10"/>
    <mergeCell ref="C11:D11"/>
    <mergeCell ref="C12:D12"/>
    <mergeCell ref="B1:F1"/>
    <mergeCell ref="D2:F2"/>
    <mergeCell ref="D3:F3"/>
    <mergeCell ref="C4:E4"/>
    <mergeCell ref="D6:F6"/>
    <mergeCell ref="C5:E5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47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48:E49">
      <formula1>0</formula1>
      <formula2>1.94</formula2>
    </dataValidation>
  </dataValidations>
  <printOptions horizontalCentered="1"/>
  <pageMargins left="0.1968503937007874" right="0.1968503937007874" top="0.7874015748031497" bottom="0.7874015748031497" header="0.07874015748031496" footer="0.1968503937007874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8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9" customWidth="1"/>
    <col min="2" max="2" width="9.00390625" style="9" customWidth="1"/>
    <col min="3" max="3" width="51.140625" style="9" bestFit="1" customWidth="1"/>
    <col min="4" max="4" width="14.00390625" style="9" customWidth="1"/>
    <col min="5" max="5" width="8.7109375" style="9" customWidth="1"/>
    <col min="6" max="6" width="15.7109375" style="9" bestFit="1" customWidth="1"/>
    <col min="7" max="16384" width="9.140625" style="9" customWidth="1"/>
  </cols>
  <sheetData>
    <row r="1" spans="2:6" ht="16.5">
      <c r="B1" s="151" t="s">
        <v>18</v>
      </c>
      <c r="C1" s="151"/>
      <c r="D1" s="151"/>
      <c r="E1" s="151"/>
      <c r="F1" s="151"/>
    </row>
    <row r="2" spans="2:6" ht="16.5">
      <c r="B2" s="14">
        <v>1</v>
      </c>
      <c r="C2" s="41" t="s">
        <v>19</v>
      </c>
      <c r="D2" s="29" t="s">
        <v>212</v>
      </c>
      <c r="E2" s="29"/>
      <c r="F2" s="29"/>
    </row>
    <row r="3" spans="2:6" ht="16.5">
      <c r="B3" s="14">
        <v>2</v>
      </c>
      <c r="C3" s="41" t="s">
        <v>20</v>
      </c>
      <c r="D3" s="157" t="s">
        <v>233</v>
      </c>
      <c r="E3" s="157"/>
      <c r="F3" s="157"/>
    </row>
    <row r="4" spans="2:6" ht="16.5">
      <c r="B4" s="14">
        <v>3</v>
      </c>
      <c r="C4" s="158" t="s">
        <v>99</v>
      </c>
      <c r="D4" s="158"/>
      <c r="E4" s="158"/>
      <c r="F4" s="3">
        <v>44317</v>
      </c>
    </row>
    <row r="5" spans="2:6" ht="16.5">
      <c r="B5" s="14">
        <v>4</v>
      </c>
      <c r="C5" s="124" t="s">
        <v>21</v>
      </c>
      <c r="D5" s="160"/>
      <c r="E5" s="125"/>
      <c r="F5" s="42">
        <f>'Planilha Resumo'!F26</f>
        <v>1212</v>
      </c>
    </row>
    <row r="6" spans="2:6" ht="16.5">
      <c r="B6" s="14">
        <v>5</v>
      </c>
      <c r="C6" s="41" t="s">
        <v>156</v>
      </c>
      <c r="D6" s="159" t="s">
        <v>242</v>
      </c>
      <c r="E6" s="159"/>
      <c r="F6" s="159"/>
    </row>
    <row r="7" spans="2:6" s="46" customFormat="1" ht="9">
      <c r="B7" s="43"/>
      <c r="C7" s="44"/>
      <c r="D7" s="44"/>
      <c r="E7" s="44"/>
      <c r="F7" s="45"/>
    </row>
    <row r="8" spans="2:6" ht="25.5">
      <c r="B8" s="47" t="s">
        <v>22</v>
      </c>
      <c r="C8" s="48"/>
      <c r="D8" s="48"/>
      <c r="E8" s="48"/>
      <c r="F8" s="48"/>
    </row>
    <row r="9" spans="2:6" ht="16.5">
      <c r="B9" s="49" t="s">
        <v>23</v>
      </c>
      <c r="C9" s="50"/>
      <c r="D9" s="50"/>
      <c r="E9" s="51"/>
      <c r="F9" s="51"/>
    </row>
    <row r="10" spans="2:6" ht="16.5" customHeight="1">
      <c r="B10" s="15">
        <v>1</v>
      </c>
      <c r="C10" s="91" t="s">
        <v>24</v>
      </c>
      <c r="D10" s="92"/>
      <c r="E10" s="22" t="s">
        <v>40</v>
      </c>
      <c r="F10" s="22" t="s">
        <v>43</v>
      </c>
    </row>
    <row r="11" spans="2:6" ht="16.5">
      <c r="B11" s="15" t="s">
        <v>5</v>
      </c>
      <c r="C11" s="93" t="s">
        <v>25</v>
      </c>
      <c r="D11" s="57"/>
      <c r="E11" s="52"/>
      <c r="F11" s="2">
        <v>3111.49</v>
      </c>
    </row>
    <row r="12" spans="2:6" ht="16.5">
      <c r="B12" s="15" t="s">
        <v>6</v>
      </c>
      <c r="C12" s="58" t="s">
        <v>26</v>
      </c>
      <c r="D12" s="59"/>
      <c r="E12" s="39"/>
      <c r="F12" s="42">
        <f>ROUND((E12*$F$11),2)</f>
        <v>0</v>
      </c>
    </row>
    <row r="13" spans="2:6" ht="16.5">
      <c r="B13" s="15" t="s">
        <v>7</v>
      </c>
      <c r="C13" s="93" t="s">
        <v>27</v>
      </c>
      <c r="D13" s="57"/>
      <c r="E13" s="39"/>
      <c r="F13" s="42">
        <f>ROUND((E13*$F$11),2)</f>
        <v>0</v>
      </c>
    </row>
    <row r="14" spans="2:6" ht="16.5">
      <c r="B14" s="15" t="s">
        <v>9</v>
      </c>
      <c r="C14" s="58" t="s">
        <v>28</v>
      </c>
      <c r="D14" s="59"/>
      <c r="E14" s="39"/>
      <c r="F14" s="42">
        <f>ROUND((E14*$F$5),2)</f>
        <v>0</v>
      </c>
    </row>
    <row r="15" spans="2:6" ht="16.5">
      <c r="B15" s="139" t="s">
        <v>63</v>
      </c>
      <c r="C15" s="139"/>
      <c r="D15" s="139"/>
      <c r="E15" s="139"/>
      <c r="F15" s="53">
        <f>SUM(F11:F14)</f>
        <v>3111.49</v>
      </c>
    </row>
    <row r="16" spans="2:6" s="46" customFormat="1" ht="9">
      <c r="B16" s="43"/>
      <c r="C16" s="44"/>
      <c r="D16" s="44"/>
      <c r="E16" s="44"/>
      <c r="F16" s="45"/>
    </row>
    <row r="17" spans="2:6" ht="16.5">
      <c r="B17" s="49" t="s">
        <v>31</v>
      </c>
      <c r="C17" s="50"/>
      <c r="D17" s="50"/>
      <c r="E17" s="54"/>
      <c r="F17" s="54"/>
    </row>
    <row r="18" spans="2:6" ht="16.5">
      <c r="B18" s="49" t="s">
        <v>64</v>
      </c>
      <c r="C18" s="55"/>
      <c r="D18" s="56"/>
      <c r="E18" s="62"/>
      <c r="F18" s="62"/>
    </row>
    <row r="19" spans="2:6" ht="16.5">
      <c r="B19" s="15" t="s">
        <v>65</v>
      </c>
      <c r="C19" s="60" t="s">
        <v>66</v>
      </c>
      <c r="D19" s="60"/>
      <c r="E19" s="22" t="s">
        <v>40</v>
      </c>
      <c r="F19" s="22" t="s">
        <v>43</v>
      </c>
    </row>
    <row r="20" spans="2:6" ht="16.5">
      <c r="B20" s="15" t="s">
        <v>5</v>
      </c>
      <c r="C20" s="120" t="s">
        <v>67</v>
      </c>
      <c r="D20" s="120"/>
      <c r="E20" s="52">
        <f>ROUND((1/12)*100,2)</f>
        <v>8.33</v>
      </c>
      <c r="F20" s="42">
        <f>ROUND((E20%*$F$83),2)</f>
        <v>259.19</v>
      </c>
    </row>
    <row r="21" spans="2:6" ht="16.5">
      <c r="B21" s="19" t="s">
        <v>6</v>
      </c>
      <c r="C21" s="90" t="s">
        <v>68</v>
      </c>
      <c r="D21" s="90"/>
      <c r="E21" s="63">
        <f>ROUND((1/3*1/12)*100,2)</f>
        <v>2.78</v>
      </c>
      <c r="F21" s="42">
        <f>ROUND((E21%*$F$83),2)</f>
        <v>86.5</v>
      </c>
    </row>
    <row r="22" spans="2:6" ht="16.5">
      <c r="B22" s="141" t="s">
        <v>63</v>
      </c>
      <c r="C22" s="141"/>
      <c r="D22" s="141"/>
      <c r="E22" s="141"/>
      <c r="F22" s="64">
        <f>SUM(F20:F21)</f>
        <v>345.69</v>
      </c>
    </row>
    <row r="23" spans="2:6" ht="16.5" customHeight="1">
      <c r="B23" s="161" t="s">
        <v>69</v>
      </c>
      <c r="C23" s="161"/>
      <c r="D23" s="161"/>
      <c r="E23" s="161"/>
      <c r="F23" s="161"/>
    </row>
    <row r="24" spans="2:6" ht="33" customHeight="1">
      <c r="B24" s="15" t="s">
        <v>70</v>
      </c>
      <c r="C24" s="60" t="s">
        <v>71</v>
      </c>
      <c r="D24" s="60"/>
      <c r="E24" s="22" t="s">
        <v>40</v>
      </c>
      <c r="F24" s="22" t="s">
        <v>43</v>
      </c>
    </row>
    <row r="25" spans="2:6" ht="16.5">
      <c r="B25" s="15" t="s">
        <v>5</v>
      </c>
      <c r="C25" s="120" t="s">
        <v>72</v>
      </c>
      <c r="D25" s="120"/>
      <c r="E25" s="65">
        <f>IF('Planilha Resumo'!F21="NÃO",20,0)</f>
        <v>0</v>
      </c>
      <c r="F25" s="42">
        <f aca="true" t="shared" si="0" ref="F25:F32">ROUND((E25%*($F$83+$F$22)),2)</f>
        <v>0</v>
      </c>
    </row>
    <row r="26" spans="2:6" ht="16.5">
      <c r="B26" s="19" t="s">
        <v>6</v>
      </c>
      <c r="C26" s="144" t="s">
        <v>73</v>
      </c>
      <c r="D26" s="144"/>
      <c r="E26" s="63">
        <v>2.5</v>
      </c>
      <c r="F26" s="42">
        <f t="shared" si="0"/>
        <v>86.43</v>
      </c>
    </row>
    <row r="27" spans="2:6" ht="16.5">
      <c r="B27" s="19" t="s">
        <v>7</v>
      </c>
      <c r="C27" s="120" t="s">
        <v>74</v>
      </c>
      <c r="D27" s="120"/>
      <c r="E27" s="65">
        <v>3</v>
      </c>
      <c r="F27" s="42">
        <f t="shared" si="0"/>
        <v>103.72</v>
      </c>
    </row>
    <row r="28" spans="2:6" ht="16.5">
      <c r="B28" s="19" t="s">
        <v>9</v>
      </c>
      <c r="C28" s="144" t="s">
        <v>75</v>
      </c>
      <c r="D28" s="144"/>
      <c r="E28" s="63">
        <v>1.5</v>
      </c>
      <c r="F28" s="42">
        <f t="shared" si="0"/>
        <v>51.86</v>
      </c>
    </row>
    <row r="29" spans="2:6" ht="16.5">
      <c r="B29" s="19" t="s">
        <v>10</v>
      </c>
      <c r="C29" s="120" t="s">
        <v>76</v>
      </c>
      <c r="D29" s="120"/>
      <c r="E29" s="65">
        <v>1</v>
      </c>
      <c r="F29" s="42">
        <f t="shared" si="0"/>
        <v>34.57</v>
      </c>
    </row>
    <row r="30" spans="2:6" ht="16.5">
      <c r="B30" s="19" t="s">
        <v>29</v>
      </c>
      <c r="C30" s="144" t="s">
        <v>77</v>
      </c>
      <c r="D30" s="144"/>
      <c r="E30" s="63">
        <v>0.6</v>
      </c>
      <c r="F30" s="42">
        <f t="shared" si="0"/>
        <v>20.74</v>
      </c>
    </row>
    <row r="31" spans="2:6" ht="16.5">
      <c r="B31" s="19" t="s">
        <v>30</v>
      </c>
      <c r="C31" s="120" t="s">
        <v>78</v>
      </c>
      <c r="D31" s="120"/>
      <c r="E31" s="65">
        <v>0.2</v>
      </c>
      <c r="F31" s="42">
        <f t="shared" si="0"/>
        <v>6.91</v>
      </c>
    </row>
    <row r="32" spans="2:6" ht="16.5">
      <c r="B32" s="19" t="s">
        <v>62</v>
      </c>
      <c r="C32" s="144" t="s">
        <v>79</v>
      </c>
      <c r="D32" s="144"/>
      <c r="E32" s="63">
        <v>8</v>
      </c>
      <c r="F32" s="42">
        <f t="shared" si="0"/>
        <v>276.57</v>
      </c>
    </row>
    <row r="33" spans="2:6" ht="16.5">
      <c r="B33" s="61" t="s">
        <v>63</v>
      </c>
      <c r="C33" s="61"/>
      <c r="D33" s="61"/>
      <c r="E33" s="66">
        <f>SUM(E25:E32)</f>
        <v>16.799999999999997</v>
      </c>
      <c r="F33" s="67">
        <f>SUM(F25:F32)</f>
        <v>580.8</v>
      </c>
    </row>
    <row r="34" spans="2:6" ht="16.5">
      <c r="B34" s="49" t="s">
        <v>32</v>
      </c>
      <c r="C34" s="10"/>
      <c r="D34" s="10"/>
      <c r="E34" s="10"/>
      <c r="F34" s="10"/>
    </row>
    <row r="35" spans="2:6" ht="16.5">
      <c r="B35" s="15" t="s">
        <v>33</v>
      </c>
      <c r="C35" s="91" t="s">
        <v>34</v>
      </c>
      <c r="D35" s="92"/>
      <c r="E35" s="22" t="s">
        <v>108</v>
      </c>
      <c r="F35" s="22" t="s">
        <v>35</v>
      </c>
    </row>
    <row r="36" spans="2:6" ht="16.5">
      <c r="B36" s="15" t="s">
        <v>5</v>
      </c>
      <c r="C36" s="124" t="s">
        <v>100</v>
      </c>
      <c r="D36" s="125"/>
      <c r="E36" s="38">
        <v>11</v>
      </c>
      <c r="F36" s="42">
        <f>ROUND(E36*$F$40,2)</f>
        <v>242</v>
      </c>
    </row>
    <row r="37" spans="2:6" ht="16.5">
      <c r="B37" s="68" t="s">
        <v>104</v>
      </c>
      <c r="C37" s="122" t="s">
        <v>106</v>
      </c>
      <c r="D37" s="123"/>
      <c r="E37" s="39">
        <v>0</v>
      </c>
      <c r="F37" s="69">
        <f>IF((E37*F11)&gt;=F36,-F36,ROUND(-(E37*F11),2))</f>
        <v>0</v>
      </c>
    </row>
    <row r="38" spans="2:6" ht="16.5">
      <c r="B38" s="15" t="s">
        <v>6</v>
      </c>
      <c r="C38" s="124" t="s">
        <v>101</v>
      </c>
      <c r="D38" s="125"/>
      <c r="E38" s="38">
        <v>21</v>
      </c>
      <c r="F38" s="42">
        <f>ROUND(E38*$F$40,2)</f>
        <v>462</v>
      </c>
    </row>
    <row r="39" spans="2:6" ht="16.5">
      <c r="B39" s="68" t="s">
        <v>105</v>
      </c>
      <c r="C39" s="122" t="s">
        <v>107</v>
      </c>
      <c r="D39" s="123"/>
      <c r="E39" s="39">
        <v>0.09</v>
      </c>
      <c r="F39" s="69">
        <f>-ROUND((E39*F38),2)</f>
        <v>-41.58</v>
      </c>
    </row>
    <row r="40" spans="2:6" ht="16.5">
      <c r="B40" s="15" t="s">
        <v>7</v>
      </c>
      <c r="C40" s="90" t="s">
        <v>61</v>
      </c>
      <c r="D40" s="90"/>
      <c r="E40" s="90"/>
      <c r="F40" s="70">
        <f>'Planilha Resumo'!F11</f>
        <v>22</v>
      </c>
    </row>
    <row r="41" spans="2:6" ht="16.5">
      <c r="B41" s="15" t="s">
        <v>9</v>
      </c>
      <c r="C41" s="124" t="s">
        <v>109</v>
      </c>
      <c r="D41" s="125"/>
      <c r="E41" s="40">
        <v>5</v>
      </c>
      <c r="F41" s="71">
        <f>ROUND((E41*$F$40),2)</f>
        <v>110</v>
      </c>
    </row>
    <row r="42" spans="2:6" ht="16.5">
      <c r="B42" s="15" t="s">
        <v>10</v>
      </c>
      <c r="C42" s="90" t="s">
        <v>103</v>
      </c>
      <c r="D42" s="90"/>
      <c r="E42" s="90"/>
      <c r="F42" s="1">
        <v>152.35</v>
      </c>
    </row>
    <row r="43" spans="2:6" ht="16.5">
      <c r="B43" s="139" t="s">
        <v>63</v>
      </c>
      <c r="C43" s="139"/>
      <c r="D43" s="139"/>
      <c r="E43" s="139"/>
      <c r="F43" s="53">
        <f>SUM(F36:F39)+SUM(F41:F42)</f>
        <v>924.77</v>
      </c>
    </row>
    <row r="44" spans="2:6" s="46" customFormat="1" ht="9">
      <c r="B44" s="43"/>
      <c r="C44" s="44"/>
      <c r="D44" s="44"/>
      <c r="E44" s="44"/>
      <c r="F44" s="45"/>
    </row>
    <row r="45" spans="2:6" ht="16.5">
      <c r="B45" s="49" t="s">
        <v>80</v>
      </c>
      <c r="C45" s="55"/>
      <c r="D45" s="56"/>
      <c r="E45" s="62"/>
      <c r="F45" s="72"/>
    </row>
    <row r="46" spans="2:6" ht="16.5">
      <c r="B46" s="15">
        <v>3</v>
      </c>
      <c r="C46" s="141" t="s">
        <v>81</v>
      </c>
      <c r="D46" s="141"/>
      <c r="E46" s="22" t="s">
        <v>40</v>
      </c>
      <c r="F46" s="22" t="s">
        <v>43</v>
      </c>
    </row>
    <row r="47" spans="2:6" ht="16.5">
      <c r="B47" s="15" t="s">
        <v>5</v>
      </c>
      <c r="C47" s="120" t="s">
        <v>82</v>
      </c>
      <c r="D47" s="120"/>
      <c r="E47" s="65">
        <f>ROUND((62.93%*5.55%*(1/12))*100,2)</f>
        <v>0.29</v>
      </c>
      <c r="F47" s="42">
        <f>ROUND((E47%*($F$83+$F$22+$F$32+F43)),2)</f>
        <v>13.51</v>
      </c>
    </row>
    <row r="48" spans="2:6" ht="16.5">
      <c r="B48" s="19" t="s">
        <v>6</v>
      </c>
      <c r="C48" s="144" t="s">
        <v>83</v>
      </c>
      <c r="D48" s="144"/>
      <c r="E48" s="63">
        <f>ROUND((62.93%*94.45%*(7/30)/12)*100,2)</f>
        <v>1.16</v>
      </c>
      <c r="F48" s="42">
        <f>ROUND((E48%*($F$83+$F$84)),2)</f>
        <v>57.57</v>
      </c>
    </row>
    <row r="49" spans="2:6" ht="16.5">
      <c r="B49" s="19" t="s">
        <v>7</v>
      </c>
      <c r="C49" s="120" t="s">
        <v>84</v>
      </c>
      <c r="D49" s="120"/>
      <c r="E49" s="65">
        <f>ROUND((E48%*40%*E32%)*100,2)</f>
        <v>0.04</v>
      </c>
      <c r="F49" s="42">
        <f>ROUND((E49%*($F$83+$F$22)),2)</f>
        <v>1.38</v>
      </c>
    </row>
    <row r="50" spans="2:6" ht="16.5">
      <c r="B50" s="141" t="s">
        <v>63</v>
      </c>
      <c r="C50" s="141"/>
      <c r="D50" s="141"/>
      <c r="E50" s="141"/>
      <c r="F50" s="64">
        <f>SUM(F47:F49)</f>
        <v>72.46</v>
      </c>
    </row>
    <row r="51" spans="2:6" s="46" customFormat="1" ht="9">
      <c r="B51" s="43"/>
      <c r="C51" s="44"/>
      <c r="D51" s="44"/>
      <c r="E51" s="44"/>
      <c r="F51" s="45"/>
    </row>
    <row r="52" spans="2:6" ht="16.5">
      <c r="B52" s="49" t="s">
        <v>36</v>
      </c>
      <c r="C52" s="55"/>
      <c r="D52" s="56"/>
      <c r="E52" s="48"/>
      <c r="F52" s="48"/>
    </row>
    <row r="53" spans="2:6" ht="16.5">
      <c r="B53" s="49" t="s">
        <v>37</v>
      </c>
      <c r="C53" s="55"/>
      <c r="D53" s="56"/>
      <c r="E53" s="62"/>
      <c r="F53" s="62"/>
    </row>
    <row r="54" spans="2:6" ht="16.5">
      <c r="B54" s="15" t="s">
        <v>38</v>
      </c>
      <c r="C54" s="138" t="s">
        <v>39</v>
      </c>
      <c r="D54" s="138"/>
      <c r="E54" s="22" t="s">
        <v>40</v>
      </c>
      <c r="F54" s="22" t="s">
        <v>43</v>
      </c>
    </row>
    <row r="55" spans="2:6" ht="16.5">
      <c r="B55" s="19" t="s">
        <v>5</v>
      </c>
      <c r="C55" s="120" t="s">
        <v>85</v>
      </c>
      <c r="D55" s="120"/>
      <c r="E55" s="73">
        <f>ROUND((1/12)*100,2)</f>
        <v>8.33</v>
      </c>
      <c r="F55" s="42">
        <f>ROUND((E55%*($F$83+$F$84+$F$85)),2)</f>
        <v>419.43</v>
      </c>
    </row>
    <row r="56" spans="2:6" ht="16.5">
      <c r="B56" s="19" t="s">
        <v>6</v>
      </c>
      <c r="C56" s="144" t="s">
        <v>86</v>
      </c>
      <c r="D56" s="144"/>
      <c r="E56" s="73">
        <f>ROUND((8/30/12)*100,2)</f>
        <v>2.22</v>
      </c>
      <c r="F56" s="42">
        <f>ROUND((E56%*($F$83+$F$84+$F$85)),2)</f>
        <v>111.78</v>
      </c>
    </row>
    <row r="57" spans="2:6" ht="16.5">
      <c r="B57" s="19" t="s">
        <v>7</v>
      </c>
      <c r="C57" s="120" t="s">
        <v>87</v>
      </c>
      <c r="D57" s="120"/>
      <c r="E57" s="73">
        <f>ROUND(((20/30/12)*1.416%*45.22%)*100,2)</f>
        <v>0.04</v>
      </c>
      <c r="F57" s="42">
        <f>ROUND((E57%*($F$83+$F$84+$F$85)),2)</f>
        <v>2.01</v>
      </c>
    </row>
    <row r="58" spans="2:6" ht="16.5" customHeight="1">
      <c r="B58" s="19" t="s">
        <v>9</v>
      </c>
      <c r="C58" s="144" t="s">
        <v>88</v>
      </c>
      <c r="D58" s="144"/>
      <c r="E58" s="73">
        <f>ROUND(((15/30/12)*0.44%)*100,2)</f>
        <v>0.02</v>
      </c>
      <c r="F58" s="42">
        <f>ROUND((E58%*($F$83+$F$84+$F$85)),2)</f>
        <v>1.01</v>
      </c>
    </row>
    <row r="59" spans="2:6" ht="16.5">
      <c r="B59" s="19" t="s">
        <v>10</v>
      </c>
      <c r="C59" s="120" t="s">
        <v>89</v>
      </c>
      <c r="D59" s="120"/>
      <c r="E59" s="73">
        <f>ROUND(((180/30/12)*1.416%*54.78%*36.8%)*100,2)</f>
        <v>0.14</v>
      </c>
      <c r="F59" s="42">
        <f>ROUND((E59%*($F$83+$F$84+$F$85)),2)</f>
        <v>7.05</v>
      </c>
    </row>
    <row r="60" spans="2:6" ht="16.5">
      <c r="B60" s="141" t="s">
        <v>63</v>
      </c>
      <c r="C60" s="141"/>
      <c r="D60" s="141"/>
      <c r="E60" s="141"/>
      <c r="F60" s="53">
        <f>SUM(F55:F59)</f>
        <v>541.28</v>
      </c>
    </row>
    <row r="61" spans="2:6" s="46" customFormat="1" ht="9">
      <c r="B61" s="43"/>
      <c r="C61" s="44"/>
      <c r="D61" s="44"/>
      <c r="E61" s="44"/>
      <c r="F61" s="45"/>
    </row>
    <row r="62" spans="2:6" ht="16.5">
      <c r="B62" s="49" t="s">
        <v>41</v>
      </c>
      <c r="C62" s="55"/>
      <c r="D62" s="55"/>
      <c r="E62" s="62"/>
      <c r="F62" s="62"/>
    </row>
    <row r="63" spans="2:6" ht="16.5">
      <c r="B63" s="15">
        <v>5</v>
      </c>
      <c r="C63" s="91" t="s">
        <v>42</v>
      </c>
      <c r="D63" s="162"/>
      <c r="E63" s="92"/>
      <c r="F63" s="22" t="s">
        <v>43</v>
      </c>
    </row>
    <row r="64" spans="2:6" ht="16.5">
      <c r="B64" s="14" t="s">
        <v>5</v>
      </c>
      <c r="C64" s="90" t="s">
        <v>44</v>
      </c>
      <c r="D64" s="90"/>
      <c r="E64" s="90"/>
      <c r="F64" s="1">
        <f>'Planilha Resumo'!F31</f>
        <v>40.65</v>
      </c>
    </row>
    <row r="65" spans="2:6" ht="16.5">
      <c r="B65" s="14" t="s">
        <v>6</v>
      </c>
      <c r="C65" s="124" t="s">
        <v>116</v>
      </c>
      <c r="D65" s="160"/>
      <c r="E65" s="125"/>
      <c r="F65" s="42">
        <f>'Planilha Resumo'!F32</f>
        <v>275.94</v>
      </c>
    </row>
    <row r="66" spans="2:6" ht="16.5">
      <c r="B66" s="14" t="s">
        <v>7</v>
      </c>
      <c r="C66" s="90" t="s">
        <v>117</v>
      </c>
      <c r="D66" s="90"/>
      <c r="E66" s="90"/>
      <c r="F66" s="1">
        <v>0.01</v>
      </c>
    </row>
    <row r="67" spans="2:6" ht="16.5">
      <c r="B67" s="14" t="s">
        <v>9</v>
      </c>
      <c r="C67" s="124" t="s">
        <v>118</v>
      </c>
      <c r="D67" s="160"/>
      <c r="E67" s="125"/>
      <c r="F67" s="1">
        <f>143.59-F64</f>
        <v>102.94</v>
      </c>
    </row>
    <row r="68" spans="2:6" ht="16.5">
      <c r="B68" s="14" t="s">
        <v>10</v>
      </c>
      <c r="C68" s="90" t="s">
        <v>153</v>
      </c>
      <c r="D68" s="90"/>
      <c r="E68" s="90"/>
      <c r="F68" s="1">
        <v>15.86</v>
      </c>
    </row>
    <row r="69" spans="2:6" ht="16.5">
      <c r="B69" s="139" t="s">
        <v>63</v>
      </c>
      <c r="C69" s="139"/>
      <c r="D69" s="139"/>
      <c r="E69" s="139"/>
      <c r="F69" s="53">
        <f>SUM(F64:F68)</f>
        <v>435.4</v>
      </c>
    </row>
    <row r="70" spans="2:6" s="46" customFormat="1" ht="9">
      <c r="B70" s="43"/>
      <c r="C70" s="44"/>
      <c r="D70" s="44"/>
      <c r="E70" s="44"/>
      <c r="F70" s="45"/>
    </row>
    <row r="71" spans="2:6" ht="16.5" customHeight="1">
      <c r="B71" s="140" t="s">
        <v>45</v>
      </c>
      <c r="C71" s="140"/>
      <c r="D71" s="140"/>
      <c r="E71" s="140"/>
      <c r="F71" s="140"/>
    </row>
    <row r="72" spans="2:6" ht="16.5">
      <c r="B72" s="15">
        <v>6</v>
      </c>
      <c r="C72" s="141" t="s">
        <v>46</v>
      </c>
      <c r="D72" s="141"/>
      <c r="E72" s="22" t="s">
        <v>40</v>
      </c>
      <c r="F72" s="22" t="s">
        <v>43</v>
      </c>
    </row>
    <row r="73" spans="2:6" ht="16.5">
      <c r="B73" s="15" t="s">
        <v>5</v>
      </c>
      <c r="C73" s="120" t="str">
        <f>'Planilha Resumo'!$C$34</f>
        <v>Custos Indiretos</v>
      </c>
      <c r="D73" s="120"/>
      <c r="E73" s="73">
        <f>'Planilha Resumo'!$F$34</f>
        <v>4.73</v>
      </c>
      <c r="F73" s="42">
        <f>ROUND((E73%*($F$83+$F$84+$F$85+$F$86+$F$87)),2)</f>
        <v>284.36</v>
      </c>
    </row>
    <row r="74" spans="2:6" ht="16.5">
      <c r="B74" s="19" t="s">
        <v>6</v>
      </c>
      <c r="C74" s="144" t="str">
        <f>'Planilha Resumo'!$C$35</f>
        <v>Lucro</v>
      </c>
      <c r="D74" s="144"/>
      <c r="E74" s="73">
        <f>'Planilha Resumo'!$F$35</f>
        <v>5.57</v>
      </c>
      <c r="F74" s="42">
        <f>ROUND((E74%*($F$83+$F$84+$F$85+$F$86+$F$87+$F$73)),2)</f>
        <v>350.7</v>
      </c>
    </row>
    <row r="75" spans="2:6" ht="16.5">
      <c r="B75" s="19" t="s">
        <v>7</v>
      </c>
      <c r="C75" s="144" t="str">
        <f>'Planilha Resumo'!$C$36</f>
        <v>Tributos</v>
      </c>
      <c r="D75" s="144"/>
      <c r="E75" s="74">
        <f>SUM(E76:E79)</f>
        <v>10.15</v>
      </c>
      <c r="F75" s="42">
        <f>SUM(F76:F79)</f>
        <v>750.88</v>
      </c>
    </row>
    <row r="76" spans="2:6" ht="15">
      <c r="B76" s="26" t="s">
        <v>49</v>
      </c>
      <c r="C76" s="121" t="str">
        <f>'Planilha Resumo'!$C$37</f>
        <v>PIS</v>
      </c>
      <c r="D76" s="121"/>
      <c r="E76" s="75">
        <f>'Planilha Resumo'!$F$37</f>
        <v>0.65</v>
      </c>
      <c r="F76" s="76">
        <f>ROUND((($F$83+$F$84+$F$85+$F$86+$F$87+$F$73+$F$74)*E76%)/(1-$E$75%),2)</f>
        <v>48.09</v>
      </c>
    </row>
    <row r="77" spans="2:6" ht="15">
      <c r="B77" s="26" t="s">
        <v>51</v>
      </c>
      <c r="C77" s="121" t="str">
        <f>'Planilha Resumo'!$C$38</f>
        <v>Cofins</v>
      </c>
      <c r="D77" s="121"/>
      <c r="E77" s="75">
        <f>'Planilha Resumo'!$F$38</f>
        <v>3</v>
      </c>
      <c r="F77" s="76">
        <f>ROUND((($F$83+$F$84+$F$85+$F$86+$F$87+$F$73+$F$74)*E77%)/(1-$E$75%),2)</f>
        <v>221.93</v>
      </c>
    </row>
    <row r="78" spans="2:6" ht="15">
      <c r="B78" s="26" t="s">
        <v>53</v>
      </c>
      <c r="C78" s="121" t="str">
        <f>'Planilha Resumo'!$C$39</f>
        <v>ISS</v>
      </c>
      <c r="D78" s="121"/>
      <c r="E78" s="75">
        <f>'Planilha Resumo'!$F$39</f>
        <v>2</v>
      </c>
      <c r="F78" s="76">
        <f>ROUND((($F$83+$F$84+$F$85+$F$86+$F$87+$F$73+$F$74)*E78%)/(1-$E$75%),2)</f>
        <v>147.96</v>
      </c>
    </row>
    <row r="79" spans="2:6" ht="16.5" customHeight="1">
      <c r="B79" s="26" t="s">
        <v>194</v>
      </c>
      <c r="C79" s="121" t="str">
        <f>'Planilha Resumo'!$C$40</f>
        <v>CPRB (Somente se empresa optante pela desoneração fiscal)</v>
      </c>
      <c r="D79" s="121"/>
      <c r="E79" s="75">
        <f>'Planilha Resumo'!$F$40</f>
        <v>4.5</v>
      </c>
      <c r="F79" s="76">
        <f>ROUND((($F$83+$F$84+$F$85+$F$86+$F$87+$F$73+$F$74)*E79%)/(1-$E$75%),2)</f>
        <v>332.9</v>
      </c>
    </row>
    <row r="80" spans="2:6" ht="16.5">
      <c r="B80" s="141" t="s">
        <v>63</v>
      </c>
      <c r="C80" s="141"/>
      <c r="D80" s="141"/>
      <c r="E80" s="141"/>
      <c r="F80" s="77">
        <f>SUM(F73:F75)</f>
        <v>1385.94</v>
      </c>
    </row>
    <row r="81" spans="2:6" ht="20.25">
      <c r="B81" s="78" t="s">
        <v>91</v>
      </c>
      <c r="C81" s="79"/>
      <c r="D81" s="79"/>
      <c r="E81" s="79"/>
      <c r="F81" s="80"/>
    </row>
    <row r="82" spans="2:6" ht="16.5">
      <c r="B82" s="19" t="s">
        <v>92</v>
      </c>
      <c r="C82" s="138" t="s">
        <v>93</v>
      </c>
      <c r="D82" s="138"/>
      <c r="E82" s="138"/>
      <c r="F82" s="22" t="s">
        <v>94</v>
      </c>
    </row>
    <row r="83" spans="2:6" ht="16.5">
      <c r="B83" s="15">
        <v>1</v>
      </c>
      <c r="C83" s="144" t="s">
        <v>24</v>
      </c>
      <c r="D83" s="144"/>
      <c r="E83" s="144"/>
      <c r="F83" s="42">
        <f>F15</f>
        <v>3111.49</v>
      </c>
    </row>
    <row r="84" spans="2:6" ht="16.5">
      <c r="B84" s="19">
        <v>2</v>
      </c>
      <c r="C84" s="144" t="s">
        <v>95</v>
      </c>
      <c r="D84" s="144"/>
      <c r="E84" s="144"/>
      <c r="F84" s="42">
        <f>F22+F33+F43</f>
        <v>1851.26</v>
      </c>
    </row>
    <row r="85" spans="2:6" ht="16.5">
      <c r="B85" s="19">
        <v>3</v>
      </c>
      <c r="C85" s="144" t="s">
        <v>81</v>
      </c>
      <c r="D85" s="144"/>
      <c r="E85" s="144"/>
      <c r="F85" s="42">
        <f>F50</f>
        <v>72.46</v>
      </c>
    </row>
    <row r="86" spans="2:6" ht="16.5">
      <c r="B86" s="19">
        <v>4</v>
      </c>
      <c r="C86" s="144" t="s">
        <v>96</v>
      </c>
      <c r="D86" s="144"/>
      <c r="E86" s="144"/>
      <c r="F86" s="42">
        <f>F60</f>
        <v>541.28</v>
      </c>
    </row>
    <row r="87" spans="2:6" ht="16.5">
      <c r="B87" s="19">
        <v>5</v>
      </c>
      <c r="C87" s="144" t="s">
        <v>42</v>
      </c>
      <c r="D87" s="144"/>
      <c r="E87" s="144"/>
      <c r="F87" s="42">
        <f>F69</f>
        <v>435.4</v>
      </c>
    </row>
    <row r="88" spans="2:6" ht="16.5">
      <c r="B88" s="19">
        <v>6</v>
      </c>
      <c r="C88" s="144" t="s">
        <v>46</v>
      </c>
      <c r="D88" s="144"/>
      <c r="E88" s="144"/>
      <c r="F88" s="42">
        <f>F80</f>
        <v>1385.94</v>
      </c>
    </row>
    <row r="89" spans="2:6" ht="16.5">
      <c r="B89" s="138" t="s">
        <v>97</v>
      </c>
      <c r="C89" s="138"/>
      <c r="D89" s="138"/>
      <c r="E89" s="138"/>
      <c r="F89" s="77">
        <f>SUM(F83:F88)</f>
        <v>7397.83</v>
      </c>
    </row>
  </sheetData>
  <sheetProtection sheet="1" objects="1" scenarios="1"/>
  <mergeCells count="73">
    <mergeCell ref="C68:E68"/>
    <mergeCell ref="C63:E63"/>
    <mergeCell ref="C64:E64"/>
    <mergeCell ref="C65:E65"/>
    <mergeCell ref="C66:E66"/>
    <mergeCell ref="C67:E67"/>
    <mergeCell ref="B23:F23"/>
    <mergeCell ref="B15:E15"/>
    <mergeCell ref="C19:D19"/>
    <mergeCell ref="C20:D20"/>
    <mergeCell ref="C21:D21"/>
    <mergeCell ref="B22:E22"/>
    <mergeCell ref="D6:F6"/>
    <mergeCell ref="C5:E5"/>
    <mergeCell ref="C13:D13"/>
    <mergeCell ref="C14:D14"/>
    <mergeCell ref="B1:F1"/>
    <mergeCell ref="D2:F2"/>
    <mergeCell ref="D3:F3"/>
    <mergeCell ref="C4:E4"/>
    <mergeCell ref="C31:D31"/>
    <mergeCell ref="C32:D32"/>
    <mergeCell ref="B33:D33"/>
    <mergeCell ref="C40:E40"/>
    <mergeCell ref="C38:D38"/>
    <mergeCell ref="C35:D35"/>
    <mergeCell ref="C36:D36"/>
    <mergeCell ref="C37:D37"/>
    <mergeCell ref="C27:D27"/>
    <mergeCell ref="C28:D28"/>
    <mergeCell ref="C29:D29"/>
    <mergeCell ref="C30:D30"/>
    <mergeCell ref="C57:D57"/>
    <mergeCell ref="C58:D58"/>
    <mergeCell ref="C59:D59"/>
    <mergeCell ref="C10:D10"/>
    <mergeCell ref="C11:D11"/>
    <mergeCell ref="C12:D12"/>
    <mergeCell ref="B43:E43"/>
    <mergeCell ref="C24:D24"/>
    <mergeCell ref="C25:D25"/>
    <mergeCell ref="C26:D26"/>
    <mergeCell ref="B50:E50"/>
    <mergeCell ref="C54:D54"/>
    <mergeCell ref="C55:D55"/>
    <mergeCell ref="C56:D56"/>
    <mergeCell ref="C79:D79"/>
    <mergeCell ref="B80:E80"/>
    <mergeCell ref="C39:D39"/>
    <mergeCell ref="C41:D41"/>
    <mergeCell ref="C42:E42"/>
    <mergeCell ref="B60:E60"/>
    <mergeCell ref="C46:D46"/>
    <mergeCell ref="C47:D47"/>
    <mergeCell ref="C48:D48"/>
    <mergeCell ref="C49:D49"/>
    <mergeCell ref="C82:E82"/>
    <mergeCell ref="B69:E69"/>
    <mergeCell ref="B71:F71"/>
    <mergeCell ref="C72:D72"/>
    <mergeCell ref="C73:D73"/>
    <mergeCell ref="C74:D74"/>
    <mergeCell ref="C75:D75"/>
    <mergeCell ref="C76:D76"/>
    <mergeCell ref="C77:D77"/>
    <mergeCell ref="C78:D78"/>
    <mergeCell ref="B89:E89"/>
    <mergeCell ref="C83:E83"/>
    <mergeCell ref="C84:E84"/>
    <mergeCell ref="C85:E85"/>
    <mergeCell ref="C86:E86"/>
    <mergeCell ref="C87:E87"/>
    <mergeCell ref="C88:E88"/>
  </mergeCells>
  <dataValidations count="2"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48:E49">
      <formula1>0</formula1>
      <formula2>1.94</formula2>
    </dataValidation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47">
      <formula1>0</formula1>
      <formula2>0.46</formula2>
    </dataValidation>
  </dataValidations>
  <printOptions horizontalCentered="1"/>
  <pageMargins left="0.1968503937007874" right="0.1968503937007874" top="0.7874015748031497" bottom="0.7874015748031497" header="0.07874015748031496" footer="0.1968503937007874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8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9" customWidth="1"/>
    <col min="2" max="2" width="9.00390625" style="9" customWidth="1"/>
    <col min="3" max="3" width="51.140625" style="9" bestFit="1" customWidth="1"/>
    <col min="4" max="4" width="14.00390625" style="9" customWidth="1"/>
    <col min="5" max="5" width="8.7109375" style="9" customWidth="1"/>
    <col min="6" max="6" width="15.7109375" style="9" bestFit="1" customWidth="1"/>
    <col min="7" max="16384" width="9.140625" style="9" customWidth="1"/>
  </cols>
  <sheetData>
    <row r="1" spans="2:6" ht="16.5">
      <c r="B1" s="151" t="s">
        <v>18</v>
      </c>
      <c r="C1" s="151"/>
      <c r="D1" s="151"/>
      <c r="E1" s="151"/>
      <c r="F1" s="151"/>
    </row>
    <row r="2" spans="2:6" ht="16.5">
      <c r="B2" s="14">
        <v>1</v>
      </c>
      <c r="C2" s="41" t="s">
        <v>19</v>
      </c>
      <c r="D2" s="29" t="s">
        <v>213</v>
      </c>
      <c r="E2" s="29"/>
      <c r="F2" s="29"/>
    </row>
    <row r="3" spans="2:6" ht="16.5">
      <c r="B3" s="14">
        <v>2</v>
      </c>
      <c r="C3" s="41" t="s">
        <v>20</v>
      </c>
      <c r="D3" s="157" t="s">
        <v>154</v>
      </c>
      <c r="E3" s="157"/>
      <c r="F3" s="157"/>
    </row>
    <row r="4" spans="2:6" ht="16.5">
      <c r="B4" s="14">
        <v>3</v>
      </c>
      <c r="C4" s="158" t="s">
        <v>99</v>
      </c>
      <c r="D4" s="158"/>
      <c r="E4" s="158"/>
      <c r="F4" s="3">
        <v>44317</v>
      </c>
    </row>
    <row r="5" spans="2:6" ht="16.5">
      <c r="B5" s="14">
        <v>4</v>
      </c>
      <c r="C5" s="124" t="s">
        <v>21</v>
      </c>
      <c r="D5" s="160"/>
      <c r="E5" s="125"/>
      <c r="F5" s="42">
        <f>'Planilha Resumo'!F26</f>
        <v>1212</v>
      </c>
    </row>
    <row r="6" spans="2:6" ht="16.5">
      <c r="B6" s="14">
        <v>5</v>
      </c>
      <c r="C6" s="41" t="s">
        <v>156</v>
      </c>
      <c r="D6" s="159" t="s">
        <v>242</v>
      </c>
      <c r="E6" s="159"/>
      <c r="F6" s="159"/>
    </row>
    <row r="7" spans="2:6" s="46" customFormat="1" ht="9">
      <c r="B7" s="43"/>
      <c r="C7" s="44"/>
      <c r="D7" s="44"/>
      <c r="E7" s="44"/>
      <c r="F7" s="45"/>
    </row>
    <row r="8" spans="2:6" ht="25.5">
      <c r="B8" s="47" t="s">
        <v>22</v>
      </c>
      <c r="C8" s="48"/>
      <c r="D8" s="48"/>
      <c r="E8" s="48"/>
      <c r="F8" s="48"/>
    </row>
    <row r="9" spans="2:6" ht="16.5">
      <c r="B9" s="49" t="s">
        <v>23</v>
      </c>
      <c r="C9" s="50"/>
      <c r="D9" s="50"/>
      <c r="E9" s="51"/>
      <c r="F9" s="51"/>
    </row>
    <row r="10" spans="2:6" ht="16.5" customHeight="1">
      <c r="B10" s="15">
        <v>1</v>
      </c>
      <c r="C10" s="91" t="s">
        <v>24</v>
      </c>
      <c r="D10" s="92"/>
      <c r="E10" s="22" t="s">
        <v>40</v>
      </c>
      <c r="F10" s="22" t="s">
        <v>43</v>
      </c>
    </row>
    <row r="11" spans="2:6" ht="16.5">
      <c r="B11" s="15" t="s">
        <v>5</v>
      </c>
      <c r="C11" s="93" t="s">
        <v>25</v>
      </c>
      <c r="D11" s="57"/>
      <c r="E11" s="52"/>
      <c r="F11" s="2">
        <v>1780.03</v>
      </c>
    </row>
    <row r="12" spans="2:6" ht="16.5">
      <c r="B12" s="15" t="s">
        <v>6</v>
      </c>
      <c r="C12" s="58" t="s">
        <v>26</v>
      </c>
      <c r="D12" s="59"/>
      <c r="E12" s="39"/>
      <c r="F12" s="42">
        <f>ROUND((E12*$F$11),2)</f>
        <v>0</v>
      </c>
    </row>
    <row r="13" spans="2:6" ht="16.5">
      <c r="B13" s="15" t="s">
        <v>7</v>
      </c>
      <c r="C13" s="93" t="s">
        <v>27</v>
      </c>
      <c r="D13" s="57"/>
      <c r="E13" s="39"/>
      <c r="F13" s="42">
        <f>ROUND((E13*$F$11),2)</f>
        <v>0</v>
      </c>
    </row>
    <row r="14" spans="2:6" ht="16.5">
      <c r="B14" s="15" t="s">
        <v>9</v>
      </c>
      <c r="C14" s="58" t="s">
        <v>28</v>
      </c>
      <c r="D14" s="59"/>
      <c r="E14" s="39"/>
      <c r="F14" s="42">
        <f>ROUND((E14*$F$5),2)</f>
        <v>0</v>
      </c>
    </row>
    <row r="15" spans="2:6" ht="16.5">
      <c r="B15" s="139" t="s">
        <v>63</v>
      </c>
      <c r="C15" s="139"/>
      <c r="D15" s="139"/>
      <c r="E15" s="139"/>
      <c r="F15" s="53">
        <f>SUM(F11:F14)</f>
        <v>1780.03</v>
      </c>
    </row>
    <row r="16" spans="2:6" s="46" customFormat="1" ht="9">
      <c r="B16" s="43"/>
      <c r="C16" s="44"/>
      <c r="D16" s="44"/>
      <c r="E16" s="44"/>
      <c r="F16" s="45"/>
    </row>
    <row r="17" spans="2:6" ht="16.5">
      <c r="B17" s="49" t="s">
        <v>31</v>
      </c>
      <c r="C17" s="50"/>
      <c r="D17" s="50"/>
      <c r="E17" s="54"/>
      <c r="F17" s="54"/>
    </row>
    <row r="18" spans="2:6" ht="16.5">
      <c r="B18" s="49" t="s">
        <v>64</v>
      </c>
      <c r="C18" s="55"/>
      <c r="D18" s="56"/>
      <c r="E18" s="62"/>
      <c r="F18" s="62"/>
    </row>
    <row r="19" spans="2:6" ht="16.5">
      <c r="B19" s="15" t="s">
        <v>65</v>
      </c>
      <c r="C19" s="60" t="s">
        <v>66</v>
      </c>
      <c r="D19" s="60"/>
      <c r="E19" s="22" t="s">
        <v>40</v>
      </c>
      <c r="F19" s="22" t="s">
        <v>43</v>
      </c>
    </row>
    <row r="20" spans="2:6" ht="16.5">
      <c r="B20" s="15" t="s">
        <v>5</v>
      </c>
      <c r="C20" s="120" t="s">
        <v>67</v>
      </c>
      <c r="D20" s="120"/>
      <c r="E20" s="52">
        <f>ROUND((1/12)*100,2)</f>
        <v>8.33</v>
      </c>
      <c r="F20" s="42">
        <f>ROUND((E20%*$F$83),2)</f>
        <v>148.28</v>
      </c>
    </row>
    <row r="21" spans="2:6" ht="16.5">
      <c r="B21" s="19" t="s">
        <v>6</v>
      </c>
      <c r="C21" s="90" t="s">
        <v>68</v>
      </c>
      <c r="D21" s="90"/>
      <c r="E21" s="63">
        <f>ROUND((1/3*1/12)*100,2)</f>
        <v>2.78</v>
      </c>
      <c r="F21" s="42">
        <f>ROUND((E21%*$F$83),2)</f>
        <v>49.48</v>
      </c>
    </row>
    <row r="22" spans="2:6" ht="16.5">
      <c r="B22" s="141" t="s">
        <v>63</v>
      </c>
      <c r="C22" s="141"/>
      <c r="D22" s="141"/>
      <c r="E22" s="141"/>
      <c r="F22" s="64">
        <f>SUM(F20:F21)</f>
        <v>197.76</v>
      </c>
    </row>
    <row r="23" spans="2:6" ht="16.5" customHeight="1">
      <c r="B23" s="161" t="s">
        <v>69</v>
      </c>
      <c r="C23" s="161"/>
      <c r="D23" s="161"/>
      <c r="E23" s="161"/>
      <c r="F23" s="161"/>
    </row>
    <row r="24" spans="2:6" ht="33" customHeight="1">
      <c r="B24" s="15" t="s">
        <v>70</v>
      </c>
      <c r="C24" s="60" t="s">
        <v>71</v>
      </c>
      <c r="D24" s="60"/>
      <c r="E24" s="22" t="s">
        <v>40</v>
      </c>
      <c r="F24" s="22" t="s">
        <v>43</v>
      </c>
    </row>
    <row r="25" spans="2:6" ht="16.5">
      <c r="B25" s="15" t="s">
        <v>5</v>
      </c>
      <c r="C25" s="120" t="s">
        <v>72</v>
      </c>
      <c r="D25" s="120"/>
      <c r="E25" s="65">
        <f>IF('Planilha Resumo'!F21="NÃO",20,0)</f>
        <v>0</v>
      </c>
      <c r="F25" s="42">
        <f aca="true" t="shared" si="0" ref="F25:F32">ROUND((E25%*($F$83+$F$22)),2)</f>
        <v>0</v>
      </c>
    </row>
    <row r="26" spans="2:6" ht="16.5">
      <c r="B26" s="19" t="s">
        <v>6</v>
      </c>
      <c r="C26" s="144" t="s">
        <v>73</v>
      </c>
      <c r="D26" s="144"/>
      <c r="E26" s="63">
        <v>2.5</v>
      </c>
      <c r="F26" s="42">
        <f t="shared" si="0"/>
        <v>49.44</v>
      </c>
    </row>
    <row r="27" spans="2:6" ht="16.5">
      <c r="B27" s="19" t="s">
        <v>7</v>
      </c>
      <c r="C27" s="120" t="s">
        <v>74</v>
      </c>
      <c r="D27" s="120"/>
      <c r="E27" s="65">
        <v>3</v>
      </c>
      <c r="F27" s="42">
        <f t="shared" si="0"/>
        <v>59.33</v>
      </c>
    </row>
    <row r="28" spans="2:6" ht="16.5">
      <c r="B28" s="19" t="s">
        <v>9</v>
      </c>
      <c r="C28" s="144" t="s">
        <v>75</v>
      </c>
      <c r="D28" s="144"/>
      <c r="E28" s="63">
        <v>1.5</v>
      </c>
      <c r="F28" s="42">
        <f t="shared" si="0"/>
        <v>29.67</v>
      </c>
    </row>
    <row r="29" spans="2:6" ht="16.5">
      <c r="B29" s="19" t="s">
        <v>10</v>
      </c>
      <c r="C29" s="120" t="s">
        <v>76</v>
      </c>
      <c r="D29" s="120"/>
      <c r="E29" s="65">
        <v>1</v>
      </c>
      <c r="F29" s="42">
        <f t="shared" si="0"/>
        <v>19.78</v>
      </c>
    </row>
    <row r="30" spans="2:6" ht="16.5">
      <c r="B30" s="19" t="s">
        <v>29</v>
      </c>
      <c r="C30" s="144" t="s">
        <v>77</v>
      </c>
      <c r="D30" s="144"/>
      <c r="E30" s="63">
        <v>0.6</v>
      </c>
      <c r="F30" s="42">
        <f t="shared" si="0"/>
        <v>11.87</v>
      </c>
    </row>
    <row r="31" spans="2:6" ht="16.5">
      <c r="B31" s="19" t="s">
        <v>30</v>
      </c>
      <c r="C31" s="120" t="s">
        <v>78</v>
      </c>
      <c r="D31" s="120"/>
      <c r="E31" s="65">
        <v>0.2</v>
      </c>
      <c r="F31" s="42">
        <f t="shared" si="0"/>
        <v>3.96</v>
      </c>
    </row>
    <row r="32" spans="2:6" ht="16.5">
      <c r="B32" s="19" t="s">
        <v>62</v>
      </c>
      <c r="C32" s="144" t="s">
        <v>79</v>
      </c>
      <c r="D32" s="144"/>
      <c r="E32" s="63">
        <v>8</v>
      </c>
      <c r="F32" s="42">
        <f t="shared" si="0"/>
        <v>158.22</v>
      </c>
    </row>
    <row r="33" spans="2:6" ht="16.5">
      <c r="B33" s="61" t="s">
        <v>63</v>
      </c>
      <c r="C33" s="61"/>
      <c r="D33" s="61"/>
      <c r="E33" s="66">
        <f>SUM(E25:E32)</f>
        <v>16.799999999999997</v>
      </c>
      <c r="F33" s="67">
        <f>SUM(F25:F32)</f>
        <v>332.27</v>
      </c>
    </row>
    <row r="34" spans="2:6" ht="16.5">
      <c r="B34" s="49" t="s">
        <v>32</v>
      </c>
      <c r="C34" s="10"/>
      <c r="D34" s="10"/>
      <c r="E34" s="10"/>
      <c r="F34" s="10"/>
    </row>
    <row r="35" spans="2:6" ht="16.5">
      <c r="B35" s="15" t="s">
        <v>33</v>
      </c>
      <c r="C35" s="91" t="s">
        <v>34</v>
      </c>
      <c r="D35" s="92"/>
      <c r="E35" s="22" t="s">
        <v>108</v>
      </c>
      <c r="F35" s="22" t="s">
        <v>35</v>
      </c>
    </row>
    <row r="36" spans="2:6" ht="16.5">
      <c r="B36" s="15" t="s">
        <v>5</v>
      </c>
      <c r="C36" s="124" t="s">
        <v>100</v>
      </c>
      <c r="D36" s="125"/>
      <c r="E36" s="38">
        <v>11</v>
      </c>
      <c r="F36" s="42">
        <f>ROUND(E36*$F$40,2)</f>
        <v>242</v>
      </c>
    </row>
    <row r="37" spans="2:6" ht="16.5">
      <c r="B37" s="68" t="s">
        <v>104</v>
      </c>
      <c r="C37" s="122" t="s">
        <v>106</v>
      </c>
      <c r="D37" s="123"/>
      <c r="E37" s="39">
        <v>0</v>
      </c>
      <c r="F37" s="69">
        <f>IF((E37*F11)&gt;=F36,-F36,ROUND(-(E37*F11),2))</f>
        <v>0</v>
      </c>
    </row>
    <row r="38" spans="2:6" ht="16.5">
      <c r="B38" s="15" t="s">
        <v>6</v>
      </c>
      <c r="C38" s="124" t="s">
        <v>101</v>
      </c>
      <c r="D38" s="125"/>
      <c r="E38" s="38">
        <v>21</v>
      </c>
      <c r="F38" s="42">
        <f>ROUND(E38*$F$40,2)</f>
        <v>462</v>
      </c>
    </row>
    <row r="39" spans="2:6" ht="16.5">
      <c r="B39" s="68" t="s">
        <v>105</v>
      </c>
      <c r="C39" s="122" t="s">
        <v>107</v>
      </c>
      <c r="D39" s="123"/>
      <c r="E39" s="39">
        <v>0.09</v>
      </c>
      <c r="F39" s="69">
        <f>-ROUND((E39*F38),2)</f>
        <v>-41.58</v>
      </c>
    </row>
    <row r="40" spans="2:6" ht="16.5">
      <c r="B40" s="15" t="s">
        <v>7</v>
      </c>
      <c r="C40" s="90" t="s">
        <v>61</v>
      </c>
      <c r="D40" s="90"/>
      <c r="E40" s="90"/>
      <c r="F40" s="70">
        <f>'Planilha Resumo'!F11</f>
        <v>22</v>
      </c>
    </row>
    <row r="41" spans="2:6" ht="16.5">
      <c r="B41" s="15" t="s">
        <v>9</v>
      </c>
      <c r="C41" s="124" t="s">
        <v>109</v>
      </c>
      <c r="D41" s="125"/>
      <c r="E41" s="40">
        <v>5</v>
      </c>
      <c r="F41" s="71">
        <f>ROUND((E41*$F$40),2)</f>
        <v>110</v>
      </c>
    </row>
    <row r="42" spans="2:6" ht="16.5">
      <c r="B42" s="15" t="s">
        <v>10</v>
      </c>
      <c r="C42" s="90" t="s">
        <v>103</v>
      </c>
      <c r="D42" s="90"/>
      <c r="E42" s="90"/>
      <c r="F42" s="1">
        <v>152.35</v>
      </c>
    </row>
    <row r="43" spans="2:6" ht="16.5">
      <c r="B43" s="139" t="s">
        <v>63</v>
      </c>
      <c r="C43" s="139"/>
      <c r="D43" s="139"/>
      <c r="E43" s="139"/>
      <c r="F43" s="53">
        <f>SUM(F36:F39)+SUM(F41:F42)</f>
        <v>924.77</v>
      </c>
    </row>
    <row r="44" spans="2:6" s="46" customFormat="1" ht="9">
      <c r="B44" s="43"/>
      <c r="C44" s="44"/>
      <c r="D44" s="44"/>
      <c r="E44" s="44"/>
      <c r="F44" s="45"/>
    </row>
    <row r="45" spans="2:6" ht="16.5">
      <c r="B45" s="49" t="s">
        <v>80</v>
      </c>
      <c r="C45" s="55"/>
      <c r="D45" s="56"/>
      <c r="E45" s="62"/>
      <c r="F45" s="72"/>
    </row>
    <row r="46" spans="2:6" ht="16.5">
      <c r="B46" s="15">
        <v>3</v>
      </c>
      <c r="C46" s="141" t="s">
        <v>81</v>
      </c>
      <c r="D46" s="141"/>
      <c r="E46" s="22" t="s">
        <v>40</v>
      </c>
      <c r="F46" s="22" t="s">
        <v>43</v>
      </c>
    </row>
    <row r="47" spans="2:6" ht="16.5">
      <c r="B47" s="15" t="s">
        <v>5</v>
      </c>
      <c r="C47" s="120" t="s">
        <v>82</v>
      </c>
      <c r="D47" s="120"/>
      <c r="E47" s="65">
        <f>ROUND((62.93%*5.55%*(1/12))*100,2)</f>
        <v>0.29</v>
      </c>
      <c r="F47" s="42">
        <f>ROUND((E47%*($F$83+$F$22+$F$32+F43)),2)</f>
        <v>8.88</v>
      </c>
    </row>
    <row r="48" spans="2:6" ht="16.5">
      <c r="B48" s="19" t="s">
        <v>6</v>
      </c>
      <c r="C48" s="144" t="s">
        <v>83</v>
      </c>
      <c r="D48" s="144"/>
      <c r="E48" s="63">
        <f>ROUND((62.93%*94.45%*(7/30)/12)*100,2)</f>
        <v>1.16</v>
      </c>
      <c r="F48" s="42">
        <f>ROUND((E48%*($F$83+$F$84)),2)</f>
        <v>37.52</v>
      </c>
    </row>
    <row r="49" spans="2:6" ht="16.5">
      <c r="B49" s="19" t="s">
        <v>7</v>
      </c>
      <c r="C49" s="120" t="s">
        <v>84</v>
      </c>
      <c r="D49" s="120"/>
      <c r="E49" s="65">
        <f>ROUND((E48%*40%*E32%)*100,2)</f>
        <v>0.04</v>
      </c>
      <c r="F49" s="42">
        <f>ROUND((E49%*($F$83+$F$22)),2)</f>
        <v>0.79</v>
      </c>
    </row>
    <row r="50" spans="2:6" ht="16.5">
      <c r="B50" s="141" t="s">
        <v>63</v>
      </c>
      <c r="C50" s="141"/>
      <c r="D50" s="141"/>
      <c r="E50" s="141"/>
      <c r="F50" s="64">
        <f>SUM(F47:F49)</f>
        <v>47.190000000000005</v>
      </c>
    </row>
    <row r="51" spans="2:6" s="46" customFormat="1" ht="9">
      <c r="B51" s="43"/>
      <c r="C51" s="44"/>
      <c r="D51" s="44"/>
      <c r="E51" s="44"/>
      <c r="F51" s="45"/>
    </row>
    <row r="52" spans="2:6" ht="16.5">
      <c r="B52" s="49" t="s">
        <v>36</v>
      </c>
      <c r="C52" s="55"/>
      <c r="D52" s="56"/>
      <c r="E52" s="48"/>
      <c r="F52" s="48"/>
    </row>
    <row r="53" spans="2:6" ht="16.5">
      <c r="B53" s="49" t="s">
        <v>37</v>
      </c>
      <c r="C53" s="55"/>
      <c r="D53" s="56"/>
      <c r="E53" s="62"/>
      <c r="F53" s="62"/>
    </row>
    <row r="54" spans="2:6" ht="16.5">
      <c r="B54" s="15" t="s">
        <v>38</v>
      </c>
      <c r="C54" s="138" t="s">
        <v>39</v>
      </c>
      <c r="D54" s="138"/>
      <c r="E54" s="22" t="s">
        <v>40</v>
      </c>
      <c r="F54" s="22" t="s">
        <v>43</v>
      </c>
    </row>
    <row r="55" spans="2:6" ht="16.5">
      <c r="B55" s="19" t="s">
        <v>5</v>
      </c>
      <c r="C55" s="120" t="s">
        <v>85</v>
      </c>
      <c r="D55" s="120"/>
      <c r="E55" s="73">
        <f>ROUND((1/12)*100,2)</f>
        <v>8.33</v>
      </c>
      <c r="F55" s="42">
        <f>ROUND((E55%*($F$83+$F$84+$F$85)),2)</f>
        <v>273.39</v>
      </c>
    </row>
    <row r="56" spans="2:6" ht="16.5">
      <c r="B56" s="19" t="s">
        <v>6</v>
      </c>
      <c r="C56" s="144" t="s">
        <v>86</v>
      </c>
      <c r="D56" s="144"/>
      <c r="E56" s="73">
        <f>ROUND((8/30/12)*100,2)</f>
        <v>2.22</v>
      </c>
      <c r="F56" s="42">
        <f>ROUND((E56%*($F$83+$F$84+$F$85)),2)</f>
        <v>72.86</v>
      </c>
    </row>
    <row r="57" spans="2:6" ht="16.5">
      <c r="B57" s="19" t="s">
        <v>7</v>
      </c>
      <c r="C57" s="120" t="s">
        <v>87</v>
      </c>
      <c r="D57" s="120"/>
      <c r="E57" s="73">
        <f>ROUND(((20/30/12)*1.416%*45.22%)*100,2)</f>
        <v>0.04</v>
      </c>
      <c r="F57" s="42">
        <f>ROUND((E57%*($F$83+$F$84+$F$85)),2)</f>
        <v>1.31</v>
      </c>
    </row>
    <row r="58" spans="2:6" ht="16.5" customHeight="1">
      <c r="B58" s="19" t="s">
        <v>9</v>
      </c>
      <c r="C58" s="144" t="s">
        <v>88</v>
      </c>
      <c r="D58" s="144"/>
      <c r="E58" s="73">
        <f>ROUND(((15/30/12)*0.44%)*100,2)</f>
        <v>0.02</v>
      </c>
      <c r="F58" s="42">
        <f>ROUND((E58%*($F$83+$F$84+$F$85)),2)</f>
        <v>0.66</v>
      </c>
    </row>
    <row r="59" spans="2:6" ht="16.5">
      <c r="B59" s="19" t="s">
        <v>10</v>
      </c>
      <c r="C59" s="120" t="s">
        <v>89</v>
      </c>
      <c r="D59" s="120"/>
      <c r="E59" s="73">
        <f>ROUND(((180/30/12)*1.416%*54.78%*36.8%)*100,2)</f>
        <v>0.14</v>
      </c>
      <c r="F59" s="42">
        <f>ROUND((E59%*($F$83+$F$84+$F$85)),2)</f>
        <v>4.59</v>
      </c>
    </row>
    <row r="60" spans="2:6" ht="16.5">
      <c r="B60" s="141" t="s">
        <v>63</v>
      </c>
      <c r="C60" s="141"/>
      <c r="D60" s="141"/>
      <c r="E60" s="141"/>
      <c r="F60" s="53">
        <f>SUM(F55:F59)</f>
        <v>352.81</v>
      </c>
    </row>
    <row r="61" spans="2:6" s="46" customFormat="1" ht="9">
      <c r="B61" s="43"/>
      <c r="C61" s="44"/>
      <c r="D61" s="44"/>
      <c r="E61" s="44"/>
      <c r="F61" s="45"/>
    </row>
    <row r="62" spans="2:6" ht="16.5">
      <c r="B62" s="49" t="s">
        <v>41</v>
      </c>
      <c r="C62" s="55"/>
      <c r="D62" s="55"/>
      <c r="E62" s="62"/>
      <c r="F62" s="62"/>
    </row>
    <row r="63" spans="2:6" ht="16.5">
      <c r="B63" s="15">
        <v>5</v>
      </c>
      <c r="C63" s="91" t="s">
        <v>42</v>
      </c>
      <c r="D63" s="162"/>
      <c r="E63" s="92"/>
      <c r="F63" s="22" t="s">
        <v>43</v>
      </c>
    </row>
    <row r="64" spans="2:6" ht="16.5">
      <c r="B64" s="14" t="s">
        <v>5</v>
      </c>
      <c r="C64" s="90" t="s">
        <v>44</v>
      </c>
      <c r="D64" s="90"/>
      <c r="E64" s="90"/>
      <c r="F64" s="1">
        <f>'Planilha Resumo'!F31</f>
        <v>40.65</v>
      </c>
    </row>
    <row r="65" spans="2:6" ht="16.5">
      <c r="B65" s="14" t="s">
        <v>6</v>
      </c>
      <c r="C65" s="124" t="s">
        <v>116</v>
      </c>
      <c r="D65" s="160"/>
      <c r="E65" s="125"/>
      <c r="F65" s="42">
        <f>'Planilha Resumo'!F32</f>
        <v>275.94</v>
      </c>
    </row>
    <row r="66" spans="2:6" ht="16.5">
      <c r="B66" s="14" t="s">
        <v>7</v>
      </c>
      <c r="C66" s="90" t="s">
        <v>117</v>
      </c>
      <c r="D66" s="90"/>
      <c r="E66" s="90"/>
      <c r="F66" s="1">
        <v>0.01</v>
      </c>
    </row>
    <row r="67" spans="2:6" ht="16.5">
      <c r="B67" s="14" t="s">
        <v>9</v>
      </c>
      <c r="C67" s="124" t="s">
        <v>118</v>
      </c>
      <c r="D67" s="160"/>
      <c r="E67" s="125"/>
      <c r="F67" s="1">
        <f>143.59-F64</f>
        <v>102.94</v>
      </c>
    </row>
    <row r="68" spans="2:6" ht="16.5">
      <c r="B68" s="14" t="s">
        <v>10</v>
      </c>
      <c r="C68" s="90" t="s">
        <v>153</v>
      </c>
      <c r="D68" s="90"/>
      <c r="E68" s="90"/>
      <c r="F68" s="1">
        <v>12.63</v>
      </c>
    </row>
    <row r="69" spans="2:6" ht="16.5">
      <c r="B69" s="139" t="s">
        <v>63</v>
      </c>
      <c r="C69" s="139"/>
      <c r="D69" s="139"/>
      <c r="E69" s="139"/>
      <c r="F69" s="53">
        <f>SUM(F64:F68)</f>
        <v>432.16999999999996</v>
      </c>
    </row>
    <row r="70" spans="2:6" s="46" customFormat="1" ht="9">
      <c r="B70" s="43"/>
      <c r="C70" s="44"/>
      <c r="D70" s="44"/>
      <c r="E70" s="44"/>
      <c r="F70" s="45"/>
    </row>
    <row r="71" spans="2:6" ht="16.5" customHeight="1">
      <c r="B71" s="140" t="s">
        <v>45</v>
      </c>
      <c r="C71" s="140"/>
      <c r="D71" s="140"/>
      <c r="E71" s="140"/>
      <c r="F71" s="140"/>
    </row>
    <row r="72" spans="2:6" ht="16.5">
      <c r="B72" s="15">
        <v>6</v>
      </c>
      <c r="C72" s="141" t="s">
        <v>46</v>
      </c>
      <c r="D72" s="141"/>
      <c r="E72" s="22" t="s">
        <v>40</v>
      </c>
      <c r="F72" s="22" t="s">
        <v>43</v>
      </c>
    </row>
    <row r="73" spans="2:6" ht="16.5">
      <c r="B73" s="15" t="s">
        <v>5</v>
      </c>
      <c r="C73" s="120" t="str">
        <f>'Planilha Resumo'!$C$34</f>
        <v>Custos Indiretos</v>
      </c>
      <c r="D73" s="120"/>
      <c r="E73" s="73">
        <f>'Planilha Resumo'!$F$34</f>
        <v>4.73</v>
      </c>
      <c r="F73" s="42">
        <f>ROUND((E73%*($F$83+$F$84+$F$85+$F$86+$F$87)),2)</f>
        <v>192.37</v>
      </c>
    </row>
    <row r="74" spans="2:6" ht="16.5">
      <c r="B74" s="19" t="s">
        <v>6</v>
      </c>
      <c r="C74" s="144" t="str">
        <f>'Planilha Resumo'!$C$35</f>
        <v>Lucro</v>
      </c>
      <c r="D74" s="144"/>
      <c r="E74" s="73">
        <f>'Planilha Resumo'!$F$35</f>
        <v>5.57</v>
      </c>
      <c r="F74" s="42">
        <f>ROUND((E74%*($F$83+$F$84+$F$85+$F$86+$F$87+$F$73)),2)</f>
        <v>237.25</v>
      </c>
    </row>
    <row r="75" spans="2:6" ht="16.5">
      <c r="B75" s="19" t="s">
        <v>7</v>
      </c>
      <c r="C75" s="144" t="str">
        <f>'Planilha Resumo'!$C$36</f>
        <v>Tributos</v>
      </c>
      <c r="D75" s="144"/>
      <c r="E75" s="74">
        <f>SUM(E76:E79)</f>
        <v>10.15</v>
      </c>
      <c r="F75" s="42">
        <f>SUM(F76:F79)</f>
        <v>507.97</v>
      </c>
    </row>
    <row r="76" spans="2:6" ht="15">
      <c r="B76" s="26" t="s">
        <v>49</v>
      </c>
      <c r="C76" s="121" t="str">
        <f>'Planilha Resumo'!$C$37</f>
        <v>PIS</v>
      </c>
      <c r="D76" s="121"/>
      <c r="E76" s="75">
        <f>'Planilha Resumo'!$F$37</f>
        <v>0.65</v>
      </c>
      <c r="F76" s="76">
        <f>ROUND((($F$83+$F$84+$F$85+$F$86+$F$87+$F$73+$F$74)*E76%)/(1-$E$75%),2)</f>
        <v>32.53</v>
      </c>
    </row>
    <row r="77" spans="2:6" ht="15">
      <c r="B77" s="26" t="s">
        <v>51</v>
      </c>
      <c r="C77" s="121" t="str">
        <f>'Planilha Resumo'!$C$38</f>
        <v>Cofins</v>
      </c>
      <c r="D77" s="121"/>
      <c r="E77" s="75">
        <f>'Planilha Resumo'!$F$38</f>
        <v>3</v>
      </c>
      <c r="F77" s="76">
        <f>ROUND((($F$83+$F$84+$F$85+$F$86+$F$87+$F$73+$F$74)*E77%)/(1-$E$75%),2)</f>
        <v>150.14</v>
      </c>
    </row>
    <row r="78" spans="2:6" ht="15">
      <c r="B78" s="26" t="s">
        <v>53</v>
      </c>
      <c r="C78" s="121" t="str">
        <f>'Planilha Resumo'!$C$39</f>
        <v>ISS</v>
      </c>
      <c r="D78" s="121"/>
      <c r="E78" s="75">
        <f>'Planilha Resumo'!$F$39</f>
        <v>2</v>
      </c>
      <c r="F78" s="76">
        <f>ROUND((($F$83+$F$84+$F$85+$F$86+$F$87+$F$73+$F$74)*E78%)/(1-$E$75%),2)</f>
        <v>100.09</v>
      </c>
    </row>
    <row r="79" spans="2:6" ht="16.5" customHeight="1">
      <c r="B79" s="26" t="s">
        <v>194</v>
      </c>
      <c r="C79" s="121" t="str">
        <f>'Planilha Resumo'!$C$40</f>
        <v>CPRB (Somente se empresa optante pela desoneração fiscal)</v>
      </c>
      <c r="D79" s="121"/>
      <c r="E79" s="75">
        <f>'Planilha Resumo'!$F$40</f>
        <v>4.5</v>
      </c>
      <c r="F79" s="76">
        <f>ROUND((($F$83+$F$84+$F$85+$F$86+$F$87+$F$73+$F$74)*E79%)/(1-$E$75%),2)</f>
        <v>225.21</v>
      </c>
    </row>
    <row r="80" spans="2:6" ht="16.5">
      <c r="B80" s="141" t="s">
        <v>63</v>
      </c>
      <c r="C80" s="141"/>
      <c r="D80" s="141"/>
      <c r="E80" s="141"/>
      <c r="F80" s="77">
        <f>SUM(F73:F75)</f>
        <v>937.59</v>
      </c>
    </row>
    <row r="81" spans="2:6" ht="20.25">
      <c r="B81" s="78" t="s">
        <v>91</v>
      </c>
      <c r="C81" s="79"/>
      <c r="D81" s="79"/>
      <c r="E81" s="79"/>
      <c r="F81" s="80"/>
    </row>
    <row r="82" spans="2:6" ht="16.5">
      <c r="B82" s="19" t="s">
        <v>92</v>
      </c>
      <c r="C82" s="138" t="s">
        <v>93</v>
      </c>
      <c r="D82" s="138"/>
      <c r="E82" s="138"/>
      <c r="F82" s="22" t="s">
        <v>94</v>
      </c>
    </row>
    <row r="83" spans="2:6" ht="16.5">
      <c r="B83" s="15">
        <v>1</v>
      </c>
      <c r="C83" s="144" t="s">
        <v>24</v>
      </c>
      <c r="D83" s="144"/>
      <c r="E83" s="144"/>
      <c r="F83" s="42">
        <f>F15</f>
        <v>1780.03</v>
      </c>
    </row>
    <row r="84" spans="2:6" ht="16.5">
      <c r="B84" s="19">
        <v>2</v>
      </c>
      <c r="C84" s="144" t="s">
        <v>95</v>
      </c>
      <c r="D84" s="144"/>
      <c r="E84" s="144"/>
      <c r="F84" s="42">
        <f>F22+F33+F43</f>
        <v>1454.8</v>
      </c>
    </row>
    <row r="85" spans="2:6" ht="16.5">
      <c r="B85" s="19">
        <v>3</v>
      </c>
      <c r="C85" s="144" t="s">
        <v>81</v>
      </c>
      <c r="D85" s="144"/>
      <c r="E85" s="144"/>
      <c r="F85" s="42">
        <f>F50</f>
        <v>47.190000000000005</v>
      </c>
    </row>
    <row r="86" spans="2:6" ht="16.5">
      <c r="B86" s="19">
        <v>4</v>
      </c>
      <c r="C86" s="144" t="s">
        <v>96</v>
      </c>
      <c r="D86" s="144"/>
      <c r="E86" s="144"/>
      <c r="F86" s="42">
        <f>F60</f>
        <v>352.81</v>
      </c>
    </row>
    <row r="87" spans="2:6" ht="16.5">
      <c r="B87" s="19">
        <v>5</v>
      </c>
      <c r="C87" s="144" t="s">
        <v>42</v>
      </c>
      <c r="D87" s="144"/>
      <c r="E87" s="144"/>
      <c r="F87" s="42">
        <f>F69</f>
        <v>432.16999999999996</v>
      </c>
    </row>
    <row r="88" spans="2:6" ht="16.5">
      <c r="B88" s="19">
        <v>6</v>
      </c>
      <c r="C88" s="144" t="s">
        <v>46</v>
      </c>
      <c r="D88" s="144"/>
      <c r="E88" s="144"/>
      <c r="F88" s="42">
        <f>F80</f>
        <v>937.59</v>
      </c>
    </row>
    <row r="89" spans="2:6" ht="16.5">
      <c r="B89" s="138" t="s">
        <v>97</v>
      </c>
      <c r="C89" s="138"/>
      <c r="D89" s="138"/>
      <c r="E89" s="138"/>
      <c r="F89" s="77">
        <f>SUM(F83:F88)</f>
        <v>5004.59</v>
      </c>
    </row>
  </sheetData>
  <sheetProtection sheet="1" objects="1" scenarios="1"/>
  <mergeCells count="73">
    <mergeCell ref="C68:E68"/>
    <mergeCell ref="C63:E63"/>
    <mergeCell ref="C64:E64"/>
    <mergeCell ref="C65:E65"/>
    <mergeCell ref="C66:E66"/>
    <mergeCell ref="C67:E67"/>
    <mergeCell ref="B23:F23"/>
    <mergeCell ref="B15:E15"/>
    <mergeCell ref="C19:D19"/>
    <mergeCell ref="C20:D20"/>
    <mergeCell ref="C21:D21"/>
    <mergeCell ref="B22:E22"/>
    <mergeCell ref="D6:F6"/>
    <mergeCell ref="C5:E5"/>
    <mergeCell ref="C13:D13"/>
    <mergeCell ref="C14:D14"/>
    <mergeCell ref="B1:F1"/>
    <mergeCell ref="D2:F2"/>
    <mergeCell ref="D3:F3"/>
    <mergeCell ref="C4:E4"/>
    <mergeCell ref="C31:D31"/>
    <mergeCell ref="C32:D32"/>
    <mergeCell ref="B33:D33"/>
    <mergeCell ref="C40:E40"/>
    <mergeCell ref="C38:D38"/>
    <mergeCell ref="C35:D35"/>
    <mergeCell ref="C36:D36"/>
    <mergeCell ref="C37:D37"/>
    <mergeCell ref="C27:D27"/>
    <mergeCell ref="C28:D28"/>
    <mergeCell ref="C29:D29"/>
    <mergeCell ref="C30:D30"/>
    <mergeCell ref="C57:D57"/>
    <mergeCell ref="C58:D58"/>
    <mergeCell ref="C59:D59"/>
    <mergeCell ref="C10:D10"/>
    <mergeCell ref="C11:D11"/>
    <mergeCell ref="C12:D12"/>
    <mergeCell ref="B43:E43"/>
    <mergeCell ref="C24:D24"/>
    <mergeCell ref="C25:D25"/>
    <mergeCell ref="C26:D26"/>
    <mergeCell ref="B50:E50"/>
    <mergeCell ref="C54:D54"/>
    <mergeCell ref="C55:D55"/>
    <mergeCell ref="C56:D56"/>
    <mergeCell ref="C79:D79"/>
    <mergeCell ref="B80:E80"/>
    <mergeCell ref="C39:D39"/>
    <mergeCell ref="C41:D41"/>
    <mergeCell ref="C42:E42"/>
    <mergeCell ref="B60:E60"/>
    <mergeCell ref="C46:D46"/>
    <mergeCell ref="C47:D47"/>
    <mergeCell ref="C48:D48"/>
    <mergeCell ref="C49:D49"/>
    <mergeCell ref="C82:E82"/>
    <mergeCell ref="B69:E69"/>
    <mergeCell ref="B71:F71"/>
    <mergeCell ref="C72:D72"/>
    <mergeCell ref="C73:D73"/>
    <mergeCell ref="C74:D74"/>
    <mergeCell ref="C75:D75"/>
    <mergeCell ref="C76:D76"/>
    <mergeCell ref="C77:D77"/>
    <mergeCell ref="C78:D78"/>
    <mergeCell ref="B89:E89"/>
    <mergeCell ref="C83:E83"/>
    <mergeCell ref="C84:E84"/>
    <mergeCell ref="C85:E85"/>
    <mergeCell ref="C86:E86"/>
    <mergeCell ref="C87:E87"/>
    <mergeCell ref="C88:E88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47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48:E49">
      <formula1>0</formula1>
      <formula2>1.94</formula2>
    </dataValidation>
  </dataValidations>
  <printOptions horizontalCentered="1"/>
  <pageMargins left="0.1968503937007874" right="0.1968503937007874" top="0.7874015748031497" bottom="0.7874015748031497" header="0.07874015748031496" footer="0.1968503937007874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8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9" customWidth="1"/>
    <col min="2" max="2" width="9.00390625" style="9" customWidth="1"/>
    <col min="3" max="3" width="51.140625" style="9" bestFit="1" customWidth="1"/>
    <col min="4" max="4" width="14.00390625" style="9" customWidth="1"/>
    <col min="5" max="5" width="8.7109375" style="9" customWidth="1"/>
    <col min="6" max="6" width="15.7109375" style="9" bestFit="1" customWidth="1"/>
    <col min="7" max="16384" width="9.140625" style="9" customWidth="1"/>
  </cols>
  <sheetData>
    <row r="1" spans="2:6" ht="16.5">
      <c r="B1" s="151" t="s">
        <v>18</v>
      </c>
      <c r="C1" s="151"/>
      <c r="D1" s="151"/>
      <c r="E1" s="151"/>
      <c r="F1" s="151"/>
    </row>
    <row r="2" spans="2:6" ht="16.5">
      <c r="B2" s="14">
        <v>1</v>
      </c>
      <c r="C2" s="41" t="s">
        <v>19</v>
      </c>
      <c r="D2" s="29" t="s">
        <v>155</v>
      </c>
      <c r="E2" s="29"/>
      <c r="F2" s="29"/>
    </row>
    <row r="3" spans="2:6" ht="16.5">
      <c r="B3" s="14">
        <v>2</v>
      </c>
      <c r="C3" s="41" t="s">
        <v>20</v>
      </c>
      <c r="D3" s="157" t="s">
        <v>214</v>
      </c>
      <c r="E3" s="157"/>
      <c r="F3" s="157"/>
    </row>
    <row r="4" spans="2:6" ht="16.5">
      <c r="B4" s="14">
        <v>3</v>
      </c>
      <c r="C4" s="158" t="s">
        <v>99</v>
      </c>
      <c r="D4" s="158"/>
      <c r="E4" s="158"/>
      <c r="F4" s="3">
        <v>44317</v>
      </c>
    </row>
    <row r="5" spans="2:6" ht="16.5">
      <c r="B5" s="14">
        <v>4</v>
      </c>
      <c r="C5" s="124" t="s">
        <v>21</v>
      </c>
      <c r="D5" s="160"/>
      <c r="E5" s="125"/>
      <c r="F5" s="42">
        <f>'Planilha Resumo'!F26</f>
        <v>1212</v>
      </c>
    </row>
    <row r="6" spans="2:6" ht="16.5">
      <c r="B6" s="14">
        <v>5</v>
      </c>
      <c r="C6" s="41" t="s">
        <v>156</v>
      </c>
      <c r="D6" s="159" t="s">
        <v>242</v>
      </c>
      <c r="E6" s="159"/>
      <c r="F6" s="159"/>
    </row>
    <row r="7" spans="2:6" s="46" customFormat="1" ht="9">
      <c r="B7" s="43"/>
      <c r="C7" s="44"/>
      <c r="D7" s="44"/>
      <c r="E7" s="44"/>
      <c r="F7" s="45"/>
    </row>
    <row r="8" spans="2:6" ht="25.5">
      <c r="B8" s="47" t="s">
        <v>22</v>
      </c>
      <c r="C8" s="48"/>
      <c r="D8" s="48"/>
      <c r="E8" s="48"/>
      <c r="F8" s="48"/>
    </row>
    <row r="9" spans="2:6" ht="16.5">
      <c r="B9" s="49" t="s">
        <v>23</v>
      </c>
      <c r="C9" s="50"/>
      <c r="D9" s="50"/>
      <c r="E9" s="51"/>
      <c r="F9" s="51"/>
    </row>
    <row r="10" spans="2:6" ht="16.5" customHeight="1">
      <c r="B10" s="15">
        <v>1</v>
      </c>
      <c r="C10" s="91" t="s">
        <v>24</v>
      </c>
      <c r="D10" s="92"/>
      <c r="E10" s="22" t="s">
        <v>40</v>
      </c>
      <c r="F10" s="22" t="s">
        <v>43</v>
      </c>
    </row>
    <row r="11" spans="2:6" ht="16.5">
      <c r="B11" s="15" t="s">
        <v>5</v>
      </c>
      <c r="C11" s="93" t="s">
        <v>25</v>
      </c>
      <c r="D11" s="57"/>
      <c r="E11" s="52"/>
      <c r="F11" s="2">
        <v>3044.44</v>
      </c>
    </row>
    <row r="12" spans="2:6" ht="16.5">
      <c r="B12" s="15" t="s">
        <v>6</v>
      </c>
      <c r="C12" s="58" t="s">
        <v>26</v>
      </c>
      <c r="D12" s="59"/>
      <c r="E12" s="39"/>
      <c r="F12" s="42">
        <f>ROUND((E12*$F$11),2)</f>
        <v>0</v>
      </c>
    </row>
    <row r="13" spans="2:6" ht="16.5">
      <c r="B13" s="15" t="s">
        <v>7</v>
      </c>
      <c r="C13" s="93" t="s">
        <v>27</v>
      </c>
      <c r="D13" s="57"/>
      <c r="E13" s="39"/>
      <c r="F13" s="42">
        <f>ROUND((E13*$F$11),2)</f>
        <v>0</v>
      </c>
    </row>
    <row r="14" spans="2:6" ht="16.5">
      <c r="B14" s="15" t="s">
        <v>9</v>
      </c>
      <c r="C14" s="58" t="s">
        <v>28</v>
      </c>
      <c r="D14" s="59"/>
      <c r="E14" s="39"/>
      <c r="F14" s="42">
        <f>ROUND((E14*$F$5),2)</f>
        <v>0</v>
      </c>
    </row>
    <row r="15" spans="2:6" ht="16.5">
      <c r="B15" s="139" t="s">
        <v>63</v>
      </c>
      <c r="C15" s="139"/>
      <c r="D15" s="139"/>
      <c r="E15" s="139"/>
      <c r="F15" s="53">
        <f>SUM(F11:F14)</f>
        <v>3044.44</v>
      </c>
    </row>
    <row r="16" spans="2:6" s="46" customFormat="1" ht="9">
      <c r="B16" s="43"/>
      <c r="C16" s="44"/>
      <c r="D16" s="44"/>
      <c r="E16" s="44"/>
      <c r="F16" s="45"/>
    </row>
    <row r="17" spans="2:6" ht="16.5">
      <c r="B17" s="49" t="s">
        <v>31</v>
      </c>
      <c r="C17" s="50"/>
      <c r="D17" s="50"/>
      <c r="E17" s="54"/>
      <c r="F17" s="54"/>
    </row>
    <row r="18" spans="2:6" ht="16.5">
      <c r="B18" s="49" t="s">
        <v>64</v>
      </c>
      <c r="C18" s="55"/>
      <c r="D18" s="56"/>
      <c r="E18" s="62"/>
      <c r="F18" s="62"/>
    </row>
    <row r="19" spans="2:6" ht="16.5">
      <c r="B19" s="15" t="s">
        <v>65</v>
      </c>
      <c r="C19" s="60" t="s">
        <v>66</v>
      </c>
      <c r="D19" s="60"/>
      <c r="E19" s="22" t="s">
        <v>40</v>
      </c>
      <c r="F19" s="22" t="s">
        <v>43</v>
      </c>
    </row>
    <row r="20" spans="2:6" ht="16.5">
      <c r="B20" s="15" t="s">
        <v>5</v>
      </c>
      <c r="C20" s="120" t="s">
        <v>67</v>
      </c>
      <c r="D20" s="120"/>
      <c r="E20" s="52">
        <f>ROUND((1/12)*100,2)</f>
        <v>8.33</v>
      </c>
      <c r="F20" s="42">
        <f>ROUND((E20%*$F$83),2)</f>
        <v>253.6</v>
      </c>
    </row>
    <row r="21" spans="2:6" ht="16.5">
      <c r="B21" s="19" t="s">
        <v>6</v>
      </c>
      <c r="C21" s="90" t="s">
        <v>68</v>
      </c>
      <c r="D21" s="90"/>
      <c r="E21" s="63">
        <f>ROUND((1/3*1/12)*100,2)</f>
        <v>2.78</v>
      </c>
      <c r="F21" s="42">
        <f>ROUND((E21%*$F$83),2)</f>
        <v>84.64</v>
      </c>
    </row>
    <row r="22" spans="2:6" ht="16.5">
      <c r="B22" s="141" t="s">
        <v>63</v>
      </c>
      <c r="C22" s="141"/>
      <c r="D22" s="141"/>
      <c r="E22" s="141"/>
      <c r="F22" s="64">
        <f>SUM(F20:F21)</f>
        <v>338.24</v>
      </c>
    </row>
    <row r="23" spans="2:6" ht="16.5" customHeight="1">
      <c r="B23" s="161" t="s">
        <v>69</v>
      </c>
      <c r="C23" s="161"/>
      <c r="D23" s="161"/>
      <c r="E23" s="161"/>
      <c r="F23" s="161"/>
    </row>
    <row r="24" spans="2:6" ht="33" customHeight="1">
      <c r="B24" s="15" t="s">
        <v>70</v>
      </c>
      <c r="C24" s="60" t="s">
        <v>71</v>
      </c>
      <c r="D24" s="60"/>
      <c r="E24" s="22" t="s">
        <v>40</v>
      </c>
      <c r="F24" s="22" t="s">
        <v>43</v>
      </c>
    </row>
    <row r="25" spans="2:6" ht="16.5">
      <c r="B25" s="15" t="s">
        <v>5</v>
      </c>
      <c r="C25" s="120" t="s">
        <v>72</v>
      </c>
      <c r="D25" s="120"/>
      <c r="E25" s="65">
        <f>IF('Planilha Resumo'!F21="NÃO",20,0)</f>
        <v>0</v>
      </c>
      <c r="F25" s="42">
        <f aca="true" t="shared" si="0" ref="F25:F32">ROUND((E25%*($F$83+$F$22)),2)</f>
        <v>0</v>
      </c>
    </row>
    <row r="26" spans="2:6" ht="16.5">
      <c r="B26" s="19" t="s">
        <v>6</v>
      </c>
      <c r="C26" s="144" t="s">
        <v>73</v>
      </c>
      <c r="D26" s="144"/>
      <c r="E26" s="63">
        <v>2.5</v>
      </c>
      <c r="F26" s="42">
        <f t="shared" si="0"/>
        <v>84.57</v>
      </c>
    </row>
    <row r="27" spans="2:6" ht="16.5">
      <c r="B27" s="19" t="s">
        <v>7</v>
      </c>
      <c r="C27" s="120" t="s">
        <v>74</v>
      </c>
      <c r="D27" s="120"/>
      <c r="E27" s="65">
        <v>3</v>
      </c>
      <c r="F27" s="42">
        <f t="shared" si="0"/>
        <v>101.48</v>
      </c>
    </row>
    <row r="28" spans="2:6" ht="16.5">
      <c r="B28" s="19" t="s">
        <v>9</v>
      </c>
      <c r="C28" s="144" t="s">
        <v>75</v>
      </c>
      <c r="D28" s="144"/>
      <c r="E28" s="63">
        <v>1.5</v>
      </c>
      <c r="F28" s="42">
        <f t="shared" si="0"/>
        <v>50.74</v>
      </c>
    </row>
    <row r="29" spans="2:6" ht="16.5">
      <c r="B29" s="19" t="s">
        <v>10</v>
      </c>
      <c r="C29" s="120" t="s">
        <v>76</v>
      </c>
      <c r="D29" s="120"/>
      <c r="E29" s="65">
        <v>1</v>
      </c>
      <c r="F29" s="42">
        <f t="shared" si="0"/>
        <v>33.83</v>
      </c>
    </row>
    <row r="30" spans="2:6" ht="16.5">
      <c r="B30" s="19" t="s">
        <v>29</v>
      </c>
      <c r="C30" s="144" t="s">
        <v>77</v>
      </c>
      <c r="D30" s="144"/>
      <c r="E30" s="63">
        <v>0.6</v>
      </c>
      <c r="F30" s="42">
        <f t="shared" si="0"/>
        <v>20.3</v>
      </c>
    </row>
    <row r="31" spans="2:6" ht="16.5">
      <c r="B31" s="19" t="s">
        <v>30</v>
      </c>
      <c r="C31" s="120" t="s">
        <v>78</v>
      </c>
      <c r="D31" s="120"/>
      <c r="E31" s="65">
        <v>0.2</v>
      </c>
      <c r="F31" s="42">
        <f t="shared" si="0"/>
        <v>6.77</v>
      </c>
    </row>
    <row r="32" spans="2:6" ht="16.5">
      <c r="B32" s="19" t="s">
        <v>62</v>
      </c>
      <c r="C32" s="144" t="s">
        <v>79</v>
      </c>
      <c r="D32" s="144"/>
      <c r="E32" s="63">
        <v>8</v>
      </c>
      <c r="F32" s="42">
        <f t="shared" si="0"/>
        <v>270.61</v>
      </c>
    </row>
    <row r="33" spans="2:6" ht="16.5">
      <c r="B33" s="61" t="s">
        <v>63</v>
      </c>
      <c r="C33" s="61"/>
      <c r="D33" s="61"/>
      <c r="E33" s="66">
        <f>SUM(E25:E32)</f>
        <v>16.799999999999997</v>
      </c>
      <c r="F33" s="67">
        <f>SUM(F25:F32)</f>
        <v>568.3</v>
      </c>
    </row>
    <row r="34" spans="2:6" ht="16.5">
      <c r="B34" s="49" t="s">
        <v>32</v>
      </c>
      <c r="C34" s="10"/>
      <c r="D34" s="10"/>
      <c r="E34" s="10"/>
      <c r="F34" s="10"/>
    </row>
    <row r="35" spans="2:6" ht="16.5">
      <c r="B35" s="15" t="s">
        <v>33</v>
      </c>
      <c r="C35" s="91" t="s">
        <v>34</v>
      </c>
      <c r="D35" s="92"/>
      <c r="E35" s="22" t="s">
        <v>108</v>
      </c>
      <c r="F35" s="22" t="s">
        <v>35</v>
      </c>
    </row>
    <row r="36" spans="2:6" ht="16.5">
      <c r="B36" s="15" t="s">
        <v>5</v>
      </c>
      <c r="C36" s="124" t="s">
        <v>100</v>
      </c>
      <c r="D36" s="125"/>
      <c r="E36" s="38">
        <v>11</v>
      </c>
      <c r="F36" s="42">
        <f>ROUND(E36*$F$40,2)</f>
        <v>242</v>
      </c>
    </row>
    <row r="37" spans="2:6" ht="16.5">
      <c r="B37" s="68" t="s">
        <v>104</v>
      </c>
      <c r="C37" s="122" t="s">
        <v>106</v>
      </c>
      <c r="D37" s="123"/>
      <c r="E37" s="39">
        <v>0</v>
      </c>
      <c r="F37" s="69">
        <f>IF((E37*F11)&gt;=F36,-F36,ROUND(-(E37*F11),2))</f>
        <v>0</v>
      </c>
    </row>
    <row r="38" spans="2:6" ht="16.5">
      <c r="B38" s="15" t="s">
        <v>6</v>
      </c>
      <c r="C38" s="124" t="s">
        <v>101</v>
      </c>
      <c r="D38" s="125"/>
      <c r="E38" s="38">
        <v>21</v>
      </c>
      <c r="F38" s="42">
        <f>ROUND(E38*$F$40,2)</f>
        <v>462</v>
      </c>
    </row>
    <row r="39" spans="2:6" ht="16.5">
      <c r="B39" s="68" t="s">
        <v>105</v>
      </c>
      <c r="C39" s="122" t="s">
        <v>107</v>
      </c>
      <c r="D39" s="123"/>
      <c r="E39" s="39">
        <v>0.09</v>
      </c>
      <c r="F39" s="69">
        <f>-ROUND((E39*F38),2)</f>
        <v>-41.58</v>
      </c>
    </row>
    <row r="40" spans="2:6" ht="16.5">
      <c r="B40" s="15" t="s">
        <v>7</v>
      </c>
      <c r="C40" s="90" t="s">
        <v>61</v>
      </c>
      <c r="D40" s="90"/>
      <c r="E40" s="90"/>
      <c r="F40" s="70">
        <f>'Planilha Resumo'!F11</f>
        <v>22</v>
      </c>
    </row>
    <row r="41" spans="2:6" ht="16.5">
      <c r="B41" s="15" t="s">
        <v>9</v>
      </c>
      <c r="C41" s="124" t="s">
        <v>109</v>
      </c>
      <c r="D41" s="125"/>
      <c r="E41" s="40">
        <v>5</v>
      </c>
      <c r="F41" s="71">
        <f>ROUND((E41*$F$40),2)</f>
        <v>110</v>
      </c>
    </row>
    <row r="42" spans="2:6" ht="16.5">
      <c r="B42" s="15" t="s">
        <v>10</v>
      </c>
      <c r="C42" s="90" t="s">
        <v>103</v>
      </c>
      <c r="D42" s="90"/>
      <c r="E42" s="90"/>
      <c r="F42" s="1">
        <v>152.35</v>
      </c>
    </row>
    <row r="43" spans="2:6" ht="16.5">
      <c r="B43" s="139" t="s">
        <v>63</v>
      </c>
      <c r="C43" s="139"/>
      <c r="D43" s="139"/>
      <c r="E43" s="139"/>
      <c r="F43" s="53">
        <f>SUM(F36:F39)+SUM(F41:F42)</f>
        <v>924.77</v>
      </c>
    </row>
    <row r="44" spans="2:6" s="46" customFormat="1" ht="9">
      <c r="B44" s="43"/>
      <c r="C44" s="44"/>
      <c r="D44" s="44"/>
      <c r="E44" s="44"/>
      <c r="F44" s="45"/>
    </row>
    <row r="45" spans="2:6" ht="16.5">
      <c r="B45" s="49" t="s">
        <v>80</v>
      </c>
      <c r="C45" s="55"/>
      <c r="D45" s="56"/>
      <c r="E45" s="62"/>
      <c r="F45" s="72"/>
    </row>
    <row r="46" spans="2:6" ht="16.5">
      <c r="B46" s="15">
        <v>3</v>
      </c>
      <c r="C46" s="141" t="s">
        <v>81</v>
      </c>
      <c r="D46" s="141"/>
      <c r="E46" s="22" t="s">
        <v>40</v>
      </c>
      <c r="F46" s="22" t="s">
        <v>43</v>
      </c>
    </row>
    <row r="47" spans="2:6" ht="16.5">
      <c r="B47" s="15" t="s">
        <v>5</v>
      </c>
      <c r="C47" s="120" t="s">
        <v>82</v>
      </c>
      <c r="D47" s="120"/>
      <c r="E47" s="65">
        <f>ROUND((62.93%*5.55%*(1/12))*100,2)</f>
        <v>0.29</v>
      </c>
      <c r="F47" s="42">
        <f>ROUND((E47%*($F$83+$F$22+$F$32+F43)),2)</f>
        <v>13.28</v>
      </c>
    </row>
    <row r="48" spans="2:6" ht="16.5">
      <c r="B48" s="19" t="s">
        <v>6</v>
      </c>
      <c r="C48" s="144" t="s">
        <v>83</v>
      </c>
      <c r="D48" s="144"/>
      <c r="E48" s="63">
        <f>ROUND((62.93%*94.45%*(7/30)/12)*100,2)</f>
        <v>1.16</v>
      </c>
      <c r="F48" s="42">
        <f>ROUND((E48%*($F$83+$F$84)),2)</f>
        <v>56.56</v>
      </c>
    </row>
    <row r="49" spans="2:6" ht="16.5">
      <c r="B49" s="19" t="s">
        <v>7</v>
      </c>
      <c r="C49" s="120" t="s">
        <v>84</v>
      </c>
      <c r="D49" s="120"/>
      <c r="E49" s="65">
        <f>ROUND((E48%*40%*E32%)*100,2)</f>
        <v>0.04</v>
      </c>
      <c r="F49" s="42">
        <f>ROUND((E49%*($F$83+$F$22)),2)</f>
        <v>1.35</v>
      </c>
    </row>
    <row r="50" spans="2:6" ht="16.5">
      <c r="B50" s="141" t="s">
        <v>63</v>
      </c>
      <c r="C50" s="141"/>
      <c r="D50" s="141"/>
      <c r="E50" s="141"/>
      <c r="F50" s="64">
        <f>SUM(F47:F49)</f>
        <v>71.19</v>
      </c>
    </row>
    <row r="51" spans="2:6" s="46" customFormat="1" ht="9">
      <c r="B51" s="43"/>
      <c r="C51" s="44"/>
      <c r="D51" s="44"/>
      <c r="E51" s="44"/>
      <c r="F51" s="45"/>
    </row>
    <row r="52" spans="2:6" ht="16.5">
      <c r="B52" s="49" t="s">
        <v>36</v>
      </c>
      <c r="C52" s="55"/>
      <c r="D52" s="56"/>
      <c r="E52" s="48"/>
      <c r="F52" s="48"/>
    </row>
    <row r="53" spans="2:6" ht="16.5">
      <c r="B53" s="49" t="s">
        <v>37</v>
      </c>
      <c r="C53" s="55"/>
      <c r="D53" s="56"/>
      <c r="E53" s="62"/>
      <c r="F53" s="62"/>
    </row>
    <row r="54" spans="2:6" ht="16.5">
      <c r="B54" s="15" t="s">
        <v>38</v>
      </c>
      <c r="C54" s="138" t="s">
        <v>39</v>
      </c>
      <c r="D54" s="138"/>
      <c r="E54" s="22" t="s">
        <v>40</v>
      </c>
      <c r="F54" s="22" t="s">
        <v>43</v>
      </c>
    </row>
    <row r="55" spans="2:6" ht="16.5">
      <c r="B55" s="19" t="s">
        <v>5</v>
      </c>
      <c r="C55" s="120" t="s">
        <v>85</v>
      </c>
      <c r="D55" s="120"/>
      <c r="E55" s="73">
        <f>ROUND((1/12)*100,2)</f>
        <v>8.33</v>
      </c>
      <c r="F55" s="42">
        <f>ROUND((E55%*($F$83+$F$84+$F$85)),2)</f>
        <v>412.08</v>
      </c>
    </row>
    <row r="56" spans="2:6" ht="16.5">
      <c r="B56" s="19" t="s">
        <v>6</v>
      </c>
      <c r="C56" s="144" t="s">
        <v>86</v>
      </c>
      <c r="D56" s="144"/>
      <c r="E56" s="73">
        <f>ROUND((8/30/12)*100,2)</f>
        <v>2.22</v>
      </c>
      <c r="F56" s="42">
        <f>ROUND((E56%*($F$83+$F$84+$F$85)),2)</f>
        <v>109.82</v>
      </c>
    </row>
    <row r="57" spans="2:6" ht="16.5">
      <c r="B57" s="19" t="s">
        <v>7</v>
      </c>
      <c r="C57" s="120" t="s">
        <v>87</v>
      </c>
      <c r="D57" s="120"/>
      <c r="E57" s="73">
        <f>ROUND(((20/30/12)*1.416%*45.22%)*100,2)</f>
        <v>0.04</v>
      </c>
      <c r="F57" s="42">
        <f>ROUND((E57%*($F$83+$F$84+$F$85)),2)</f>
        <v>1.98</v>
      </c>
    </row>
    <row r="58" spans="2:6" ht="16.5" customHeight="1">
      <c r="B58" s="19" t="s">
        <v>9</v>
      </c>
      <c r="C58" s="144" t="s">
        <v>88</v>
      </c>
      <c r="D58" s="144"/>
      <c r="E58" s="73">
        <f>ROUND(((15/30/12)*0.44%)*100,2)</f>
        <v>0.02</v>
      </c>
      <c r="F58" s="42">
        <f>ROUND((E58%*($F$83+$F$84+$F$85)),2)</f>
        <v>0.99</v>
      </c>
    </row>
    <row r="59" spans="2:6" ht="16.5">
      <c r="B59" s="19" t="s">
        <v>10</v>
      </c>
      <c r="C59" s="120" t="s">
        <v>89</v>
      </c>
      <c r="D59" s="120"/>
      <c r="E59" s="73">
        <f>ROUND(((180/30/12)*1.416%*54.78%*36.8%)*100,2)</f>
        <v>0.14</v>
      </c>
      <c r="F59" s="42">
        <f>ROUND((E59%*($F$83+$F$84+$F$85)),2)</f>
        <v>6.93</v>
      </c>
    </row>
    <row r="60" spans="2:6" ht="16.5">
      <c r="B60" s="141" t="s">
        <v>63</v>
      </c>
      <c r="C60" s="141"/>
      <c r="D60" s="141"/>
      <c r="E60" s="141"/>
      <c r="F60" s="53">
        <f>SUM(F55:F59)</f>
        <v>531.8</v>
      </c>
    </row>
    <row r="61" spans="2:6" s="46" customFormat="1" ht="9">
      <c r="B61" s="43"/>
      <c r="C61" s="44"/>
      <c r="D61" s="44"/>
      <c r="E61" s="44"/>
      <c r="F61" s="45"/>
    </row>
    <row r="62" spans="2:6" ht="16.5">
      <c r="B62" s="49" t="s">
        <v>41</v>
      </c>
      <c r="C62" s="55"/>
      <c r="D62" s="55"/>
      <c r="E62" s="62"/>
      <c r="F62" s="62"/>
    </row>
    <row r="63" spans="2:6" ht="16.5">
      <c r="B63" s="15">
        <v>5</v>
      </c>
      <c r="C63" s="91" t="s">
        <v>42</v>
      </c>
      <c r="D63" s="162"/>
      <c r="E63" s="92"/>
      <c r="F63" s="22" t="s">
        <v>43</v>
      </c>
    </row>
    <row r="64" spans="2:6" ht="16.5">
      <c r="B64" s="14" t="s">
        <v>5</v>
      </c>
      <c r="C64" s="90" t="s">
        <v>44</v>
      </c>
      <c r="D64" s="90"/>
      <c r="E64" s="90"/>
      <c r="F64" s="1">
        <f>'Planilha Resumo'!F31</f>
        <v>40.65</v>
      </c>
    </row>
    <row r="65" spans="2:6" ht="16.5">
      <c r="B65" s="14" t="s">
        <v>6</v>
      </c>
      <c r="C65" s="124" t="s">
        <v>116</v>
      </c>
      <c r="D65" s="160"/>
      <c r="E65" s="125"/>
      <c r="F65" s="42">
        <f>'Planilha Resumo'!F32</f>
        <v>275.94</v>
      </c>
    </row>
    <row r="66" spans="2:6" ht="16.5">
      <c r="B66" s="14" t="s">
        <v>7</v>
      </c>
      <c r="C66" s="90" t="s">
        <v>117</v>
      </c>
      <c r="D66" s="90"/>
      <c r="E66" s="90"/>
      <c r="F66" s="1">
        <v>7.9</v>
      </c>
    </row>
    <row r="67" spans="2:6" ht="16.5">
      <c r="B67" s="14" t="s">
        <v>9</v>
      </c>
      <c r="C67" s="124" t="s">
        <v>118</v>
      </c>
      <c r="D67" s="160"/>
      <c r="E67" s="125"/>
      <c r="F67" s="1">
        <f>108.8-F64</f>
        <v>68.15</v>
      </c>
    </row>
    <row r="68" spans="2:6" ht="16.5">
      <c r="B68" s="14" t="s">
        <v>10</v>
      </c>
      <c r="C68" s="90" t="s">
        <v>153</v>
      </c>
      <c r="D68" s="90"/>
      <c r="E68" s="90"/>
      <c r="F68" s="1">
        <v>9.43</v>
      </c>
    </row>
    <row r="69" spans="2:6" ht="16.5">
      <c r="B69" s="139" t="s">
        <v>63</v>
      </c>
      <c r="C69" s="139"/>
      <c r="D69" s="139"/>
      <c r="E69" s="139"/>
      <c r="F69" s="53">
        <f>SUM(F64:F68)</f>
        <v>402.07</v>
      </c>
    </row>
    <row r="70" spans="2:6" s="46" customFormat="1" ht="9">
      <c r="B70" s="43"/>
      <c r="C70" s="44"/>
      <c r="D70" s="44"/>
      <c r="E70" s="44"/>
      <c r="F70" s="45"/>
    </row>
    <row r="71" spans="2:6" ht="16.5" customHeight="1">
      <c r="B71" s="140" t="s">
        <v>45</v>
      </c>
      <c r="C71" s="140"/>
      <c r="D71" s="140"/>
      <c r="E71" s="140"/>
      <c r="F71" s="140"/>
    </row>
    <row r="72" spans="2:6" ht="16.5">
      <c r="B72" s="15">
        <v>6</v>
      </c>
      <c r="C72" s="141" t="s">
        <v>46</v>
      </c>
      <c r="D72" s="141"/>
      <c r="E72" s="22" t="s">
        <v>40</v>
      </c>
      <c r="F72" s="22" t="s">
        <v>43</v>
      </c>
    </row>
    <row r="73" spans="2:6" ht="16.5">
      <c r="B73" s="15" t="s">
        <v>5</v>
      </c>
      <c r="C73" s="120" t="str">
        <f>'Planilha Resumo'!$C$34</f>
        <v>Custos Indiretos</v>
      </c>
      <c r="D73" s="120"/>
      <c r="E73" s="73">
        <f>'Planilha Resumo'!$F$34</f>
        <v>4.73</v>
      </c>
      <c r="F73" s="42">
        <f>ROUND((E73%*($F$83+$F$84+$F$85+$F$86+$F$87)),2)</f>
        <v>278.16</v>
      </c>
    </row>
    <row r="74" spans="2:6" ht="16.5">
      <c r="B74" s="19" t="s">
        <v>6</v>
      </c>
      <c r="C74" s="144" t="str">
        <f>'Planilha Resumo'!$C$35</f>
        <v>Lucro</v>
      </c>
      <c r="D74" s="144"/>
      <c r="E74" s="73">
        <f>'Planilha Resumo'!$F$35</f>
        <v>5.57</v>
      </c>
      <c r="F74" s="42">
        <f>ROUND((E74%*($F$83+$F$84+$F$85+$F$86+$F$87+$F$73)),2)</f>
        <v>343.05</v>
      </c>
    </row>
    <row r="75" spans="2:6" ht="16.5">
      <c r="B75" s="19" t="s">
        <v>7</v>
      </c>
      <c r="C75" s="144" t="str">
        <f>'Planilha Resumo'!$C$36</f>
        <v>Tributos</v>
      </c>
      <c r="D75" s="144"/>
      <c r="E75" s="74">
        <f>SUM(E76:E79)</f>
        <v>10.15</v>
      </c>
      <c r="F75" s="42">
        <f>SUM(F76:F79)</f>
        <v>734.51</v>
      </c>
    </row>
    <row r="76" spans="2:6" ht="15">
      <c r="B76" s="26" t="s">
        <v>49</v>
      </c>
      <c r="C76" s="121" t="str">
        <f>'Planilha Resumo'!$C$37</f>
        <v>PIS</v>
      </c>
      <c r="D76" s="121"/>
      <c r="E76" s="75">
        <f>'Planilha Resumo'!$F$37</f>
        <v>0.65</v>
      </c>
      <c r="F76" s="76">
        <f>ROUND((($F$83+$F$84+$F$85+$F$86+$F$87+$F$73+$F$74)*E76%)/(1-$E$75%),2)</f>
        <v>47.04</v>
      </c>
    </row>
    <row r="77" spans="2:6" ht="15">
      <c r="B77" s="26" t="s">
        <v>51</v>
      </c>
      <c r="C77" s="121" t="str">
        <f>'Planilha Resumo'!$C$38</f>
        <v>Cofins</v>
      </c>
      <c r="D77" s="121"/>
      <c r="E77" s="75">
        <f>'Planilha Resumo'!$F$38</f>
        <v>3</v>
      </c>
      <c r="F77" s="76">
        <f>ROUND((($F$83+$F$84+$F$85+$F$86+$F$87+$F$73+$F$74)*E77%)/(1-$E$75%),2)</f>
        <v>217.1</v>
      </c>
    </row>
    <row r="78" spans="2:6" ht="15">
      <c r="B78" s="26" t="s">
        <v>53</v>
      </c>
      <c r="C78" s="121" t="str">
        <f>'Planilha Resumo'!$C$39</f>
        <v>ISS</v>
      </c>
      <c r="D78" s="121"/>
      <c r="E78" s="75">
        <f>'Planilha Resumo'!$F$39</f>
        <v>2</v>
      </c>
      <c r="F78" s="76">
        <f>ROUND((($F$83+$F$84+$F$85+$F$86+$F$87+$F$73+$F$74)*E78%)/(1-$E$75%),2)</f>
        <v>144.73</v>
      </c>
    </row>
    <row r="79" spans="2:6" ht="16.5" customHeight="1">
      <c r="B79" s="26" t="s">
        <v>194</v>
      </c>
      <c r="C79" s="121" t="str">
        <f>'Planilha Resumo'!$C$40</f>
        <v>CPRB (Somente se empresa optante pela desoneração fiscal)</v>
      </c>
      <c r="D79" s="121"/>
      <c r="E79" s="75">
        <f>'Planilha Resumo'!$F$40</f>
        <v>4.5</v>
      </c>
      <c r="F79" s="76">
        <f>ROUND((($F$83+$F$84+$F$85+$F$86+$F$87+$F$73+$F$74)*E79%)/(1-$E$75%),2)</f>
        <v>325.64</v>
      </c>
    </row>
    <row r="80" spans="2:6" ht="16.5">
      <c r="B80" s="141" t="s">
        <v>63</v>
      </c>
      <c r="C80" s="141"/>
      <c r="D80" s="141"/>
      <c r="E80" s="141"/>
      <c r="F80" s="77">
        <f>SUM(F73:F75)</f>
        <v>1355.72</v>
      </c>
    </row>
    <row r="81" spans="2:6" ht="20.25">
      <c r="B81" s="78" t="s">
        <v>91</v>
      </c>
      <c r="C81" s="79"/>
      <c r="D81" s="79"/>
      <c r="E81" s="79"/>
      <c r="F81" s="80"/>
    </row>
    <row r="82" spans="2:6" ht="16.5">
      <c r="B82" s="19" t="s">
        <v>92</v>
      </c>
      <c r="C82" s="138" t="s">
        <v>93</v>
      </c>
      <c r="D82" s="138"/>
      <c r="E82" s="138"/>
      <c r="F82" s="22" t="s">
        <v>94</v>
      </c>
    </row>
    <row r="83" spans="2:6" ht="16.5">
      <c r="B83" s="15">
        <v>1</v>
      </c>
      <c r="C83" s="144" t="s">
        <v>24</v>
      </c>
      <c r="D83" s="144"/>
      <c r="E83" s="144"/>
      <c r="F83" s="42">
        <f>F15</f>
        <v>3044.44</v>
      </c>
    </row>
    <row r="84" spans="2:6" ht="16.5">
      <c r="B84" s="19">
        <v>2</v>
      </c>
      <c r="C84" s="144" t="s">
        <v>95</v>
      </c>
      <c r="D84" s="144"/>
      <c r="E84" s="144"/>
      <c r="F84" s="42">
        <f>F22+F33+F43</f>
        <v>1831.31</v>
      </c>
    </row>
    <row r="85" spans="2:6" ht="16.5">
      <c r="B85" s="19">
        <v>3</v>
      </c>
      <c r="C85" s="144" t="s">
        <v>81</v>
      </c>
      <c r="D85" s="144"/>
      <c r="E85" s="144"/>
      <c r="F85" s="42">
        <f>F50</f>
        <v>71.19</v>
      </c>
    </row>
    <row r="86" spans="2:6" ht="16.5">
      <c r="B86" s="19">
        <v>4</v>
      </c>
      <c r="C86" s="144" t="s">
        <v>96</v>
      </c>
      <c r="D86" s="144"/>
      <c r="E86" s="144"/>
      <c r="F86" s="42">
        <f>F60</f>
        <v>531.8</v>
      </c>
    </row>
    <row r="87" spans="2:6" ht="16.5">
      <c r="B87" s="19">
        <v>5</v>
      </c>
      <c r="C87" s="144" t="s">
        <v>42</v>
      </c>
      <c r="D87" s="144"/>
      <c r="E87" s="144"/>
      <c r="F87" s="42">
        <f>F69</f>
        <v>402.07</v>
      </c>
    </row>
    <row r="88" spans="2:6" ht="16.5">
      <c r="B88" s="19">
        <v>6</v>
      </c>
      <c r="C88" s="144" t="s">
        <v>46</v>
      </c>
      <c r="D88" s="144"/>
      <c r="E88" s="144"/>
      <c r="F88" s="42">
        <f>F80</f>
        <v>1355.72</v>
      </c>
    </row>
    <row r="89" spans="2:6" ht="16.5">
      <c r="B89" s="138" t="s">
        <v>97</v>
      </c>
      <c r="C89" s="138"/>
      <c r="D89" s="138"/>
      <c r="E89" s="138"/>
      <c r="F89" s="77">
        <f>SUM(F83:F88)</f>
        <v>7236.53</v>
      </c>
    </row>
  </sheetData>
  <sheetProtection sheet="1" objects="1" scenarios="1"/>
  <mergeCells count="73">
    <mergeCell ref="C68:E68"/>
    <mergeCell ref="C63:E63"/>
    <mergeCell ref="C64:E64"/>
    <mergeCell ref="C65:E65"/>
    <mergeCell ref="C66:E66"/>
    <mergeCell ref="C67:E67"/>
    <mergeCell ref="B23:F23"/>
    <mergeCell ref="B15:E15"/>
    <mergeCell ref="C19:D19"/>
    <mergeCell ref="C20:D20"/>
    <mergeCell ref="C21:D21"/>
    <mergeCell ref="B22:E22"/>
    <mergeCell ref="D6:F6"/>
    <mergeCell ref="C5:E5"/>
    <mergeCell ref="C13:D13"/>
    <mergeCell ref="C14:D14"/>
    <mergeCell ref="B1:F1"/>
    <mergeCell ref="D2:F2"/>
    <mergeCell ref="D3:F3"/>
    <mergeCell ref="C4:E4"/>
    <mergeCell ref="C31:D31"/>
    <mergeCell ref="C32:D32"/>
    <mergeCell ref="B33:D33"/>
    <mergeCell ref="C40:E40"/>
    <mergeCell ref="C38:D38"/>
    <mergeCell ref="C35:D35"/>
    <mergeCell ref="C36:D36"/>
    <mergeCell ref="C37:D37"/>
    <mergeCell ref="C27:D27"/>
    <mergeCell ref="C28:D28"/>
    <mergeCell ref="C29:D29"/>
    <mergeCell ref="C30:D30"/>
    <mergeCell ref="C57:D57"/>
    <mergeCell ref="C58:D58"/>
    <mergeCell ref="C59:D59"/>
    <mergeCell ref="C10:D10"/>
    <mergeCell ref="C11:D11"/>
    <mergeCell ref="C12:D12"/>
    <mergeCell ref="B43:E43"/>
    <mergeCell ref="C24:D24"/>
    <mergeCell ref="C25:D25"/>
    <mergeCell ref="C26:D26"/>
    <mergeCell ref="B50:E50"/>
    <mergeCell ref="C54:D54"/>
    <mergeCell ref="C55:D55"/>
    <mergeCell ref="C56:D56"/>
    <mergeCell ref="C79:D79"/>
    <mergeCell ref="B80:E80"/>
    <mergeCell ref="C39:D39"/>
    <mergeCell ref="C41:D41"/>
    <mergeCell ref="C42:E42"/>
    <mergeCell ref="B60:E60"/>
    <mergeCell ref="C46:D46"/>
    <mergeCell ref="C47:D47"/>
    <mergeCell ref="C48:D48"/>
    <mergeCell ref="C49:D49"/>
    <mergeCell ref="C82:E82"/>
    <mergeCell ref="B69:E69"/>
    <mergeCell ref="B71:F71"/>
    <mergeCell ref="C72:D72"/>
    <mergeCell ref="C73:D73"/>
    <mergeCell ref="C74:D74"/>
    <mergeCell ref="C75:D75"/>
    <mergeCell ref="C76:D76"/>
    <mergeCell ref="C77:D77"/>
    <mergeCell ref="C78:D78"/>
    <mergeCell ref="B89:E89"/>
    <mergeCell ref="C83:E83"/>
    <mergeCell ref="C84:E84"/>
    <mergeCell ref="C85:E85"/>
    <mergeCell ref="C86:E86"/>
    <mergeCell ref="C87:E87"/>
    <mergeCell ref="C88:E88"/>
  </mergeCells>
  <dataValidations count="2"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48:E49">
      <formula1>0</formula1>
      <formula2>1.94</formula2>
    </dataValidation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47">
      <formula1>0</formula1>
      <formula2>0.46</formula2>
    </dataValidation>
  </dataValidations>
  <printOptions horizontalCentered="1"/>
  <pageMargins left="0.1968503937007874" right="0.1968503937007874" top="0.7874015748031497" bottom="0.7874015748031497" header="0.07874015748031496" footer="0.196850393700787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AnaCZ</cp:lastModifiedBy>
  <cp:lastPrinted>2022-05-30T17:35:19Z</cp:lastPrinted>
  <dcterms:created xsi:type="dcterms:W3CDTF">2021-04-27T11:04:54Z</dcterms:created>
  <dcterms:modified xsi:type="dcterms:W3CDTF">2022-06-07T17:33:09Z</dcterms:modified>
  <cp:category/>
  <cp:version/>
  <cp:contentType/>
  <cp:contentStatus/>
</cp:coreProperties>
</file>