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 tabRatio="677"/>
  </bookViews>
  <sheets>
    <sheet name="Instruções de Preenchimento" sheetId="11" r:id="rId1"/>
    <sheet name="Resumo do Orçamento" sheetId="2" r:id="rId2"/>
    <sheet name="Orçamento Sintético" sheetId="1" r:id="rId3"/>
    <sheet name="Orçamento Analítico" sheetId="3" r:id="rId4"/>
    <sheet name="Insumos e Serviços" sheetId="9" r:id="rId5"/>
    <sheet name="Referências Comerciais" sheetId="13" r:id="rId6"/>
    <sheet name="Composição de BDI" sheetId="7" r:id="rId7"/>
    <sheet name="Composição de Encargos Sociais" sheetId="8" r:id="rId8"/>
    <sheet name="Cronograma" sheetId="6" r:id="rId9"/>
  </sheets>
  <externalReferences>
    <externalReference r:id="rId10"/>
    <externalReference r:id="rId11"/>
  </externalReferences>
  <definedNames>
    <definedName name="_10Excel_BuiltIn_Print_Area_3_1_1_3_1">"#ref!"</definedName>
    <definedName name="_11Excel_BuiltIn_Print_Area_3_1_3_1">"#ref!"</definedName>
    <definedName name="_12Excel_BuiltIn_Print_Area_5_1_1">"#ref!"</definedName>
    <definedName name="_13Excel_BuiltIn_Print_Area_5_1_1_1">"#ref!"</definedName>
    <definedName name="_14Excel_BuiltIn_Print_Titles_2_1_1">"#ref!"</definedName>
    <definedName name="_15Excel_BuiltIn_Print_Titles_2_1_1_1">"#ref!"</definedName>
    <definedName name="_16Excel_BuiltIn_Print_Titles_3_1_3_1">"#ref!"</definedName>
    <definedName name="_1Excel_BuiltIn_Print_Area_1_1">"#ref!"</definedName>
    <definedName name="_2Excel_BuiltIn_Print_Area_2_1">"#ref!"</definedName>
    <definedName name="_3Excel_BuiltIn_Print_Area_2_1_1">"#ref!"</definedName>
    <definedName name="_4Excel_BuiltIn_Print_Area_2_1_1_1">"#ref!"</definedName>
    <definedName name="_5Excel_BuiltIn_Print_Area_3_1_1_1">"#ref!"</definedName>
    <definedName name="_6Excel_BuiltIn_Print_Area_3_1_1_1_1">"#ref!"</definedName>
    <definedName name="_7Excel_BuiltIn_Print_Area_3_1_1_1_1_1">"#ref!"</definedName>
    <definedName name="_8Excel_BuiltIn_Print_Area_3_1_1_1_1_3_1">"#ref!"</definedName>
    <definedName name="_9Excel_BuiltIn_Print_Area_3_1_1_1_3_1">"#ref!"</definedName>
    <definedName name="_Toc162077558_1" localSheetId="7">#REF!</definedName>
    <definedName name="_Toc162077558_1" localSheetId="0">#REF!</definedName>
    <definedName name="_Toc162077558_1">#REF!</definedName>
    <definedName name="_xlnm.Print_Area" localSheetId="6">'Composição de BDI'!$A$1:$D$23</definedName>
    <definedName name="_xlnm.Print_Area" localSheetId="7">'Composição de Encargos Sociais'!$A$1:$D$43</definedName>
    <definedName name="_xlnm.Print_Area" localSheetId="8">Cronograma!$A$1:$E$129</definedName>
    <definedName name="_xlnm.Print_Area" localSheetId="4">'Insumos e Serviços'!$A$1:$F$71</definedName>
    <definedName name="_xlnm.Print_Area" localSheetId="3">'Orçamento Analítico'!$A$1:$H$98</definedName>
    <definedName name="_xlnm.Print_Area" localSheetId="2">'Orçamento Sintético'!$A$1:$H$69</definedName>
    <definedName name="_xlnm.Print_Area" localSheetId="5">'Referências Comerciais'!$A$1:$F$21</definedName>
    <definedName name="_xlnm.Print_Area" localSheetId="1">'Resumo do Orçamento'!$A$1:$D$18</definedName>
    <definedName name="Excel_BuiltIn_Print_Area_1" localSheetId="7">#REF!</definedName>
    <definedName name="Excel_BuiltIn_Print_Area_1" localSheetId="0">#REF!</definedName>
    <definedName name="Excel_BuiltIn_Print_Area_1">#REF!</definedName>
    <definedName name="Excel_BuiltIn_Print_Area_1_1" localSheetId="7">#REF!</definedName>
    <definedName name="Excel_BuiltIn_Print_Area_1_1" localSheetId="0">#REF!</definedName>
    <definedName name="Excel_BuiltIn_Print_Area_1_1">#REF!</definedName>
    <definedName name="Excel_BuiltIn_Print_Area_1_1_1" localSheetId="7">#REF!</definedName>
    <definedName name="Excel_BuiltIn_Print_Area_1_1_1" localSheetId="0">#REF!</definedName>
    <definedName name="Excel_BuiltIn_Print_Area_1_1_1">#REF!</definedName>
    <definedName name="Excel_BuiltIn_Print_Area_1_1_1_1" localSheetId="7">#REF!</definedName>
    <definedName name="Excel_BuiltIn_Print_Area_1_1_1_1" localSheetId="0">#REF!</definedName>
    <definedName name="Excel_BuiltIn_Print_Area_1_1_1_1">#REF!</definedName>
    <definedName name="Excel_BuiltIn_Print_Area_1_1_1_1_1" localSheetId="7">#REF!</definedName>
    <definedName name="Excel_BuiltIn_Print_Area_1_1_1_1_1" localSheetId="0">#REF!</definedName>
    <definedName name="Excel_BuiltIn_Print_Area_1_1_1_1_1">#REF!</definedName>
    <definedName name="Excel_BuiltIn_Print_Area_1_1_1_1_1_1" localSheetId="7">#REF!</definedName>
    <definedName name="Excel_BuiltIn_Print_Area_1_1_1_1_1_1" localSheetId="0">#REF!</definedName>
    <definedName name="Excel_BuiltIn_Print_Area_1_1_1_1_1_1">#REF!</definedName>
    <definedName name="Excel_BuiltIn_Print_Area_1_1_1_1_1_1_1_1" localSheetId="7">#REF!</definedName>
    <definedName name="Excel_BuiltIn_Print_Area_1_1_1_1_1_1_1_1" localSheetId="0">#REF!</definedName>
    <definedName name="Excel_BuiltIn_Print_Area_1_1_1_1_1_1_1_1">#REF!</definedName>
    <definedName name="Excel_BuiltIn_Print_Area_1_1_1_1_5" localSheetId="7">#REF!</definedName>
    <definedName name="Excel_BuiltIn_Print_Area_1_1_1_1_5" localSheetId="0">#REF!</definedName>
    <definedName name="Excel_BuiltIn_Print_Area_1_1_1_1_5">#REF!</definedName>
    <definedName name="Excel_BuiltIn_Print_Area_1_1_1_5" localSheetId="7">#REF!</definedName>
    <definedName name="Excel_BuiltIn_Print_Area_1_1_1_5" localSheetId="0">#REF!</definedName>
    <definedName name="Excel_BuiltIn_Print_Area_1_1_1_5">#REF!</definedName>
    <definedName name="Excel_BuiltIn_Print_Area_1_1_5" localSheetId="7">#REF!</definedName>
    <definedName name="Excel_BuiltIn_Print_Area_1_1_5" localSheetId="0">#REF!</definedName>
    <definedName name="Excel_BuiltIn_Print_Area_1_1_5">#REF!</definedName>
    <definedName name="Excel_BuiltIn_Print_Area_2" localSheetId="7">#REF!</definedName>
    <definedName name="Excel_BuiltIn_Print_Area_2" localSheetId="0">#REF!</definedName>
    <definedName name="Excel_BuiltIn_Print_Area_2">#REF!</definedName>
    <definedName name="Excel_BuiltIn_Print_Area_2_1" localSheetId="7">#REF!</definedName>
    <definedName name="Excel_BuiltIn_Print_Area_2_1" localSheetId="0">#REF!</definedName>
    <definedName name="Excel_BuiltIn_Print_Area_2_1">#REF!</definedName>
    <definedName name="Excel_BuiltIn_Print_Area_2_1_1" localSheetId="7">#REF!</definedName>
    <definedName name="Excel_BuiltIn_Print_Area_2_1_1" localSheetId="0">#REF!</definedName>
    <definedName name="Excel_BuiltIn_Print_Area_2_1_1">#REF!</definedName>
    <definedName name="Excel_BuiltIn_Print_Area_2_1_1_1" localSheetId="7">#REF!</definedName>
    <definedName name="Excel_BuiltIn_Print_Area_2_1_1_1" localSheetId="0">#REF!</definedName>
    <definedName name="Excel_BuiltIn_Print_Area_2_1_1_1">#REF!</definedName>
    <definedName name="Excel_BuiltIn_Print_Area_2_1_1_1_1" localSheetId="7">#REF!</definedName>
    <definedName name="Excel_BuiltIn_Print_Area_2_1_1_1_1" localSheetId="0">#REF!</definedName>
    <definedName name="Excel_BuiltIn_Print_Area_2_1_1_1_1">#REF!</definedName>
    <definedName name="Excel_BuiltIn_Print_Area_2_1_1_1_3">"#ref!"</definedName>
    <definedName name="Excel_BuiltIn_Print_Area_2_1_1_1_4">"#ref!"</definedName>
    <definedName name="Excel_BuiltIn_Print_Area_2_1_1_3">"#ref!"</definedName>
    <definedName name="Excel_BuiltIn_Print_Area_2_1_1_4">"#ref!"</definedName>
    <definedName name="Excel_BuiltIn_Print_Area_2_1_5" localSheetId="7">#REF!</definedName>
    <definedName name="Excel_BuiltIn_Print_Area_2_1_5" localSheetId="0">#REF!</definedName>
    <definedName name="Excel_BuiltIn_Print_Area_2_1_5">#REF!</definedName>
    <definedName name="Excel_BuiltIn_Print_Area_2_5" localSheetId="7">#REF!</definedName>
    <definedName name="Excel_BuiltIn_Print_Area_2_5" localSheetId="0">#REF!</definedName>
    <definedName name="Excel_BuiltIn_Print_Area_2_5">#REF!</definedName>
    <definedName name="Excel_BuiltIn_Print_Area_3_1" localSheetId="7">#REF!</definedName>
    <definedName name="Excel_BuiltIn_Print_Area_3_1" localSheetId="0">#REF!</definedName>
    <definedName name="Excel_BuiltIn_Print_Area_3_1">"#ref!"</definedName>
    <definedName name="Excel_BuiltIn_Print_Area_3_1_1" localSheetId="7">#REF!</definedName>
    <definedName name="Excel_BuiltIn_Print_Area_3_1_1">#REF!</definedName>
    <definedName name="Excel_BuiltIn_Print_Area_3_1_1_1" localSheetId="7">#REF!</definedName>
    <definedName name="Excel_BuiltIn_Print_Area_3_1_1_1" localSheetId="0">#REF!</definedName>
    <definedName name="Excel_BuiltIn_Print_Area_3_1_1_1_1" localSheetId="7">#REF!</definedName>
    <definedName name="Excel_BuiltIn_Print_Area_3_1_1_1_1" localSheetId="0">#REF!</definedName>
    <definedName name="Excel_BuiltIn_Print_Area_3_1_1_1_1_3" localSheetId="7">#REF!</definedName>
    <definedName name="Excel_BuiltIn_Print_Area_3_1_1_1_1_3" localSheetId="0">#REF!</definedName>
    <definedName name="Excel_BuiltIn_Print_Area_3_1_1_1_1_3">#REF!</definedName>
    <definedName name="Excel_BuiltIn_Print_Area_3_1_1_1_1_4">#REF!</definedName>
    <definedName name="Excel_BuiltIn_Print_Area_3_1_1_1_3" localSheetId="7">#REF!</definedName>
    <definedName name="Excel_BuiltIn_Print_Area_3_1_1_1_3" localSheetId="0">#REF!</definedName>
    <definedName name="Excel_BuiltIn_Print_Area_3_1_1_1_3">#REF!</definedName>
    <definedName name="Excel_BuiltIn_Print_Area_3_1_1_1_4">#REF!</definedName>
    <definedName name="Excel_BuiltIn_Print_Area_3_1_1_3" localSheetId="7">#REF!</definedName>
    <definedName name="Excel_BuiltIn_Print_Area_3_1_1_3" localSheetId="0">#REF!</definedName>
    <definedName name="Excel_BuiltIn_Print_Area_3_1_1_3">#REF!</definedName>
    <definedName name="Excel_BuiltIn_Print_Area_3_1_1_4">#REF!</definedName>
    <definedName name="Excel_BuiltIn_Print_Area_3_1_3" localSheetId="7">#REF!</definedName>
    <definedName name="Excel_BuiltIn_Print_Area_3_1_3" localSheetId="0">#REF!</definedName>
    <definedName name="Excel_BuiltIn_Print_Area_3_1_3">#REF!</definedName>
    <definedName name="Excel_BuiltIn_Print_Area_3_1_4">#REF!</definedName>
    <definedName name="Excel_BuiltIn_Print_Area_4_1" localSheetId="7">#REF!</definedName>
    <definedName name="Excel_BuiltIn_Print_Area_4_1" localSheetId="0">#REF!</definedName>
    <definedName name="Excel_BuiltIn_Print_Area_4_1">#REF!</definedName>
    <definedName name="Excel_BuiltIn_Print_Area_4_1_1" localSheetId="7">#REF!</definedName>
    <definedName name="Excel_BuiltIn_Print_Area_4_1_1" localSheetId="0">#REF!</definedName>
    <definedName name="Excel_BuiltIn_Print_Area_4_1_1">#REF!</definedName>
    <definedName name="Excel_BuiltIn_Print_Area_4_1_1_1" localSheetId="7">#REF!</definedName>
    <definedName name="Excel_BuiltIn_Print_Area_4_1_1_1" localSheetId="0">#REF!</definedName>
    <definedName name="Excel_BuiltIn_Print_Area_4_1_1_1">#REF!</definedName>
    <definedName name="Excel_BuiltIn_Print_Area_4_1_1_1_5" localSheetId="7">#REF!</definedName>
    <definedName name="Excel_BuiltIn_Print_Area_4_1_1_1_5" localSheetId="0">#REF!</definedName>
    <definedName name="Excel_BuiltIn_Print_Area_4_1_1_1_5">#REF!</definedName>
    <definedName name="Excel_BuiltIn_Print_Area_4_1_1_5" localSheetId="7">#REF!</definedName>
    <definedName name="Excel_BuiltIn_Print_Area_4_1_1_5" localSheetId="0">#REF!</definedName>
    <definedName name="Excel_BuiltIn_Print_Area_4_1_1_5">#REF!</definedName>
    <definedName name="Excel_BuiltIn_Print_Area_4_1_5" localSheetId="7">#REF!</definedName>
    <definedName name="Excel_BuiltIn_Print_Area_4_1_5" localSheetId="0">#REF!</definedName>
    <definedName name="Excel_BuiltIn_Print_Area_4_1_5">#REF!</definedName>
    <definedName name="Excel_BuiltIn_Print_Area_5_1" localSheetId="7">#REF!</definedName>
    <definedName name="Excel_BuiltIn_Print_Area_5_1" localSheetId="0">#REF!</definedName>
    <definedName name="Excel_BuiltIn_Print_Area_5_1">#REF!</definedName>
    <definedName name="Excel_BuiltIn_Print_Area_5_1_1" localSheetId="7">#REF!</definedName>
    <definedName name="Excel_BuiltIn_Print_Area_5_1_1" localSheetId="0">#REF!</definedName>
    <definedName name="Excel_BuiltIn_Print_Area_5_1_1">#REF!</definedName>
    <definedName name="Excel_BuiltIn_Print_Area_5_1_1_1" localSheetId="7">#REF!</definedName>
    <definedName name="Excel_BuiltIn_Print_Area_5_1_1_1" localSheetId="0">#REF!</definedName>
    <definedName name="Excel_BuiltIn_Print_Area_5_1_1_1">#REF!</definedName>
    <definedName name="Excel_BuiltIn_Print_Area_5_1_1_5" localSheetId="7">#REF!</definedName>
    <definedName name="Excel_BuiltIn_Print_Area_5_1_1_5" localSheetId="0">#REF!</definedName>
    <definedName name="Excel_BuiltIn_Print_Area_5_1_1_5">#REF!</definedName>
    <definedName name="Excel_BuiltIn_Print_Area_5_1_5" localSheetId="7">#REF!</definedName>
    <definedName name="Excel_BuiltIn_Print_Area_5_1_5" localSheetId="0">#REF!</definedName>
    <definedName name="Excel_BuiltIn_Print_Area_5_1_5">#REF!</definedName>
    <definedName name="Excel_BuiltIn_Print_Area_6_1" localSheetId="7">#REF!</definedName>
    <definedName name="Excel_BuiltIn_Print_Area_6_1" localSheetId="0">#REF!</definedName>
    <definedName name="Excel_BuiltIn_Print_Area_6_1">#REF!</definedName>
    <definedName name="Excel_BuiltIn_Print_Titles_1" localSheetId="7">#REF!</definedName>
    <definedName name="Excel_BuiltIn_Print_Titles_1" localSheetId="0">#REF!</definedName>
    <definedName name="Excel_BuiltIn_Print_Titles_1">#REF!</definedName>
    <definedName name="Excel_BuiltIn_Print_Titles_1_1" localSheetId="7">#REF!</definedName>
    <definedName name="Excel_BuiltIn_Print_Titles_1_1" localSheetId="0">#REF!</definedName>
    <definedName name="Excel_BuiltIn_Print_Titles_1_1">#REF!</definedName>
    <definedName name="Excel_BuiltIn_Print_Titles_1_1_1" localSheetId="7">#REF!</definedName>
    <definedName name="Excel_BuiltIn_Print_Titles_1_1_1" localSheetId="0">#REF!</definedName>
    <definedName name="Excel_BuiltIn_Print_Titles_1_1_1">#REF!</definedName>
    <definedName name="Excel_BuiltIn_Print_Titles_1_1_5" localSheetId="7">#REF!</definedName>
    <definedName name="Excel_BuiltIn_Print_Titles_1_1_5" localSheetId="0">#REF!</definedName>
    <definedName name="Excel_BuiltIn_Print_Titles_1_1_5">#REF!</definedName>
    <definedName name="Excel_BuiltIn_Print_Titles_2" localSheetId="7">#REF!</definedName>
    <definedName name="Excel_BuiltIn_Print_Titles_2" localSheetId="0">#REF!</definedName>
    <definedName name="Excel_BuiltIn_Print_Titles_2">#REF!</definedName>
    <definedName name="Excel_BuiltIn_Print_Titles_2_1" localSheetId="7">#REF!</definedName>
    <definedName name="Excel_BuiltIn_Print_Titles_2_1" localSheetId="0">#REF!</definedName>
    <definedName name="Excel_BuiltIn_Print_Titles_2_1">#REF!</definedName>
    <definedName name="Excel_BuiltIn_Print_Titles_2_1_1" localSheetId="7">#REF!</definedName>
    <definedName name="Excel_BuiltIn_Print_Titles_2_1_1" localSheetId="0">#REF!</definedName>
    <definedName name="Excel_BuiltIn_Print_Titles_2_1_1">#REF!</definedName>
    <definedName name="Excel_BuiltIn_Print_Titles_2_1_1_1" localSheetId="7">#REF!</definedName>
    <definedName name="Excel_BuiltIn_Print_Titles_2_1_1_1" localSheetId="0">#REF!</definedName>
    <definedName name="Excel_BuiltIn_Print_Titles_2_1_1_1">#REF!</definedName>
    <definedName name="Excel_BuiltIn_Print_Titles_2_1_1_1_1" localSheetId="7">#REF!</definedName>
    <definedName name="Excel_BuiltIn_Print_Titles_2_1_1_1_1" localSheetId="0">#REF!</definedName>
    <definedName name="Excel_BuiltIn_Print_Titles_2_1_1_1_1">#REF!</definedName>
    <definedName name="Excel_BuiltIn_Print_Titles_2_1_1_1_1_1" localSheetId="7">#REF!</definedName>
    <definedName name="Excel_BuiltIn_Print_Titles_2_1_1_1_1_1" localSheetId="0">#REF!</definedName>
    <definedName name="Excel_BuiltIn_Print_Titles_2_1_1_1_1_1">#REF!</definedName>
    <definedName name="Excel_BuiltIn_Print_Titles_2_1_1_1_5" localSheetId="7">#REF!</definedName>
    <definedName name="Excel_BuiltIn_Print_Titles_2_1_1_1_5" localSheetId="0">#REF!</definedName>
    <definedName name="Excel_BuiltIn_Print_Titles_2_1_1_1_5">#REF!</definedName>
    <definedName name="Excel_BuiltIn_Print_Titles_2_1_1_5" localSheetId="7">#REF!</definedName>
    <definedName name="Excel_BuiltIn_Print_Titles_2_1_1_5" localSheetId="0">#REF!</definedName>
    <definedName name="Excel_BuiltIn_Print_Titles_2_1_1_5">#REF!</definedName>
    <definedName name="Excel_BuiltIn_Print_Titles_2_1_5" localSheetId="7">#REF!</definedName>
    <definedName name="Excel_BuiltIn_Print_Titles_2_1_5" localSheetId="0">#REF!</definedName>
    <definedName name="Excel_BuiltIn_Print_Titles_2_1_5">#REF!</definedName>
    <definedName name="Excel_BuiltIn_Print_Titles_2_5" localSheetId="7">#REF!</definedName>
    <definedName name="Excel_BuiltIn_Print_Titles_2_5" localSheetId="0">#REF!</definedName>
    <definedName name="Excel_BuiltIn_Print_Titles_2_5">#REF!</definedName>
    <definedName name="Excel_BuiltIn_Print_Titles_3_1" localSheetId="7">#REF!</definedName>
    <definedName name="Excel_BuiltIn_Print_Titles_3_1" localSheetId="0">#REF!</definedName>
    <definedName name="Excel_BuiltIn_Print_Titles_3_1">'[1]Planilha Sintética'!#REF!</definedName>
    <definedName name="Excel_BuiltIn_Print_Titles_3_1_3" localSheetId="7">#REF!</definedName>
    <definedName name="Excel_BuiltIn_Print_Titles_3_1_3" localSheetId="0">#REF!</definedName>
    <definedName name="Excel_BuiltIn_Print_Titles_3_1_3">#REF!</definedName>
    <definedName name="Excel_BuiltIn_Print_Titles_3_1_4">#N/A</definedName>
    <definedName name="Excel_BuiltIn_Print_Titles_4" localSheetId="7">#REF!</definedName>
    <definedName name="Excel_BuiltIn_Print_Titles_4" localSheetId="0">#REF!</definedName>
    <definedName name="Excel_BuiltIn_Print_Titles_4">#REF!</definedName>
    <definedName name="Excel_BuiltIn_Print_Titles_4_1" localSheetId="7">#REF!</definedName>
    <definedName name="Excel_BuiltIn_Print_Titles_4_1" localSheetId="0">#REF!</definedName>
    <definedName name="Excel_BuiltIn_Print_Titles_4_1">#REF!</definedName>
    <definedName name="Excel_BuiltIn_Print_Titles_4_1_5" localSheetId="7">#REF!</definedName>
    <definedName name="Excel_BuiltIn_Print_Titles_4_1_5" localSheetId="0">#REF!</definedName>
    <definedName name="Excel_BuiltIn_Print_Titles_4_1_5">#REF!</definedName>
    <definedName name="Excel_BuiltIn_Print_Titles_5" localSheetId="7">#REF!</definedName>
    <definedName name="Excel_BuiltIn_Print_Titles_5" localSheetId="0">#REF!</definedName>
    <definedName name="Excel_BuiltIn_Print_Titles_5">#REF!</definedName>
    <definedName name="Excel_BuiltIn_Print_Titles_5_1" localSheetId="7">#REF!</definedName>
    <definedName name="Excel_BuiltIn_Print_Titles_5_1" localSheetId="0">#REF!</definedName>
    <definedName name="Excel_BuiltIn_Print_Titles_5_1">#REF!</definedName>
    <definedName name="Excel_BuiltIn_Print_Titles_5_5" localSheetId="7">#REF!</definedName>
    <definedName name="Excel_BuiltIn_Print_Titles_5_5" localSheetId="0">#REF!</definedName>
    <definedName name="Excel_BuiltIn_Print_Titles_5_5">#REF!</definedName>
    <definedName name="_xlnm.Print_Titles" localSheetId="6">'Composição de BDI'!$1:$8</definedName>
    <definedName name="_xlnm.Print_Titles" localSheetId="8">Cronograma!$1:$8</definedName>
    <definedName name="_xlnm.Print_Titles" localSheetId="4">'Insumos e Serviços'!$1:$7</definedName>
    <definedName name="_xlnm.Print_Titles" localSheetId="3">'Orçamento Analítico'!$1:$7</definedName>
    <definedName name="_xlnm.Print_Titles" localSheetId="2">'Orçamento Sintético'!$1:$7</definedName>
    <definedName name="_xlnm.Print_Titles" localSheetId="5">'Referências Comerciais'!$1:$8</definedName>
    <definedName name="Z_71409849_3ED0_4F48_B303_9AEF25621248_.wvu.PrintArea" localSheetId="7" hidden="1">'Composição de Encargos Sociais'!$A$1:$D$43</definedName>
  </definedNames>
  <calcPr calcId="101716" fullCalcOnLoad="1"/>
</workbook>
</file>

<file path=xl/calcChain.xml><?xml version="1.0" encoding="utf-8"?>
<calcChain xmlns="http://schemas.openxmlformats.org/spreadsheetml/2006/main">
  <c r="B81" i="6"/>
  <c r="B79"/>
  <c r="B77"/>
  <c r="B75"/>
  <c r="B67"/>
  <c r="B55"/>
  <c r="B51"/>
  <c r="B47"/>
  <c r="B43"/>
  <c r="B39"/>
  <c r="B37"/>
  <c r="B35"/>
  <c r="B31"/>
  <c r="B29"/>
  <c r="B103"/>
  <c r="B101"/>
  <c r="B93"/>
  <c r="B85"/>
  <c r="B83"/>
  <c r="B69"/>
  <c r="B73"/>
  <c r="B71"/>
  <c r="B49"/>
  <c r="B27"/>
  <c r="B25"/>
  <c r="C20"/>
  <c r="B19"/>
  <c r="B17"/>
  <c r="B15"/>
  <c r="B13"/>
  <c r="B11"/>
  <c r="B9"/>
  <c r="C6"/>
  <c r="B6"/>
  <c r="A6"/>
  <c r="C5"/>
  <c r="B5"/>
  <c r="A5"/>
  <c r="C4"/>
  <c r="B4"/>
  <c r="A4"/>
  <c r="C3"/>
  <c r="B3"/>
  <c r="A3"/>
  <c r="C2"/>
  <c r="B2"/>
  <c r="A2"/>
  <c r="C1"/>
  <c r="B1"/>
  <c r="A1"/>
  <c r="F6" i="13"/>
  <c r="B6"/>
  <c r="A6"/>
  <c r="F5"/>
  <c r="B5"/>
  <c r="A5"/>
  <c r="F4"/>
  <c r="B4"/>
  <c r="A4"/>
  <c r="F3"/>
  <c r="B3"/>
  <c r="A3"/>
  <c r="F2"/>
  <c r="B2"/>
  <c r="A2"/>
  <c r="F1"/>
  <c r="B1"/>
  <c r="A1"/>
  <c r="D21" i="7"/>
  <c r="A1" i="9"/>
  <c r="A2"/>
  <c r="A3"/>
  <c r="A4"/>
  <c r="A5"/>
  <c r="A6"/>
  <c r="E65" i="1"/>
  <c r="D65"/>
  <c r="B121" i="6"/>
  <c r="C65" i="1"/>
  <c r="E62"/>
  <c r="D62"/>
  <c r="B115" i="6"/>
  <c r="C62" i="1"/>
  <c r="E59"/>
  <c r="D59"/>
  <c r="B109" i="6"/>
  <c r="C59" i="1"/>
  <c r="E58"/>
  <c r="D58"/>
  <c r="B107" i="6"/>
  <c r="C58" i="1"/>
  <c r="E57"/>
  <c r="D57"/>
  <c r="B105" i="6"/>
  <c r="C57" i="1"/>
  <c r="E54"/>
  <c r="D54"/>
  <c r="B99" i="6"/>
  <c r="C54" i="1"/>
  <c r="E53"/>
  <c r="D53"/>
  <c r="B97" i="6"/>
  <c r="C53" i="1"/>
  <c r="E52"/>
  <c r="D52"/>
  <c r="B95" i="6"/>
  <c r="C52" i="1"/>
  <c r="E50"/>
  <c r="D50"/>
  <c r="B91" i="6"/>
  <c r="C50" i="1"/>
  <c r="E49"/>
  <c r="D49"/>
  <c r="B89" i="6"/>
  <c r="C49" i="1"/>
  <c r="E48"/>
  <c r="D48"/>
  <c r="B87" i="6"/>
  <c r="C48" i="1"/>
  <c r="E37"/>
  <c r="D37"/>
  <c r="B65" i="6"/>
  <c r="C37" i="1"/>
  <c r="E36"/>
  <c r="D36"/>
  <c r="B63" i="6"/>
  <c r="C36" i="1"/>
  <c r="E35"/>
  <c r="D35"/>
  <c r="B61" i="6"/>
  <c r="C35" i="1"/>
  <c r="E34"/>
  <c r="D34"/>
  <c r="B59" i="6"/>
  <c r="C34" i="1"/>
  <c r="E33"/>
  <c r="D33"/>
  <c r="B57" i="6"/>
  <c r="C33" i="1"/>
  <c r="E31"/>
  <c r="D31"/>
  <c r="B53" i="6"/>
  <c r="C31" i="1"/>
  <c r="E27"/>
  <c r="D27"/>
  <c r="B45" i="6"/>
  <c r="C27" i="1"/>
  <c r="E25"/>
  <c r="D25"/>
  <c r="B41" i="6"/>
  <c r="C25" i="1"/>
  <c r="E21"/>
  <c r="D21"/>
  <c r="B33" i="6"/>
  <c r="C21" i="1"/>
  <c r="E16"/>
  <c r="D16"/>
  <c r="B23" i="6"/>
  <c r="C16" i="1"/>
  <c r="E15"/>
  <c r="D15"/>
  <c r="B21" i="6"/>
  <c r="C15" i="1"/>
  <c r="G65"/>
  <c r="H65"/>
  <c r="C122" i="6"/>
  <c r="D122"/>
  <c r="G62" i="1"/>
  <c r="H62"/>
  <c r="C116" i="6"/>
  <c r="D116"/>
  <c r="G59" i="1"/>
  <c r="H59"/>
  <c r="C110" i="6"/>
  <c r="D110"/>
  <c r="E110"/>
  <c r="E109"/>
  <c r="G58" i="1"/>
  <c r="H58"/>
  <c r="C108" i="6"/>
  <c r="D108"/>
  <c r="E108"/>
  <c r="E107"/>
  <c r="G57" i="1"/>
  <c r="H57"/>
  <c r="C106" i="6"/>
  <c r="D106"/>
  <c r="E106"/>
  <c r="E105"/>
  <c r="G54" i="1"/>
  <c r="H54"/>
  <c r="C100" i="6"/>
  <c r="D100"/>
  <c r="E100"/>
  <c r="E99"/>
  <c r="G53" i="1"/>
  <c r="H53"/>
  <c r="C98" i="6"/>
  <c r="D98"/>
  <c r="E98"/>
  <c r="E97"/>
  <c r="G52" i="1"/>
  <c r="H52"/>
  <c r="C96" i="6"/>
  <c r="D96"/>
  <c r="E96"/>
  <c r="E95"/>
  <c r="G50" i="1"/>
  <c r="H50"/>
  <c r="C92" i="6"/>
  <c r="D92"/>
  <c r="E92"/>
  <c r="E91"/>
  <c r="G49" i="1"/>
  <c r="H49"/>
  <c r="C90" i="6"/>
  <c r="D90"/>
  <c r="E90"/>
  <c r="E89"/>
  <c r="G48" i="1"/>
  <c r="H48"/>
  <c r="C88" i="6"/>
  <c r="D88"/>
  <c r="E88"/>
  <c r="E87"/>
  <c r="G37" i="1"/>
  <c r="H37"/>
  <c r="C66" i="6"/>
  <c r="D66"/>
  <c r="E66"/>
  <c r="E65"/>
  <c r="G36" i="1"/>
  <c r="H36"/>
  <c r="C64" i="6"/>
  <c r="D64"/>
  <c r="E64"/>
  <c r="E63"/>
  <c r="G35" i="1"/>
  <c r="H35"/>
  <c r="C62" i="6"/>
  <c r="D62"/>
  <c r="E62"/>
  <c r="E61"/>
  <c r="G34" i="1"/>
  <c r="H34"/>
  <c r="C60" i="6"/>
  <c r="D60"/>
  <c r="E60"/>
  <c r="E59"/>
  <c r="G33" i="1"/>
  <c r="H33"/>
  <c r="C58" i="6"/>
  <c r="D58"/>
  <c r="G31" i="1"/>
  <c r="H31"/>
  <c r="C54" i="6"/>
  <c r="D54"/>
  <c r="G27" i="1"/>
  <c r="H27"/>
  <c r="C46" i="6"/>
  <c r="D46"/>
  <c r="E46"/>
  <c r="E45"/>
  <c r="G25" i="1"/>
  <c r="H25"/>
  <c r="C42" i="6"/>
  <c r="D42"/>
  <c r="G21" i="1"/>
  <c r="H21"/>
  <c r="C34" i="6"/>
  <c r="D34"/>
  <c r="G16" i="1"/>
  <c r="H16"/>
  <c r="C24" i="6"/>
  <c r="D24"/>
  <c r="E24"/>
  <c r="E23"/>
  <c r="G15" i="1"/>
  <c r="H15"/>
  <c r="C22" i="6"/>
  <c r="D22"/>
  <c r="B67" i="1"/>
  <c r="G98" i="3"/>
  <c r="H98"/>
  <c r="G97"/>
  <c r="H97"/>
  <c r="G96"/>
  <c r="H96"/>
  <c r="H95"/>
  <c r="G93"/>
  <c r="H93"/>
  <c r="G92"/>
  <c r="H92"/>
  <c r="G91"/>
  <c r="H91"/>
  <c r="G90"/>
  <c r="H90"/>
  <c r="H89"/>
  <c r="G87"/>
  <c r="H87"/>
  <c r="G86"/>
  <c r="H86"/>
  <c r="G85"/>
  <c r="H85"/>
  <c r="H84"/>
  <c r="G82"/>
  <c r="H82"/>
  <c r="G81"/>
  <c r="H81"/>
  <c r="G80"/>
  <c r="H80"/>
  <c r="G79"/>
  <c r="H79"/>
  <c r="G78"/>
  <c r="H78"/>
  <c r="G77"/>
  <c r="H77"/>
  <c r="G76"/>
  <c r="H76"/>
  <c r="G75"/>
  <c r="H75"/>
  <c r="G72"/>
  <c r="H72"/>
  <c r="G71"/>
  <c r="H71"/>
  <c r="G70"/>
  <c r="H70"/>
  <c r="G67"/>
  <c r="H67"/>
  <c r="G66"/>
  <c r="H66"/>
  <c r="G63"/>
  <c r="H63"/>
  <c r="G64"/>
  <c r="H64"/>
  <c r="G65"/>
  <c r="H65"/>
  <c r="H62"/>
  <c r="G57"/>
  <c r="H57"/>
  <c r="G56"/>
  <c r="H56"/>
  <c r="G55"/>
  <c r="H55"/>
  <c r="G54"/>
  <c r="H54"/>
  <c r="G53"/>
  <c r="H53"/>
  <c r="G52"/>
  <c r="H52"/>
  <c r="G49"/>
  <c r="H49"/>
  <c r="G48"/>
  <c r="H48"/>
  <c r="G47"/>
  <c r="H47"/>
  <c r="H46"/>
  <c r="G44"/>
  <c r="H44"/>
  <c r="G43"/>
  <c r="H43"/>
  <c r="H42"/>
  <c r="G39"/>
  <c r="H39"/>
  <c r="H38"/>
  <c r="G35"/>
  <c r="H35"/>
  <c r="G34"/>
  <c r="H34"/>
  <c r="G33"/>
  <c r="H33"/>
  <c r="G32"/>
  <c r="H32"/>
  <c r="G31"/>
  <c r="H31"/>
  <c r="G30"/>
  <c r="H30"/>
  <c r="G29"/>
  <c r="H29"/>
  <c r="G28"/>
  <c r="H28"/>
  <c r="G27"/>
  <c r="H27"/>
  <c r="G26"/>
  <c r="H26"/>
  <c r="G25"/>
  <c r="H25"/>
  <c r="G19"/>
  <c r="H19"/>
  <c r="G18"/>
  <c r="H18"/>
  <c r="H17"/>
  <c r="A98"/>
  <c r="A97"/>
  <c r="A96"/>
  <c r="A93"/>
  <c r="A92"/>
  <c r="A91"/>
  <c r="A90"/>
  <c r="A87"/>
  <c r="A86"/>
  <c r="A85"/>
  <c r="A82"/>
  <c r="A81"/>
  <c r="A80"/>
  <c r="A79"/>
  <c r="A78"/>
  <c r="A77"/>
  <c r="A76"/>
  <c r="A75"/>
  <c r="A72"/>
  <c r="A71"/>
  <c r="A70"/>
  <c r="A67"/>
  <c r="A66"/>
  <c r="A65"/>
  <c r="A64"/>
  <c r="A63"/>
  <c r="A57"/>
  <c r="A56"/>
  <c r="A55"/>
  <c r="A54"/>
  <c r="A53"/>
  <c r="A52"/>
  <c r="A49"/>
  <c r="A48"/>
  <c r="A47"/>
  <c r="A44"/>
  <c r="A43"/>
  <c r="A39"/>
  <c r="A35"/>
  <c r="A34"/>
  <c r="A33"/>
  <c r="A32"/>
  <c r="A31"/>
  <c r="A30"/>
  <c r="A29"/>
  <c r="A28"/>
  <c r="A27"/>
  <c r="A26"/>
  <c r="A25"/>
  <c r="A19"/>
  <c r="A18"/>
  <c r="E98"/>
  <c r="D98"/>
  <c r="C98"/>
  <c r="E97"/>
  <c r="D97"/>
  <c r="C97"/>
  <c r="E96"/>
  <c r="D96"/>
  <c r="C96"/>
  <c r="E93"/>
  <c r="D93"/>
  <c r="C93"/>
  <c r="E92"/>
  <c r="D92"/>
  <c r="C92"/>
  <c r="E91"/>
  <c r="D91"/>
  <c r="C91"/>
  <c r="E90"/>
  <c r="D90"/>
  <c r="C90"/>
  <c r="E87"/>
  <c r="D87"/>
  <c r="C87"/>
  <c r="E86"/>
  <c r="D86"/>
  <c r="C86"/>
  <c r="E85"/>
  <c r="D85"/>
  <c r="C85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2"/>
  <c r="D72"/>
  <c r="C72"/>
  <c r="E71"/>
  <c r="D71"/>
  <c r="C71"/>
  <c r="E70"/>
  <c r="D70"/>
  <c r="C70"/>
  <c r="E95"/>
  <c r="D95"/>
  <c r="C95"/>
  <c r="B95"/>
  <c r="E89"/>
  <c r="D89"/>
  <c r="C89"/>
  <c r="B89"/>
  <c r="E84"/>
  <c r="D84"/>
  <c r="C84"/>
  <c r="B84"/>
  <c r="E74"/>
  <c r="D74"/>
  <c r="C74"/>
  <c r="B74"/>
  <c r="E69"/>
  <c r="D69"/>
  <c r="C69"/>
  <c r="B69"/>
  <c r="E62"/>
  <c r="D62"/>
  <c r="C62"/>
  <c r="B62"/>
  <c r="E51"/>
  <c r="D51"/>
  <c r="C51"/>
  <c r="B51"/>
  <c r="E46"/>
  <c r="D46"/>
  <c r="C46"/>
  <c r="B46"/>
  <c r="E42"/>
  <c r="D42"/>
  <c r="C42"/>
  <c r="B42"/>
  <c r="E38"/>
  <c r="D38"/>
  <c r="C38"/>
  <c r="B38"/>
  <c r="E24"/>
  <c r="D24"/>
  <c r="C24"/>
  <c r="B24"/>
  <c r="E17"/>
  <c r="D17"/>
  <c r="C17"/>
  <c r="B17"/>
  <c r="E11"/>
  <c r="D11"/>
  <c r="C11"/>
  <c r="B11"/>
  <c r="E6"/>
  <c r="C6"/>
  <c r="A6"/>
  <c r="E5"/>
  <c r="C5"/>
  <c r="A5"/>
  <c r="E4"/>
  <c r="C4"/>
  <c r="A4"/>
  <c r="E3"/>
  <c r="C3"/>
  <c r="A3"/>
  <c r="E2"/>
  <c r="D2"/>
  <c r="C2"/>
  <c r="A2"/>
  <c r="E1"/>
  <c r="D1"/>
  <c r="C1"/>
  <c r="A1"/>
  <c r="D6" i="8"/>
  <c r="C6"/>
  <c r="A6"/>
  <c r="D5"/>
  <c r="C5"/>
  <c r="A5"/>
  <c r="D4"/>
  <c r="C4"/>
  <c r="A4"/>
  <c r="D3"/>
  <c r="C3"/>
  <c r="A3"/>
  <c r="D2"/>
  <c r="C2"/>
  <c r="A2"/>
  <c r="D1"/>
  <c r="C1"/>
  <c r="A1"/>
  <c r="D6" i="7"/>
  <c r="C6"/>
  <c r="A6"/>
  <c r="D5"/>
  <c r="C5"/>
  <c r="A5"/>
  <c r="D4"/>
  <c r="C4"/>
  <c r="A4"/>
  <c r="D3"/>
  <c r="C3"/>
  <c r="A3"/>
  <c r="D2"/>
  <c r="C2"/>
  <c r="A2"/>
  <c r="D1"/>
  <c r="C1"/>
  <c r="A1"/>
  <c r="E6" i="9"/>
  <c r="C6"/>
  <c r="E5"/>
  <c r="C5"/>
  <c r="E4"/>
  <c r="C4"/>
  <c r="E3"/>
  <c r="C3"/>
  <c r="E2"/>
  <c r="D2"/>
  <c r="C2"/>
  <c r="E1"/>
  <c r="D1"/>
  <c r="C1"/>
  <c r="E67" i="3"/>
  <c r="H24"/>
  <c r="H74"/>
  <c r="H20" i="1"/>
  <c r="H19"/>
  <c r="C30" i="6"/>
  <c r="H69" i="3"/>
  <c r="H64" i="1"/>
  <c r="H51" i="3"/>
  <c r="E116" i="6"/>
  <c r="D114"/>
  <c r="D112"/>
  <c r="H63" i="1"/>
  <c r="C118" i="6"/>
  <c r="C120"/>
  <c r="H30" i="1"/>
  <c r="C52" i="6"/>
  <c r="H32" i="1"/>
  <c r="C56" i="6"/>
  <c r="H61" i="1"/>
  <c r="E122" i="6"/>
  <c r="D120"/>
  <c r="E54"/>
  <c r="D52"/>
  <c r="D51"/>
  <c r="E42"/>
  <c r="E58"/>
  <c r="D56"/>
  <c r="D20"/>
  <c r="E34"/>
  <c r="D32"/>
  <c r="D30"/>
  <c r="E22"/>
  <c r="E20"/>
  <c r="G12" i="3"/>
  <c r="H12"/>
  <c r="H11"/>
  <c r="G11" i="1"/>
  <c r="H11"/>
  <c r="H10"/>
  <c r="C67" i="3"/>
  <c r="A12"/>
  <c r="E18"/>
  <c r="C25"/>
  <c r="D26"/>
  <c r="E27"/>
  <c r="C29"/>
  <c r="D30"/>
  <c r="E31"/>
  <c r="C33"/>
  <c r="D34"/>
  <c r="E35"/>
  <c r="C43"/>
  <c r="D44"/>
  <c r="E47"/>
  <c r="C49"/>
  <c r="D52"/>
  <c r="E53"/>
  <c r="C55"/>
  <c r="D56"/>
  <c r="E57"/>
  <c r="C64"/>
  <c r="D65"/>
  <c r="E66"/>
  <c r="C12"/>
  <c r="C19"/>
  <c r="D25"/>
  <c r="E26"/>
  <c r="C28"/>
  <c r="D29"/>
  <c r="E30"/>
  <c r="C32"/>
  <c r="D33"/>
  <c r="E34"/>
  <c r="C39"/>
  <c r="D43"/>
  <c r="E44"/>
  <c r="C48"/>
  <c r="D49"/>
  <c r="E52"/>
  <c r="C54"/>
  <c r="D55"/>
  <c r="E56"/>
  <c r="C63"/>
  <c r="D64"/>
  <c r="E65"/>
  <c r="D12"/>
  <c r="C18"/>
  <c r="D19"/>
  <c r="E25"/>
  <c r="C27"/>
  <c r="D28"/>
  <c r="E29"/>
  <c r="C31"/>
  <c r="D32"/>
  <c r="E33"/>
  <c r="C35"/>
  <c r="D39"/>
  <c r="E43"/>
  <c r="C47"/>
  <c r="D48"/>
  <c r="E49"/>
  <c r="C53"/>
  <c r="D54"/>
  <c r="E55"/>
  <c r="C57"/>
  <c r="D63"/>
  <c r="E64"/>
  <c r="C66"/>
  <c r="D67"/>
  <c r="E12"/>
  <c r="D18"/>
  <c r="E19"/>
  <c r="C26"/>
  <c r="D27"/>
  <c r="E28"/>
  <c r="C30"/>
  <c r="D31"/>
  <c r="E32"/>
  <c r="C34"/>
  <c r="D35"/>
  <c r="E39"/>
  <c r="C44"/>
  <c r="D47"/>
  <c r="E48"/>
  <c r="C52"/>
  <c r="D53"/>
  <c r="E54"/>
  <c r="C56"/>
  <c r="D57"/>
  <c r="E63"/>
  <c r="C65"/>
  <c r="D66"/>
  <c r="C6" i="2"/>
  <c r="B6"/>
  <c r="A6"/>
  <c r="C5"/>
  <c r="B5"/>
  <c r="A5"/>
  <c r="C4"/>
  <c r="B4"/>
  <c r="A4"/>
  <c r="C3"/>
  <c r="B3"/>
  <c r="A3"/>
  <c r="C2"/>
  <c r="B2"/>
  <c r="A2"/>
  <c r="C1"/>
  <c r="B1"/>
  <c r="A1"/>
  <c r="C14"/>
  <c r="B14"/>
  <c r="B13"/>
  <c r="B12"/>
  <c r="B11"/>
  <c r="B10"/>
  <c r="B9"/>
  <c r="C32" i="6"/>
  <c r="C14"/>
  <c r="D55"/>
  <c r="G26" i="1"/>
  <c r="H26"/>
  <c r="G47"/>
  <c r="H47"/>
  <c r="C86" i="6"/>
  <c r="D86"/>
  <c r="E86"/>
  <c r="E85"/>
  <c r="G40" i="1"/>
  <c r="H40"/>
  <c r="C72" i="6"/>
  <c r="D72"/>
  <c r="E72"/>
  <c r="E71"/>
  <c r="G56" i="1"/>
  <c r="H56"/>
  <c r="C104" i="6"/>
  <c r="D104"/>
  <c r="E104"/>
  <c r="E103"/>
  <c r="G46" i="1"/>
  <c r="H46"/>
  <c r="C84" i="6"/>
  <c r="D84"/>
  <c r="E84"/>
  <c r="E83"/>
  <c r="G39" i="1"/>
  <c r="H39"/>
  <c r="G51"/>
  <c r="H51"/>
  <c r="C94" i="6"/>
  <c r="D94"/>
  <c r="E94"/>
  <c r="E93"/>
  <c r="G41" i="1"/>
  <c r="H41"/>
  <c r="C74" i="6"/>
  <c r="D74"/>
  <c r="E74"/>
  <c r="E73"/>
  <c r="G18" i="1"/>
  <c r="H18"/>
  <c r="G55"/>
  <c r="H55"/>
  <c r="C102" i="6"/>
  <c r="D102"/>
  <c r="E102"/>
  <c r="E101"/>
  <c r="G45" i="1"/>
  <c r="H45"/>
  <c r="G29"/>
  <c r="H29"/>
  <c r="H60"/>
  <c r="C114" i="6"/>
  <c r="D113"/>
  <c r="E115"/>
  <c r="E114"/>
  <c r="D118"/>
  <c r="D117"/>
  <c r="D119"/>
  <c r="E121"/>
  <c r="E120"/>
  <c r="E41"/>
  <c r="E57"/>
  <c r="E56"/>
  <c r="E55"/>
  <c r="E53"/>
  <c r="E52"/>
  <c r="E51"/>
  <c r="H9" i="1"/>
  <c r="C12" i="6"/>
  <c r="D14"/>
  <c r="D19"/>
  <c r="D29"/>
  <c r="D31"/>
  <c r="E33"/>
  <c r="E32"/>
  <c r="E30"/>
  <c r="E19"/>
  <c r="E21"/>
  <c r="C112"/>
  <c r="D111"/>
  <c r="C13" i="2"/>
  <c r="C28" i="6"/>
  <c r="D28"/>
  <c r="D26"/>
  <c r="D18"/>
  <c r="H17" i="1"/>
  <c r="C44" i="6"/>
  <c r="D44"/>
  <c r="D40"/>
  <c r="H24" i="1"/>
  <c r="E112" i="6"/>
  <c r="E111"/>
  <c r="E113"/>
  <c r="C50"/>
  <c r="D50"/>
  <c r="H28" i="1"/>
  <c r="C48" i="6"/>
  <c r="C82"/>
  <c r="H44" i="1"/>
  <c r="C70" i="6"/>
  <c r="H38" i="1"/>
  <c r="C68" i="6"/>
  <c r="E118"/>
  <c r="E117"/>
  <c r="E119"/>
  <c r="D48"/>
  <c r="D47"/>
  <c r="E44"/>
  <c r="E28"/>
  <c r="E14"/>
  <c r="D12"/>
  <c r="C10"/>
  <c r="C9" i="2"/>
  <c r="E29" i="6"/>
  <c r="E31"/>
  <c r="E50"/>
  <c r="E49"/>
  <c r="H43" i="1"/>
  <c r="C80" i="6"/>
  <c r="C26"/>
  <c r="D25"/>
  <c r="H13" i="1"/>
  <c r="D82" i="6"/>
  <c r="D80"/>
  <c r="E82"/>
  <c r="C40"/>
  <c r="D39"/>
  <c r="H23" i="1"/>
  <c r="D70" i="6"/>
  <c r="D68"/>
  <c r="D67"/>
  <c r="E70"/>
  <c r="E43"/>
  <c r="E40"/>
  <c r="D38"/>
  <c r="E48"/>
  <c r="E47"/>
  <c r="D11"/>
  <c r="D10"/>
  <c r="E13"/>
  <c r="E12"/>
  <c r="E26"/>
  <c r="E27"/>
  <c r="D16"/>
  <c r="D9"/>
  <c r="H22" i="1"/>
  <c r="C38" i="6"/>
  <c r="D37"/>
  <c r="H12" i="1"/>
  <c r="C18" i="6"/>
  <c r="D17"/>
  <c r="E69"/>
  <c r="E68"/>
  <c r="E67"/>
  <c r="E80"/>
  <c r="E81"/>
  <c r="D78"/>
  <c r="D79"/>
  <c r="H42" i="1"/>
  <c r="C78" i="6"/>
  <c r="E39"/>
  <c r="D36"/>
  <c r="E18"/>
  <c r="E25"/>
  <c r="E11"/>
  <c r="E10"/>
  <c r="E38"/>
  <c r="E9"/>
  <c r="D77"/>
  <c r="D76"/>
  <c r="C11" i="2"/>
  <c r="C36" i="6"/>
  <c r="D35"/>
  <c r="C12" i="2"/>
  <c r="C76" i="6"/>
  <c r="E79"/>
  <c r="E78"/>
  <c r="C10" i="2"/>
  <c r="G67" i="1"/>
  <c r="C16" i="6"/>
  <c r="D15"/>
  <c r="E36"/>
  <c r="E35"/>
  <c r="E37"/>
  <c r="E17"/>
  <c r="E16"/>
  <c r="E15"/>
  <c r="E77"/>
  <c r="E76"/>
  <c r="E75"/>
  <c r="E124"/>
  <c r="D16" i="2"/>
  <c r="D75" i="6"/>
  <c r="D124"/>
  <c r="D128"/>
  <c r="E128"/>
  <c r="D12" i="2"/>
  <c r="D10"/>
  <c r="D11"/>
  <c r="D9"/>
  <c r="D14"/>
  <c r="D13"/>
  <c r="D18" i="7"/>
  <c r="D23"/>
  <c r="D38" i="8"/>
  <c r="D31"/>
  <c r="D19"/>
  <c r="D10" i="7"/>
  <c r="E68" i="1"/>
  <c r="G68"/>
  <c r="G69"/>
  <c r="C17" i="2"/>
  <c r="D17"/>
  <c r="D18"/>
  <c r="A125" i="6"/>
  <c r="E125"/>
  <c r="E126"/>
  <c r="D125"/>
  <c r="D126"/>
  <c r="D129"/>
  <c r="D40" i="8"/>
  <c r="D41"/>
  <c r="E123" i="6"/>
  <c r="C117"/>
  <c r="C111"/>
  <c r="C79"/>
  <c r="D123"/>
  <c r="D127"/>
  <c r="E127"/>
  <c r="C77"/>
  <c r="C81"/>
  <c r="C45"/>
  <c r="C19"/>
  <c r="C51"/>
  <c r="C29"/>
  <c r="C115"/>
  <c r="C95"/>
  <c r="C65"/>
  <c r="C57"/>
  <c r="C21"/>
  <c r="C75"/>
  <c r="C119"/>
  <c r="C55"/>
  <c r="C121"/>
  <c r="C109"/>
  <c r="C105"/>
  <c r="C97"/>
  <c r="C91"/>
  <c r="C87"/>
  <c r="C63"/>
  <c r="C59"/>
  <c r="C53"/>
  <c r="C23"/>
  <c r="C113"/>
  <c r="C41"/>
  <c r="C31"/>
  <c r="C107"/>
  <c r="C99"/>
  <c r="C89"/>
  <c r="C61"/>
  <c r="C33"/>
  <c r="C71"/>
  <c r="C73"/>
  <c r="C83"/>
  <c r="C93"/>
  <c r="C103"/>
  <c r="C69"/>
  <c r="C85"/>
  <c r="C101"/>
  <c r="C39"/>
  <c r="C47"/>
  <c r="C49"/>
  <c r="C27"/>
  <c r="C43"/>
  <c r="C13"/>
  <c r="C37"/>
  <c r="C25"/>
  <c r="C67"/>
  <c r="C11"/>
  <c r="C17"/>
  <c r="C35"/>
  <c r="C9"/>
  <c r="C15"/>
  <c r="D42" i="8"/>
  <c r="D43"/>
  <c r="E129" i="6"/>
</calcChain>
</file>

<file path=xl/sharedStrings.xml><?xml version="1.0" encoding="utf-8"?>
<sst xmlns="http://schemas.openxmlformats.org/spreadsheetml/2006/main" count="894" uniqueCount="457">
  <si>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</si>
  <si>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</si>
  <si>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</si>
  <si>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</si>
  <si>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</si>
  <si>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</si>
  <si>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</si>
  <si>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</si>
  <si>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</si>
  <si>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 xml:space="preserve"> 01 </t>
  </si>
  <si>
    <t>SERVIÇOS TÉCNICOS-PROFISSIONAIS</t>
  </si>
  <si>
    <t xml:space="preserve"> 01.08 </t>
  </si>
  <si>
    <t>TAXAS E EMOLUMENTOS</t>
  </si>
  <si>
    <t xml:space="preserve"> 01.08.1 </t>
  </si>
  <si>
    <t xml:space="preserve"> MPDFT1020 </t>
  </si>
  <si>
    <t>Próprio</t>
  </si>
  <si>
    <t>Anotação de Responsabilidade Técnica (Faixa 3 - Tabela A - CONFEA)</t>
  </si>
  <si>
    <t>un</t>
  </si>
  <si>
    <t xml:space="preserve"> 02 </t>
  </si>
  <si>
    <t>SERVIÇOS PRELIMINARES</t>
  </si>
  <si>
    <t xml:space="preserve"> 02.01 </t>
  </si>
  <si>
    <t>CANTEIRO DE OBRAS</t>
  </si>
  <si>
    <t xml:space="preserve"> 02.01.100 </t>
  </si>
  <si>
    <t>Construções Provisórias</t>
  </si>
  <si>
    <t xml:space="preserve"> 02.01.100.1 </t>
  </si>
  <si>
    <t xml:space="preserve"> 97064 </t>
  </si>
  <si>
    <t>SINAPI</t>
  </si>
  <si>
    <t>MONTAGEM E DESMONTAGEM DE ANDAIME TUBULAR TIPO TORRE (EXCLUSIVE ANDAIME E LIMPEZA). AF_11/2017</t>
  </si>
  <si>
    <t>M</t>
  </si>
  <si>
    <t xml:space="preserve"> 02.01.100.2 </t>
  </si>
  <si>
    <t xml:space="preserve"> 00010527 </t>
  </si>
  <si>
    <t>LOCACAO DE ANDAIME METALICO TUBULAR DE ENCAIXE, TIPO DE TORRE, COM LARGURA DE 1 ATE 1,5 M E ALTURA DE *1,00* M (INCLUSO SAPATAS FIXAS OU RODIZIOS)</t>
  </si>
  <si>
    <t>MXMES</t>
  </si>
  <si>
    <t xml:space="preserve"> 02.01.400 </t>
  </si>
  <si>
    <t>Proteção e Sinalização</t>
  </si>
  <si>
    <t xml:space="preserve"> 02.01.400.1 </t>
  </si>
  <si>
    <t xml:space="preserve"> MPDFT0992 </t>
  </si>
  <si>
    <t>Cópia da CPOS (02.03.030) - Proteção de superfícies com manta de papel kraft com plástico bolha alta resistência</t>
  </si>
  <si>
    <t>m²</t>
  </si>
  <si>
    <t xml:space="preserve"> 02.02 </t>
  </si>
  <si>
    <t>DEMOLIÇÃO</t>
  </si>
  <si>
    <t xml:space="preserve"> 02.02.100 </t>
  </si>
  <si>
    <t>Demolição Convencional</t>
  </si>
  <si>
    <t xml:space="preserve"> 02.02.100.1 </t>
  </si>
  <si>
    <t xml:space="preserve"> 97641 </t>
  </si>
  <si>
    <t>REMOÇÃO DE FORRO DE GESSO, DE FORMA MANUAL, SEM REAPROVEITAMENTO. AF_12/2017</t>
  </si>
  <si>
    <t xml:space="preserve"> 04 </t>
  </si>
  <si>
    <t>ARQUITETURA E ELEMENTOS DE URBANISMO</t>
  </si>
  <si>
    <t xml:space="preserve"> 04.01 </t>
  </si>
  <si>
    <t>ARQUITETURA</t>
  </si>
  <si>
    <t xml:space="preserve"> 04.01.100 </t>
  </si>
  <si>
    <t>Paredes</t>
  </si>
  <si>
    <t xml:space="preserve"> 04.01.100.1 </t>
  </si>
  <si>
    <t xml:space="preserve"> 96370 </t>
  </si>
  <si>
    <t>PAREDE COM PLACAS DE GESSO ACARTONADO (DRYWALL), PARA USO INTERNO, COM UMA FACE SIMPLES E ESTRUTURA METÁLICA COM GUIAS SIMPLES, SEM VÃOS. AF_06/2017_P</t>
  </si>
  <si>
    <t xml:space="preserve"> 04.01.100.3 </t>
  </si>
  <si>
    <t xml:space="preserve"> MPDFT1494 </t>
  </si>
  <si>
    <t>Copia da SINAPI (96370) - EXECUÇÃO DE NICHO EM PAREDE COM PLACAS DE GESSO ACARTONADO (DRYWALL), COM UMA FACE SIMPLES E ESTRUTURA METÁLICA COM GUIAS SIMPLES</t>
  </si>
  <si>
    <t xml:space="preserve"> 96374 </t>
  </si>
  <si>
    <t>INSTALAÇÃO DE REFORÇO DE MADEIRA EM PAREDE DRYWALL. AF_06/2017</t>
  </si>
  <si>
    <t xml:space="preserve"> 04.01.280 </t>
  </si>
  <si>
    <t>Esquadria de vidro</t>
  </si>
  <si>
    <t xml:space="preserve"> 04.01.280.1 </t>
  </si>
  <si>
    <t xml:space="preserve"> MPDFT1509 </t>
  </si>
  <si>
    <t>Porta de correr (duas folhas), DM 2,20 m x 2,00 m (AxL), em vidro temperado incolor de 10 mm com película decorativa jateada e ferragens na cor preta</t>
  </si>
  <si>
    <t xml:space="preserve"> 04.01.550 </t>
  </si>
  <si>
    <t>Revestimentos de forro</t>
  </si>
  <si>
    <t xml:space="preserve"> 04.01.550.1 </t>
  </si>
  <si>
    <t xml:space="preserve"> 96114 </t>
  </si>
  <si>
    <t>FORRO EM DRYWALL, PARA AMBIENTES COMERCIAIS, INCLUSIVE ESTRUTURA DE FIXAÇÃO. AF_05/2017_P</t>
  </si>
  <si>
    <t xml:space="preserve"> 04.01.560 </t>
  </si>
  <si>
    <t>Pinturas</t>
  </si>
  <si>
    <t xml:space="preserve"> 04.01.560.1 </t>
  </si>
  <si>
    <t xml:space="preserve"> 88485 </t>
  </si>
  <si>
    <t>APLICAÇÃO DE FUNDO SELADOR ACRÍLICO EM PAREDES, UMA DEMÃO. AF_06/2014</t>
  </si>
  <si>
    <t xml:space="preserve"> 04.01.560.2 </t>
  </si>
  <si>
    <t xml:space="preserve"> 88497 </t>
  </si>
  <si>
    <t>APLICAÇÃO E LIXAMENTO DE MASSA LÁTEX EM PAREDES, DUAS DEMÃOS. AF_06/2014</t>
  </si>
  <si>
    <t xml:space="preserve"> 04.01.560.3 </t>
  </si>
  <si>
    <t xml:space="preserve"> 88489 </t>
  </si>
  <si>
    <t>APLICAÇÃO MANUAL DE PINTURA COM TINTA LÁTEX ACRÍLICA EM PAREDES, DUAS DEMÃOS. AF_06/2014</t>
  </si>
  <si>
    <t xml:space="preserve"> 88496 </t>
  </si>
  <si>
    <t>APLICAÇÃO E LIXAMENTO DE MASSA LÁTEX EM TETO, DUAS DEMÃOS. AF_06/2014</t>
  </si>
  <si>
    <t xml:space="preserve"> 04.01.560.4 </t>
  </si>
  <si>
    <t xml:space="preserve"> 88488 </t>
  </si>
  <si>
    <t>APLICAÇÃO MANUAL DE PINTURA COM TINTA LÁTEX ACRÍLICA EM TETO, DUAS DEMÃOS. AF_06/2014</t>
  </si>
  <si>
    <t xml:space="preserve"> 04.01.700 </t>
  </si>
  <si>
    <t>Acabamentos e Arremates</t>
  </si>
  <si>
    <t xml:space="preserve"> 04.01.700.1 </t>
  </si>
  <si>
    <t xml:space="preserve"> MPDFT1448 </t>
  </si>
  <si>
    <t>Copia da SBC (150158) - Película de controle solar, 3M modelo Preto blackout</t>
  </si>
  <si>
    <t xml:space="preserve"> 04.01.700.2 </t>
  </si>
  <si>
    <t xml:space="preserve"> MPDFT1449 </t>
  </si>
  <si>
    <t>Copia da SBC (130311) - Rodapé inverso de alumínio e=2mm, com acabamento em pintura eletrostática na cor preta, DM 6,2 x 1,4 cm (AxE)</t>
  </si>
  <si>
    <t>m</t>
  </si>
  <si>
    <t xml:space="preserve"> 04.01.700.3 </t>
  </si>
  <si>
    <t xml:space="preserve"> MPDFT1495 </t>
  </si>
  <si>
    <t>Copia da SINAPI (98685) - RODAPÉ EM GRANITO SÃO GRABRIEL, ALTURA 20 CM. AF_09/2020</t>
  </si>
  <si>
    <t xml:space="preserve"> 06 </t>
  </si>
  <si>
    <t>INSTALAÇÕES ELÉTRICAS E ELETRÔNICA</t>
  </si>
  <si>
    <t xml:space="preserve"> 06.01 </t>
  </si>
  <si>
    <t>INSTALAÇÕES ELÉTRICAS</t>
  </si>
  <si>
    <t xml:space="preserve"> 06.01.400 </t>
  </si>
  <si>
    <t>Rede Elétrica Secundária</t>
  </si>
  <si>
    <t xml:space="preserve"> 06.01.400.1 </t>
  </si>
  <si>
    <t xml:space="preserve"> MPDFT1496 </t>
  </si>
  <si>
    <t>Copia da SBC (060105) - Luminária perfil alumínio de sobrepor Usina Design, modelo 30020/200 Garbo, com fita LED integrada, Brilia mod. 431221 ,  comprimento de 2m</t>
  </si>
  <si>
    <t>UN</t>
  </si>
  <si>
    <t xml:space="preserve"> 06.01.400.2 </t>
  </si>
  <si>
    <t xml:space="preserve"> MPDFT1439 </t>
  </si>
  <si>
    <t>Copia da SBC (060055) - Spot orientável em LED para trilho eletrificado de 1 circuito, com driver multitensão (100 a 250V), corpo em alumínio, acabamento com pintura microtexturizada preta, facho recuado, temp. de cor 3000K, 1000lm, IRC&gt;85, Lumicenter SR19-T1000830FP</t>
  </si>
  <si>
    <t xml:space="preserve"> 06.01.400.3 </t>
  </si>
  <si>
    <t xml:space="preserve"> MPDFT1438 </t>
  </si>
  <si>
    <t>Copia da SBC (060017) - Conjunto de Trilho eletrificado de 1 circuito para spot, cor preta (acompanhado de acessórios), Lumicenter ACTR-TR1C200PT, fixado por cabo de aço atirantado em laje</t>
  </si>
  <si>
    <t>cj</t>
  </si>
  <si>
    <t xml:space="preserve"> 06.01.400.4 </t>
  </si>
  <si>
    <t xml:space="preserve"> 91953 </t>
  </si>
  <si>
    <t>INTERRUPTOR SIMPLES (1 MÓDULO), 10A/250V, INCLUINDO SUPORTE E PLACA - FORNECIMENTO E INSTALAÇÃO. AF_12/2015</t>
  </si>
  <si>
    <t xml:space="preserve"> 06.01.400.5 </t>
  </si>
  <si>
    <t xml:space="preserve"> 91992 </t>
  </si>
  <si>
    <t>TOMADA ALTA DE EMBUTIR (1 MÓDULO), 2P+T 10 A, INCLUINDO SUPORTE E PLACA - FORNECIMENTO E INSTALAÇÃO. AF_12/2015</t>
  </si>
  <si>
    <t xml:space="preserve"> 06.01.400.6 </t>
  </si>
  <si>
    <t xml:space="preserve"> 98307 </t>
  </si>
  <si>
    <t>TOMADA DE REDE RJ45 - FORNECIMENTO E INSTALAÇÃO. AF_11/2019</t>
  </si>
  <si>
    <t xml:space="preserve"> 06.01.400.7 </t>
  </si>
  <si>
    <t xml:space="preserve"> MPDFT1190 </t>
  </si>
  <si>
    <t>Copia da SINAPI (98307) - TOMADA DE REDE RJ45 APENAS MÓDULO - FORNECIMENTO E INSTALAÇÃO.</t>
  </si>
  <si>
    <t xml:space="preserve"> 06.01.400.8 </t>
  </si>
  <si>
    <t xml:space="preserve"> 91941 </t>
  </si>
  <si>
    <t>CAIXA RETANGULAR 4" X 2" BAIXA (0,30 M DO PISO), PVC, INSTALADA EM PAREDE - FORNECIMENTO E INSTALAÇÃO. AF_12/2015</t>
  </si>
  <si>
    <t xml:space="preserve"> 06.01.400.9 </t>
  </si>
  <si>
    <t xml:space="preserve"> 95805 </t>
  </si>
  <si>
    <t>CONDULETE DE PVC, TIPO B, PARA ELETRODUTO DE PVC SOLDÁVEL DN 25 MM (3/4''), APARENTE - FORNECIMENTO E INSTALAÇÃO. AF_11/2016</t>
  </si>
  <si>
    <t xml:space="preserve"> 06.01.400.10 </t>
  </si>
  <si>
    <t xml:space="preserve"> 95808 </t>
  </si>
  <si>
    <t>CONDULETE DE PVC, TIPO LL, PARA ELETRODUTO DE PVC SOLDÁVEL DN 25 MM (3/4''), APARENTE - FORNECIMENTO E INSTALAÇÃO. AF_11/2016</t>
  </si>
  <si>
    <t xml:space="preserve"> 06.01.400.11 </t>
  </si>
  <si>
    <t xml:space="preserve"> MPDFT1505 </t>
  </si>
  <si>
    <t>Copia da SINAPI (95730) - Eletroduto rígido soldável, PVC cor cinza, DN 25 MM (3/4"), aparente, instalado em parede  - fornecimento e instalação</t>
  </si>
  <si>
    <t xml:space="preserve"> 06.01.400.12 </t>
  </si>
  <si>
    <t xml:space="preserve"> MPDFT0702 </t>
  </si>
  <si>
    <t>Cópia da Agetop Civil (071232) - Eletroduto metálico flexível tipo sealtube / copex 25mm (3/4")</t>
  </si>
  <si>
    <t xml:space="preserve"> 06.01.400.13 </t>
  </si>
  <si>
    <t xml:space="preserve"> 91834 </t>
  </si>
  <si>
    <t>ELETRODUTO FLEXÍVEL CORRUGADO, PVC, DN 25 MM (3/4"), PARA CIRCUITOS TERMINAIS, INSTALADO EM FORRO - FORNECIMENTO E INSTALAÇÃO. AF_12/2015</t>
  </si>
  <si>
    <t xml:space="preserve"> 06.01.400.14 </t>
  </si>
  <si>
    <t xml:space="preserve"> 91926 </t>
  </si>
  <si>
    <t>CABO DE COBRE FLEXÍVEL ISOLADO, 2,5 MM², ANTI-CHAMA 450/750 V, PARA CIRCUITOS TERMINAIS - FORNECIMENTO E INSTALAÇÃO. AF_12/2015</t>
  </si>
  <si>
    <t xml:space="preserve"> 06.01.400.15 </t>
  </si>
  <si>
    <t xml:space="preserve"> 98296 </t>
  </si>
  <si>
    <t>CABO ELETRÔNICO CATEGORIA 6, INSTALADO EM EDIFICAÇÃO RESIDENCIAL - FORNECIMENTO E INSTALAÇÃO. AF_11/2019</t>
  </si>
  <si>
    <t xml:space="preserve"> 09 </t>
  </si>
  <si>
    <t>SERVIÇOS COMPLEMENTARES</t>
  </si>
  <si>
    <t xml:space="preserve"> 09.02 </t>
  </si>
  <si>
    <t>LIMPEZA DE OBRAS</t>
  </si>
  <si>
    <t xml:space="preserve"> 09.02.1 </t>
  </si>
  <si>
    <t xml:space="preserve"> 99809 </t>
  </si>
  <si>
    <t>LIMPEZA DE PISO DE LADRILHO HIDRÁULICO COM PANO ÚMIDO. AF_04/2019</t>
  </si>
  <si>
    <t xml:space="preserve"> 10 </t>
  </si>
  <si>
    <t>SERVIÇOS AUXILIARES E ADMINISTRATIVO</t>
  </si>
  <si>
    <t xml:space="preserve"> 10.01 </t>
  </si>
  <si>
    <t>PESSOAL</t>
  </si>
  <si>
    <t xml:space="preserve"> 10.01.1 </t>
  </si>
  <si>
    <t xml:space="preserve"> 93572 </t>
  </si>
  <si>
    <t>ENCARREGADO GERAL DE OBRAS COM ENCARGOS COMPLEMENTARES</t>
  </si>
  <si>
    <t>MES</t>
  </si>
  <si>
    <t>Total sem BDI</t>
  </si>
  <si>
    <t>Total do BDI</t>
  </si>
  <si>
    <t>Total Geral</t>
  </si>
  <si>
    <t>Peso (%)</t>
  </si>
  <si>
    <t>Planilha Orçamentária Resumida</t>
  </si>
  <si>
    <t>Material</t>
  </si>
  <si>
    <t>Insumo</t>
  </si>
  <si>
    <t>Mão de Obra</t>
  </si>
  <si>
    <t>Composição</t>
  </si>
  <si>
    <t>H</t>
  </si>
  <si>
    <t>SERVENTE COM ENCARGOS COMPLEMENTARES</t>
  </si>
  <si>
    <t xml:space="preserve"> 88316 </t>
  </si>
  <si>
    <t>ELETRICISTA COM ENCARGOS COMPLEMENTARES</t>
  </si>
  <si>
    <t xml:space="preserve"> 88264 </t>
  </si>
  <si>
    <t>AUXILIAR DE ELETRICISTA COM ENCARGOS COMPLEMENTARES</t>
  </si>
  <si>
    <t xml:space="preserve"> 88247 </t>
  </si>
  <si>
    <t>ELETRODUTO FLEXIVEL, EM ACO GALVANIZADO, REVESTIDO EXTERNAMENTE COM PVC PRETO, DIAMETRO EXTERNO DE 25 MM (3/4"), TIPO SEALTUBO</t>
  </si>
  <si>
    <t xml:space="preserve"> 00002504 </t>
  </si>
  <si>
    <t>ELETRODUTO/CONDULETE DE PVC RIGIDO, LISO, COR CINZA, DE 3/4", PARA INSTALACOES APARENTES (NBR 5410)</t>
  </si>
  <si>
    <t xml:space="preserve"> 00039253 </t>
  </si>
  <si>
    <t>FIXAÇÃO DE TUBOS VERTICAIS DE PPR DIÂMETROS MENORES OU IGUAIS A 40 MM COM ABRAÇADEIRA METÁLICA RÍGIDA TIPO D 1/2", FIXADA EM PERFILADO EM ALVENARIA. AF_05/2015</t>
  </si>
  <si>
    <t xml:space="preserve"> 91173 </t>
  </si>
  <si>
    <t>TOMADA RJ45, 8 FIOS, CAT 5E (APENAS MODULO)</t>
  </si>
  <si>
    <t xml:space="preserve"> 00038104 </t>
  </si>
  <si>
    <t>Conector em linha, para trilho eletrificado de 1 circuito, cor preta, Lumicenter ACTR-CONI1CPT</t>
  </si>
  <si>
    <t xml:space="preserve"> CM1949 </t>
  </si>
  <si>
    <t>Conector em "L", para trilho eletrificado de 1 circuito, cor preta, Lumicenter ACTR-CONL1CPT</t>
  </si>
  <si>
    <t xml:space="preserve"> CM1950 </t>
  </si>
  <si>
    <t xml:space="preserve"> CM1947 </t>
  </si>
  <si>
    <t xml:space="preserve"> CM1948 </t>
  </si>
  <si>
    <t>KG</t>
  </si>
  <si>
    <t>CABO DE ACO GALVANIZADO, DIAMETRO 9,53 MM (3/8"), COM ALMA DE FIBRA 6 X 25 F</t>
  </si>
  <si>
    <t xml:space="preserve"> 00041954 </t>
  </si>
  <si>
    <t>PARAFUSO DE ACO TIPO CHUMBADOR PARABOLT, DIAMETRO 3/8", COMPRIMENTO 75 MM</t>
  </si>
  <si>
    <t xml:space="preserve"> 00011964 </t>
  </si>
  <si>
    <t>Spot orientável em LED para trilho eletrificado de 1 circuito, com driver multitensão (100 a 250V), corpo em alumínio, acabamento com pintura microtexturizada preta, facho recuado, temp. de cor 3000K, 1000lm, IRC&gt;85, Lumicenter SR19-T1000830FP</t>
  </si>
  <si>
    <t xml:space="preserve"> CM1946 </t>
  </si>
  <si>
    <t xml:space="preserve"> CM1969 </t>
  </si>
  <si>
    <t>Acabamento reto (granito)</t>
  </si>
  <si>
    <t xml:space="preserve"> CM0065 </t>
  </si>
  <si>
    <t>PISO EM GRANITO, POLIDO, TIPO PRETO SAO GABRIEL/ TIJUCA OU OUTROS EQUIVALENTES DA REGIAO, FORMATO MENOR OU IGUAL A 3025 CM2, E=  *2* CM</t>
  </si>
  <si>
    <t xml:space="preserve"> 00010842 </t>
  </si>
  <si>
    <t>ARGAMASSA COLANTE TIPO AC III</t>
  </si>
  <si>
    <t xml:space="preserve"> 00037595 </t>
  </si>
  <si>
    <t>REJUNTE CIMENTICIO, QUALQUER COR</t>
  </si>
  <si>
    <t xml:space="preserve"> 00034357 </t>
  </si>
  <si>
    <t>MARMORISTA/GRANITEIRO COM ENCARGOS COMPLEMENTARES</t>
  </si>
  <si>
    <t xml:space="preserve"> 88274 </t>
  </si>
  <si>
    <t>Rodapé inverso de alumínio e=2mm, com acabamento em pintura eletrostática na cor preta, DM 6,2 x 1,4 cm (AxE)</t>
  </si>
  <si>
    <t xml:space="preserve"> CM1956 </t>
  </si>
  <si>
    <t>AUXILIAR DE SERRALHEIRO COM ENCARGOS COMPLEMENTARES</t>
  </si>
  <si>
    <t xml:space="preserve"> 88251 </t>
  </si>
  <si>
    <t>SERRALHEIRO COM ENCARGOS COMPLEMENTARES</t>
  </si>
  <si>
    <t xml:space="preserve"> 88315 </t>
  </si>
  <si>
    <t>Película de controle solar, 3M, modelo Preto blackout</t>
  </si>
  <si>
    <t xml:space="preserve"> CM1955 </t>
  </si>
  <si>
    <t>VIDRACEIRO COM ENCARGOS COMPLEMENTARES</t>
  </si>
  <si>
    <t xml:space="preserve"> 88325 </t>
  </si>
  <si>
    <t>PLACA / CHAPA DE GESSO ACARTONADO, STANDARD (ST), COR BRANCA, E = 12,5 MM, 1200 X 2400 MM (L X C)</t>
  </si>
  <si>
    <t xml:space="preserve"> 00039413 </t>
  </si>
  <si>
    <t>CENTO</t>
  </si>
  <si>
    <t>PARAFUSO DRY WALL, EM ACO ZINCADO, CABECA LENTILHA E PONTA BROCA (LB), LARGURA 4,2 MM, COMPRIMENTO 13 MM</t>
  </si>
  <si>
    <t xml:space="preserve"> 00039443 </t>
  </si>
  <si>
    <t>PARAFUSO DRY WALL, EM ACO FOSFATIZADO, CABECA TROMBETA E PONTA AGULHA (TA), COMPRIMENTO 25 MM</t>
  </si>
  <si>
    <t xml:space="preserve"> 00039435 </t>
  </si>
  <si>
    <t>MASSA DE REJUNTE EM PO PARA DRYWALL, A BASE DE GESSO, SECAGEM RAPIDA, PARA TRATAMENTO DE JUNTAS DE CHAPA DE GESSO (NECESSITA ADICAO DE AGUA)</t>
  </si>
  <si>
    <t xml:space="preserve"> 00039434 </t>
  </si>
  <si>
    <t>FITA DE PAPEL REFORCADA COM LAMINA DE METAL PARA REFORCO DE CANTOS DE CHAPA DE GESSO PARA DRYWALL</t>
  </si>
  <si>
    <t xml:space="preserve"> 00039432 </t>
  </si>
  <si>
    <t>MONTADOR DE ESTRUTURA METÁLICA COM ENCARGOS COMPLEMENTARES</t>
  </si>
  <si>
    <t xml:space="preserve"> 88278 </t>
  </si>
  <si>
    <t xml:space="preserve"> CM1973 </t>
  </si>
  <si>
    <t>FITA DE PAPEL MICROPERFURADO, 50 X 150 MM, PARA TRATAMENTO DE JUNTAS DE CHAPA DE GESSO PARA DRYWALL</t>
  </si>
  <si>
    <t xml:space="preserve"> 00039431 </t>
  </si>
  <si>
    <t>PERFIL MONTANTE, FORMATO C, EM ACO ZINCADO, PARA ESTRUTURA PAREDE DRYWALL, E = 0,5 MM, 70 X 3000 MM (L X C)</t>
  </si>
  <si>
    <t xml:space="preserve"> 00039422 </t>
  </si>
  <si>
    <t>PERFIL GUIA, FORMATO U, EM ACO ZINCADO, PARA ESTRUTURA PAREDE DRYWALL, E = 0,5 MM, 70 X 3000 MM (L X C)</t>
  </si>
  <si>
    <t xml:space="preserve"> 00039419 </t>
  </si>
  <si>
    <t>PINO DE ACO COM ARRUELA CONICA, DIAMETRO ARRUELA = *23* MM E COMP HASTE = *27* MM (ACAO INDIRETA)</t>
  </si>
  <si>
    <t xml:space="preserve"> 00037586 </t>
  </si>
  <si>
    <t>Manta de papel kraft com plástico bolha alta resistência</t>
  </si>
  <si>
    <t xml:space="preserve"> CM1746 </t>
  </si>
  <si>
    <t>vb</t>
  </si>
  <si>
    <t>Anotação de Resposanbilidade Técnica (Faixa 3 - Tabela A - CONFEA)</t>
  </si>
  <si>
    <t xml:space="preserve"> CM0645 </t>
  </si>
  <si>
    <t>Planilha Orçamentária Analítica</t>
  </si>
  <si>
    <t>Valor Acumulado</t>
  </si>
  <si>
    <t>Custo Acumulado</t>
  </si>
  <si>
    <t>Porcentagem Acumulado</t>
  </si>
  <si>
    <t>Custo</t>
  </si>
  <si>
    <t>Porcentagem</t>
  </si>
  <si>
    <t>60 DIAS</t>
  </si>
  <si>
    <t>30 DIAS</t>
  </si>
  <si>
    <t>Total Por Etapa</t>
  </si>
  <si>
    <t>Cronograma Físico e Financeiro</t>
  </si>
  <si>
    <t>Valor Mensal</t>
  </si>
  <si>
    <t>Data:</t>
  </si>
  <si>
    <t>Composição de BDI</t>
  </si>
  <si>
    <t>ITEM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</si>
  <si>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</si>
  <si>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</si>
  <si>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</si>
  <si>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</si>
  <si>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</si>
  <si>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</si>
  <si>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</si>
  <si>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</si>
  <si>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</si>
  <si>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</si>
  <si>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</si>
  <si>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</si>
  <si>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</si>
  <si>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</si>
  <si>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</si>
  <si>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</si>
  <si>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</si>
  <si>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</si>
  <si>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</si>
  <si>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</si>
  <si>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</si>
  <si>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</si>
  <si>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ISS (2% após desconto das mercadorias aplicadas)</t>
  </si>
  <si>
    <t>BDI</t>
  </si>
  <si>
    <t>BDI = [(((1+(a1+a2+a3))*(1+a4)*(1+a5)))/(1-B1)-1]</t>
  </si>
  <si>
    <t>Composição de Encargos Sociais - Mensalista não desonerado</t>
  </si>
  <si>
    <t>Discriminação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</si>
  <si>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</si>
  <si>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</si>
  <si>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</si>
  <si>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</si>
  <si>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</si>
  <si>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</si>
  <si>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</si>
  <si>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</si>
  <si>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</si>
  <si>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</si>
  <si>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</si>
  <si>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</si>
  <si>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</si>
  <si>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</si>
  <si>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</si>
  <si>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</si>
  <si>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</si>
  <si>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</si>
  <si>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</si>
  <si>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>GRUPO B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</si>
  <si>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</si>
  <si>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</si>
  <si>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</si>
  <si>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</si>
  <si>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</si>
  <si>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</si>
  <si>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</si>
  <si>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</si>
  <si>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</si>
  <si>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</si>
  <si>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</si>
  <si>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</si>
  <si>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</si>
  <si>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</si>
  <si>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</si>
  <si>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</si>
  <si>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</si>
  <si>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</si>
  <si>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</si>
  <si>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</si>
  <si>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</si>
  <si>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</si>
  <si>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</si>
  <si>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</si>
  <si>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</si>
  <si>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</si>
  <si>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</si>
  <si>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</si>
  <si>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</si>
  <si>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</si>
  <si>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</si>
  <si>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</si>
  <si>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</si>
  <si>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</si>
  <si>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</si>
  <si>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</si>
  <si>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</si>
  <si>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 xml:space="preserve">D </t>
  </si>
  <si>
    <t>Total das taxas incidências e reincidências</t>
  </si>
  <si>
    <t>Fita de LEd Brilia 431221 Ultra 15W/m 2700K 12V IP20 2m</t>
  </si>
  <si>
    <t xml:space="preserve"> CM2009 </t>
  </si>
  <si>
    <t>Fonte Driver Brilia 435847 Intelligent 30W 2,5A 12V Bivolt</t>
  </si>
  <si>
    <t xml:space="preserve"> CM2010 </t>
  </si>
  <si>
    <t>Perfil de alumínio de sobrepor, comprimento de 2m, marca Usina Design, modelo 30020/200 Garbo</t>
  </si>
  <si>
    <t>Trilho eletrificado de 1 circuito para spot, cor preta, l=2,0m, Lumicenter ACTR-TR1C200PT, (acompanhado de terminal de alimentação e tampa)</t>
  </si>
  <si>
    <t>Trilho eletrificado de 1 circuito para spot, cor preta, l=3,0m, Lumicenter ACTR-TR1C300PT, (acompanhado de terminal de alimentação e tampa)</t>
  </si>
  <si>
    <t>P. Execução:</t>
  </si>
  <si>
    <t>Licitação:</t>
  </si>
  <si>
    <t>P. Validade:</t>
  </si>
  <si>
    <t>Razão Social:</t>
  </si>
  <si>
    <t>Telefone:</t>
  </si>
  <si>
    <t>D</t>
  </si>
  <si>
    <t>E</t>
  </si>
  <si>
    <t>P. Garantia:</t>
  </si>
  <si>
    <t>CNPJ:</t>
  </si>
  <si>
    <t>E-mail:</t>
  </si>
  <si>
    <t>F</t>
  </si>
  <si>
    <t>G</t>
  </si>
  <si>
    <r>
      <rPr>
        <b/>
        <sz val="8"/>
        <color indexed="8"/>
        <rFont val="Arial"/>
        <family val="2"/>
      </rPr>
      <t xml:space="preserve">Objeto: </t>
    </r>
    <r>
      <rPr>
        <sz val="8"/>
        <color indexed="8"/>
        <rFont val="Arial"/>
        <family val="2"/>
      </rPr>
      <t>Adequação para instalação do Espaço Memória no edifício-sede</t>
    </r>
  </si>
  <si>
    <r>
      <rPr>
        <b/>
        <sz val="8"/>
        <color indexed="8"/>
        <rFont val="Arial"/>
        <family val="2"/>
      </rPr>
      <t>Local:</t>
    </r>
    <r>
      <rPr>
        <sz val="8"/>
        <color indexed="8"/>
        <rFont val="Arial"/>
        <family val="2"/>
      </rPr>
      <t xml:space="preserve"> Praça do Buriti Bloco A, Zona Cívico-Administrativa, Lote 2 - Brasília / DF</t>
    </r>
  </si>
  <si>
    <t>Insumos e Serviços</t>
  </si>
  <si>
    <t>Classificação</t>
  </si>
  <si>
    <t>Instruções de Preenchimento do Modelo de Proposta</t>
  </si>
  <si>
    <t>CONSIDERAÇÕES GERAIS</t>
  </si>
  <si>
    <r>
      <t xml:space="preserve">O cabeçalho deverá ser preenchido somente na </t>
    </r>
    <r>
      <rPr>
        <b/>
        <sz val="8"/>
        <color indexed="10"/>
        <rFont val="Arial"/>
        <family val="2"/>
      </rPr>
      <t>PLANILHA DE ORÇAMENTO SINTÉTICO</t>
    </r>
    <r>
      <rPr>
        <sz val="8"/>
        <rFont val="Arial"/>
        <family val="2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</si>
  <si>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</si>
  <si>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</si>
  <si>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t xml:space="preserve">Valide os valores constantes na </t>
    </r>
    <r>
      <rPr>
        <b/>
        <sz val="8"/>
        <rFont val="Arial"/>
        <family val="2"/>
      </rPr>
      <t>Planilha de Insumos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e Serviços</t>
    </r>
    <r>
      <rPr>
        <sz val="8"/>
        <rFont val="Arial"/>
        <family val="2"/>
      </rPr>
      <t>, observando as orientações contidas no edital no tocante aos valores máximos.</t>
    </r>
  </si>
  <si>
    <t>2.2</t>
  </si>
  <si>
    <r>
      <t xml:space="preserve">Valide os coeficientes de participação dos insumos, constantes na </t>
    </r>
    <r>
      <rPr>
        <b/>
        <sz val="8"/>
        <rFont val="Arial"/>
        <family val="2"/>
      </rPr>
      <t>Planilha de Orçamento Analítico</t>
    </r>
    <r>
      <rPr>
        <sz val="8"/>
        <rFont val="Arial"/>
        <family val="2"/>
      </rPr>
      <t>.</t>
    </r>
  </si>
  <si>
    <t>2.3</t>
  </si>
  <si>
    <r>
      <t xml:space="preserve">Preencha os coeficientes relativo à cada item da </t>
    </r>
    <r>
      <rPr>
        <b/>
        <sz val="8"/>
        <rFont val="Arial"/>
        <family val="2"/>
      </rPr>
      <t xml:space="preserve">Planilha de Composição do BDI, </t>
    </r>
    <r>
      <rPr>
        <sz val="8"/>
        <rFont val="Arial"/>
        <family val="2"/>
      </rPr>
      <t>realizando os ajustes que julgar necessário, observando as orientações sobre esta planilha, que estão descritas abaixo;</t>
    </r>
  </si>
  <si>
    <t>2.4</t>
  </si>
  <si>
    <t>2.5</t>
  </si>
  <si>
    <r>
      <t xml:space="preserve">Neste momento o valor final da proposta já será conhecido. Preencha a </t>
    </r>
    <r>
      <rPr>
        <b/>
        <sz val="8"/>
        <rFont val="Arial"/>
        <family val="2"/>
      </rPr>
      <t>Planilha de Composição de Encargos Sociais</t>
    </r>
    <r>
      <rPr>
        <sz val="8"/>
        <rFont val="Arial"/>
        <family val="2"/>
      </rPr>
      <t xml:space="preserve"> com os percentuais de cada item que a compoe.</t>
    </r>
  </si>
  <si>
    <t>SOBRE A PLANILHA DE ORÇAMENTO SINTÉTICO</t>
  </si>
  <si>
    <r>
      <t xml:space="preserve">A Planilha Orçamentária </t>
    </r>
    <r>
      <rPr>
        <b/>
        <u/>
        <sz val="8"/>
        <color indexed="10"/>
        <rFont val="Arial"/>
        <family val="2"/>
      </rPr>
      <t>não</t>
    </r>
    <r>
      <rPr>
        <sz val="8"/>
        <rFont val="Arial"/>
        <family val="2"/>
      </rPr>
      <t xml:space="preserve"> poderá sofrer alterações em sua estrutura (adição ou subtração de serviços, ou mesmo alteração na quantidade dos itens);</t>
    </r>
  </si>
  <si>
    <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10"/>
        <rFont val="Arial"/>
        <family val="2"/>
      </rPr>
      <t>NENHUM</t>
    </r>
    <r>
      <rPr>
        <sz val="8"/>
        <rFont val="Arial"/>
        <family val="2"/>
      </rPr>
      <t xml:space="preserve"> valor unitário deverá ser preenchido diretamente nesta planilha;</t>
    </r>
  </si>
  <si>
    <t>SOBRE A PLANILHA DE ORÇAMENTO ANALÍTICO</t>
  </si>
  <si>
    <r>
      <t xml:space="preserve">Esta planilha é referencial, portanto os </t>
    </r>
    <r>
      <rPr>
        <b/>
        <sz val="8"/>
        <rFont val="Arial"/>
        <family val="2"/>
      </rPr>
      <t xml:space="preserve">coeficientes </t>
    </r>
    <r>
      <rPr>
        <sz val="8"/>
        <rFont val="Arial"/>
        <family val="2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</si>
  <si>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</si>
  <si>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</si>
  <si>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</si>
  <si>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</si>
  <si>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</si>
  <si>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t>Os valores unitários deverão ser preenchidos com</t>
    </r>
    <r>
      <rPr>
        <b/>
        <u/>
        <sz val="8"/>
        <color indexed="10"/>
        <rFont val="Arial"/>
        <family val="2"/>
      </rPr>
      <t xml:space="preserve"> no máximo duas casas decimais</t>
    </r>
    <r>
      <rPr>
        <sz val="8"/>
        <rFont val="Arial"/>
        <family val="2"/>
      </rPr>
      <t>. Caso opte por aplicar um percentual lde desconto, certifique-se de utilizar fórmula de arredondamento ou truncamento respeitando este limite.</t>
    </r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</si>
  <si>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</si>
  <si>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</si>
  <si>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</si>
  <si>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O valor final da composição do BDI está vinculado, por precedência, à Planilha de Orçamento Sintético.</t>
  </si>
  <si>
    <t>SOBRE A PLANILHA DE COMPOSIÇÃO DE ENCARGOS SOCIAIS</t>
  </si>
  <si>
    <t>E1</t>
  </si>
  <si>
    <t>Esta planilha é meramente demonstrativa (não influi sobre o valor final do orçamento).</t>
  </si>
  <si>
    <t>SOBRE O CRONOGRAMA FÍSICO-FINANCEIRO</t>
  </si>
  <si>
    <t>Os itens e valores desta planiha são provenientes da Planilha de Orçamento Sintético;</t>
  </si>
  <si>
    <r>
      <t xml:space="preserve">Os </t>
    </r>
    <r>
      <rPr>
        <b/>
        <sz val="8"/>
        <color indexed="10"/>
        <rFont val="Arial"/>
        <family val="2"/>
      </rPr>
      <t>serviços</t>
    </r>
    <r>
      <rPr>
        <sz val="8"/>
        <rFont val="Arial"/>
        <family val="2"/>
      </rPr>
      <t xml:space="preserve"> a serem executados mensalmente, deverão ser informadas na</t>
    </r>
    <r>
      <rPr>
        <b/>
        <sz val="8"/>
        <color indexed="10"/>
        <rFont val="Arial"/>
        <family val="2"/>
      </rPr>
      <t xml:space="preserve"> linha do percentual</t>
    </r>
    <r>
      <rPr>
        <sz val="8"/>
        <rFont val="Arial"/>
        <family val="2"/>
      </rPr>
      <t>, e os valores serão preenchidos automaticamente, inclusive nas etapas macro;</t>
    </r>
  </si>
  <si>
    <t>O ajuste final (última etapa) de um determinado item, deverá respeitar a fórmula inserida no último mês do cronograma, transportando-a quando necessário.</t>
  </si>
  <si>
    <r>
      <t xml:space="preserve">Preencha o percentual referente à mão-de-obra na célula </t>
    </r>
    <r>
      <rPr>
        <b/>
        <sz val="8"/>
        <color indexed="10"/>
        <rFont val="Arial"/>
        <family val="2"/>
      </rPr>
      <t xml:space="preserve">B68 </t>
    </r>
    <r>
      <rPr>
        <sz val="8"/>
        <rFont val="Arial"/>
        <family val="2"/>
      </rPr>
      <t xml:space="preserve">da </t>
    </r>
    <r>
      <rPr>
        <b/>
        <sz val="8"/>
        <rFont val="Arial"/>
        <family val="2"/>
      </rPr>
      <t>Planilha de Orçamento Sintético</t>
    </r>
    <r>
      <rPr>
        <sz val="8"/>
        <rFont val="Arial"/>
        <family val="2"/>
      </rPr>
      <t>;</t>
    </r>
  </si>
  <si>
    <t>MARCA</t>
  </si>
  <si>
    <t>MODELO</t>
  </si>
  <si>
    <t>Película para vidros</t>
  </si>
  <si>
    <t>3M</t>
  </si>
  <si>
    <t>Preto blackout</t>
  </si>
  <si>
    <t>Parede drywall com estrutura metálica</t>
  </si>
  <si>
    <t>Knauf</t>
  </si>
  <si>
    <t>Simples</t>
  </si>
  <si>
    <t>Rodapé invertido em alumínio</t>
  </si>
  <si>
    <t>Santa Luzia</t>
  </si>
  <si>
    <t>Preto</t>
  </si>
  <si>
    <t>Rodapé em granito</t>
  </si>
  <si>
    <t>*********</t>
  </si>
  <si>
    <t>Preto São Gabriel</t>
  </si>
  <si>
    <t>Spot orientável de LED</t>
  </si>
  <si>
    <t>Lumicenter</t>
  </si>
  <si>
    <t>SR19-T100083FP</t>
  </si>
  <si>
    <t>Trilho eletrificado suspenso</t>
  </si>
  <si>
    <t>ACTR</t>
  </si>
  <si>
    <t>Perfil de alumínio de sobrepor</t>
  </si>
  <si>
    <t>Usina Design</t>
  </si>
  <si>
    <t>30020/200 Garbo</t>
  </si>
  <si>
    <t>Fita de LED</t>
  </si>
  <si>
    <t>Brilia</t>
  </si>
  <si>
    <t>Eletroduto, condulete, interruptor</t>
  </si>
  <si>
    <t>Tigre</t>
  </si>
  <si>
    <t>PVC</t>
  </si>
  <si>
    <t>Tomada</t>
  </si>
  <si>
    <t>Pial</t>
  </si>
  <si>
    <t>Nereya</t>
  </si>
  <si>
    <t>Tinta acrílica</t>
  </si>
  <si>
    <t>Coral</t>
  </si>
  <si>
    <t>Branco Neve Acetinado</t>
  </si>
  <si>
    <t>Tinta PVA</t>
  </si>
  <si>
    <t>Branco Neve Fosco</t>
  </si>
  <si>
    <t>Planilha de Marcas e Modelos</t>
  </si>
  <si>
    <t>Referência Comercial</t>
  </si>
  <si>
    <t>Produto Ofertado</t>
  </si>
  <si>
    <r>
      <t xml:space="preserve">Indique a marca e modelo dos itens. </t>
    </r>
    <r>
      <rPr>
        <b/>
        <u/>
        <sz val="8"/>
        <color indexed="10"/>
        <rFont val="Arial"/>
        <family val="2"/>
      </rPr>
      <t>A não indicação  de marca e ou modelo de referência constitui afronta ao edital, sob pena de desclassificação da proposta.</t>
    </r>
  </si>
  <si>
    <t>E2</t>
  </si>
  <si>
    <t>E3</t>
  </si>
  <si>
    <t>F1</t>
  </si>
  <si>
    <t>G1</t>
  </si>
  <si>
    <t>G3</t>
  </si>
  <si>
    <t>G2</t>
  </si>
  <si>
    <t xml:space="preserve"> 04.01.100.2 </t>
  </si>
  <si>
    <t xml:space="preserve"> 04.01.560.5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</si>
</sst>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\ %"/>
    <numFmt numFmtId="165" formatCode="0.0000"/>
  </numFmts>
  <fonts count="34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color indexed="8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8"/>
      <name val="Arial"/>
      <family val="1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sz val="10"/>
      <name val="Tahoma"/>
      <family val="2"/>
    </font>
    <font>
      <b/>
      <sz val="8"/>
      <name val="Arial"/>
      <family val="2"/>
      <charset val="1"/>
    </font>
    <font>
      <sz val="8"/>
      <name val="Arial"/>
      <family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1"/>
    </font>
    <font>
      <b/>
      <sz val="8"/>
      <color indexed="8"/>
      <name val="Arial"/>
      <family val="1"/>
    </font>
    <font>
      <sz val="4"/>
      <name val="Arial"/>
      <family val="2"/>
    </font>
    <font>
      <b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color indexed="8"/>
      <name val="Arial"/>
      <family val="1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8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0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11" fillId="0" borderId="0" xfId="0" applyFont="1"/>
    <xf numFmtId="0" fontId="13" fillId="0" borderId="0" xfId="1" applyFont="1"/>
    <xf numFmtId="0" fontId="3" fillId="4" borderId="1" xfId="0" applyFont="1" applyFill="1" applyBorder="1" applyAlignment="1">
      <alignment horizontal="center" vertical="top" wrapText="1"/>
    </xf>
    <xf numFmtId="0" fontId="10" fillId="5" borderId="3" xfId="6" applyFont="1" applyFill="1" applyBorder="1" applyAlignment="1">
      <alignment horizontal="center" vertical="distributed" wrapText="1"/>
    </xf>
    <xf numFmtId="10" fontId="16" fillId="5" borderId="4" xfId="8" applyNumberFormat="1" applyFont="1" applyFill="1" applyBorder="1" applyAlignment="1">
      <alignment horizontal="center" vertical="distributed" wrapText="1"/>
    </xf>
    <xf numFmtId="0" fontId="10" fillId="6" borderId="3" xfId="6" applyFont="1" applyFill="1" applyBorder="1" applyAlignment="1">
      <alignment horizontal="center" vertical="distributed" wrapText="1"/>
    </xf>
    <xf numFmtId="10" fontId="16" fillId="6" borderId="4" xfId="8" applyNumberFormat="1" applyFont="1" applyFill="1" applyBorder="1" applyAlignment="1">
      <alignment horizontal="center" vertical="distributed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10" fontId="17" fillId="0" borderId="1" xfId="8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0" fillId="4" borderId="3" xfId="6" applyFont="1" applyFill="1" applyBorder="1" applyAlignment="1">
      <alignment horizontal="center" vertical="distributed" wrapText="1"/>
    </xf>
    <xf numFmtId="10" fontId="16" fillId="4" borderId="4" xfId="8" applyNumberFormat="1" applyFont="1" applyFill="1" applyBorder="1" applyAlignment="1">
      <alignment horizontal="center" vertical="distributed" wrapText="1"/>
    </xf>
    <xf numFmtId="0" fontId="11" fillId="0" borderId="0" xfId="2" applyFont="1"/>
    <xf numFmtId="0" fontId="18" fillId="0" borderId="0" xfId="2" applyFont="1"/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10" fontId="11" fillId="0" borderId="1" xfId="8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10" fontId="10" fillId="0" borderId="1" xfId="8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10" fontId="19" fillId="0" borderId="1" xfId="8" applyNumberFormat="1" applyFont="1" applyFill="1" applyBorder="1" applyAlignment="1">
      <alignment horizontal="center" vertical="top" wrapText="1"/>
    </xf>
    <xf numFmtId="10" fontId="16" fillId="0" borderId="1" xfId="8" applyNumberFormat="1" applyFont="1" applyFill="1" applyBorder="1" applyAlignment="1">
      <alignment horizontal="center" vertical="top" wrapText="1"/>
    </xf>
    <xf numFmtId="0" fontId="0" fillId="0" borderId="0" xfId="2" applyFont="1"/>
    <xf numFmtId="0" fontId="0" fillId="0" borderId="0" xfId="2" applyFont="1" applyAlignment="1">
      <alignment wrapText="1"/>
    </xf>
    <xf numFmtId="0" fontId="0" fillId="0" borderId="0" xfId="2" applyFont="1" applyAlignment="1">
      <alignment horizontal="center"/>
    </xf>
    <xf numFmtId="0" fontId="12" fillId="0" borderId="0" xfId="2"/>
    <xf numFmtId="0" fontId="13" fillId="0" borderId="5" xfId="4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3" fillId="0" borderId="6" xfId="4" applyFont="1" applyBorder="1" applyAlignment="1">
      <alignment horizontal="left" vertical="center"/>
    </xf>
    <xf numFmtId="0" fontId="20" fillId="0" borderId="7" xfId="4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17" fontId="13" fillId="0" borderId="5" xfId="4" applyNumberFormat="1" applyFont="1" applyBorder="1" applyAlignment="1">
      <alignment horizontal="left" vertical="center"/>
    </xf>
    <xf numFmtId="14" fontId="20" fillId="0" borderId="7" xfId="4" applyNumberFormat="1" applyFont="1" applyBorder="1" applyAlignment="1">
      <alignment horizontal="center" vertical="center"/>
    </xf>
    <xf numFmtId="0" fontId="8" fillId="4" borderId="0" xfId="0" applyFont="1" applyFill="1" applyAlignment="1">
      <alignment horizontal="right" vertical="top" wrapText="1"/>
    </xf>
    <xf numFmtId="0" fontId="10" fillId="4" borderId="0" xfId="0" applyFont="1" applyFill="1" applyAlignment="1">
      <alignment horizontal="right" vertical="top"/>
    </xf>
    <xf numFmtId="43" fontId="10" fillId="4" borderId="0" xfId="9" applyFont="1" applyFill="1" applyAlignment="1">
      <alignment vertical="top" wrapText="1"/>
    </xf>
    <xf numFmtId="43" fontId="10" fillId="4" borderId="0" xfId="9" applyFont="1" applyFill="1" applyAlignment="1">
      <alignment horizontal="center" vertical="top" wrapText="1"/>
    </xf>
    <xf numFmtId="0" fontId="13" fillId="0" borderId="9" xfId="4" applyFont="1" applyBorder="1" applyAlignment="1">
      <alignment horizontal="left" vertical="center"/>
    </xf>
    <xf numFmtId="4" fontId="11" fillId="0" borderId="10" xfId="0" applyNumberFormat="1" applyFont="1" applyBorder="1" applyAlignment="1">
      <alignment vertical="center"/>
    </xf>
    <xf numFmtId="0" fontId="13" fillId="0" borderId="10" xfId="4" applyFont="1" applyBorder="1" applyAlignment="1">
      <alignment horizontal="left" vertical="center"/>
    </xf>
    <xf numFmtId="0" fontId="11" fillId="0" borderId="11" xfId="3" applyFont="1" applyBorder="1" applyAlignment="1">
      <alignment horizontal="left" vertical="center"/>
    </xf>
    <xf numFmtId="0" fontId="13" fillId="0" borderId="12" xfId="4" applyFont="1" applyBorder="1" applyAlignment="1">
      <alignment horizontal="left" vertical="center"/>
    </xf>
    <xf numFmtId="0" fontId="11" fillId="0" borderId="5" xfId="3" applyFont="1" applyBorder="1" applyAlignment="1">
      <alignment horizontal="left" vertical="center"/>
    </xf>
    <xf numFmtId="0" fontId="13" fillId="0" borderId="13" xfId="4" applyFont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center" vertical="top" wrapText="1"/>
    </xf>
    <xf numFmtId="17" fontId="13" fillId="0" borderId="10" xfId="4" applyNumberFormat="1" applyFont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14" fontId="20" fillId="0" borderId="8" xfId="4" applyNumberFormat="1" applyFont="1" applyBorder="1" applyAlignment="1">
      <alignment horizontal="center" vertical="center"/>
    </xf>
    <xf numFmtId="165" fontId="13" fillId="0" borderId="9" xfId="4" applyNumberFormat="1" applyFont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top" wrapText="1"/>
    </xf>
    <xf numFmtId="0" fontId="24" fillId="5" borderId="1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vertical="top" wrapText="1"/>
    </xf>
    <xf numFmtId="165" fontId="24" fillId="5" borderId="1" xfId="0" applyNumberFormat="1" applyFont="1" applyFill="1" applyBorder="1" applyAlignment="1">
      <alignment horizontal="right" vertical="top" wrapText="1"/>
    </xf>
    <xf numFmtId="4" fontId="24" fillId="5" borderId="1" xfId="0" applyNumberFormat="1" applyFont="1" applyFill="1" applyBorder="1" applyAlignment="1">
      <alignment horizontal="right" vertical="top" wrapText="1"/>
    </xf>
    <xf numFmtId="0" fontId="24" fillId="3" borderId="1" xfId="0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center" vertical="top" wrapText="1"/>
    </xf>
    <xf numFmtId="0" fontId="24" fillId="3" borderId="4" xfId="0" applyFont="1" applyFill="1" applyBorder="1" applyAlignment="1">
      <alignment vertical="top" wrapText="1"/>
    </xf>
    <xf numFmtId="165" fontId="24" fillId="3" borderId="1" xfId="0" applyNumberFormat="1" applyFont="1" applyFill="1" applyBorder="1" applyAlignment="1">
      <alignment horizontal="right" vertical="top" wrapText="1"/>
    </xf>
    <xf numFmtId="4" fontId="24" fillId="3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165" fontId="23" fillId="0" borderId="1" xfId="0" applyNumberFormat="1" applyFont="1" applyBorder="1" applyAlignment="1">
      <alignment horizontal="right" vertical="center" wrapText="1"/>
    </xf>
    <xf numFmtId="0" fontId="24" fillId="5" borderId="1" xfId="0" applyFont="1" applyFill="1" applyBorder="1" applyAlignment="1">
      <alignment horizontal="left" vertical="center" wrapText="1"/>
    </xf>
    <xf numFmtId="4" fontId="24" fillId="5" borderId="1" xfId="0" applyNumberFormat="1" applyFont="1" applyFill="1" applyBorder="1" applyAlignment="1">
      <alignment horizontal="right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right" vertical="center" wrapText="1"/>
    </xf>
    <xf numFmtId="4" fontId="24" fillId="6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right" vertical="top" wrapText="1"/>
    </xf>
    <xf numFmtId="4" fontId="24" fillId="0" borderId="1" xfId="0" applyNumberFormat="1" applyFont="1" applyBorder="1" applyAlignment="1">
      <alignment horizontal="right" vertical="top" wrapText="1"/>
    </xf>
    <xf numFmtId="0" fontId="8" fillId="4" borderId="14" xfId="0" applyFont="1" applyFill="1" applyBorder="1" applyAlignment="1">
      <alignment horizontal="center" vertical="top" wrapText="1"/>
    </xf>
    <xf numFmtId="9" fontId="8" fillId="4" borderId="14" xfId="8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right" vertical="top"/>
    </xf>
    <xf numFmtId="43" fontId="8" fillId="4" borderId="0" xfId="9" applyFont="1" applyFill="1" applyAlignment="1">
      <alignment vertical="top" wrapText="1"/>
    </xf>
    <xf numFmtId="0" fontId="23" fillId="0" borderId="1" xfId="0" applyFont="1" applyBorder="1" applyAlignment="1">
      <alignment horizontal="left" vertical="center" wrapText="1"/>
    </xf>
    <xf numFmtId="43" fontId="23" fillId="0" borderId="1" xfId="9" applyFont="1" applyFill="1" applyBorder="1" applyAlignment="1">
      <alignment horizontal="right" vertical="center" wrapText="1"/>
    </xf>
    <xf numFmtId="0" fontId="24" fillId="5" borderId="3" xfId="0" applyFont="1" applyFill="1" applyBorder="1" applyAlignment="1">
      <alignment horizontal="left" vertical="top" wrapText="1"/>
    </xf>
    <xf numFmtId="164" fontId="24" fillId="5" borderId="1" xfId="0" applyNumberFormat="1" applyFont="1" applyFill="1" applyBorder="1" applyAlignment="1">
      <alignment horizontal="right" vertical="top" wrapText="1"/>
    </xf>
    <xf numFmtId="0" fontId="25" fillId="0" borderId="5" xfId="7" applyFont="1" applyBorder="1"/>
    <xf numFmtId="0" fontId="25" fillId="0" borderId="13" xfId="7" applyFont="1" applyBorder="1"/>
    <xf numFmtId="0" fontId="10" fillId="5" borderId="15" xfId="7" applyFont="1" applyFill="1" applyBorder="1" applyAlignment="1">
      <alignment horizontal="center"/>
    </xf>
    <xf numFmtId="0" fontId="20" fillId="5" borderId="16" xfId="5" applyFont="1" applyFill="1" applyBorder="1" applyAlignment="1">
      <alignment vertical="distributed" wrapText="1"/>
    </xf>
    <xf numFmtId="0" fontId="11" fillId="0" borderId="17" xfId="7" applyFont="1" applyBorder="1" applyAlignment="1">
      <alignment horizontal="center"/>
    </xf>
    <xf numFmtId="0" fontId="11" fillId="0" borderId="18" xfId="7" applyFont="1" applyBorder="1" applyAlignment="1">
      <alignment horizontal="justify" vertical="distributed" wrapText="1"/>
    </xf>
    <xf numFmtId="0" fontId="11" fillId="0" borderId="19" xfId="7" applyFont="1" applyBorder="1" applyAlignment="1">
      <alignment horizontal="center"/>
    </xf>
    <xf numFmtId="0" fontId="11" fillId="0" borderId="20" xfId="7" applyFont="1" applyBorder="1" applyAlignment="1">
      <alignment horizontal="justify" vertical="distributed" wrapText="1"/>
    </xf>
    <xf numFmtId="0" fontId="10" fillId="5" borderId="17" xfId="7" applyFont="1" applyFill="1" applyBorder="1" applyAlignment="1">
      <alignment horizontal="center"/>
    </xf>
    <xf numFmtId="0" fontId="20" fillId="5" borderId="18" xfId="5" applyFont="1" applyFill="1" applyBorder="1" applyAlignment="1">
      <alignment vertical="distributed" wrapText="1"/>
    </xf>
    <xf numFmtId="0" fontId="10" fillId="5" borderId="17" xfId="0" applyFont="1" applyFill="1" applyBorder="1" applyAlignment="1">
      <alignment horizontal="center"/>
    </xf>
    <xf numFmtId="0" fontId="20" fillId="5" borderId="18" xfId="3" applyFont="1" applyFill="1" applyBorder="1" applyAlignment="1">
      <alignment vertical="distributed" wrapText="1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justify" vertical="distributed"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justify" vertical="distributed" wrapText="1"/>
    </xf>
    <xf numFmtId="17" fontId="13" fillId="0" borderId="11" xfId="4" applyNumberFormat="1" applyFont="1" applyBorder="1" applyAlignment="1">
      <alignment horizontal="left" vertical="center"/>
    </xf>
    <xf numFmtId="0" fontId="13" fillId="0" borderId="21" xfId="4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10" fontId="30" fillId="5" borderId="23" xfId="8" applyNumberFormat="1" applyFont="1" applyFill="1" applyBorder="1" applyAlignment="1">
      <alignment horizontal="right" vertical="top" wrapText="1"/>
    </xf>
    <xf numFmtId="43" fontId="24" fillId="5" borderId="24" xfId="9" applyFont="1" applyFill="1" applyBorder="1" applyAlignment="1">
      <alignment horizontal="right" vertical="top" wrapText="1"/>
    </xf>
    <xf numFmtId="10" fontId="31" fillId="5" borderId="23" xfId="8" applyNumberFormat="1" applyFont="1" applyFill="1" applyBorder="1" applyAlignment="1">
      <alignment horizontal="right" vertical="top" wrapText="1"/>
    </xf>
    <xf numFmtId="43" fontId="32" fillId="5" borderId="24" xfId="9" applyFont="1" applyFill="1" applyBorder="1" applyAlignment="1">
      <alignment horizontal="right" vertical="top" wrapText="1"/>
    </xf>
    <xf numFmtId="10" fontId="31" fillId="3" borderId="23" xfId="8" applyNumberFormat="1" applyFont="1" applyFill="1" applyBorder="1" applyAlignment="1">
      <alignment horizontal="right" vertical="top" wrapText="1"/>
    </xf>
    <xf numFmtId="43" fontId="32" fillId="3" borderId="24" xfId="9" applyFont="1" applyFill="1" applyBorder="1" applyAlignment="1">
      <alignment horizontal="right" vertical="top" wrapText="1"/>
    </xf>
    <xf numFmtId="10" fontId="33" fillId="0" borderId="23" xfId="8" applyNumberFormat="1" applyFont="1" applyFill="1" applyBorder="1" applyAlignment="1">
      <alignment horizontal="right" vertical="top" wrapText="1"/>
    </xf>
    <xf numFmtId="43" fontId="21" fillId="0" borderId="24" xfId="9" applyFont="1" applyFill="1" applyBorder="1" applyAlignment="1">
      <alignment horizontal="right" vertical="top" wrapText="1"/>
    </xf>
    <xf numFmtId="10" fontId="30" fillId="4" borderId="23" xfId="8" applyNumberFormat="1" applyFont="1" applyFill="1" applyBorder="1" applyAlignment="1">
      <alignment horizontal="right" vertical="top" wrapText="1"/>
    </xf>
    <xf numFmtId="43" fontId="24" fillId="4" borderId="24" xfId="9" applyFont="1" applyFill="1" applyBorder="1" applyAlignment="1">
      <alignment horizontal="right" vertical="top" wrapText="1"/>
    </xf>
    <xf numFmtId="10" fontId="31" fillId="4" borderId="23" xfId="8" applyNumberFormat="1" applyFont="1" applyFill="1" applyBorder="1" applyAlignment="1">
      <alignment horizontal="right" vertical="top" wrapText="1"/>
    </xf>
    <xf numFmtId="43" fontId="32" fillId="4" borderId="24" xfId="9" applyFont="1" applyFill="1" applyBorder="1" applyAlignment="1">
      <alignment horizontal="right" vertical="top" wrapText="1"/>
    </xf>
    <xf numFmtId="10" fontId="10" fillId="2" borderId="0" xfId="8" applyNumberFormat="1" applyFont="1" applyFill="1" applyAlignment="1">
      <alignment horizontal="right" vertical="top" wrapText="1"/>
    </xf>
    <xf numFmtId="0" fontId="32" fillId="3" borderId="1" xfId="0" applyFont="1" applyFill="1" applyBorder="1" applyAlignment="1">
      <alignment horizontal="right" vertical="top" wrapText="1"/>
    </xf>
    <xf numFmtId="43" fontId="32" fillId="3" borderId="1" xfId="9" applyFont="1" applyFill="1" applyBorder="1" applyAlignment="1">
      <alignment horizontal="right" vertical="top" wrapText="1"/>
    </xf>
    <xf numFmtId="4" fontId="10" fillId="2" borderId="0" xfId="0" applyNumberFormat="1" applyFont="1" applyFill="1" applyAlignment="1">
      <alignment horizontal="right" vertical="top" wrapText="1"/>
    </xf>
    <xf numFmtId="43" fontId="10" fillId="2" borderId="0" xfId="9" applyFont="1" applyFill="1" applyAlignment="1">
      <alignment horizontal="right" vertical="top" wrapText="1"/>
    </xf>
    <xf numFmtId="10" fontId="10" fillId="2" borderId="0" xfId="0" applyNumberFormat="1" applyFont="1" applyFill="1" applyAlignment="1">
      <alignment horizontal="right" vertical="top" wrapText="1"/>
    </xf>
    <xf numFmtId="0" fontId="22" fillId="4" borderId="27" xfId="7" applyFont="1" applyFill="1" applyBorder="1" applyAlignment="1">
      <alignment horizontal="center"/>
    </xf>
    <xf numFmtId="0" fontId="22" fillId="4" borderId="28" xfId="7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20" fillId="0" borderId="7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top" wrapText="1"/>
    </xf>
    <xf numFmtId="0" fontId="8" fillId="4" borderId="30" xfId="0" applyFont="1" applyFill="1" applyBorder="1" applyAlignment="1">
      <alignment horizontal="center" vertical="top" wrapText="1"/>
    </xf>
    <xf numFmtId="9" fontId="8" fillId="4" borderId="29" xfId="8" applyFont="1" applyFill="1" applyBorder="1" applyAlignment="1">
      <alignment horizontal="center" vertical="top" wrapText="1"/>
    </xf>
    <xf numFmtId="9" fontId="8" fillId="4" borderId="30" xfId="8" applyFont="1" applyFill="1" applyBorder="1" applyAlignment="1">
      <alignment horizontal="center" vertical="top" wrapText="1"/>
    </xf>
    <xf numFmtId="43" fontId="8" fillId="4" borderId="0" xfId="9" applyFont="1" applyFill="1" applyAlignment="1">
      <alignment horizontal="center" vertical="top" wrapText="1"/>
    </xf>
    <xf numFmtId="0" fontId="20" fillId="0" borderId="7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0" fillId="0" borderId="5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14" fontId="20" fillId="0" borderId="7" xfId="3" applyNumberFormat="1" applyFont="1" applyBorder="1" applyAlignment="1">
      <alignment horizontal="center" vertical="center"/>
    </xf>
    <xf numFmtId="14" fontId="20" fillId="0" borderId="25" xfId="3" applyNumberFormat="1" applyFont="1" applyBorder="1" applyAlignment="1">
      <alignment horizontal="center" vertical="center"/>
    </xf>
    <xf numFmtId="17" fontId="13" fillId="0" borderId="5" xfId="4" applyNumberFormat="1" applyFont="1" applyBorder="1" applyAlignment="1">
      <alignment horizontal="justify" vertical="center"/>
    </xf>
    <xf numFmtId="17" fontId="13" fillId="0" borderId="13" xfId="4" applyNumberFormat="1" applyFont="1" applyBorder="1" applyAlignment="1">
      <alignment horizontal="justify" vertical="center"/>
    </xf>
    <xf numFmtId="14" fontId="20" fillId="0" borderId="7" xfId="4" applyNumberFormat="1" applyFont="1" applyBorder="1" applyAlignment="1">
      <alignment horizontal="center" vertical="center"/>
    </xf>
    <xf numFmtId="14" fontId="20" fillId="0" borderId="22" xfId="4" applyNumberFormat="1" applyFont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10" fillId="5" borderId="32" xfId="6" applyFont="1" applyFill="1" applyBorder="1" applyAlignment="1">
      <alignment horizontal="justify" vertical="distributed" wrapText="1"/>
    </xf>
    <xf numFmtId="0" fontId="10" fillId="6" borderId="32" xfId="6" applyFont="1" applyFill="1" applyBorder="1" applyAlignment="1">
      <alignment horizontal="justify" vertical="distributed" wrapText="1"/>
    </xf>
    <xf numFmtId="0" fontId="10" fillId="4" borderId="32" xfId="6" applyFont="1" applyFill="1" applyBorder="1" applyAlignment="1">
      <alignment horizontal="justify" vertical="distributed" wrapText="1"/>
    </xf>
    <xf numFmtId="0" fontId="14" fillId="0" borderId="26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top"/>
    </xf>
    <xf numFmtId="0" fontId="10" fillId="6" borderId="3" xfId="6" applyFont="1" applyFill="1" applyBorder="1" applyAlignment="1">
      <alignment horizontal="center" vertical="distributed" wrapText="1"/>
    </xf>
    <xf numFmtId="0" fontId="10" fillId="6" borderId="32" xfId="6" applyFont="1" applyFill="1" applyBorder="1" applyAlignment="1">
      <alignment horizontal="center" vertical="distributed" wrapText="1"/>
    </xf>
    <xf numFmtId="0" fontId="10" fillId="6" borderId="4" xfId="6" applyFont="1" applyFill="1" applyBorder="1" applyAlignment="1">
      <alignment horizontal="center" vertical="distributed" wrapText="1"/>
    </xf>
    <xf numFmtId="0" fontId="10" fillId="4" borderId="3" xfId="6" applyFont="1" applyFill="1" applyBorder="1" applyAlignment="1">
      <alignment horizontal="center" vertical="distributed" wrapText="1"/>
    </xf>
    <xf numFmtId="0" fontId="10" fillId="4" borderId="32" xfId="6" applyFont="1" applyFill="1" applyBorder="1" applyAlignment="1">
      <alignment horizontal="center" vertical="distributed" wrapText="1"/>
    </xf>
    <xf numFmtId="0" fontId="14" fillId="0" borderId="26" xfId="3" applyFont="1" applyBorder="1" applyAlignment="1">
      <alignment horizontal="center" vertical="center"/>
    </xf>
    <xf numFmtId="0" fontId="21" fillId="0" borderId="23" xfId="0" applyFont="1" applyBorder="1" applyAlignment="1">
      <alignment horizontal="justify" vertical="top" wrapText="1"/>
    </xf>
    <xf numFmtId="0" fontId="21" fillId="0" borderId="24" xfId="0" applyFont="1" applyBorder="1" applyAlignment="1">
      <alignment horizontal="justify" vertical="top" wrapText="1"/>
    </xf>
    <xf numFmtId="0" fontId="24" fillId="5" borderId="1" xfId="0" applyFont="1" applyFill="1" applyBorder="1" applyAlignment="1">
      <alignment horizontal="justify" vertical="top" wrapText="1"/>
    </xf>
    <xf numFmtId="0" fontId="24" fillId="5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horizontal="justify" vertical="top" wrapText="1"/>
    </xf>
    <xf numFmtId="0" fontId="32" fillId="4" borderId="1" xfId="0" applyFont="1" applyFill="1" applyBorder="1" applyAlignment="1">
      <alignment horizontal="justify" vertical="top" wrapText="1"/>
    </xf>
    <xf numFmtId="0" fontId="24" fillId="4" borderId="1" xfId="0" applyFont="1" applyFill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8" fillId="2" borderId="0" xfId="0" applyNumberFormat="1" applyFont="1" applyFill="1" applyAlignment="1">
      <alignment horizontal="right" vertical="top" wrapText="1"/>
    </xf>
    <xf numFmtId="0" fontId="32" fillId="3" borderId="3" xfId="0" applyFont="1" applyFill="1" applyBorder="1" applyAlignment="1">
      <alignment horizontal="right" vertical="top" wrapText="1"/>
    </xf>
    <xf numFmtId="0" fontId="32" fillId="3" borderId="4" xfId="0" applyFont="1" applyFill="1" applyBorder="1" applyAlignment="1">
      <alignment horizontal="right" vertical="top" wrapText="1"/>
    </xf>
    <xf numFmtId="0" fontId="10" fillId="2" borderId="33" xfId="0" applyFont="1" applyFill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0">
    <cellStyle name="Normal" xfId="0" builtinId="0"/>
    <cellStyle name="Normal 2" xfId="1"/>
    <cellStyle name="Normal_Orç 037_2009 - Ar Condicionado Salas Técnicas - PJ Sobradinho" xfId="2"/>
    <cellStyle name="Normal_Orç 041_2009 Adaptação Copa PJ Ceilândia" xfId="3"/>
    <cellStyle name="Normal_Orç 041_2009 Adaptação Copa PJ Ceilândia_Orçamento Sintético" xfId="4"/>
    <cellStyle name="Normal_Orç 041_2009 Adaptação Copa PJ Ceilândia_Plan1" xfId="5"/>
    <cellStyle name="Normal_Plan1" xfId="6"/>
    <cellStyle name="Normal_Plan1_1 2" xfId="7"/>
    <cellStyle name="Porcentagem" xfId="8" builtinId="5"/>
    <cellStyle name="Separador de milhares" xfId="9" builtinId="3"/>
  </cellStyles>
  <dxfs count="245">
    <dxf>
      <font>
        <color rgb="FFD8ECF6"/>
      </font>
    </dxf>
    <dxf>
      <font>
        <color rgb="FFD8ECF6"/>
      </font>
    </dxf>
    <dxf>
      <font>
        <color rgb="FFD8ECF6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D8ECF6"/>
      </font>
    </dxf>
    <dxf>
      <font>
        <color rgb="FFD8ECF6"/>
      </font>
    </dxf>
    <dxf>
      <font>
        <color rgb="FFD8ECF6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 tint="-4.9989318521683403E-2"/>
      </font>
    </dxf>
    <dxf>
      <font>
        <color theme="0" tint="-4.9989318521683403E-2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theme="0" tint="-4.9989318521683403E-2"/>
      </font>
    </dxf>
    <dxf>
      <font>
        <color rgb="FFD8ECF6"/>
      </font>
    </dxf>
    <dxf>
      <font>
        <color rgb="FFD8ECF6"/>
      </font>
    </dxf>
    <dxf>
      <font>
        <color rgb="FFD8ECF6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theme="0" tint="-4.9989318521683403E-2"/>
      </font>
    </dxf>
    <dxf>
      <font>
        <color rgb="FFD8ECF6"/>
      </font>
    </dxf>
    <dxf>
      <font>
        <color rgb="FFD8ECF6"/>
      </font>
    </dxf>
    <dxf>
      <font>
        <color rgb="FFD8ECF6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D8ECF6"/>
      </font>
    </dxf>
    <dxf>
      <font>
        <color rgb="FFD8ECF6"/>
      </font>
    </dxf>
    <dxf>
      <font>
        <color rgb="FFD8ECF6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theme="0" tint="-4.9989318521683403E-2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FFFF00"/>
      </font>
    </dxf>
    <dxf>
      <font>
        <color rgb="FFFFFF00"/>
      </font>
    </dxf>
    <dxf>
      <font>
        <color rgb="FFD8ECF6"/>
      </font>
    </dxf>
    <dxf>
      <font>
        <color rgb="FFD8ECF6"/>
      </font>
    </dxf>
    <dxf>
      <font>
        <color theme="0" tint="-4.9989318521683403E-2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D8ECF6"/>
      </font>
    </dxf>
    <dxf>
      <font>
        <color rgb="FFFFFF00"/>
      </font>
    </dxf>
    <dxf>
      <font>
        <color rgb="FFFFFF00"/>
      </font>
    </dxf>
    <dxf>
      <font>
        <color rgb="FFD8ECF6"/>
      </font>
    </dxf>
    <dxf>
      <font>
        <color rgb="FFD8ECF6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ill>
        <gradientFill degree="90">
          <stop position="0">
            <color theme="6" tint="0.80001220740379042"/>
          </stop>
          <stop position="1">
            <color theme="6" tint="0.40000610370189521"/>
          </stop>
        </gradientFill>
      </fill>
    </dxf>
    <dxf>
      <font>
        <color theme="0"/>
      </font>
    </dxf>
    <dxf>
      <font>
        <color rgb="FFD8ECF6"/>
      </font>
    </dxf>
    <dxf>
      <font>
        <color rgb="FFFFFF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ilag\Documents\Trabalhos\MPDFT\Or&#231;%20006_2020%20PJBSI%20-%20CO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Or&#231;%20013_2020%20-%20PJBZ%20PR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file____R__DIPRO_NOR_or_C3_A7a"/>
      <sheetName val="Planilha Sintética"/>
      <sheetName val="Composição de BDI"/>
      <sheetName val="Composição de Encargos Sociais"/>
      <sheetName val="Cronograma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ções de Preenchimento"/>
      <sheetName val="Resumo do Orçamento"/>
      <sheetName val="Orçamento Sintético"/>
      <sheetName val="Orçamento Analítico"/>
      <sheetName val="Insumos e Serviços"/>
      <sheetName val="Composição de BDI"/>
      <sheetName val="Composição de Encargos Sociais"/>
      <sheetName val="Cronograma"/>
    </sheetNames>
    <sheetDataSet>
      <sheetData sheetId="0"/>
      <sheetData sheetId="1"/>
      <sheetData sheetId="2">
        <row r="1">
          <cell r="A1" t="str">
            <v>P. Execução:</v>
          </cell>
          <cell r="C1" t="str">
            <v>Licitação:</v>
          </cell>
          <cell r="D1" t="str">
            <v>Objeto: Contratação do remanescente da obra do edifício das Promotorias de Justiça de Brazlândia</v>
          </cell>
          <cell r="E1" t="str">
            <v>Data:</v>
          </cell>
        </row>
        <row r="2">
          <cell r="A2" t="str">
            <v>A</v>
          </cell>
          <cell r="C2" t="str">
            <v>B</v>
          </cell>
          <cell r="D2" t="str">
            <v>Local: Setor Administrativo, Setor Tradicional, Lotes 2 e 10 - Brazlândia / DF</v>
          </cell>
          <cell r="E2">
            <v>1</v>
          </cell>
        </row>
        <row r="3">
          <cell r="A3" t="str">
            <v>P. Validade:</v>
          </cell>
          <cell r="C3" t="str">
            <v>Razão Social:</v>
          </cell>
          <cell r="E3" t="str">
            <v>Telefone:</v>
          </cell>
        </row>
        <row r="4">
          <cell r="A4" t="str">
            <v>C</v>
          </cell>
          <cell r="C4" t="str">
            <v>D</v>
          </cell>
          <cell r="E4" t="str">
            <v>E</v>
          </cell>
        </row>
        <row r="5">
          <cell r="A5" t="str">
            <v>P. Garantia:</v>
          </cell>
          <cell r="C5" t="str">
            <v>CNPJ:</v>
          </cell>
        </row>
        <row r="6">
          <cell r="A6" t="str">
            <v>F</v>
          </cell>
          <cell r="C6" t="str">
            <v>G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showGridLines="0" tabSelected="1" workbookViewId="0">
      <selection sqref="A1:B1"/>
    </sheetView>
  </sheetViews>
  <sheetFormatPr defaultRowHeight="14.25"/>
  <cols>
    <col min="1" max="1" width="6" customWidth="1"/>
    <col min="2" max="2" width="73.75" customWidth="1"/>
  </cols>
  <sheetData>
    <row r="1" spans="1:2">
      <c r="A1" s="150" t="s">
        <v>374</v>
      </c>
      <c r="B1" s="151"/>
    </row>
    <row r="2" spans="1:2">
      <c r="A2" s="107"/>
      <c r="B2" s="108"/>
    </row>
    <row r="3" spans="1:2">
      <c r="A3" s="109"/>
      <c r="B3" s="110" t="s">
        <v>375</v>
      </c>
    </row>
    <row r="4" spans="1:2" ht="33.75">
      <c r="A4" s="111">
        <v>1</v>
      </c>
      <c r="B4" s="112" t="s">
        <v>376</v>
      </c>
    </row>
    <row r="5" spans="1:2">
      <c r="A5" s="111">
        <v>2</v>
      </c>
      <c r="B5" s="112" t="s">
        <v>377</v>
      </c>
    </row>
    <row r="6" spans="1:2" ht="22.5">
      <c r="A6" s="111" t="s">
        <v>378</v>
      </c>
      <c r="B6" s="112" t="s">
        <v>379</v>
      </c>
    </row>
    <row r="7" spans="1:2">
      <c r="A7" s="111" t="s">
        <v>380</v>
      </c>
      <c r="B7" s="112" t="s">
        <v>381</v>
      </c>
    </row>
    <row r="8" spans="1:2" ht="22.5">
      <c r="A8" s="111" t="s">
        <v>382</v>
      </c>
      <c r="B8" s="112" t="s">
        <v>383</v>
      </c>
    </row>
    <row r="9" spans="1:2">
      <c r="A9" s="111" t="s">
        <v>384</v>
      </c>
      <c r="B9" s="112" t="s">
        <v>409</v>
      </c>
    </row>
    <row r="10" spans="1:2" ht="22.5">
      <c r="A10" s="113" t="s">
        <v>385</v>
      </c>
      <c r="B10" s="114" t="s">
        <v>386</v>
      </c>
    </row>
    <row r="11" spans="1:2">
      <c r="A11" s="109" t="s">
        <v>310</v>
      </c>
      <c r="B11" s="110" t="s">
        <v>387</v>
      </c>
    </row>
    <row r="12" spans="1:2" ht="22.5">
      <c r="A12" s="111" t="s">
        <v>269</v>
      </c>
      <c r="B12" s="112" t="s">
        <v>388</v>
      </c>
    </row>
    <row r="13" spans="1:2" ht="22.5">
      <c r="A13" s="111" t="s">
        <v>294</v>
      </c>
      <c r="B13" s="112" t="s">
        <v>389</v>
      </c>
    </row>
    <row r="14" spans="1:2">
      <c r="A14" s="115" t="s">
        <v>331</v>
      </c>
      <c r="B14" s="116" t="s">
        <v>390</v>
      </c>
    </row>
    <row r="15" spans="1:2">
      <c r="A15" s="111" t="s">
        <v>283</v>
      </c>
      <c r="B15" s="112" t="s">
        <v>391</v>
      </c>
    </row>
    <row r="16" spans="1:2" ht="22.5">
      <c r="A16" s="111" t="s">
        <v>313</v>
      </c>
      <c r="B16" s="112" t="s">
        <v>392</v>
      </c>
    </row>
    <row r="17" spans="1:2" ht="22.5">
      <c r="A17" s="111" t="s">
        <v>315</v>
      </c>
      <c r="B17" s="112" t="s">
        <v>393</v>
      </c>
    </row>
    <row r="18" spans="1:2">
      <c r="A18" s="115" t="s">
        <v>343</v>
      </c>
      <c r="B18" s="116" t="s">
        <v>394</v>
      </c>
    </row>
    <row r="19" spans="1:2">
      <c r="A19" s="111" t="s">
        <v>333</v>
      </c>
      <c r="B19" s="112" t="s">
        <v>395</v>
      </c>
    </row>
    <row r="20" spans="1:2" ht="22.5">
      <c r="A20" s="111" t="s">
        <v>335</v>
      </c>
      <c r="B20" s="112" t="s">
        <v>396</v>
      </c>
    </row>
    <row r="21" spans="1:2" ht="22.5">
      <c r="A21" s="111" t="s">
        <v>337</v>
      </c>
      <c r="B21" s="112" t="s">
        <v>397</v>
      </c>
    </row>
    <row r="22" spans="1:2">
      <c r="A22" s="115" t="s">
        <v>363</v>
      </c>
      <c r="B22" s="116" t="s">
        <v>398</v>
      </c>
    </row>
    <row r="23" spans="1:2" ht="22.5">
      <c r="A23" s="111" t="s">
        <v>345</v>
      </c>
      <c r="B23" s="112" t="s">
        <v>448</v>
      </c>
    </row>
    <row r="24" spans="1:2">
      <c r="A24" s="115" t="s">
        <v>364</v>
      </c>
      <c r="B24" s="116" t="s">
        <v>398</v>
      </c>
    </row>
    <row r="25" spans="1:2" ht="33.75">
      <c r="A25" s="111" t="s">
        <v>403</v>
      </c>
      <c r="B25" s="112" t="s">
        <v>399</v>
      </c>
    </row>
    <row r="26" spans="1:2" ht="22.5">
      <c r="A26" s="111" t="s">
        <v>449</v>
      </c>
      <c r="B26" s="112" t="s">
        <v>400</v>
      </c>
    </row>
    <row r="27" spans="1:2">
      <c r="A27" s="111" t="s">
        <v>450</v>
      </c>
      <c r="B27" s="112" t="s">
        <v>401</v>
      </c>
    </row>
    <row r="28" spans="1:2">
      <c r="A28" s="115" t="s">
        <v>368</v>
      </c>
      <c r="B28" s="116" t="s">
        <v>402</v>
      </c>
    </row>
    <row r="29" spans="1:2">
      <c r="A29" s="111" t="s">
        <v>451</v>
      </c>
      <c r="B29" s="112" t="s">
        <v>404</v>
      </c>
    </row>
    <row r="30" spans="1:2">
      <c r="A30" s="117" t="s">
        <v>369</v>
      </c>
      <c r="B30" s="118" t="s">
        <v>405</v>
      </c>
    </row>
    <row r="31" spans="1:2">
      <c r="A31" s="119" t="s">
        <v>452</v>
      </c>
      <c r="B31" s="120" t="s">
        <v>406</v>
      </c>
    </row>
    <row r="32" spans="1:2" ht="22.5">
      <c r="A32" s="119" t="s">
        <v>454</v>
      </c>
      <c r="B32" s="120" t="s">
        <v>407</v>
      </c>
    </row>
    <row r="33" spans="1:2" ht="22.5">
      <c r="A33" s="121" t="s">
        <v>453</v>
      </c>
      <c r="B33" s="122" t="s">
        <v>408</v>
      </c>
    </row>
  </sheetData>
  <mergeCells count="1">
    <mergeCell ref="A1:B1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&amp;C&amp;"Arial,Negrito"&amp;20ESTA PLANILHA NÃO PRECISA SER IMPRESSA</oddHeader>
    <oddFooter>&amp;C&amp;"Arial,Negrito"&amp;20ESTA PLANILHA NÃO PRECISA SER IMPRESSA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showGridLines="0" showOutlineSymbols="0" showWhiteSpace="0" zoomScale="85" zoomScaleNormal="85" workbookViewId="0"/>
  </sheetViews>
  <sheetFormatPr defaultRowHeight="14.25"/>
  <cols>
    <col min="1" max="1" width="10" bestFit="1" customWidth="1"/>
    <col min="2" max="2" width="60" bestFit="1" customWidth="1"/>
    <col min="3" max="3" width="10" bestFit="1" customWidth="1"/>
    <col min="4" max="4" width="18.125" bestFit="1" customWidth="1"/>
  </cols>
  <sheetData>
    <row r="1" spans="1:4" ht="14.25" customHeight="1">
      <c r="A1" s="43" t="str">
        <f ca="1">'Orçamento Sintético'!A1</f>
        <v>P. Execução:</v>
      </c>
      <c r="B1" s="44" t="str">
        <f ca="1">'Orçamento Sintético'!D1</f>
        <v>Objeto: Adequação para instalação do Espaço Memória no edifício-sede</v>
      </c>
      <c r="C1" s="45" t="str">
        <f ca="1">'Orçamento Sintético'!C1</f>
        <v>Licitação:</v>
      </c>
      <c r="D1" s="152"/>
    </row>
    <row r="2" spans="1:4" ht="14.25" customHeight="1">
      <c r="A2" s="46" t="str">
        <f ca="1">'Orçamento Sintético'!A2</f>
        <v>A</v>
      </c>
      <c r="B2" s="47" t="str">
        <f ca="1">'Orçamento Sintético'!D2</f>
        <v>Local: Praça do Buriti Bloco A, Zona Cívico-Administrativa, Lote 2 - Brasília / DF</v>
      </c>
      <c r="C2" s="48" t="str">
        <f ca="1">'Orçamento Sintético'!C2</f>
        <v>B</v>
      </c>
      <c r="D2" s="153"/>
    </row>
    <row r="3" spans="1:4">
      <c r="A3" s="49" t="str">
        <f ca="1">'Orçamento Sintético'!A3</f>
        <v>P. Validade:</v>
      </c>
      <c r="B3" s="49" t="str">
        <f ca="1">'Orçamento Sintético'!C3</f>
        <v>Razão Social:</v>
      </c>
      <c r="C3" s="43" t="str">
        <f ca="1">'Orçamento Sintético'!E1</f>
        <v>Data:</v>
      </c>
      <c r="D3" s="153"/>
    </row>
    <row r="4" spans="1:4">
      <c r="A4" s="46" t="str">
        <f ca="1">'Orçamento Sintético'!A4</f>
        <v>C</v>
      </c>
      <c r="B4" s="50" t="str">
        <f ca="1">'Orçamento Sintético'!C4</f>
        <v>D</v>
      </c>
      <c r="C4" s="50">
        <f ca="1">'Orçamento Sintético'!E2</f>
        <v>1</v>
      </c>
      <c r="D4" s="153"/>
    </row>
    <row r="5" spans="1:4" ht="15" customHeight="1">
      <c r="A5" s="43" t="str">
        <f ca="1">'Orçamento Sintético'!A5</f>
        <v>P. Garantia:</v>
      </c>
      <c r="B5" s="49" t="str">
        <f ca="1">'Orçamento Sintético'!C5</f>
        <v>CNPJ:</v>
      </c>
      <c r="C5" s="43" t="str">
        <f ca="1">'Orçamento Sintético'!E3</f>
        <v>Telefone:</v>
      </c>
      <c r="D5" s="153"/>
    </row>
    <row r="6" spans="1:4">
      <c r="A6" s="46" t="str">
        <f ca="1">'Orçamento Sintético'!A6</f>
        <v>F</v>
      </c>
      <c r="B6" s="50" t="str">
        <f ca="1">'Orçamento Sintético'!C6</f>
        <v>G</v>
      </c>
      <c r="C6" s="50" t="str">
        <f ca="1">'Orçamento Sintético'!E4</f>
        <v>E</v>
      </c>
      <c r="D6" s="154"/>
    </row>
    <row r="7" spans="1:4" ht="15">
      <c r="A7" s="155" t="s">
        <v>170</v>
      </c>
      <c r="B7" s="156"/>
      <c r="C7" s="156"/>
      <c r="D7" s="156"/>
    </row>
    <row r="8" spans="1:4" ht="30" customHeight="1">
      <c r="A8" s="9" t="s">
        <v>1</v>
      </c>
      <c r="B8" s="9" t="s">
        <v>4</v>
      </c>
      <c r="C8" s="9" t="s">
        <v>8</v>
      </c>
      <c r="D8" s="9" t="s">
        <v>169</v>
      </c>
    </row>
    <row r="9" spans="1:4" ht="24" customHeight="1">
      <c r="A9" s="105" t="s">
        <v>9</v>
      </c>
      <c r="B9" s="105" t="str">
        <f ca="1">VLOOKUP(A9,'Orçamento Sintético'!$A:$H,4,0)</f>
        <v>SERVIÇOS TÉCNICOS-PROFISSIONAIS</v>
      </c>
      <c r="C9" s="74">
        <f ca="1">VLOOKUP(A9,'Orçamento Sintético'!$A:$H,8,0)</f>
        <v>233.94</v>
      </c>
      <c r="D9" s="106">
        <f t="shared" ref="D9:D14" si="0">ROUND(C9/$D$16,4)</f>
        <v>5.7000000000000002E-3</v>
      </c>
    </row>
    <row r="10" spans="1:4" ht="24" customHeight="1">
      <c r="A10" s="105" t="s">
        <v>18</v>
      </c>
      <c r="B10" s="105" t="str">
        <f ca="1">VLOOKUP(A10,'Orçamento Sintético'!$A:$H,4,0)</f>
        <v>SERVIÇOS PRELIMINARES</v>
      </c>
      <c r="C10" s="74">
        <f ca="1">VLOOKUP(A10,'Orçamento Sintético'!$A:$H,8,0)</f>
        <v>1015.6</v>
      </c>
      <c r="D10" s="106">
        <f t="shared" si="0"/>
        <v>2.4799999999999999E-2</v>
      </c>
    </row>
    <row r="11" spans="1:4" ht="24" customHeight="1">
      <c r="A11" s="105" t="s">
        <v>46</v>
      </c>
      <c r="B11" s="105" t="str">
        <f ca="1">VLOOKUP(A11,'Orçamento Sintético'!$A:$H,4,0)</f>
        <v>ARQUITETURA E ELEMENTOS DE URBANISMO</v>
      </c>
      <c r="C11" s="74">
        <f ca="1">VLOOKUP(A11,'Orçamento Sintético'!$A:$H,8,0)</f>
        <v>21320.85</v>
      </c>
      <c r="D11" s="106">
        <f t="shared" si="0"/>
        <v>0.52149999999999996</v>
      </c>
    </row>
    <row r="12" spans="1:4" ht="24" customHeight="1">
      <c r="A12" s="105" t="s">
        <v>98</v>
      </c>
      <c r="B12" s="105" t="str">
        <f ca="1">VLOOKUP(A12,'Orçamento Sintético'!$A:$H,4,0)</f>
        <v>INSTALAÇÕES ELÉTRICAS E ELETRÔNICA</v>
      </c>
      <c r="C12" s="74">
        <f ca="1">VLOOKUP(A12,'Orçamento Sintético'!$A:$H,8,0)</f>
        <v>10738.5</v>
      </c>
      <c r="D12" s="106">
        <f t="shared" si="0"/>
        <v>0.2626</v>
      </c>
    </row>
    <row r="13" spans="1:4" ht="24" customHeight="1">
      <c r="A13" s="105" t="s">
        <v>151</v>
      </c>
      <c r="B13" s="105" t="str">
        <f ca="1">VLOOKUP(A13,'Orçamento Sintético'!$A:$H,4,0)</f>
        <v>SERVIÇOS COMPLEMENTARES</v>
      </c>
      <c r="C13" s="74">
        <f ca="1">VLOOKUP(A13,'Orçamento Sintético'!$A:$H,8,0)</f>
        <v>364.94</v>
      </c>
      <c r="D13" s="106">
        <f t="shared" si="0"/>
        <v>8.8999999999999999E-3</v>
      </c>
    </row>
    <row r="14" spans="1:4" ht="24" customHeight="1">
      <c r="A14" s="105" t="s">
        <v>158</v>
      </c>
      <c r="B14" s="105" t="str">
        <f ca="1">VLOOKUP(A14,'Orçamento Sintético'!$A:$H,4,0)</f>
        <v>SERVIÇOS AUXILIARES E ADMINISTRATIVO</v>
      </c>
      <c r="C14" s="74">
        <f ca="1">VLOOKUP(A14,'Orçamento Sintético'!$A:$H,8,0)</f>
        <v>7213.76</v>
      </c>
      <c r="D14" s="106">
        <f t="shared" si="0"/>
        <v>0.1764</v>
      </c>
    </row>
    <row r="15" spans="1:4">
      <c r="A15" s="2"/>
      <c r="B15" s="2"/>
      <c r="C15" s="2"/>
      <c r="D15" s="2"/>
    </row>
    <row r="16" spans="1:4">
      <c r="A16" s="51"/>
      <c r="B16" s="52" t="s">
        <v>166</v>
      </c>
      <c r="C16" s="53"/>
      <c r="D16" s="53">
        <f>SUM(C9:C14)</f>
        <v>40887.590000000004</v>
      </c>
    </row>
    <row r="17" spans="1:4">
      <c r="A17" s="51"/>
      <c r="B17" s="52" t="s">
        <v>167</v>
      </c>
      <c r="C17" s="54" t="str">
        <f ca="1">"("&amp;'Composição de BDI'!D23*100&amp;"%)"</f>
        <v>(22,12%)</v>
      </c>
      <c r="D17" s="53">
        <f ca="1">TRUNC(D16*'Composição de BDI'!D23,2)</f>
        <v>9044.33</v>
      </c>
    </row>
    <row r="18" spans="1:4">
      <c r="A18" s="51"/>
      <c r="B18" s="52" t="s">
        <v>168</v>
      </c>
      <c r="C18" s="53"/>
      <c r="D18" s="53">
        <f>SUM(D16:D17)</f>
        <v>49931.920000000006</v>
      </c>
    </row>
  </sheetData>
  <sheetCalcPr fullCalcOnLoad="1"/>
  <mergeCells count="2">
    <mergeCell ref="D1:D6"/>
    <mergeCell ref="A7:D7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4" fitToHeight="0" orientation="portrait" r:id="rId1"/>
  <headerFooter>
    <oddHeader>&amp;L &amp;C &amp;R</oddHeader>
    <oddFooter>&amp;L &amp;C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showGridLines="0" showOutlineSymbols="0" showWhiteSpace="0" zoomScale="85" zoomScaleNormal="85" workbookViewId="0"/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8" width="13" bestFit="1" customWidth="1"/>
  </cols>
  <sheetData>
    <row r="1" spans="1:8">
      <c r="A1" s="43" t="s">
        <v>358</v>
      </c>
      <c r="B1" s="55"/>
      <c r="C1" s="45" t="s">
        <v>359</v>
      </c>
      <c r="D1" s="44" t="s">
        <v>370</v>
      </c>
      <c r="E1" s="43" t="s">
        <v>262</v>
      </c>
      <c r="F1" s="56"/>
      <c r="G1" s="169"/>
      <c r="H1" s="170"/>
    </row>
    <row r="2" spans="1:8">
      <c r="A2" s="157" t="s">
        <v>310</v>
      </c>
      <c r="B2" s="171"/>
      <c r="C2" s="48" t="s">
        <v>331</v>
      </c>
      <c r="D2" s="47" t="s">
        <v>371</v>
      </c>
      <c r="E2" s="172">
        <v>1</v>
      </c>
      <c r="F2" s="173"/>
      <c r="G2" s="159"/>
      <c r="H2" s="160"/>
    </row>
    <row r="3" spans="1:8">
      <c r="A3" s="174" t="s">
        <v>360</v>
      </c>
      <c r="B3" s="175"/>
      <c r="C3" s="174" t="s">
        <v>361</v>
      </c>
      <c r="D3" s="175"/>
      <c r="E3" s="43" t="s">
        <v>362</v>
      </c>
      <c r="F3" s="57"/>
      <c r="G3" s="58"/>
      <c r="H3" s="59"/>
    </row>
    <row r="4" spans="1:8">
      <c r="A4" s="157" t="s">
        <v>343</v>
      </c>
      <c r="B4" s="171"/>
      <c r="C4" s="157" t="s">
        <v>363</v>
      </c>
      <c r="D4" s="171"/>
      <c r="E4" s="157" t="s">
        <v>364</v>
      </c>
      <c r="F4" s="158"/>
      <c r="G4" s="159"/>
      <c r="H4" s="160"/>
    </row>
    <row r="5" spans="1:8">
      <c r="A5" s="60" t="s">
        <v>365</v>
      </c>
      <c r="B5" s="61"/>
      <c r="C5" s="43" t="s">
        <v>366</v>
      </c>
      <c r="D5" s="55"/>
      <c r="E5" s="43" t="s">
        <v>367</v>
      </c>
      <c r="F5" s="57"/>
      <c r="G5" s="58"/>
      <c r="H5" s="59"/>
    </row>
    <row r="6" spans="1:8">
      <c r="A6" s="166" t="s">
        <v>368</v>
      </c>
      <c r="B6" s="167"/>
      <c r="C6" s="157" t="s">
        <v>369</v>
      </c>
      <c r="D6" s="171"/>
      <c r="E6" s="157" t="s">
        <v>175</v>
      </c>
      <c r="F6" s="158"/>
      <c r="G6" s="166"/>
      <c r="H6" s="167"/>
    </row>
    <row r="7" spans="1:8" ht="15">
      <c r="A7" s="168" t="s">
        <v>0</v>
      </c>
      <c r="B7" s="156"/>
      <c r="C7" s="156"/>
      <c r="D7" s="156"/>
      <c r="E7" s="156"/>
      <c r="F7" s="156"/>
      <c r="G7" s="156"/>
      <c r="H7" s="156"/>
    </row>
    <row r="8" spans="1:8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62" t="s">
        <v>6</v>
      </c>
      <c r="G8" s="9" t="s">
        <v>7</v>
      </c>
      <c r="H8" s="9" t="s">
        <v>8</v>
      </c>
    </row>
    <row r="9" spans="1:8">
      <c r="A9" s="91" t="s">
        <v>9</v>
      </c>
      <c r="B9" s="91"/>
      <c r="C9" s="91"/>
      <c r="D9" s="91" t="s">
        <v>10</v>
      </c>
      <c r="E9" s="91"/>
      <c r="F9" s="92"/>
      <c r="G9" s="91"/>
      <c r="H9" s="92">
        <f>H10</f>
        <v>233.94</v>
      </c>
    </row>
    <row r="10" spans="1:8">
      <c r="A10" s="93" t="s">
        <v>11</v>
      </c>
      <c r="B10" s="93"/>
      <c r="C10" s="93"/>
      <c r="D10" s="93" t="s">
        <v>12</v>
      </c>
      <c r="E10" s="93"/>
      <c r="F10" s="94"/>
      <c r="G10" s="93"/>
      <c r="H10" s="95">
        <f>H11</f>
        <v>233.94</v>
      </c>
    </row>
    <row r="11" spans="1:8">
      <c r="A11" s="103" t="s">
        <v>13</v>
      </c>
      <c r="B11" s="65" t="s">
        <v>14</v>
      </c>
      <c r="C11" s="65" t="s">
        <v>15</v>
      </c>
      <c r="D11" s="66" t="s">
        <v>16</v>
      </c>
      <c r="E11" s="65" t="s">
        <v>17</v>
      </c>
      <c r="F11" s="104">
        <v>1</v>
      </c>
      <c r="G11" s="67">
        <f ca="1">VLOOKUP(A11,'Orçamento Analítico'!$A:$H,8,0)</f>
        <v>233.94</v>
      </c>
      <c r="H11" s="67">
        <f>TRUNC(F11 * G11, 2)</f>
        <v>233.94</v>
      </c>
    </row>
    <row r="12" spans="1:8">
      <c r="A12" s="91" t="s">
        <v>18</v>
      </c>
      <c r="B12" s="91"/>
      <c r="C12" s="91"/>
      <c r="D12" s="91" t="s">
        <v>19</v>
      </c>
      <c r="E12" s="91"/>
      <c r="F12" s="92"/>
      <c r="G12" s="91"/>
      <c r="H12" s="92">
        <f>H13+H19</f>
        <v>1015.6</v>
      </c>
    </row>
    <row r="13" spans="1:8">
      <c r="A13" s="93" t="s">
        <v>20</v>
      </c>
      <c r="B13" s="93"/>
      <c r="C13" s="93"/>
      <c r="D13" s="93" t="s">
        <v>21</v>
      </c>
      <c r="E13" s="93"/>
      <c r="F13" s="94"/>
      <c r="G13" s="93"/>
      <c r="H13" s="95">
        <f>H14+H17</f>
        <v>993.7</v>
      </c>
    </row>
    <row r="14" spans="1:8">
      <c r="A14" s="96" t="s">
        <v>22</v>
      </c>
      <c r="B14" s="96"/>
      <c r="C14" s="96"/>
      <c r="D14" s="96" t="s">
        <v>23</v>
      </c>
      <c r="E14" s="96"/>
      <c r="F14" s="97"/>
      <c r="G14" s="96"/>
      <c r="H14" s="98">
        <v>395.88</v>
      </c>
    </row>
    <row r="15" spans="1:8" ht="22.5">
      <c r="A15" s="103" t="s">
        <v>24</v>
      </c>
      <c r="B15" s="65" t="s">
        <v>25</v>
      </c>
      <c r="C15" s="65" t="str">
        <f ca="1">VLOOKUP(B15,'Insumos e Serviços'!$A:$F,2,0)</f>
        <v>SINAPI</v>
      </c>
      <c r="D15" s="66" t="str">
        <f ca="1">VLOOKUP(B15,'Insumos e Serviços'!$A:$F,4,0)</f>
        <v>MONTAGEM E DESMONTAGEM DE ANDAIME TUBULAR TIPO TORRE (EXCLUSIVE ANDAIME E LIMPEZA). AF_11/2017</v>
      </c>
      <c r="E15" s="65" t="str">
        <f ca="1">VLOOKUP(B15,'Insumos e Serviços'!$A:$F,5,0)</f>
        <v>M</v>
      </c>
      <c r="F15" s="104">
        <v>12</v>
      </c>
      <c r="G15" s="67">
        <f ca="1">VLOOKUP(B15,'Insumos e Serviços'!$A:$F,6,0)</f>
        <v>15.99</v>
      </c>
      <c r="H15" s="67">
        <f>TRUNC(F15 * G15, 2)</f>
        <v>191.88</v>
      </c>
    </row>
    <row r="16" spans="1:8" ht="22.5">
      <c r="A16" s="103" t="s">
        <v>29</v>
      </c>
      <c r="B16" s="65" t="s">
        <v>30</v>
      </c>
      <c r="C16" s="65" t="str">
        <f ca="1">VLOOKUP(B16,'Insumos e Serviços'!$A:$F,2,0)</f>
        <v>SINAPI</v>
      </c>
      <c r="D16" s="66" t="str">
        <f ca="1">VLOOKUP(B16,'Insumos e Serviços'!$A:$F,4,0)</f>
        <v>LOCACAO DE ANDAIME METALICO TUBULAR DE ENCAIXE, TIPO DE TORRE, COM LARGURA DE 1 ATE 1,5 M E ALTURA DE *1,00* M (INCLUSO SAPATAS FIXAS OU RODIZIOS)</v>
      </c>
      <c r="E16" s="65" t="str">
        <f ca="1">VLOOKUP(B16,'Insumos e Serviços'!$A:$F,5,0)</f>
        <v>MXMES</v>
      </c>
      <c r="F16" s="104">
        <v>12</v>
      </c>
      <c r="G16" s="67">
        <f ca="1">VLOOKUP(B16,'Insumos e Serviços'!$A:$F,6,0)</f>
        <v>17</v>
      </c>
      <c r="H16" s="67">
        <f>TRUNC(F16 * G16, 2)</f>
        <v>204</v>
      </c>
    </row>
    <row r="17" spans="1:8">
      <c r="A17" s="96" t="s">
        <v>33</v>
      </c>
      <c r="B17" s="96"/>
      <c r="C17" s="96"/>
      <c r="D17" s="96" t="s">
        <v>34</v>
      </c>
      <c r="E17" s="96"/>
      <c r="F17" s="97"/>
      <c r="G17" s="96"/>
      <c r="H17" s="98">
        <f>H18</f>
        <v>597.82000000000005</v>
      </c>
    </row>
    <row r="18" spans="1:8" ht="22.5">
      <c r="A18" s="103" t="s">
        <v>35</v>
      </c>
      <c r="B18" s="65" t="s">
        <v>36</v>
      </c>
      <c r="C18" s="65" t="s">
        <v>15</v>
      </c>
      <c r="D18" s="66" t="s">
        <v>37</v>
      </c>
      <c r="E18" s="65" t="s">
        <v>38</v>
      </c>
      <c r="F18" s="104">
        <v>71</v>
      </c>
      <c r="G18" s="67">
        <f ca="1">VLOOKUP(A18,'Orçamento Analítico'!$A:$H,8,0)</f>
        <v>8.42</v>
      </c>
      <c r="H18" s="67">
        <f>TRUNC(F18 * G18, 2)</f>
        <v>597.82000000000005</v>
      </c>
    </row>
    <row r="19" spans="1:8">
      <c r="A19" s="93" t="s">
        <v>39</v>
      </c>
      <c r="B19" s="93"/>
      <c r="C19" s="93"/>
      <c r="D19" s="93" t="s">
        <v>40</v>
      </c>
      <c r="E19" s="93"/>
      <c r="F19" s="94"/>
      <c r="G19" s="93"/>
      <c r="H19" s="95">
        <f>H20</f>
        <v>21.9</v>
      </c>
    </row>
    <row r="20" spans="1:8">
      <c r="A20" s="96" t="s">
        <v>41</v>
      </c>
      <c r="B20" s="96"/>
      <c r="C20" s="96"/>
      <c r="D20" s="96" t="s">
        <v>42</v>
      </c>
      <c r="E20" s="96"/>
      <c r="F20" s="97"/>
      <c r="G20" s="96"/>
      <c r="H20" s="98">
        <f>H21</f>
        <v>21.9</v>
      </c>
    </row>
    <row r="21" spans="1:8" ht="22.5">
      <c r="A21" s="103" t="s">
        <v>43</v>
      </c>
      <c r="B21" s="65" t="s">
        <v>44</v>
      </c>
      <c r="C21" s="65" t="str">
        <f ca="1">VLOOKUP(B21,'Insumos e Serviços'!$A:$F,2,0)</f>
        <v>SINAPI</v>
      </c>
      <c r="D21" s="66" t="str">
        <f ca="1">VLOOKUP(B21,'Insumos e Serviços'!$A:$F,4,0)</f>
        <v>REMOÇÃO DE FORRO DE GESSO, DE FORMA MANUAL, SEM REAPROVEITAMENTO. AF_12/2017</v>
      </c>
      <c r="E21" s="65" t="str">
        <f ca="1">VLOOKUP(B21,'Insumos e Serviços'!$A:$F,5,0)</f>
        <v>m²</v>
      </c>
      <c r="F21" s="104">
        <v>5</v>
      </c>
      <c r="G21" s="67">
        <f ca="1">VLOOKUP(B21,'Insumos e Serviços'!$A:$F,6,0)</f>
        <v>4.38</v>
      </c>
      <c r="H21" s="67">
        <f>TRUNC(F21 * G21, 2)</f>
        <v>21.9</v>
      </c>
    </row>
    <row r="22" spans="1:8">
      <c r="A22" s="91" t="s">
        <v>46</v>
      </c>
      <c r="B22" s="91"/>
      <c r="C22" s="91"/>
      <c r="D22" s="91" t="s">
        <v>47</v>
      </c>
      <c r="E22" s="91"/>
      <c r="F22" s="92"/>
      <c r="G22" s="91"/>
      <c r="H22" s="92">
        <f>H23</f>
        <v>21320.85</v>
      </c>
    </row>
    <row r="23" spans="1:8">
      <c r="A23" s="96" t="s">
        <v>48</v>
      </c>
      <c r="B23" s="96"/>
      <c r="C23" s="96"/>
      <c r="D23" s="96" t="s">
        <v>49</v>
      </c>
      <c r="E23" s="96"/>
      <c r="F23" s="97"/>
      <c r="G23" s="96"/>
      <c r="H23" s="98">
        <f>H24+H28+H30+H32+H38</f>
        <v>21320.85</v>
      </c>
    </row>
    <row r="24" spans="1:8">
      <c r="A24" s="93" t="s">
        <v>50</v>
      </c>
      <c r="B24" s="93"/>
      <c r="C24" s="93"/>
      <c r="D24" s="93" t="s">
        <v>51</v>
      </c>
      <c r="E24" s="93"/>
      <c r="F24" s="94"/>
      <c r="G24" s="93"/>
      <c r="H24" s="95">
        <f>SUM(H25:H27)</f>
        <v>8005.13</v>
      </c>
    </row>
    <row r="25" spans="1:8" ht="33.75">
      <c r="A25" s="103" t="s">
        <v>52</v>
      </c>
      <c r="B25" s="65" t="s">
        <v>53</v>
      </c>
      <c r="C25" s="65" t="str">
        <f ca="1">VLOOKUP(B25,'Insumos e Serviços'!$A:$F,2,0)</f>
        <v>SINAPI</v>
      </c>
      <c r="D25" s="66" t="str">
        <f ca="1">VLOOKUP(B25,'Insumos e Serviços'!$A:$F,4,0)</f>
        <v>PAREDE COM PLACAS DE GESSO ACARTONADO (DRYWALL), PARA USO INTERNO, COM UMA FACE SIMPLES E ESTRUTURA METÁLICA COM GUIAS SIMPLES, SEM VÃOS. AF_06/2017_P</v>
      </c>
      <c r="E25" s="65" t="str">
        <f ca="1">VLOOKUP(B25,'Insumos e Serviços'!$A:$F,5,0)</f>
        <v>m²</v>
      </c>
      <c r="F25" s="104">
        <v>122</v>
      </c>
      <c r="G25" s="67">
        <f ca="1">VLOOKUP(B25,'Insumos e Serviços'!$A:$F,6,0)</f>
        <v>56.54</v>
      </c>
      <c r="H25" s="67">
        <f>TRUNC(F25 * G25, 2)</f>
        <v>6897.88</v>
      </c>
    </row>
    <row r="26" spans="1:8" ht="33.75">
      <c r="A26" s="103" t="s">
        <v>455</v>
      </c>
      <c r="B26" s="65" t="s">
        <v>56</v>
      </c>
      <c r="C26" s="65" t="s">
        <v>15</v>
      </c>
      <c r="D26" s="66" t="s">
        <v>57</v>
      </c>
      <c r="E26" s="65" t="s">
        <v>38</v>
      </c>
      <c r="F26" s="104">
        <v>2</v>
      </c>
      <c r="G26" s="67">
        <f ca="1">VLOOKUP(A26,'Orçamento Analítico'!$A:$H,8,0)</f>
        <v>56.54</v>
      </c>
      <c r="H26" s="67">
        <f>TRUNC(F26 * G26, 2)</f>
        <v>113.08</v>
      </c>
    </row>
    <row r="27" spans="1:8">
      <c r="A27" s="103" t="s">
        <v>55</v>
      </c>
      <c r="B27" s="65" t="s">
        <v>58</v>
      </c>
      <c r="C27" s="65" t="str">
        <f ca="1">VLOOKUP(B27,'Insumos e Serviços'!$A:$F,2,0)</f>
        <v>SINAPI</v>
      </c>
      <c r="D27" s="66" t="str">
        <f ca="1">VLOOKUP(B27,'Insumos e Serviços'!$A:$F,4,0)</f>
        <v>INSTALAÇÃO DE REFORÇO DE MADEIRA EM PAREDE DRYWALL. AF_06/2017</v>
      </c>
      <c r="E27" s="65" t="str">
        <f ca="1">VLOOKUP(B27,'Insumos e Serviços'!$A:$F,5,0)</f>
        <v>M</v>
      </c>
      <c r="F27" s="104">
        <v>31</v>
      </c>
      <c r="G27" s="67">
        <f ca="1">VLOOKUP(B27,'Insumos e Serviços'!$A:$F,6,0)</f>
        <v>32.07</v>
      </c>
      <c r="H27" s="67">
        <f>TRUNC(F27 * G27, 2)</f>
        <v>994.17</v>
      </c>
    </row>
    <row r="28" spans="1:8">
      <c r="A28" s="93" t="s">
        <v>60</v>
      </c>
      <c r="B28" s="93"/>
      <c r="C28" s="93"/>
      <c r="D28" s="93" t="s">
        <v>61</v>
      </c>
      <c r="E28" s="93"/>
      <c r="F28" s="94"/>
      <c r="G28" s="93"/>
      <c r="H28" s="95">
        <f>H29</f>
        <v>2900</v>
      </c>
    </row>
    <row r="29" spans="1:8" ht="22.5">
      <c r="A29" s="103" t="s">
        <v>62</v>
      </c>
      <c r="B29" s="65" t="s">
        <v>63</v>
      </c>
      <c r="C29" s="65" t="s">
        <v>15</v>
      </c>
      <c r="D29" s="66" t="s">
        <v>64</v>
      </c>
      <c r="E29" s="65" t="s">
        <v>17</v>
      </c>
      <c r="F29" s="104">
        <v>1</v>
      </c>
      <c r="G29" s="67">
        <f ca="1">VLOOKUP(A29,'Orçamento Analítico'!$A:$H,8,0)</f>
        <v>2900</v>
      </c>
      <c r="H29" s="67">
        <f>TRUNC(F29 * G29, 2)</f>
        <v>2900</v>
      </c>
    </row>
    <row r="30" spans="1:8">
      <c r="A30" s="93" t="s">
        <v>65</v>
      </c>
      <c r="B30" s="93"/>
      <c r="C30" s="93"/>
      <c r="D30" s="93" t="s">
        <v>66</v>
      </c>
      <c r="E30" s="93"/>
      <c r="F30" s="94"/>
      <c r="G30" s="93"/>
      <c r="H30" s="95">
        <f>H31</f>
        <v>329.15</v>
      </c>
    </row>
    <row r="31" spans="1:8" ht="22.5">
      <c r="A31" s="103" t="s">
        <v>67</v>
      </c>
      <c r="B31" s="65" t="s">
        <v>68</v>
      </c>
      <c r="C31" s="65" t="str">
        <f ca="1">VLOOKUP(B31,'Insumos e Serviços'!$A:$F,2,0)</f>
        <v>SINAPI</v>
      </c>
      <c r="D31" s="66" t="str">
        <f ca="1">VLOOKUP(B31,'Insumos e Serviços'!$A:$F,4,0)</f>
        <v>FORRO EM DRYWALL, PARA AMBIENTES COMERCIAIS, INCLUSIVE ESTRUTURA DE FIXAÇÃO. AF_05/2017_P</v>
      </c>
      <c r="E31" s="65" t="str">
        <f ca="1">VLOOKUP(B31,'Insumos e Serviços'!$A:$F,5,0)</f>
        <v>m²</v>
      </c>
      <c r="F31" s="104">
        <v>5</v>
      </c>
      <c r="G31" s="67">
        <f ca="1">VLOOKUP(B31,'Insumos e Serviços'!$A:$F,6,0)</f>
        <v>65.83</v>
      </c>
      <c r="H31" s="67">
        <f>TRUNC(F31 * G31, 2)</f>
        <v>329.15</v>
      </c>
    </row>
    <row r="32" spans="1:8">
      <c r="A32" s="93" t="s">
        <v>70</v>
      </c>
      <c r="B32" s="93"/>
      <c r="C32" s="93"/>
      <c r="D32" s="93" t="s">
        <v>71</v>
      </c>
      <c r="E32" s="93"/>
      <c r="F32" s="94"/>
      <c r="G32" s="93"/>
      <c r="H32" s="95">
        <f>SUM(H33:H37)</f>
        <v>5271.57</v>
      </c>
    </row>
    <row r="33" spans="1:8">
      <c r="A33" s="103" t="s">
        <v>72</v>
      </c>
      <c r="B33" s="65" t="s">
        <v>73</v>
      </c>
      <c r="C33" s="65" t="str">
        <f ca="1">VLOOKUP(B33,'Insumos e Serviços'!$A:$F,2,0)</f>
        <v>SINAPI</v>
      </c>
      <c r="D33" s="66" t="str">
        <f ca="1">VLOOKUP(B33,'Insumos e Serviços'!$A:$F,4,0)</f>
        <v>APLICAÇÃO DE FUNDO SELADOR ACRÍLICO EM PAREDES, UMA DEMÃO. AF_06/2014</v>
      </c>
      <c r="E33" s="65" t="str">
        <f ca="1">VLOOKUP(B33,'Insumos e Serviços'!$A:$F,5,0)</f>
        <v>m²</v>
      </c>
      <c r="F33" s="104">
        <v>122</v>
      </c>
      <c r="G33" s="67">
        <f ca="1">VLOOKUP(B33,'Insumos e Serviços'!$A:$F,6,0)</f>
        <v>2.87</v>
      </c>
      <c r="H33" s="67">
        <f>TRUNC(F33 * G33, 2)</f>
        <v>350.14</v>
      </c>
    </row>
    <row r="34" spans="1:8">
      <c r="A34" s="103" t="s">
        <v>75</v>
      </c>
      <c r="B34" s="65" t="s">
        <v>76</v>
      </c>
      <c r="C34" s="65" t="str">
        <f ca="1">VLOOKUP(B34,'Insumos e Serviços'!$A:$F,2,0)</f>
        <v>SINAPI</v>
      </c>
      <c r="D34" s="66" t="str">
        <f ca="1">VLOOKUP(B34,'Insumos e Serviços'!$A:$F,4,0)</f>
        <v>APLICAÇÃO E LIXAMENTO DE MASSA LÁTEX EM PAREDES, DUAS DEMÃOS. AF_06/2014</v>
      </c>
      <c r="E34" s="65" t="str">
        <f ca="1">VLOOKUP(B34,'Insumos e Serviços'!$A:$F,5,0)</f>
        <v>m²</v>
      </c>
      <c r="F34" s="104">
        <v>122</v>
      </c>
      <c r="G34" s="67">
        <f ca="1">VLOOKUP(B34,'Insumos e Serviços'!$A:$F,6,0)</f>
        <v>16.41</v>
      </c>
      <c r="H34" s="67">
        <f>TRUNC(F34 * G34, 2)</f>
        <v>2002.02</v>
      </c>
    </row>
    <row r="35" spans="1:8" ht="22.5">
      <c r="A35" s="103" t="s">
        <v>78</v>
      </c>
      <c r="B35" s="65" t="s">
        <v>79</v>
      </c>
      <c r="C35" s="65" t="str">
        <f ca="1">VLOOKUP(B35,'Insumos e Serviços'!$A:$F,2,0)</f>
        <v>SINAPI</v>
      </c>
      <c r="D35" s="66" t="str">
        <f ca="1">VLOOKUP(B35,'Insumos e Serviços'!$A:$F,4,0)</f>
        <v>APLICAÇÃO MANUAL DE PINTURA COM TINTA LÁTEX ACRÍLICA EM PAREDES, DUAS DEMÃOS. AF_06/2014</v>
      </c>
      <c r="E35" s="65" t="str">
        <f ca="1">VLOOKUP(B35,'Insumos e Serviços'!$A:$F,5,0)</f>
        <v>m²</v>
      </c>
      <c r="F35" s="104">
        <v>131</v>
      </c>
      <c r="G35" s="67">
        <f ca="1">VLOOKUP(B35,'Insumos e Serviços'!$A:$F,6,0)</f>
        <v>13.96</v>
      </c>
      <c r="H35" s="67">
        <f>TRUNC(F35 * G35, 2)</f>
        <v>1828.76</v>
      </c>
    </row>
    <row r="36" spans="1:8">
      <c r="A36" s="103" t="s">
        <v>83</v>
      </c>
      <c r="B36" s="65" t="s">
        <v>81</v>
      </c>
      <c r="C36" s="65" t="str">
        <f ca="1">VLOOKUP(B36,'Insumos e Serviços'!$A:$F,2,0)</f>
        <v>SINAPI</v>
      </c>
      <c r="D36" s="66" t="str">
        <f ca="1">VLOOKUP(B36,'Insumos e Serviços'!$A:$F,4,0)</f>
        <v>APLICAÇÃO E LIXAMENTO DE MASSA LÁTEX EM TETO, DUAS DEMÃOS. AF_06/2014</v>
      </c>
      <c r="E36" s="65" t="str">
        <f ca="1">VLOOKUP(B36,'Insumos e Serviços'!$A:$F,5,0)</f>
        <v>m²</v>
      </c>
      <c r="F36" s="104">
        <v>5</v>
      </c>
      <c r="G36" s="67">
        <f ca="1">VLOOKUP(B36,'Insumos e Serviços'!$A:$F,6,0)</f>
        <v>28.29</v>
      </c>
      <c r="H36" s="67">
        <f>TRUNC(F36 * G36, 2)</f>
        <v>141.44999999999999</v>
      </c>
    </row>
    <row r="37" spans="1:8" ht="22.5">
      <c r="A37" s="103" t="s">
        <v>456</v>
      </c>
      <c r="B37" s="65" t="s">
        <v>84</v>
      </c>
      <c r="C37" s="65" t="str">
        <f ca="1">VLOOKUP(B37,'Insumos e Serviços'!$A:$F,2,0)</f>
        <v>SINAPI</v>
      </c>
      <c r="D37" s="66" t="str">
        <f ca="1">VLOOKUP(B37,'Insumos e Serviços'!$A:$F,4,0)</f>
        <v>APLICAÇÃO MANUAL DE PINTURA COM TINTA LÁTEX ACRÍLICA EM TETO, DUAS DEMÃOS. AF_06/2014</v>
      </c>
      <c r="E37" s="65" t="str">
        <f ca="1">VLOOKUP(B37,'Insumos e Serviços'!$A:$F,5,0)</f>
        <v>m²</v>
      </c>
      <c r="F37" s="104">
        <v>60</v>
      </c>
      <c r="G37" s="67">
        <f ca="1">VLOOKUP(B37,'Insumos e Serviços'!$A:$F,6,0)</f>
        <v>15.82</v>
      </c>
      <c r="H37" s="67">
        <f>TRUNC(F37 * G37, 2)</f>
        <v>949.2</v>
      </c>
    </row>
    <row r="38" spans="1:8">
      <c r="A38" s="93" t="s">
        <v>86</v>
      </c>
      <c r="B38" s="93"/>
      <c r="C38" s="93"/>
      <c r="D38" s="93" t="s">
        <v>87</v>
      </c>
      <c r="E38" s="93"/>
      <c r="F38" s="94"/>
      <c r="G38" s="93"/>
      <c r="H38" s="95">
        <f>SUM(H39:H41)</f>
        <v>4815</v>
      </c>
    </row>
    <row r="39" spans="1:8">
      <c r="A39" s="103" t="s">
        <v>88</v>
      </c>
      <c r="B39" s="65" t="s">
        <v>89</v>
      </c>
      <c r="C39" s="65" t="s">
        <v>15</v>
      </c>
      <c r="D39" s="66" t="s">
        <v>90</v>
      </c>
      <c r="E39" s="65" t="s">
        <v>38</v>
      </c>
      <c r="F39" s="104">
        <v>54</v>
      </c>
      <c r="G39" s="67">
        <f ca="1">VLOOKUP(A39,'Orçamento Analítico'!$A:$H,8,0)</f>
        <v>39.769999999999996</v>
      </c>
      <c r="H39" s="67">
        <f>TRUNC(F39 * G39, 2)</f>
        <v>2147.58</v>
      </c>
    </row>
    <row r="40" spans="1:8" ht="22.5">
      <c r="A40" s="103" t="s">
        <v>91</v>
      </c>
      <c r="B40" s="65" t="s">
        <v>92</v>
      </c>
      <c r="C40" s="65" t="s">
        <v>15</v>
      </c>
      <c r="D40" s="66" t="s">
        <v>93</v>
      </c>
      <c r="E40" s="65" t="s">
        <v>94</v>
      </c>
      <c r="F40" s="104">
        <v>33</v>
      </c>
      <c r="G40" s="67">
        <f ca="1">VLOOKUP(A40,'Orçamento Analítico'!$A:$H,8,0)</f>
        <v>36.979999999999997</v>
      </c>
      <c r="H40" s="67">
        <f>TRUNC(F40 * G40, 2)</f>
        <v>1220.3399999999999</v>
      </c>
    </row>
    <row r="41" spans="1:8" ht="22.5">
      <c r="A41" s="103" t="s">
        <v>95</v>
      </c>
      <c r="B41" s="65" t="s">
        <v>96</v>
      </c>
      <c r="C41" s="65" t="s">
        <v>15</v>
      </c>
      <c r="D41" s="66" t="s">
        <v>97</v>
      </c>
      <c r="E41" s="65" t="s">
        <v>28</v>
      </c>
      <c r="F41" s="104">
        <v>12</v>
      </c>
      <c r="G41" s="67">
        <f ca="1">VLOOKUP(A41,'Orçamento Analítico'!$A:$H,8,0)</f>
        <v>120.58999999999999</v>
      </c>
      <c r="H41" s="67">
        <f>TRUNC(F41 * G41, 2)</f>
        <v>1447.08</v>
      </c>
    </row>
    <row r="42" spans="1:8">
      <c r="A42" s="91" t="s">
        <v>98</v>
      </c>
      <c r="B42" s="91"/>
      <c r="C42" s="91"/>
      <c r="D42" s="91" t="s">
        <v>99</v>
      </c>
      <c r="E42" s="91"/>
      <c r="F42" s="92"/>
      <c r="G42" s="91"/>
      <c r="H42" s="92">
        <f>H43</f>
        <v>10738.5</v>
      </c>
    </row>
    <row r="43" spans="1:8">
      <c r="A43" s="93" t="s">
        <v>100</v>
      </c>
      <c r="B43" s="93"/>
      <c r="C43" s="93"/>
      <c r="D43" s="93" t="s">
        <v>101</v>
      </c>
      <c r="E43" s="93"/>
      <c r="F43" s="94"/>
      <c r="G43" s="93"/>
      <c r="H43" s="95">
        <f>H44</f>
        <v>10738.5</v>
      </c>
    </row>
    <row r="44" spans="1:8">
      <c r="A44" s="96" t="s">
        <v>102</v>
      </c>
      <c r="B44" s="96"/>
      <c r="C44" s="96"/>
      <c r="D44" s="96" t="s">
        <v>103</v>
      </c>
      <c r="E44" s="96"/>
      <c r="F44" s="97"/>
      <c r="G44" s="96"/>
      <c r="H44" s="98">
        <f>SUM(H45:H59)</f>
        <v>10738.5</v>
      </c>
    </row>
    <row r="45" spans="1:8" ht="22.5">
      <c r="A45" s="103" t="s">
        <v>104</v>
      </c>
      <c r="B45" s="65" t="s">
        <v>105</v>
      </c>
      <c r="C45" s="65" t="s">
        <v>15</v>
      </c>
      <c r="D45" s="66" t="s">
        <v>106</v>
      </c>
      <c r="E45" s="65" t="s">
        <v>107</v>
      </c>
      <c r="F45" s="104">
        <v>4</v>
      </c>
      <c r="G45" s="67">
        <f ca="1">VLOOKUP(A45,'Orçamento Analítico'!$A:$H,8,0)</f>
        <v>220.13</v>
      </c>
      <c r="H45" s="67">
        <f t="shared" ref="H45:H59" si="0">TRUNC(F45 * G45, 2)</f>
        <v>880.52</v>
      </c>
    </row>
    <row r="46" spans="1:8" ht="33.75">
      <c r="A46" s="103" t="s">
        <v>108</v>
      </c>
      <c r="B46" s="65" t="s">
        <v>109</v>
      </c>
      <c r="C46" s="65" t="s">
        <v>15</v>
      </c>
      <c r="D46" s="66" t="s">
        <v>110</v>
      </c>
      <c r="E46" s="65" t="s">
        <v>107</v>
      </c>
      <c r="F46" s="104">
        <v>28</v>
      </c>
      <c r="G46" s="67">
        <f ca="1">VLOOKUP(A46,'Orçamento Analítico'!$A:$H,8,0)</f>
        <v>132.94999999999999</v>
      </c>
      <c r="H46" s="67">
        <f t="shared" si="0"/>
        <v>3722.6</v>
      </c>
    </row>
    <row r="47" spans="1:8" ht="33.75">
      <c r="A47" s="103" t="s">
        <v>111</v>
      </c>
      <c r="B47" s="65" t="s">
        <v>112</v>
      </c>
      <c r="C47" s="65" t="s">
        <v>15</v>
      </c>
      <c r="D47" s="66" t="s">
        <v>113</v>
      </c>
      <c r="E47" s="65" t="s">
        <v>114</v>
      </c>
      <c r="F47" s="104">
        <v>1</v>
      </c>
      <c r="G47" s="67">
        <f ca="1">VLOOKUP(A47,'Orçamento Analítico'!$A:$H,8,0)</f>
        <v>4314.6299999999992</v>
      </c>
      <c r="H47" s="67">
        <f t="shared" si="0"/>
        <v>4314.63</v>
      </c>
    </row>
    <row r="48" spans="1:8" ht="22.5">
      <c r="A48" s="103" t="s">
        <v>115</v>
      </c>
      <c r="B48" s="65" t="s">
        <v>116</v>
      </c>
      <c r="C48" s="65" t="str">
        <f ca="1">VLOOKUP(B48,'Insumos e Serviços'!$A:$F,2,0)</f>
        <v>SINAPI</v>
      </c>
      <c r="D48" s="66" t="str">
        <f ca="1">VLOOKUP(B48,'Insumos e Serviços'!$A:$F,4,0)</f>
        <v>INTERRUPTOR SIMPLES (1 MÓDULO), 10A/250V, INCLUINDO SUPORTE E PLACA - FORNECIMENTO E INSTALAÇÃO. AF_12/2015</v>
      </c>
      <c r="E48" s="65" t="str">
        <f ca="1">VLOOKUP(B48,'Insumos e Serviços'!$A:$F,5,0)</f>
        <v>UN</v>
      </c>
      <c r="F48" s="104">
        <v>5</v>
      </c>
      <c r="G48" s="67">
        <f ca="1">VLOOKUP(B48,'Insumos e Serviços'!$A:$F,6,0)</f>
        <v>26.92</v>
      </c>
      <c r="H48" s="67">
        <f t="shared" si="0"/>
        <v>134.6</v>
      </c>
    </row>
    <row r="49" spans="1:8" ht="22.5">
      <c r="A49" s="103" t="s">
        <v>118</v>
      </c>
      <c r="B49" s="65" t="s">
        <v>119</v>
      </c>
      <c r="C49" s="65" t="str">
        <f ca="1">VLOOKUP(B49,'Insumos e Serviços'!$A:$F,2,0)</f>
        <v>SINAPI</v>
      </c>
      <c r="D49" s="66" t="str">
        <f ca="1">VLOOKUP(B49,'Insumos e Serviços'!$A:$F,4,0)</f>
        <v>TOMADA ALTA DE EMBUTIR (1 MÓDULO), 2P+T 10 A, INCLUINDO SUPORTE E PLACA - FORNECIMENTO E INSTALAÇÃO. AF_12/2015</v>
      </c>
      <c r="E49" s="65" t="str">
        <f ca="1">VLOOKUP(B49,'Insumos e Serviços'!$A:$F,5,0)</f>
        <v>UN</v>
      </c>
      <c r="F49" s="104">
        <v>1</v>
      </c>
      <c r="G49" s="67">
        <f ca="1">VLOOKUP(B49,'Insumos e Serviços'!$A:$F,6,0)</f>
        <v>40.299999999999997</v>
      </c>
      <c r="H49" s="67">
        <f t="shared" si="0"/>
        <v>40.299999999999997</v>
      </c>
    </row>
    <row r="50" spans="1:8">
      <c r="A50" s="103" t="s">
        <v>121</v>
      </c>
      <c r="B50" s="65" t="s">
        <v>122</v>
      </c>
      <c r="C50" s="65" t="str">
        <f ca="1">VLOOKUP(B50,'Insumos e Serviços'!$A:$F,2,0)</f>
        <v>SINAPI</v>
      </c>
      <c r="D50" s="66" t="str">
        <f ca="1">VLOOKUP(B50,'Insumos e Serviços'!$A:$F,4,0)</f>
        <v>TOMADA DE REDE RJ45 - FORNECIMENTO E INSTALAÇÃO. AF_11/2019</v>
      </c>
      <c r="E50" s="65" t="str">
        <f ca="1">VLOOKUP(B50,'Insumos e Serviços'!$A:$F,5,0)</f>
        <v>UN</v>
      </c>
      <c r="F50" s="104">
        <v>1</v>
      </c>
      <c r="G50" s="67">
        <f ca="1">VLOOKUP(B50,'Insumos e Serviços'!$A:$F,6,0)</f>
        <v>52.49</v>
      </c>
      <c r="H50" s="67">
        <f t="shared" si="0"/>
        <v>52.49</v>
      </c>
    </row>
    <row r="51" spans="1:8" ht="22.5">
      <c r="A51" s="103" t="s">
        <v>124</v>
      </c>
      <c r="B51" s="65" t="s">
        <v>125</v>
      </c>
      <c r="C51" s="65" t="s">
        <v>15</v>
      </c>
      <c r="D51" s="66" t="s">
        <v>126</v>
      </c>
      <c r="E51" s="65" t="s">
        <v>107</v>
      </c>
      <c r="F51" s="104">
        <v>1</v>
      </c>
      <c r="G51" s="67">
        <f ca="1">VLOOKUP(A51,'Orçamento Analítico'!$A:$H,8,0)</f>
        <v>44.3</v>
      </c>
      <c r="H51" s="67">
        <f t="shared" si="0"/>
        <v>44.3</v>
      </c>
    </row>
    <row r="52" spans="1:8" ht="22.5">
      <c r="A52" s="103" t="s">
        <v>127</v>
      </c>
      <c r="B52" s="65" t="s">
        <v>128</v>
      </c>
      <c r="C52" s="65" t="str">
        <f ca="1">VLOOKUP(B52,'Insumos e Serviços'!$A:$F,2,0)</f>
        <v>SINAPI</v>
      </c>
      <c r="D52" s="66" t="str">
        <f ca="1">VLOOKUP(B52,'Insumos e Serviços'!$A:$F,4,0)</f>
        <v>CAIXA RETANGULAR 4" X 2" BAIXA (0,30 M DO PISO), PVC, INSTALADA EM PAREDE - FORNECIMENTO E INSTALAÇÃO. AF_12/2015</v>
      </c>
      <c r="E52" s="65" t="str">
        <f ca="1">VLOOKUP(B52,'Insumos e Serviços'!$A:$F,5,0)</f>
        <v>UN</v>
      </c>
      <c r="F52" s="104">
        <v>6</v>
      </c>
      <c r="G52" s="67">
        <f ca="1">VLOOKUP(B52,'Insumos e Serviços'!$A:$F,6,0)</f>
        <v>10.06</v>
      </c>
      <c r="H52" s="67">
        <f t="shared" si="0"/>
        <v>60.36</v>
      </c>
    </row>
    <row r="53" spans="1:8" ht="22.5">
      <c r="A53" s="103" t="s">
        <v>130</v>
      </c>
      <c r="B53" s="65" t="s">
        <v>131</v>
      </c>
      <c r="C53" s="65" t="str">
        <f ca="1">VLOOKUP(B53,'Insumos e Serviços'!$A:$F,2,0)</f>
        <v>SINAPI</v>
      </c>
      <c r="D53" s="66" t="str">
        <f ca="1">VLOOKUP(B53,'Insumos e Serviços'!$A:$F,4,0)</f>
        <v>CONDULETE DE PVC, TIPO B, PARA ELETRODUTO DE PVC SOLDÁVEL DN 25 MM (3/4''), APARENTE - FORNECIMENTO E INSTALAÇÃO. AF_11/2016</v>
      </c>
      <c r="E53" s="65" t="str">
        <f ca="1">VLOOKUP(B53,'Insumos e Serviços'!$A:$F,5,0)</f>
        <v>UN</v>
      </c>
      <c r="F53" s="104">
        <v>1</v>
      </c>
      <c r="G53" s="67">
        <f ca="1">VLOOKUP(B53,'Insumos e Serviços'!$A:$F,6,0)</f>
        <v>26.27</v>
      </c>
      <c r="H53" s="67">
        <f t="shared" si="0"/>
        <v>26.27</v>
      </c>
    </row>
    <row r="54" spans="1:8" ht="22.5">
      <c r="A54" s="103" t="s">
        <v>133</v>
      </c>
      <c r="B54" s="65" t="s">
        <v>134</v>
      </c>
      <c r="C54" s="65" t="str">
        <f ca="1">VLOOKUP(B54,'Insumos e Serviços'!$A:$F,2,0)</f>
        <v>SINAPI</v>
      </c>
      <c r="D54" s="66" t="str">
        <f ca="1">VLOOKUP(B54,'Insumos e Serviços'!$A:$F,4,0)</f>
        <v>CONDULETE DE PVC, TIPO LL, PARA ELETRODUTO DE PVC SOLDÁVEL DN 25 MM (3/4''), APARENTE - FORNECIMENTO E INSTALAÇÃO. AF_11/2016</v>
      </c>
      <c r="E54" s="65" t="str">
        <f ca="1">VLOOKUP(B54,'Insumos e Serviços'!$A:$F,5,0)</f>
        <v>UN</v>
      </c>
      <c r="F54" s="104">
        <v>3</v>
      </c>
      <c r="G54" s="67">
        <f ca="1">VLOOKUP(B54,'Insumos e Serviços'!$A:$F,6,0)</f>
        <v>30.4</v>
      </c>
      <c r="H54" s="67">
        <f t="shared" si="0"/>
        <v>91.2</v>
      </c>
    </row>
    <row r="55" spans="1:8" ht="22.5">
      <c r="A55" s="103" t="s">
        <v>136</v>
      </c>
      <c r="B55" s="65" t="s">
        <v>137</v>
      </c>
      <c r="C55" s="65" t="s">
        <v>15</v>
      </c>
      <c r="D55" s="66" t="s">
        <v>138</v>
      </c>
      <c r="E55" s="65" t="s">
        <v>28</v>
      </c>
      <c r="F55" s="104">
        <v>12</v>
      </c>
      <c r="G55" s="67">
        <f ca="1">VLOOKUP(A55,'Orçamento Analítico'!$A:$H,8,0)</f>
        <v>21.93</v>
      </c>
      <c r="H55" s="67">
        <f t="shared" si="0"/>
        <v>263.16000000000003</v>
      </c>
    </row>
    <row r="56" spans="1:8">
      <c r="A56" s="103" t="s">
        <v>139</v>
      </c>
      <c r="B56" s="65" t="s">
        <v>140</v>
      </c>
      <c r="C56" s="65" t="s">
        <v>15</v>
      </c>
      <c r="D56" s="66" t="s">
        <v>141</v>
      </c>
      <c r="E56" s="65" t="s">
        <v>94</v>
      </c>
      <c r="F56" s="104">
        <v>25</v>
      </c>
      <c r="G56" s="67">
        <f ca="1">VLOOKUP(A56,'Orçamento Analítico'!$A:$H,8,0)</f>
        <v>22.33</v>
      </c>
      <c r="H56" s="67">
        <f t="shared" si="0"/>
        <v>558.25</v>
      </c>
    </row>
    <row r="57" spans="1:8" ht="22.5">
      <c r="A57" s="103" t="s">
        <v>142</v>
      </c>
      <c r="B57" s="65" t="s">
        <v>143</v>
      </c>
      <c r="C57" s="65" t="str">
        <f ca="1">VLOOKUP(B57,'Insumos e Serviços'!$A:$F,2,0)</f>
        <v>SINAPI</v>
      </c>
      <c r="D57" s="66" t="str">
        <f ca="1">VLOOKUP(B57,'Insumos e Serviços'!$A:$F,4,0)</f>
        <v>ELETRODUTO FLEXÍVEL CORRUGADO, PVC, DN 25 MM (3/4"), PARA CIRCUITOS TERMINAIS, INSTALADO EM FORRO - FORNECIMENTO E INSTALAÇÃO. AF_12/2015</v>
      </c>
      <c r="E57" s="65" t="str">
        <f ca="1">VLOOKUP(B57,'Insumos e Serviços'!$A:$F,5,0)</f>
        <v>M</v>
      </c>
      <c r="F57" s="104">
        <v>10</v>
      </c>
      <c r="G57" s="67">
        <f ca="1">VLOOKUP(B57,'Insumos e Serviços'!$A:$F,6,0)</f>
        <v>9.0500000000000007</v>
      </c>
      <c r="H57" s="67">
        <f t="shared" si="0"/>
        <v>90.5</v>
      </c>
    </row>
    <row r="58" spans="1:8" ht="22.5">
      <c r="A58" s="103" t="s">
        <v>145</v>
      </c>
      <c r="B58" s="65" t="s">
        <v>146</v>
      </c>
      <c r="C58" s="65" t="str">
        <f ca="1">VLOOKUP(B58,'Insumos e Serviços'!$A:$F,2,0)</f>
        <v>SINAPI</v>
      </c>
      <c r="D58" s="66" t="str">
        <f ca="1">VLOOKUP(B58,'Insumos e Serviços'!$A:$F,4,0)</f>
        <v>CABO DE COBRE FLEXÍVEL ISOLADO, 2,5 MM², ANTI-CHAMA 450/750 V, PARA CIRCUITOS TERMINAIS - FORNECIMENTO E INSTALAÇÃO. AF_12/2015</v>
      </c>
      <c r="E58" s="65" t="str">
        <f ca="1">VLOOKUP(B58,'Insumos e Serviços'!$A:$F,5,0)</f>
        <v>M</v>
      </c>
      <c r="F58" s="104">
        <v>51</v>
      </c>
      <c r="G58" s="67">
        <f ca="1">VLOOKUP(B58,'Insumos e Serviços'!$A:$F,6,0)</f>
        <v>4.32</v>
      </c>
      <c r="H58" s="67">
        <f t="shared" si="0"/>
        <v>220.32</v>
      </c>
    </row>
    <row r="59" spans="1:8" ht="22.5">
      <c r="A59" s="103" t="s">
        <v>148</v>
      </c>
      <c r="B59" s="65" t="s">
        <v>149</v>
      </c>
      <c r="C59" s="65" t="str">
        <f ca="1">VLOOKUP(B59,'Insumos e Serviços'!$A:$F,2,0)</f>
        <v>SINAPI</v>
      </c>
      <c r="D59" s="66" t="str">
        <f ca="1">VLOOKUP(B59,'Insumos e Serviços'!$A:$F,4,0)</f>
        <v>CABO ELETRÔNICO CATEGORIA 6, INSTALADO EM EDIFICAÇÃO RESIDENCIAL - FORNECIMENTO E INSTALAÇÃO. AF_11/2019</v>
      </c>
      <c r="E59" s="65" t="str">
        <f ca="1">VLOOKUP(B59,'Insumos e Serviços'!$A:$F,5,0)</f>
        <v>M</v>
      </c>
      <c r="F59" s="104">
        <v>50</v>
      </c>
      <c r="G59" s="67">
        <f ca="1">VLOOKUP(B59,'Insumos e Serviços'!$A:$F,6,0)</f>
        <v>4.78</v>
      </c>
      <c r="H59" s="67">
        <f t="shared" si="0"/>
        <v>239</v>
      </c>
    </row>
    <row r="60" spans="1:8">
      <c r="A60" s="91" t="s">
        <v>151</v>
      </c>
      <c r="B60" s="91"/>
      <c r="C60" s="91"/>
      <c r="D60" s="91" t="s">
        <v>152</v>
      </c>
      <c r="E60" s="91"/>
      <c r="F60" s="92"/>
      <c r="G60" s="91"/>
      <c r="H60" s="92">
        <f>H61</f>
        <v>364.94</v>
      </c>
    </row>
    <row r="61" spans="1:8">
      <c r="A61" s="93" t="s">
        <v>153</v>
      </c>
      <c r="B61" s="93"/>
      <c r="C61" s="93"/>
      <c r="D61" s="93" t="s">
        <v>154</v>
      </c>
      <c r="E61" s="93"/>
      <c r="F61" s="94"/>
      <c r="G61" s="93"/>
      <c r="H61" s="95">
        <f>H62</f>
        <v>364.94</v>
      </c>
    </row>
    <row r="62" spans="1:8">
      <c r="A62" s="103" t="s">
        <v>155</v>
      </c>
      <c r="B62" s="65" t="s">
        <v>156</v>
      </c>
      <c r="C62" s="65" t="str">
        <f ca="1">VLOOKUP(B62,'Insumos e Serviços'!$A:$F,2,0)</f>
        <v>SINAPI</v>
      </c>
      <c r="D62" s="66" t="str">
        <f ca="1">VLOOKUP(B62,'Insumos e Serviços'!$A:$F,4,0)</f>
        <v>LIMPEZA DE PISO DE LADRILHO HIDRÁULICO COM PANO ÚMIDO. AF_04/2019</v>
      </c>
      <c r="E62" s="65" t="str">
        <f ca="1">VLOOKUP(B62,'Insumos e Serviços'!$A:$F,5,0)</f>
        <v>m²</v>
      </c>
      <c r="F62" s="104">
        <v>71</v>
      </c>
      <c r="G62" s="67">
        <f ca="1">VLOOKUP(B62,'Insumos e Serviços'!$A:$F,6,0)</f>
        <v>5.14</v>
      </c>
      <c r="H62" s="67">
        <f>TRUNC(F62 * G62, 2)</f>
        <v>364.94</v>
      </c>
    </row>
    <row r="63" spans="1:8">
      <c r="A63" s="91" t="s">
        <v>158</v>
      </c>
      <c r="B63" s="91"/>
      <c r="C63" s="91"/>
      <c r="D63" s="91" t="s">
        <v>159</v>
      </c>
      <c r="E63" s="91"/>
      <c r="F63" s="92"/>
      <c r="G63" s="91"/>
      <c r="H63" s="92">
        <f>H64</f>
        <v>7213.76</v>
      </c>
    </row>
    <row r="64" spans="1:8">
      <c r="A64" s="93" t="s">
        <v>160</v>
      </c>
      <c r="B64" s="93"/>
      <c r="C64" s="93"/>
      <c r="D64" s="93" t="s">
        <v>161</v>
      </c>
      <c r="E64" s="93"/>
      <c r="F64" s="94"/>
      <c r="G64" s="93"/>
      <c r="H64" s="95">
        <f>H65</f>
        <v>7213.76</v>
      </c>
    </row>
    <row r="65" spans="1:8">
      <c r="A65" s="103" t="s">
        <v>162</v>
      </c>
      <c r="B65" s="65" t="s">
        <v>163</v>
      </c>
      <c r="C65" s="65" t="str">
        <f ca="1">VLOOKUP(B65,'Insumos e Serviços'!$A:$F,2,0)</f>
        <v>SINAPI</v>
      </c>
      <c r="D65" s="66" t="str">
        <f ca="1">VLOOKUP(B65,'Insumos e Serviços'!$A:$F,4,0)</f>
        <v>ENCARREGADO GERAL DE OBRAS COM ENCARGOS COMPLEMENTARES</v>
      </c>
      <c r="E65" s="65" t="str">
        <f ca="1">VLOOKUP(B65,'Insumos e Serviços'!$A:$F,5,0)</f>
        <v>MES</v>
      </c>
      <c r="F65" s="104">
        <v>2</v>
      </c>
      <c r="G65" s="67">
        <f ca="1">VLOOKUP(B65,'Insumos e Serviços'!$A:$F,6,0)</f>
        <v>3606.88</v>
      </c>
      <c r="H65" s="67">
        <f>TRUNC(F65 * G65, 2)</f>
        <v>7213.76</v>
      </c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99" t="s">
        <v>171</v>
      </c>
      <c r="B67" s="100">
        <f>1-B68</f>
        <v>0.5</v>
      </c>
      <c r="C67" s="51"/>
      <c r="D67" s="101" t="s">
        <v>166</v>
      </c>
      <c r="E67" s="101"/>
      <c r="F67" s="102"/>
      <c r="G67" s="165">
        <f>H9+H12+H22+H42+H60+H63</f>
        <v>40887.590000000004</v>
      </c>
      <c r="H67" s="165"/>
    </row>
    <row r="68" spans="1:8">
      <c r="A68" s="161" t="s">
        <v>173</v>
      </c>
      <c r="B68" s="163">
        <v>0.5</v>
      </c>
      <c r="C68" s="51"/>
      <c r="D68" s="51" t="s">
        <v>167</v>
      </c>
      <c r="E68" s="51" t="str">
        <f ca="1">CONCATENATE("(",'Composição de BDI'!$D$23*100,"%)")</f>
        <v>(22,12%)</v>
      </c>
      <c r="F68" s="102"/>
      <c r="G68" s="165">
        <f ca="1">TRUNC(G67*'Composição de BDI'!D23,2)</f>
        <v>9044.33</v>
      </c>
      <c r="H68" s="165"/>
    </row>
    <row r="69" spans="1:8">
      <c r="A69" s="162"/>
      <c r="B69" s="164"/>
      <c r="C69" s="51"/>
      <c r="D69" s="101" t="s">
        <v>168</v>
      </c>
      <c r="E69" s="101"/>
      <c r="F69" s="102"/>
      <c r="G69" s="165">
        <f>G67+G68</f>
        <v>49931.920000000006</v>
      </c>
      <c r="H69" s="165"/>
    </row>
  </sheetData>
  <sheetCalcPr fullCalcOnLoad="1"/>
  <mergeCells count="20">
    <mergeCell ref="G1:H1"/>
    <mergeCell ref="A6:B6"/>
    <mergeCell ref="C6:D6"/>
    <mergeCell ref="A2:B2"/>
    <mergeCell ref="E2:F2"/>
    <mergeCell ref="G2:H2"/>
    <mergeCell ref="A3:B3"/>
    <mergeCell ref="C3:D3"/>
    <mergeCell ref="A4:B4"/>
    <mergeCell ref="C4:D4"/>
    <mergeCell ref="E4:F4"/>
    <mergeCell ref="G4:H4"/>
    <mergeCell ref="A68:A69"/>
    <mergeCell ref="B68:B69"/>
    <mergeCell ref="G67:H67"/>
    <mergeCell ref="G68:H68"/>
    <mergeCell ref="G69:H69"/>
    <mergeCell ref="E6:F6"/>
    <mergeCell ref="G6:H6"/>
    <mergeCell ref="A7:H7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9" fitToHeight="0" orientation="portrait" r:id="rId1"/>
  <headerFooter>
    <oddHeader>&amp;L &amp;C &amp;R</oddHeader>
    <oddFooter>&amp;L &amp;C 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8"/>
  <sheetViews>
    <sheetView showGridLines="0" showOutlineSymbols="0" showWhiteSpace="0" zoomScale="85" zoomScaleNormal="85" workbookViewId="0"/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6" width="12" bestFit="1" customWidth="1"/>
    <col min="7" max="7" width="13" bestFit="1" customWidth="1"/>
    <col min="8" max="8" width="14" bestFit="1" customWidth="1"/>
  </cols>
  <sheetData>
    <row r="1" spans="1:8" ht="14.25" customHeight="1">
      <c r="A1" s="43" t="str">
        <f ca="1">'Orçamento Sintético'!A1</f>
        <v>P. Execução:</v>
      </c>
      <c r="B1" s="55"/>
      <c r="C1" s="43" t="str">
        <f ca="1">'Orçamento Sintético'!C1</f>
        <v>Licitação:</v>
      </c>
      <c r="D1" s="44" t="str">
        <f ca="1">'Orçamento Sintético'!D1</f>
        <v>Objeto: Adequação para instalação do Espaço Memória no edifício-sede</v>
      </c>
      <c r="E1" s="43" t="str">
        <f ca="1">'Orçamento Sintético'!E1</f>
        <v>Data:</v>
      </c>
      <c r="F1" s="69"/>
      <c r="G1" s="178"/>
      <c r="H1" s="170"/>
    </row>
    <row r="2" spans="1:8" ht="14.25" customHeight="1">
      <c r="A2" s="157" t="str">
        <f ca="1">'Orçamento Sintético'!A2:B2</f>
        <v>A</v>
      </c>
      <c r="B2" s="171"/>
      <c r="C2" s="48" t="str">
        <f ca="1">'Orçamento Sintético'!C2</f>
        <v>B</v>
      </c>
      <c r="D2" s="47" t="str">
        <f ca="1">'Orçamento Sintético'!D2</f>
        <v>Local: Praça do Buriti Bloco A, Zona Cívico-Administrativa, Lote 2 - Brasília / DF</v>
      </c>
      <c r="E2" s="176">
        <f ca="1">'Orçamento Sintético'!E2:F2</f>
        <v>1</v>
      </c>
      <c r="F2" s="177"/>
      <c r="G2" s="159"/>
      <c r="H2" s="160"/>
    </row>
    <row r="3" spans="1:8">
      <c r="A3" s="49" t="str">
        <f ca="1">'Orçamento Sintético'!A3</f>
        <v>P. Validade:</v>
      </c>
      <c r="B3" s="55"/>
      <c r="C3" s="49" t="str">
        <f ca="1">'Orçamento Sintético'!C3</f>
        <v>Razão Social:</v>
      </c>
      <c r="D3" s="55"/>
      <c r="E3" s="43" t="str">
        <f ca="1">'Orçamento Sintético'!E3</f>
        <v>Telefone:</v>
      </c>
      <c r="F3" s="69"/>
      <c r="G3" s="58"/>
      <c r="H3" s="59"/>
    </row>
    <row r="4" spans="1:8">
      <c r="A4" s="157" t="str">
        <f ca="1">'Orçamento Sintético'!A4:B4</f>
        <v>C</v>
      </c>
      <c r="B4" s="171"/>
      <c r="C4" s="157" t="str">
        <f ca="1">'Orçamento Sintético'!C4:D4</f>
        <v>D</v>
      </c>
      <c r="D4" s="171"/>
      <c r="E4" s="157" t="str">
        <f ca="1">'Orçamento Sintético'!E4:F4</f>
        <v>E</v>
      </c>
      <c r="F4" s="171"/>
      <c r="G4" s="159"/>
      <c r="H4" s="160"/>
    </row>
    <row r="5" spans="1:8">
      <c r="A5" s="43" t="str">
        <f ca="1">'Orçamento Sintético'!A5</f>
        <v>P. Garantia:</v>
      </c>
      <c r="B5" s="55"/>
      <c r="C5" s="43" t="str">
        <f ca="1">'Orçamento Sintético'!C5</f>
        <v>CNPJ:</v>
      </c>
      <c r="D5" s="55"/>
      <c r="E5" s="43" t="str">
        <f ca="1">'Orçamento Sintético'!E5</f>
        <v>E-mail:</v>
      </c>
      <c r="F5" s="69"/>
      <c r="G5" s="58"/>
      <c r="H5" s="59"/>
    </row>
    <row r="6" spans="1:8">
      <c r="A6" s="157" t="str">
        <f ca="1">'Orçamento Sintético'!A6:B6</f>
        <v>F</v>
      </c>
      <c r="B6" s="171"/>
      <c r="C6" s="157" t="str">
        <f ca="1">'Orçamento Sintético'!C6:D6</f>
        <v>G</v>
      </c>
      <c r="D6" s="171"/>
      <c r="E6" s="157" t="str">
        <f ca="1">'Orçamento Sintético'!E6:F6</f>
        <v>H</v>
      </c>
      <c r="F6" s="171"/>
      <c r="G6" s="166"/>
      <c r="H6" s="167"/>
    </row>
    <row r="7" spans="1:8" ht="15">
      <c r="A7" s="155" t="s">
        <v>251</v>
      </c>
      <c r="B7" s="156"/>
      <c r="C7" s="156"/>
      <c r="D7" s="156"/>
      <c r="E7" s="156"/>
      <c r="F7" s="156"/>
      <c r="G7" s="156"/>
      <c r="H7" s="156"/>
    </row>
    <row r="8" spans="1:8">
      <c r="A8" s="9" t="s">
        <v>1</v>
      </c>
      <c r="B8" s="9" t="s">
        <v>2</v>
      </c>
      <c r="C8" s="9" t="s">
        <v>3</v>
      </c>
      <c r="D8" s="9" t="s">
        <v>4</v>
      </c>
      <c r="E8" s="9" t="s">
        <v>5</v>
      </c>
      <c r="F8" s="62" t="s">
        <v>6</v>
      </c>
      <c r="G8" s="9" t="s">
        <v>7</v>
      </c>
      <c r="H8" s="9" t="s">
        <v>8</v>
      </c>
    </row>
    <row r="9" spans="1:8">
      <c r="A9" s="70" t="s">
        <v>9</v>
      </c>
      <c r="B9" s="71"/>
      <c r="C9" s="70"/>
      <c r="D9" s="70" t="s">
        <v>10</v>
      </c>
      <c r="E9" s="72"/>
      <c r="F9" s="73"/>
      <c r="G9" s="70"/>
      <c r="H9" s="74"/>
    </row>
    <row r="10" spans="1:8">
      <c r="A10" s="75" t="s">
        <v>11</v>
      </c>
      <c r="B10" s="76"/>
      <c r="C10" s="75"/>
      <c r="D10" s="75" t="s">
        <v>12</v>
      </c>
      <c r="E10" s="77"/>
      <c r="F10" s="78"/>
      <c r="G10" s="75"/>
      <c r="H10" s="79"/>
    </row>
    <row r="11" spans="1:8">
      <c r="A11" s="85" t="s">
        <v>13</v>
      </c>
      <c r="B11" s="86" t="str">
        <f ca="1">VLOOKUP(A11,'Orçamento Sintético'!$A:$H,2,0)</f>
        <v xml:space="preserve"> MPDFT1020 </v>
      </c>
      <c r="C11" s="86" t="str">
        <f ca="1">VLOOKUP(A11,'Orçamento Sintético'!$A:$H,3,0)</f>
        <v>Próprio</v>
      </c>
      <c r="D11" s="85" t="str">
        <f ca="1">VLOOKUP(A11,'Orçamento Sintético'!$A:$H,4,0)</f>
        <v>Anotação de Responsabilidade Técnica (Faixa 3 - Tabela A - CONFEA)</v>
      </c>
      <c r="E11" s="86" t="str">
        <f ca="1">VLOOKUP(A11,'Orçamento Sintético'!$A:$H,5,0)</f>
        <v>un</v>
      </c>
      <c r="F11" s="87"/>
      <c r="G11" s="88"/>
      <c r="H11" s="89">
        <f>SUM(H12)</f>
        <v>233.94</v>
      </c>
    </row>
    <row r="12" spans="1:8" ht="15" thickBot="1">
      <c r="A12" s="66" t="str">
        <f ca="1">VLOOKUP(B12,'Insumos e Serviços'!$A:$F,3,0)</f>
        <v>Insumo</v>
      </c>
      <c r="B12" s="65" t="s">
        <v>250</v>
      </c>
      <c r="C12" s="65" t="str">
        <f ca="1">VLOOKUP(B12,'Insumos e Serviços'!$A:$F,2,0)</f>
        <v>Próprio</v>
      </c>
      <c r="D12" s="66" t="str">
        <f ca="1">VLOOKUP(B12,'Insumos e Serviços'!$A:$F,4,0)</f>
        <v>Anotação de Resposanbilidade Técnica (Faixa 3 - Tabela A - CONFEA)</v>
      </c>
      <c r="E12" s="65" t="str">
        <f ca="1">VLOOKUP(B12,'Insumos e Serviços'!$A:$F,5,0)</f>
        <v>vb</v>
      </c>
      <c r="F12" s="90">
        <v>1</v>
      </c>
      <c r="G12" s="67">
        <f ca="1">VLOOKUP(B12,'Insumos e Serviços'!$A:$F,6,0)</f>
        <v>233.94</v>
      </c>
      <c r="H12" s="67">
        <f>TRUNC(F12*G12,2)</f>
        <v>233.94</v>
      </c>
    </row>
    <row r="13" spans="1:8" ht="15" thickTop="1">
      <c r="A13" s="4"/>
      <c r="B13" s="4"/>
      <c r="C13" s="4"/>
      <c r="D13" s="4"/>
      <c r="E13" s="4"/>
      <c r="F13" s="4"/>
      <c r="G13" s="4"/>
      <c r="H13" s="4"/>
    </row>
    <row r="14" spans="1:8">
      <c r="A14" s="70" t="s">
        <v>18</v>
      </c>
      <c r="B14" s="71"/>
      <c r="C14" s="70"/>
      <c r="D14" s="70" t="s">
        <v>19</v>
      </c>
      <c r="E14" s="72"/>
      <c r="F14" s="73"/>
      <c r="G14" s="70"/>
      <c r="H14" s="74"/>
    </row>
    <row r="15" spans="1:8">
      <c r="A15" s="75" t="s">
        <v>20</v>
      </c>
      <c r="B15" s="76"/>
      <c r="C15" s="75"/>
      <c r="D15" s="75" t="s">
        <v>21</v>
      </c>
      <c r="E15" s="77"/>
      <c r="F15" s="78"/>
      <c r="G15" s="75"/>
      <c r="H15" s="79"/>
    </row>
    <row r="16" spans="1:8">
      <c r="A16" s="80" t="s">
        <v>33</v>
      </c>
      <c r="B16" s="81"/>
      <c r="C16" s="80"/>
      <c r="D16" s="80" t="s">
        <v>34</v>
      </c>
      <c r="E16" s="81"/>
      <c r="F16" s="82"/>
      <c r="G16" s="83"/>
      <c r="H16" s="84"/>
    </row>
    <row r="17" spans="1:8" ht="22.5">
      <c r="A17" s="85" t="s">
        <v>35</v>
      </c>
      <c r="B17" s="86" t="str">
        <f ca="1">VLOOKUP(A17,'Orçamento Sintético'!$A:$H,2,0)</f>
        <v xml:space="preserve"> MPDFT0992 </v>
      </c>
      <c r="C17" s="86" t="str">
        <f ca="1">VLOOKUP(A17,'Orçamento Sintético'!$A:$H,3,0)</f>
        <v>Próprio</v>
      </c>
      <c r="D17" s="85" t="str">
        <f ca="1">VLOOKUP(A17,'Orçamento Sintético'!$A:$H,4,0)</f>
        <v>Cópia da CPOS (02.03.030) - Proteção de superfícies com manta de papel kraft com plástico bolha alta resistência</v>
      </c>
      <c r="E17" s="86" t="str">
        <f ca="1">VLOOKUP(A17,'Orçamento Sintético'!$A:$H,5,0)</f>
        <v>m²</v>
      </c>
      <c r="F17" s="87"/>
      <c r="G17" s="88"/>
      <c r="H17" s="89">
        <f>SUM(H18:H19)</f>
        <v>8.42</v>
      </c>
    </row>
    <row r="18" spans="1:8">
      <c r="A18" s="66" t="str">
        <f ca="1">VLOOKUP(B18,'Insumos e Serviços'!$A:$F,3,0)</f>
        <v>Composição</v>
      </c>
      <c r="B18" s="65" t="s">
        <v>177</v>
      </c>
      <c r="C18" s="65" t="str">
        <f ca="1">VLOOKUP(B18,'Insumos e Serviços'!$A:$F,2,0)</f>
        <v>SINAPI</v>
      </c>
      <c r="D18" s="66" t="str">
        <f ca="1">VLOOKUP(B18,'Insumos e Serviços'!$A:$F,4,0)</f>
        <v>SERVENTE COM ENCARGOS COMPLEMENTARES</v>
      </c>
      <c r="E18" s="65" t="str">
        <f ca="1">VLOOKUP(B18,'Insumos e Serviços'!$A:$F,5,0)</f>
        <v>H</v>
      </c>
      <c r="F18" s="90">
        <v>0.1</v>
      </c>
      <c r="G18" s="67">
        <f ca="1">VLOOKUP(B18,'Insumos e Serviços'!$A:$F,6,0)</f>
        <v>18.649999999999999</v>
      </c>
      <c r="H18" s="67">
        <f>TRUNC(F18*G18,2)</f>
        <v>1.86</v>
      </c>
    </row>
    <row r="19" spans="1:8" ht="15" thickBot="1">
      <c r="A19" s="66" t="str">
        <f ca="1">VLOOKUP(B19,'Insumos e Serviços'!$A:$F,3,0)</f>
        <v>Insumo</v>
      </c>
      <c r="B19" s="65" t="s">
        <v>247</v>
      </c>
      <c r="C19" s="65" t="str">
        <f ca="1">VLOOKUP(B19,'Insumos e Serviços'!$A:$F,2,0)</f>
        <v>Próprio</v>
      </c>
      <c r="D19" s="66" t="str">
        <f ca="1">VLOOKUP(B19,'Insumos e Serviços'!$A:$F,4,0)</f>
        <v>Manta de papel kraft com plástico bolha alta resistência</v>
      </c>
      <c r="E19" s="65" t="str">
        <f ca="1">VLOOKUP(B19,'Insumos e Serviços'!$A:$F,5,0)</f>
        <v>m²</v>
      </c>
      <c r="F19" s="90">
        <v>1.1000000000000001</v>
      </c>
      <c r="G19" s="67">
        <f ca="1">VLOOKUP(B19,'Insumos e Serviços'!$A:$F,6,0)</f>
        <v>5.97</v>
      </c>
      <c r="H19" s="67">
        <f>TRUNC(F19*G19,2)</f>
        <v>6.56</v>
      </c>
    </row>
    <row r="20" spans="1:8" ht="15" thickTop="1">
      <c r="A20" s="4"/>
      <c r="B20" s="4"/>
      <c r="C20" s="4"/>
      <c r="D20" s="4"/>
      <c r="E20" s="4"/>
      <c r="F20" s="4"/>
      <c r="G20" s="4"/>
      <c r="H20" s="4"/>
    </row>
    <row r="21" spans="1:8">
      <c r="A21" s="70" t="s">
        <v>46</v>
      </c>
      <c r="B21" s="71"/>
      <c r="C21" s="70"/>
      <c r="D21" s="70" t="s">
        <v>47</v>
      </c>
      <c r="E21" s="72"/>
      <c r="F21" s="73"/>
      <c r="G21" s="70"/>
      <c r="H21" s="74"/>
    </row>
    <row r="22" spans="1:8">
      <c r="A22" s="80" t="s">
        <v>48</v>
      </c>
      <c r="B22" s="81"/>
      <c r="C22" s="80"/>
      <c r="D22" s="80" t="s">
        <v>49</v>
      </c>
      <c r="E22" s="81"/>
      <c r="F22" s="82"/>
      <c r="G22" s="83"/>
      <c r="H22" s="84"/>
    </row>
    <row r="23" spans="1:8">
      <c r="A23" s="75" t="s">
        <v>50</v>
      </c>
      <c r="B23" s="76"/>
      <c r="C23" s="75"/>
      <c r="D23" s="75" t="s">
        <v>51</v>
      </c>
      <c r="E23" s="77"/>
      <c r="F23" s="78"/>
      <c r="G23" s="75"/>
      <c r="H23" s="79"/>
    </row>
    <row r="24" spans="1:8" ht="33.75">
      <c r="A24" s="85" t="s">
        <v>455</v>
      </c>
      <c r="B24" s="86" t="str">
        <f ca="1">VLOOKUP(A24,'Orçamento Sintético'!$A:$H,2,0)</f>
        <v xml:space="preserve"> MPDFT1494 </v>
      </c>
      <c r="C24" s="86" t="str">
        <f ca="1">VLOOKUP(A24,'Orçamento Sintético'!$A:$H,3,0)</f>
        <v>Próprio</v>
      </c>
      <c r="D24" s="85" t="str">
        <f ca="1">VLOOKUP(A24,'Orçamento Sintético'!$A:$H,4,0)</f>
        <v>Copia da SINAPI (96370) - EXECUÇÃO DE NICHO EM PAREDE COM PLACAS DE GESSO ACARTONADO (DRYWALL), COM UMA FACE SIMPLES E ESTRUTURA METÁLICA COM GUIAS SIMPLES</v>
      </c>
      <c r="E24" s="86" t="str">
        <f ca="1">VLOOKUP(A24,'Orçamento Sintético'!$A:$H,5,0)</f>
        <v>m²</v>
      </c>
      <c r="F24" s="87"/>
      <c r="G24" s="88"/>
      <c r="H24" s="89">
        <f>SUM(H25:H35)</f>
        <v>56.54</v>
      </c>
    </row>
    <row r="25" spans="1:8">
      <c r="A25" s="66" t="str">
        <f ca="1">VLOOKUP(B25,'Insumos e Serviços'!$A:$F,3,0)</f>
        <v>Composição</v>
      </c>
      <c r="B25" s="65" t="s">
        <v>236</v>
      </c>
      <c r="C25" s="65" t="str">
        <f ca="1">VLOOKUP(B25,'Insumos e Serviços'!$A:$F,2,0)</f>
        <v>SINAPI</v>
      </c>
      <c r="D25" s="66" t="str">
        <f ca="1">VLOOKUP(B25,'Insumos e Serviços'!$A:$F,4,0)</f>
        <v>MONTADOR DE ESTRUTURA METÁLICA COM ENCARGOS COMPLEMENTARES</v>
      </c>
      <c r="E25" s="65" t="str">
        <f ca="1">VLOOKUP(B25,'Insumos e Serviços'!$A:$F,5,0)</f>
        <v>H</v>
      </c>
      <c r="F25" s="90">
        <v>0.36359999999999998</v>
      </c>
      <c r="G25" s="67">
        <f ca="1">VLOOKUP(B25,'Insumos e Serviços'!$A:$F,6,0)</f>
        <v>19.100000000000001</v>
      </c>
      <c r="H25" s="67">
        <f t="shared" ref="H25:H35" si="0">TRUNC(F25*G25,2)</f>
        <v>6.94</v>
      </c>
    </row>
    <row r="26" spans="1:8">
      <c r="A26" s="66" t="str">
        <f ca="1">VLOOKUP(B26,'Insumos e Serviços'!$A:$F,3,0)</f>
        <v>Composição</v>
      </c>
      <c r="B26" s="65" t="s">
        <v>177</v>
      </c>
      <c r="C26" s="65" t="str">
        <f ca="1">VLOOKUP(B26,'Insumos e Serviços'!$A:$F,2,0)</f>
        <v>SINAPI</v>
      </c>
      <c r="D26" s="66" t="str">
        <f ca="1">VLOOKUP(B26,'Insumos e Serviços'!$A:$F,4,0)</f>
        <v>SERVENTE COM ENCARGOS COMPLEMENTARES</v>
      </c>
      <c r="E26" s="65" t="str">
        <f ca="1">VLOOKUP(B26,'Insumos e Serviços'!$A:$F,5,0)</f>
        <v>H</v>
      </c>
      <c r="F26" s="90">
        <v>9.0899999999999995E-2</v>
      </c>
      <c r="G26" s="67">
        <f ca="1">VLOOKUP(B26,'Insumos e Serviços'!$A:$F,6,0)</f>
        <v>18.649999999999999</v>
      </c>
      <c r="H26" s="67">
        <f t="shared" si="0"/>
        <v>1.69</v>
      </c>
    </row>
    <row r="27" spans="1:8" ht="22.5">
      <c r="A27" s="66" t="str">
        <f ca="1">VLOOKUP(B27,'Insumos e Serviços'!$A:$F,3,0)</f>
        <v>Insumo</v>
      </c>
      <c r="B27" s="65" t="s">
        <v>245</v>
      </c>
      <c r="C27" s="65" t="str">
        <f ca="1">VLOOKUP(B27,'Insumos e Serviços'!$A:$F,2,0)</f>
        <v>SINAPI</v>
      </c>
      <c r="D27" s="66" t="str">
        <f ca="1">VLOOKUP(B27,'Insumos e Serviços'!$A:$F,4,0)</f>
        <v>PINO DE ACO COM ARRUELA CONICA, DIAMETRO ARRUELA = *23* MM E COMP HASTE = *27* MM (ACAO INDIRETA)</v>
      </c>
      <c r="E27" s="65" t="str">
        <f ca="1">VLOOKUP(B27,'Insumos e Serviços'!$A:$F,5,0)</f>
        <v>CENTO</v>
      </c>
      <c r="F27" s="90">
        <v>2.4299999999999999E-2</v>
      </c>
      <c r="G27" s="67">
        <f ca="1">VLOOKUP(B27,'Insumos e Serviços'!$A:$F,6,0)</f>
        <v>46.52</v>
      </c>
      <c r="H27" s="67">
        <f t="shared" si="0"/>
        <v>1.1299999999999999</v>
      </c>
    </row>
    <row r="28" spans="1:8" ht="22.5">
      <c r="A28" s="66" t="str">
        <f ca="1">VLOOKUP(B28,'Insumos e Serviços'!$A:$F,3,0)</f>
        <v>Insumo</v>
      </c>
      <c r="B28" s="65" t="s">
        <v>225</v>
      </c>
      <c r="C28" s="65" t="str">
        <f ca="1">VLOOKUP(B28,'Insumos e Serviços'!$A:$F,2,0)</f>
        <v>SINAPI</v>
      </c>
      <c r="D28" s="66" t="str">
        <f ca="1">VLOOKUP(B28,'Insumos e Serviços'!$A:$F,4,0)</f>
        <v>PLACA / CHAPA DE GESSO ACARTONADO, STANDARD (ST), COR BRANCA, E = 12,5 MM, 1200 X 2400 MM (L X C)</v>
      </c>
      <c r="E28" s="65" t="str">
        <f ca="1">VLOOKUP(B28,'Insumos e Serviços'!$A:$F,5,0)</f>
        <v>m²</v>
      </c>
      <c r="F28" s="90">
        <v>1.0529999999999999</v>
      </c>
      <c r="G28" s="67">
        <f ca="1">VLOOKUP(B28,'Insumos e Serviços'!$A:$F,6,0)</f>
        <v>16.84</v>
      </c>
      <c r="H28" s="67">
        <f t="shared" si="0"/>
        <v>17.73</v>
      </c>
    </row>
    <row r="29" spans="1:8" ht="22.5">
      <c r="A29" s="66" t="str">
        <f ca="1">VLOOKUP(B29,'Insumos e Serviços'!$A:$F,3,0)</f>
        <v>Insumo</v>
      </c>
      <c r="B29" s="65" t="s">
        <v>243</v>
      </c>
      <c r="C29" s="65" t="str">
        <f ca="1">VLOOKUP(B29,'Insumos e Serviços'!$A:$F,2,0)</f>
        <v>SINAPI</v>
      </c>
      <c r="D29" s="66" t="str">
        <f ca="1">VLOOKUP(B29,'Insumos e Serviços'!$A:$F,4,0)</f>
        <v>PERFIL GUIA, FORMATO U, EM ACO ZINCADO, PARA ESTRUTURA PAREDE DRYWALL, E = 0,5 MM, 70 X 3000 MM (L X C)</v>
      </c>
      <c r="E29" s="65" t="str">
        <f ca="1">VLOOKUP(B29,'Insumos e Serviços'!$A:$F,5,0)</f>
        <v>M</v>
      </c>
      <c r="F29" s="90">
        <v>0.76039999999999996</v>
      </c>
      <c r="G29" s="67">
        <f ca="1">VLOOKUP(B29,'Insumos e Serviços'!$A:$F,6,0)</f>
        <v>8.06</v>
      </c>
      <c r="H29" s="67">
        <f t="shared" si="0"/>
        <v>6.12</v>
      </c>
    </row>
    <row r="30" spans="1:8" ht="22.5">
      <c r="A30" s="66" t="str">
        <f ca="1">VLOOKUP(B30,'Insumos e Serviços'!$A:$F,3,0)</f>
        <v>Insumo</v>
      </c>
      <c r="B30" s="65" t="s">
        <v>241</v>
      </c>
      <c r="C30" s="65" t="str">
        <f ca="1">VLOOKUP(B30,'Insumos e Serviços'!$A:$F,2,0)</f>
        <v>SINAPI</v>
      </c>
      <c r="D30" s="66" t="str">
        <f ca="1">VLOOKUP(B30,'Insumos e Serviços'!$A:$F,4,0)</f>
        <v>PERFIL MONTANTE, FORMATO C, EM ACO ZINCADO, PARA ESTRUTURA PAREDE DRYWALL, E = 0,5 MM, 70 X 3000 MM (L X C)</v>
      </c>
      <c r="E30" s="65" t="str">
        <f ca="1">VLOOKUP(B30,'Insumos e Serviços'!$A:$F,5,0)</f>
        <v>M</v>
      </c>
      <c r="F30" s="90">
        <v>1.9910000000000001</v>
      </c>
      <c r="G30" s="67">
        <f ca="1">VLOOKUP(B30,'Insumos e Serviços'!$A:$F,6,0)</f>
        <v>9.14</v>
      </c>
      <c r="H30" s="67">
        <f t="shared" si="0"/>
        <v>18.190000000000001</v>
      </c>
    </row>
    <row r="31" spans="1:8" ht="22.5">
      <c r="A31" s="66" t="str">
        <f ca="1">VLOOKUP(B31,'Insumos e Serviços'!$A:$F,3,0)</f>
        <v>Insumo</v>
      </c>
      <c r="B31" s="65" t="s">
        <v>239</v>
      </c>
      <c r="C31" s="65" t="str">
        <f ca="1">VLOOKUP(B31,'Insumos e Serviços'!$A:$F,2,0)</f>
        <v>SINAPI</v>
      </c>
      <c r="D31" s="66" t="str">
        <f ca="1">VLOOKUP(B31,'Insumos e Serviços'!$A:$F,4,0)</f>
        <v>FITA DE PAPEL MICROPERFURADO, 50 X 150 MM, PARA TRATAMENTO DE JUNTAS DE CHAPA DE GESSO PARA DRYWALL</v>
      </c>
      <c r="E31" s="65" t="str">
        <f ca="1">VLOOKUP(B31,'Insumos e Serviços'!$A:$F,5,0)</f>
        <v>M</v>
      </c>
      <c r="F31" s="90">
        <v>1.2513000000000001</v>
      </c>
      <c r="G31" s="67">
        <f ca="1">VLOOKUP(B31,'Insumos e Serviços'!$A:$F,6,0)</f>
        <v>0.26</v>
      </c>
      <c r="H31" s="67">
        <f t="shared" si="0"/>
        <v>0.32</v>
      </c>
    </row>
    <row r="32" spans="1:8" ht="22.5">
      <c r="A32" s="66" t="str">
        <f ca="1">VLOOKUP(B32,'Insumos e Serviços'!$A:$F,3,0)</f>
        <v>Insumo</v>
      </c>
      <c r="B32" s="65" t="s">
        <v>234</v>
      </c>
      <c r="C32" s="65" t="str">
        <f ca="1">VLOOKUP(B32,'Insumos e Serviços'!$A:$F,2,0)</f>
        <v>SINAPI</v>
      </c>
      <c r="D32" s="66" t="str">
        <f ca="1">VLOOKUP(B32,'Insumos e Serviços'!$A:$F,4,0)</f>
        <v>FITA DE PAPEL REFORCADA COM LAMINA DE METAL PARA REFORCO DE CANTOS DE CHAPA DE GESSO PARA DRYWALL</v>
      </c>
      <c r="E32" s="65" t="str">
        <f ca="1">VLOOKUP(B32,'Insumos e Serviços'!$A:$F,5,0)</f>
        <v>M</v>
      </c>
      <c r="F32" s="90">
        <v>0.74070000000000003</v>
      </c>
      <c r="G32" s="67">
        <f ca="1">VLOOKUP(B32,'Insumos e Serviços'!$A:$F,6,0)</f>
        <v>2.33</v>
      </c>
      <c r="H32" s="67">
        <f t="shared" si="0"/>
        <v>1.72</v>
      </c>
    </row>
    <row r="33" spans="1:8" ht="22.5">
      <c r="A33" s="66" t="str">
        <f ca="1">VLOOKUP(B33,'Insumos e Serviços'!$A:$F,3,0)</f>
        <v>Insumo</v>
      </c>
      <c r="B33" s="65" t="s">
        <v>232</v>
      </c>
      <c r="C33" s="65" t="str">
        <f ca="1">VLOOKUP(B33,'Insumos e Serviços'!$A:$F,2,0)</f>
        <v>SINAPI</v>
      </c>
      <c r="D33" s="66" t="str">
        <f ca="1">VLOOKUP(B33,'Insumos e Serviços'!$A:$F,4,0)</f>
        <v>MASSA DE REJUNTE EM PO PARA DRYWALL, A BASE DE GESSO, SECAGEM RAPIDA, PARA TRATAMENTO DE JUNTAS DE CHAPA DE GESSO (NECESSITA ADICAO DE AGUA)</v>
      </c>
      <c r="E33" s="65" t="str">
        <f ca="1">VLOOKUP(B33,'Insumos e Serviços'!$A:$F,5,0)</f>
        <v>KG</v>
      </c>
      <c r="F33" s="90">
        <v>0.51639999999999997</v>
      </c>
      <c r="G33" s="67">
        <f ca="1">VLOOKUP(B33,'Insumos e Serviços'!$A:$F,6,0)</f>
        <v>2.92</v>
      </c>
      <c r="H33" s="67">
        <f t="shared" si="0"/>
        <v>1.5</v>
      </c>
    </row>
    <row r="34" spans="1:8" ht="22.5">
      <c r="A34" s="66" t="str">
        <f ca="1">VLOOKUP(B34,'Insumos e Serviços'!$A:$F,3,0)</f>
        <v>Insumo</v>
      </c>
      <c r="B34" s="65" t="s">
        <v>230</v>
      </c>
      <c r="C34" s="65" t="str">
        <f ca="1">VLOOKUP(B34,'Insumos e Serviços'!$A:$F,2,0)</f>
        <v>SINAPI</v>
      </c>
      <c r="D34" s="66" t="str">
        <f ca="1">VLOOKUP(B34,'Insumos e Serviços'!$A:$F,4,0)</f>
        <v>PARAFUSO DRY WALL, EM ACO FOSFATIZADO, CABECA TROMBETA E PONTA AGULHA (TA), COMPRIMENTO 25 MM</v>
      </c>
      <c r="E34" s="65" t="str">
        <f ca="1">VLOOKUP(B34,'Insumos e Serviços'!$A:$F,5,0)</f>
        <v>UN</v>
      </c>
      <c r="F34" s="90">
        <v>10.0039</v>
      </c>
      <c r="G34" s="67">
        <f ca="1">VLOOKUP(B34,'Insumos e Serviços'!$A:$F,6,0)</f>
        <v>0.1</v>
      </c>
      <c r="H34" s="67">
        <f t="shared" si="0"/>
        <v>1</v>
      </c>
    </row>
    <row r="35" spans="1:8" ht="23.25" thickBot="1">
      <c r="A35" s="66" t="str">
        <f ca="1">VLOOKUP(B35,'Insumos e Serviços'!$A:$F,3,0)</f>
        <v>Insumo</v>
      </c>
      <c r="B35" s="65" t="s">
        <v>228</v>
      </c>
      <c r="C35" s="65" t="str">
        <f ca="1">VLOOKUP(B35,'Insumos e Serviços'!$A:$F,2,0)</f>
        <v>SINAPI</v>
      </c>
      <c r="D35" s="66" t="str">
        <f ca="1">VLOOKUP(B35,'Insumos e Serviços'!$A:$F,4,0)</f>
        <v>PARAFUSO DRY WALL, EM ACO ZINCADO, CABECA LENTILHA E PONTA BROCA (LB), LARGURA 4,2 MM, COMPRIMENTO 13 MM</v>
      </c>
      <c r="E35" s="65" t="str">
        <f ca="1">VLOOKUP(B35,'Insumos e Serviços'!$A:$F,5,0)</f>
        <v>UN</v>
      </c>
      <c r="F35" s="90">
        <v>0.80759999999999998</v>
      </c>
      <c r="G35" s="67">
        <f ca="1">VLOOKUP(B35,'Insumos e Serviços'!$A:$F,6,0)</f>
        <v>0.25</v>
      </c>
      <c r="H35" s="67">
        <f t="shared" si="0"/>
        <v>0.2</v>
      </c>
    </row>
    <row r="36" spans="1:8" ht="15" thickTop="1">
      <c r="A36" s="4"/>
      <c r="B36" s="4"/>
      <c r="C36" s="4"/>
      <c r="D36" s="4"/>
      <c r="E36" s="4"/>
      <c r="F36" s="4"/>
      <c r="G36" s="4"/>
      <c r="H36" s="4"/>
    </row>
    <row r="37" spans="1:8">
      <c r="A37" s="75" t="s">
        <v>60</v>
      </c>
      <c r="B37" s="76"/>
      <c r="C37" s="75"/>
      <c r="D37" s="75" t="s">
        <v>61</v>
      </c>
      <c r="E37" s="77"/>
      <c r="F37" s="78"/>
      <c r="G37" s="75"/>
      <c r="H37" s="79"/>
    </row>
    <row r="38" spans="1:8" ht="22.5">
      <c r="A38" s="85" t="s">
        <v>62</v>
      </c>
      <c r="B38" s="86" t="str">
        <f ca="1">VLOOKUP(A38,'Orçamento Sintético'!$A:$H,2,0)</f>
        <v xml:space="preserve"> MPDFT1509 </v>
      </c>
      <c r="C38" s="86" t="str">
        <f ca="1">VLOOKUP(A38,'Orçamento Sintético'!$A:$H,3,0)</f>
        <v>Próprio</v>
      </c>
      <c r="D38" s="85" t="str">
        <f ca="1">VLOOKUP(A38,'Orçamento Sintético'!$A:$H,4,0)</f>
        <v>Porta de correr (duas folhas), DM 2,20 m x 2,00 m (AxL), em vidro temperado incolor de 10 mm com película decorativa jateada e ferragens na cor preta</v>
      </c>
      <c r="E38" s="86" t="str">
        <f ca="1">VLOOKUP(A38,'Orçamento Sintético'!$A:$H,5,0)</f>
        <v>un</v>
      </c>
      <c r="F38" s="87"/>
      <c r="G38" s="88"/>
      <c r="H38" s="89">
        <f>SUM(H39)</f>
        <v>2900</v>
      </c>
    </row>
    <row r="39" spans="1:8" ht="23.25" thickBot="1">
      <c r="A39" s="66" t="str">
        <f ca="1">VLOOKUP(B39,'Insumos e Serviços'!$A:$F,3,0)</f>
        <v>Insumo</v>
      </c>
      <c r="B39" s="65" t="s">
        <v>237</v>
      </c>
      <c r="C39" s="65" t="str">
        <f ca="1">VLOOKUP(B39,'Insumos e Serviços'!$A:$F,2,0)</f>
        <v>Próprio</v>
      </c>
      <c r="D39" s="66" t="str">
        <f ca="1">VLOOKUP(B39,'Insumos e Serviços'!$A:$F,4,0)</f>
        <v>Porta de correr (duas folhas), DM 2,20 m x 2,00 m (AxL), em vidro temperado incolor de 10 mm com película decorativa jateada e ferragens na cor preta</v>
      </c>
      <c r="E39" s="65" t="str">
        <f ca="1">VLOOKUP(B39,'Insumos e Serviços'!$A:$F,5,0)</f>
        <v>un</v>
      </c>
      <c r="F39" s="90">
        <v>1</v>
      </c>
      <c r="G39" s="67">
        <f ca="1">VLOOKUP(B39,'Insumos e Serviços'!$A:$F,6,0)</f>
        <v>2900</v>
      </c>
      <c r="H39" s="67">
        <f>TRUNC(F39*G39,2)</f>
        <v>2900</v>
      </c>
    </row>
    <row r="40" spans="1:8" ht="15" thickTop="1">
      <c r="A40" s="4"/>
      <c r="B40" s="4"/>
      <c r="C40" s="4"/>
      <c r="D40" s="4"/>
      <c r="E40" s="4"/>
      <c r="F40" s="4"/>
      <c r="G40" s="4"/>
      <c r="H40" s="4"/>
    </row>
    <row r="41" spans="1:8">
      <c r="A41" s="75" t="s">
        <v>86</v>
      </c>
      <c r="B41" s="76"/>
      <c r="C41" s="75"/>
      <c r="D41" s="75" t="s">
        <v>87</v>
      </c>
      <c r="E41" s="77"/>
      <c r="F41" s="78"/>
      <c r="G41" s="75"/>
      <c r="H41" s="79"/>
    </row>
    <row r="42" spans="1:8">
      <c r="A42" s="85" t="s">
        <v>88</v>
      </c>
      <c r="B42" s="86" t="str">
        <f ca="1">VLOOKUP(A42,'Orçamento Sintético'!$A:$H,2,0)</f>
        <v xml:space="preserve"> MPDFT1448 </v>
      </c>
      <c r="C42" s="86" t="str">
        <f ca="1">VLOOKUP(A42,'Orçamento Sintético'!$A:$H,3,0)</f>
        <v>Próprio</v>
      </c>
      <c r="D42" s="85" t="str">
        <f ca="1">VLOOKUP(A42,'Orçamento Sintético'!$A:$H,4,0)</f>
        <v>Copia da SBC (150158) - Película de controle solar, 3M modelo Preto blackout</v>
      </c>
      <c r="E42" s="86" t="str">
        <f ca="1">VLOOKUP(A42,'Orçamento Sintético'!$A:$H,5,0)</f>
        <v>m²</v>
      </c>
      <c r="F42" s="87"/>
      <c r="G42" s="88"/>
      <c r="H42" s="89">
        <f>SUM(H43:H44)</f>
        <v>39.769999999999996</v>
      </c>
    </row>
    <row r="43" spans="1:8">
      <c r="A43" s="66" t="str">
        <f ca="1">VLOOKUP(B43,'Insumos e Serviços'!$A:$F,3,0)</f>
        <v>Composição</v>
      </c>
      <c r="B43" s="65" t="s">
        <v>223</v>
      </c>
      <c r="C43" s="65" t="str">
        <f ca="1">VLOOKUP(B43,'Insumos e Serviços'!$A:$F,2,0)</f>
        <v>SINAPI</v>
      </c>
      <c r="D43" s="66" t="str">
        <f ca="1">VLOOKUP(B43,'Insumos e Serviços'!$A:$F,4,0)</f>
        <v>VIDRACEIRO COM ENCARGOS COMPLEMENTARES</v>
      </c>
      <c r="E43" s="65" t="str">
        <f ca="1">VLOOKUP(B43,'Insumos e Serviços'!$A:$F,5,0)</f>
        <v>H</v>
      </c>
      <c r="F43" s="90">
        <v>0.14899999999999999</v>
      </c>
      <c r="G43" s="67">
        <f ca="1">VLOOKUP(B43,'Insumos e Serviços'!$A:$F,6,0)</f>
        <v>23.15</v>
      </c>
      <c r="H43" s="67">
        <f>TRUNC(F43*G43,2)</f>
        <v>3.44</v>
      </c>
    </row>
    <row r="44" spans="1:8" ht="15" thickBot="1">
      <c r="A44" s="66" t="str">
        <f ca="1">VLOOKUP(B44,'Insumos e Serviços'!$A:$F,3,0)</f>
        <v>Insumo</v>
      </c>
      <c r="B44" s="65" t="s">
        <v>221</v>
      </c>
      <c r="C44" s="65" t="str">
        <f ca="1">VLOOKUP(B44,'Insumos e Serviços'!$A:$F,2,0)</f>
        <v>Próprio</v>
      </c>
      <c r="D44" s="66" t="str">
        <f ca="1">VLOOKUP(B44,'Insumos e Serviços'!$A:$F,4,0)</f>
        <v>Película de controle solar, 3M, modelo Preto blackout</v>
      </c>
      <c r="E44" s="65" t="str">
        <f ca="1">VLOOKUP(B44,'Insumos e Serviços'!$A:$F,5,0)</f>
        <v>m²</v>
      </c>
      <c r="F44" s="90">
        <v>1</v>
      </c>
      <c r="G44" s="67">
        <f ca="1">VLOOKUP(B44,'Insumos e Serviços'!$A:$F,6,0)</f>
        <v>36.33</v>
      </c>
      <c r="H44" s="67">
        <f>TRUNC(F44*G44,2)</f>
        <v>36.33</v>
      </c>
    </row>
    <row r="45" spans="1:8" ht="15" thickTop="1">
      <c r="A45" s="4"/>
      <c r="B45" s="4"/>
      <c r="C45" s="4"/>
      <c r="D45" s="4"/>
      <c r="E45" s="4"/>
      <c r="F45" s="4"/>
      <c r="G45" s="4"/>
      <c r="H45" s="4"/>
    </row>
    <row r="46" spans="1:8" ht="22.5">
      <c r="A46" s="85" t="s">
        <v>91</v>
      </c>
      <c r="B46" s="86" t="str">
        <f ca="1">VLOOKUP(A46,'Orçamento Sintético'!$A:$H,2,0)</f>
        <v xml:space="preserve"> MPDFT1449 </v>
      </c>
      <c r="C46" s="86" t="str">
        <f ca="1">VLOOKUP(A46,'Orçamento Sintético'!$A:$H,3,0)</f>
        <v>Próprio</v>
      </c>
      <c r="D46" s="85" t="str">
        <f ca="1">VLOOKUP(A46,'Orçamento Sintético'!$A:$H,4,0)</f>
        <v>Copia da SBC (130311) - Rodapé inverso de alumínio e=2mm, com acabamento em pintura eletrostática na cor preta, DM 6,2 x 1,4 cm (AxE)</v>
      </c>
      <c r="E46" s="86" t="str">
        <f ca="1">VLOOKUP(A46,'Orçamento Sintético'!$A:$H,5,0)</f>
        <v>m</v>
      </c>
      <c r="F46" s="87"/>
      <c r="G46" s="88"/>
      <c r="H46" s="89">
        <f>SUM(H47:H49)</f>
        <v>36.979999999999997</v>
      </c>
    </row>
    <row r="47" spans="1:8">
      <c r="A47" s="66" t="str">
        <f ca="1">VLOOKUP(B47,'Insumos e Serviços'!$A:$F,3,0)</f>
        <v>Composição</v>
      </c>
      <c r="B47" s="65" t="s">
        <v>219</v>
      </c>
      <c r="C47" s="65" t="str">
        <f ca="1">VLOOKUP(B47,'Insumos e Serviços'!$A:$F,2,0)</f>
        <v>SINAPI</v>
      </c>
      <c r="D47" s="66" t="str">
        <f ca="1">VLOOKUP(B47,'Insumos e Serviços'!$A:$F,4,0)</f>
        <v>SERRALHEIRO COM ENCARGOS COMPLEMENTARES</v>
      </c>
      <c r="E47" s="65" t="str">
        <f ca="1">VLOOKUP(B47,'Insumos e Serviços'!$A:$F,5,0)</f>
        <v>H</v>
      </c>
      <c r="F47" s="90">
        <v>0.17100000000000001</v>
      </c>
      <c r="G47" s="67">
        <f ca="1">VLOOKUP(B47,'Insumos e Serviços'!$A:$F,6,0)</f>
        <v>24.93</v>
      </c>
      <c r="H47" s="67">
        <f>TRUNC(F47*G47,2)</f>
        <v>4.26</v>
      </c>
    </row>
    <row r="48" spans="1:8">
      <c r="A48" s="66" t="str">
        <f ca="1">VLOOKUP(B48,'Insumos e Serviços'!$A:$F,3,0)</f>
        <v>Composição</v>
      </c>
      <c r="B48" s="65" t="s">
        <v>217</v>
      </c>
      <c r="C48" s="65" t="str">
        <f ca="1">VLOOKUP(B48,'Insumos e Serviços'!$A:$F,2,0)</f>
        <v>SINAPI</v>
      </c>
      <c r="D48" s="66" t="str">
        <f ca="1">VLOOKUP(B48,'Insumos e Serviços'!$A:$F,4,0)</f>
        <v>AUXILIAR DE SERRALHEIRO COM ENCARGOS COMPLEMENTARES</v>
      </c>
      <c r="E48" s="65" t="str">
        <f ca="1">VLOOKUP(B48,'Insumos e Serviços'!$A:$F,5,0)</f>
        <v>H</v>
      </c>
      <c r="F48" s="90">
        <v>0.17100000000000001</v>
      </c>
      <c r="G48" s="67">
        <f ca="1">VLOOKUP(B48,'Insumos e Serviços'!$A:$F,6,0)</f>
        <v>19.82</v>
      </c>
      <c r="H48" s="67">
        <f>TRUNC(F48*G48,2)</f>
        <v>3.38</v>
      </c>
    </row>
    <row r="49" spans="1:8" ht="23.25" thickBot="1">
      <c r="A49" s="66" t="str">
        <f ca="1">VLOOKUP(B49,'Insumos e Serviços'!$A:$F,3,0)</f>
        <v>Insumo</v>
      </c>
      <c r="B49" s="65" t="s">
        <v>215</v>
      </c>
      <c r="C49" s="65" t="str">
        <f ca="1">VLOOKUP(B49,'Insumos e Serviços'!$A:$F,2,0)</f>
        <v>Próprio</v>
      </c>
      <c r="D49" s="66" t="str">
        <f ca="1">VLOOKUP(B49,'Insumos e Serviços'!$A:$F,4,0)</f>
        <v>Rodapé inverso de alumínio e=2mm, com acabamento em pintura eletrostática na cor preta, DM 6,2 x 1,4 cm (AxE)</v>
      </c>
      <c r="E49" s="65" t="str">
        <f ca="1">VLOOKUP(B49,'Insumos e Serviços'!$A:$F,5,0)</f>
        <v>m</v>
      </c>
      <c r="F49" s="90">
        <v>1.05</v>
      </c>
      <c r="G49" s="67">
        <f ca="1">VLOOKUP(B49,'Insumos e Serviços'!$A:$F,6,0)</f>
        <v>27.95</v>
      </c>
      <c r="H49" s="67">
        <f>TRUNC(F49*G49,2)</f>
        <v>29.34</v>
      </c>
    </row>
    <row r="50" spans="1:8" ht="15" thickTop="1">
      <c r="A50" s="4"/>
      <c r="B50" s="4"/>
      <c r="C50" s="4"/>
      <c r="D50" s="4"/>
      <c r="E50" s="4"/>
      <c r="F50" s="4"/>
      <c r="G50" s="4"/>
      <c r="H50" s="4"/>
    </row>
    <row r="51" spans="1:8" ht="22.5">
      <c r="A51" s="85" t="s">
        <v>95</v>
      </c>
      <c r="B51" s="86" t="str">
        <f ca="1">VLOOKUP(A51,'Orçamento Sintético'!$A:$H,2,0)</f>
        <v xml:space="preserve"> MPDFT1495 </v>
      </c>
      <c r="C51" s="86" t="str">
        <f ca="1">VLOOKUP(A51,'Orçamento Sintético'!$A:$H,3,0)</f>
        <v>Próprio</v>
      </c>
      <c r="D51" s="85" t="str">
        <f ca="1">VLOOKUP(A51,'Orçamento Sintético'!$A:$H,4,0)</f>
        <v>Copia da SINAPI (98685) - RODAPÉ EM GRANITO SÃO GRABRIEL, ALTURA 20 CM. AF_09/2020</v>
      </c>
      <c r="E51" s="86" t="str">
        <f ca="1">VLOOKUP(A51,'Orçamento Sintético'!$A:$H,5,0)</f>
        <v>M</v>
      </c>
      <c r="F51" s="87"/>
      <c r="G51" s="88"/>
      <c r="H51" s="89">
        <f>SUM(H52:H57)</f>
        <v>120.58999999999999</v>
      </c>
    </row>
    <row r="52" spans="1:8">
      <c r="A52" s="66" t="str">
        <f ca="1">VLOOKUP(B52,'Insumos e Serviços'!$A:$F,3,0)</f>
        <v>Composição</v>
      </c>
      <c r="B52" s="65" t="s">
        <v>213</v>
      </c>
      <c r="C52" s="65" t="str">
        <f ca="1">VLOOKUP(B52,'Insumos e Serviços'!$A:$F,2,0)</f>
        <v>SINAPI</v>
      </c>
      <c r="D52" s="66" t="str">
        <f ca="1">VLOOKUP(B52,'Insumos e Serviços'!$A:$F,4,0)</f>
        <v>MARMORISTA/GRANITEIRO COM ENCARGOS COMPLEMENTARES</v>
      </c>
      <c r="E52" s="65" t="str">
        <f ca="1">VLOOKUP(B52,'Insumos e Serviços'!$A:$F,5,0)</f>
        <v>H</v>
      </c>
      <c r="F52" s="90">
        <v>0.44850000000000001</v>
      </c>
      <c r="G52" s="67">
        <f ca="1">VLOOKUP(B52,'Insumos e Serviços'!$A:$F,6,0)</f>
        <v>24.98</v>
      </c>
      <c r="H52" s="67">
        <f t="shared" ref="H52:H57" si="1">TRUNC(F52*G52,2)</f>
        <v>11.2</v>
      </c>
    </row>
    <row r="53" spans="1:8">
      <c r="A53" s="66" t="str">
        <f ca="1">VLOOKUP(B53,'Insumos e Serviços'!$A:$F,3,0)</f>
        <v>Composição</v>
      </c>
      <c r="B53" s="65" t="s">
        <v>177</v>
      </c>
      <c r="C53" s="65" t="str">
        <f ca="1">VLOOKUP(B53,'Insumos e Serviços'!$A:$F,2,0)</f>
        <v>SINAPI</v>
      </c>
      <c r="D53" s="66" t="str">
        <f ca="1">VLOOKUP(B53,'Insumos e Serviços'!$A:$F,4,0)</f>
        <v>SERVENTE COM ENCARGOS COMPLEMENTARES</v>
      </c>
      <c r="E53" s="65" t="str">
        <f ca="1">VLOOKUP(B53,'Insumos e Serviços'!$A:$F,5,0)</f>
        <v>H</v>
      </c>
      <c r="F53" s="90">
        <v>0.22500000000000001</v>
      </c>
      <c r="G53" s="67">
        <f ca="1">VLOOKUP(B53,'Insumos e Serviços'!$A:$F,6,0)</f>
        <v>18.649999999999999</v>
      </c>
      <c r="H53" s="67">
        <f t="shared" si="1"/>
        <v>4.1900000000000004</v>
      </c>
    </row>
    <row r="54" spans="1:8">
      <c r="A54" s="66" t="str">
        <f ca="1">VLOOKUP(B54,'Insumos e Serviços'!$A:$F,3,0)</f>
        <v>Insumo</v>
      </c>
      <c r="B54" s="65" t="s">
        <v>211</v>
      </c>
      <c r="C54" s="65" t="str">
        <f ca="1">VLOOKUP(B54,'Insumos e Serviços'!$A:$F,2,0)</f>
        <v>SINAPI</v>
      </c>
      <c r="D54" s="66" t="str">
        <f ca="1">VLOOKUP(B54,'Insumos e Serviços'!$A:$F,4,0)</f>
        <v>REJUNTE CIMENTICIO, QUALQUER COR</v>
      </c>
      <c r="E54" s="65" t="str">
        <f ca="1">VLOOKUP(B54,'Insumos e Serviços'!$A:$F,5,0)</f>
        <v>KG</v>
      </c>
      <c r="F54" s="90">
        <v>0.24</v>
      </c>
      <c r="G54" s="67">
        <f ca="1">VLOOKUP(B54,'Insumos e Serviços'!$A:$F,6,0)</f>
        <v>3.22</v>
      </c>
      <c r="H54" s="67">
        <f t="shared" si="1"/>
        <v>0.77</v>
      </c>
    </row>
    <row r="55" spans="1:8">
      <c r="A55" s="66" t="str">
        <f ca="1">VLOOKUP(B55,'Insumos e Serviços'!$A:$F,3,0)</f>
        <v>Insumo</v>
      </c>
      <c r="B55" s="65" t="s">
        <v>209</v>
      </c>
      <c r="C55" s="65" t="str">
        <f ca="1">VLOOKUP(B55,'Insumos e Serviços'!$A:$F,2,0)</f>
        <v>SINAPI</v>
      </c>
      <c r="D55" s="66" t="str">
        <f ca="1">VLOOKUP(B55,'Insumos e Serviços'!$A:$F,4,0)</f>
        <v>ARGAMASSA COLANTE TIPO AC III</v>
      </c>
      <c r="E55" s="65" t="str">
        <f ca="1">VLOOKUP(B55,'Insumos e Serviços'!$A:$F,5,0)</f>
        <v>KG</v>
      </c>
      <c r="F55" s="90">
        <v>1.7228000000000001</v>
      </c>
      <c r="G55" s="67">
        <f ca="1">VLOOKUP(B55,'Insumos e Serviços'!$A:$F,6,0)</f>
        <v>1.69</v>
      </c>
      <c r="H55" s="67">
        <f t="shared" si="1"/>
        <v>2.91</v>
      </c>
    </row>
    <row r="56" spans="1:8" ht="22.5">
      <c r="A56" s="66" t="str">
        <f ca="1">VLOOKUP(B56,'Insumos e Serviços'!$A:$F,3,0)</f>
        <v>Insumo</v>
      </c>
      <c r="B56" s="65" t="s">
        <v>207</v>
      </c>
      <c r="C56" s="65" t="str">
        <f ca="1">VLOOKUP(B56,'Insumos e Serviços'!$A:$F,2,0)</f>
        <v>SINAPI</v>
      </c>
      <c r="D56" s="66" t="str">
        <f ca="1">VLOOKUP(B56,'Insumos e Serviços'!$A:$F,4,0)</f>
        <v>PISO EM GRANITO, POLIDO, TIPO PRETO SAO GABRIEL/ TIJUCA OU OUTROS EQUIVALENTES DA REGIAO, FORMATO MENOR OU IGUAL A 3025 CM2, E=  *2* CM</v>
      </c>
      <c r="E56" s="65" t="str">
        <f ca="1">VLOOKUP(B56,'Insumos e Serviços'!$A:$F,5,0)</f>
        <v>m²</v>
      </c>
      <c r="F56" s="90">
        <v>0.21</v>
      </c>
      <c r="G56" s="67">
        <f ca="1">VLOOKUP(B56,'Insumos e Serviços'!$A:$F,6,0)</f>
        <v>377.73</v>
      </c>
      <c r="H56" s="67">
        <f t="shared" si="1"/>
        <v>79.319999999999993</v>
      </c>
    </row>
    <row r="57" spans="1:8" ht="15" thickBot="1">
      <c r="A57" s="66" t="str">
        <f ca="1">VLOOKUP(B57,'Insumos e Serviços'!$A:$F,3,0)</f>
        <v>Insumo</v>
      </c>
      <c r="B57" s="65" t="s">
        <v>205</v>
      </c>
      <c r="C57" s="65" t="str">
        <f ca="1">VLOOKUP(B57,'Insumos e Serviços'!$A:$F,2,0)</f>
        <v>Próprio</v>
      </c>
      <c r="D57" s="66" t="str">
        <f ca="1">VLOOKUP(B57,'Insumos e Serviços'!$A:$F,4,0)</f>
        <v>Acabamento reto (granito)</v>
      </c>
      <c r="E57" s="65" t="str">
        <f ca="1">VLOOKUP(B57,'Insumos e Serviços'!$A:$F,5,0)</f>
        <v>m</v>
      </c>
      <c r="F57" s="90">
        <v>1</v>
      </c>
      <c r="G57" s="67">
        <f ca="1">VLOOKUP(B57,'Insumos e Serviços'!$A:$F,6,0)</f>
        <v>22.2</v>
      </c>
      <c r="H57" s="67">
        <f t="shared" si="1"/>
        <v>22.2</v>
      </c>
    </row>
    <row r="58" spans="1:8" ht="15" thickTop="1">
      <c r="A58" s="4"/>
      <c r="B58" s="4"/>
      <c r="C58" s="4"/>
      <c r="D58" s="4"/>
      <c r="E58" s="4"/>
      <c r="F58" s="4"/>
      <c r="G58" s="4"/>
      <c r="H58" s="4"/>
    </row>
    <row r="59" spans="1:8">
      <c r="A59" s="70" t="s">
        <v>98</v>
      </c>
      <c r="B59" s="71"/>
      <c r="C59" s="70"/>
      <c r="D59" s="70" t="s">
        <v>99</v>
      </c>
      <c r="E59" s="72"/>
      <c r="F59" s="73"/>
      <c r="G59" s="70"/>
      <c r="H59" s="74"/>
    </row>
    <row r="60" spans="1:8">
      <c r="A60" s="75" t="s">
        <v>100</v>
      </c>
      <c r="B60" s="76"/>
      <c r="C60" s="75"/>
      <c r="D60" s="75" t="s">
        <v>101</v>
      </c>
      <c r="E60" s="77"/>
      <c r="F60" s="78"/>
      <c r="G60" s="75"/>
      <c r="H60" s="79"/>
    </row>
    <row r="61" spans="1:8">
      <c r="A61" s="80" t="s">
        <v>102</v>
      </c>
      <c r="B61" s="81"/>
      <c r="C61" s="80"/>
      <c r="D61" s="80" t="s">
        <v>103</v>
      </c>
      <c r="E61" s="81"/>
      <c r="F61" s="82"/>
      <c r="G61" s="83"/>
      <c r="H61" s="84"/>
    </row>
    <row r="62" spans="1:8" ht="22.5">
      <c r="A62" s="85" t="s">
        <v>104</v>
      </c>
      <c r="B62" s="86" t="str">
        <f ca="1">VLOOKUP(A62,'Orçamento Sintético'!$A:$H,2,0)</f>
        <v xml:space="preserve"> MPDFT1496 </v>
      </c>
      <c r="C62" s="86" t="str">
        <f ca="1">VLOOKUP(A62,'Orçamento Sintético'!$A:$H,3,0)</f>
        <v>Próprio</v>
      </c>
      <c r="D62" s="85" t="str">
        <f ca="1">VLOOKUP(A62,'Orçamento Sintético'!$A:$H,4,0)</f>
        <v>Copia da SBC (060105) - Luminária perfil alumínio de sobrepor Usina Design, modelo 30020/200 Garbo, com fita LED integrada, Brilia mod. 431221 ,  comprimento de 2m</v>
      </c>
      <c r="E62" s="86" t="str">
        <f ca="1">VLOOKUP(A62,'Orçamento Sintético'!$A:$H,5,0)</f>
        <v>UN</v>
      </c>
      <c r="F62" s="87"/>
      <c r="G62" s="88"/>
      <c r="H62" s="89">
        <f>SUM(H63:H67)</f>
        <v>220.13</v>
      </c>
    </row>
    <row r="63" spans="1:8">
      <c r="A63" s="66" t="str">
        <f ca="1">VLOOKUP(B63,'Insumos e Serviços'!$A:$F,3,0)</f>
        <v>Composição</v>
      </c>
      <c r="B63" s="65" t="s">
        <v>179</v>
      </c>
      <c r="C63" s="65" t="str">
        <f ca="1">VLOOKUP(B63,'Insumos e Serviços'!$A:$F,2,0)</f>
        <v>SINAPI</v>
      </c>
      <c r="D63" s="66" t="str">
        <f ca="1">VLOOKUP(B63,'Insumos e Serviços'!$A:$F,4,0)</f>
        <v>ELETRICISTA COM ENCARGOS COMPLEMENTARES</v>
      </c>
      <c r="E63" s="65" t="str">
        <f ca="1">VLOOKUP(B63,'Insumos e Serviços'!$A:$F,5,0)</f>
        <v>H</v>
      </c>
      <c r="F63" s="90">
        <v>1.0660000000000001</v>
      </c>
      <c r="G63" s="67">
        <f ca="1">VLOOKUP(B63,'Insumos e Serviços'!$A:$F,6,0)</f>
        <v>25.32</v>
      </c>
      <c r="H63" s="67">
        <f>TRUNC(F63*G63,2)</f>
        <v>26.99</v>
      </c>
    </row>
    <row r="64" spans="1:8">
      <c r="A64" s="66" t="str">
        <f ca="1">VLOOKUP(B64,'Insumos e Serviços'!$A:$F,3,0)</f>
        <v>Composição</v>
      </c>
      <c r="B64" s="65" t="s">
        <v>181</v>
      </c>
      <c r="C64" s="65" t="str">
        <f ca="1">VLOOKUP(B64,'Insumos e Serviços'!$A:$F,2,0)</f>
        <v>SINAPI</v>
      </c>
      <c r="D64" s="66" t="str">
        <f ca="1">VLOOKUP(B64,'Insumos e Serviços'!$A:$F,4,0)</f>
        <v>AUXILIAR DE ELETRICISTA COM ENCARGOS COMPLEMENTARES</v>
      </c>
      <c r="E64" s="65" t="str">
        <f ca="1">VLOOKUP(B64,'Insumos e Serviços'!$A:$F,5,0)</f>
        <v>H</v>
      </c>
      <c r="F64" s="90">
        <v>1.0660000000000001</v>
      </c>
      <c r="G64" s="67">
        <f ca="1">VLOOKUP(B64,'Insumos e Serviços'!$A:$F,6,0)</f>
        <v>19.84</v>
      </c>
      <c r="H64" s="67">
        <f>TRUNC(F64*G64,2)</f>
        <v>21.14</v>
      </c>
    </row>
    <row r="65" spans="1:8">
      <c r="A65" s="66" t="str">
        <f ca="1">VLOOKUP(B65,'Insumos e Serviços'!$A:$F,3,0)</f>
        <v>Insumo</v>
      </c>
      <c r="B65" s="65" t="s">
        <v>203</v>
      </c>
      <c r="C65" s="65" t="str">
        <f ca="1">VLOOKUP(B65,'Insumos e Serviços'!$A:$F,2,0)</f>
        <v>Próprio</v>
      </c>
      <c r="D65" s="66" t="str">
        <f ca="1">VLOOKUP(B65,'Insumos e Serviços'!$A:$F,4,0)</f>
        <v>Fita de LEd Brilia 431221 Ultra 15W/m 2700K 12V IP20 2m</v>
      </c>
      <c r="E65" s="65" t="str">
        <f ca="1">VLOOKUP(B65,'Insumos e Serviços'!$A:$F,5,0)</f>
        <v>un</v>
      </c>
      <c r="F65" s="90">
        <v>1</v>
      </c>
      <c r="G65" s="67">
        <f ca="1">VLOOKUP(B65,'Insumos e Serviços'!$A:$F,6,0)</f>
        <v>50</v>
      </c>
      <c r="H65" s="67">
        <f>TRUNC(F65*G65,2)</f>
        <v>50</v>
      </c>
    </row>
    <row r="66" spans="1:8">
      <c r="A66" s="66" t="str">
        <f ca="1">VLOOKUP(B66,'Insumos e Serviços'!$A:$F,3,0)</f>
        <v>Insumo</v>
      </c>
      <c r="B66" s="65" t="s">
        <v>352</v>
      </c>
      <c r="C66" s="65" t="str">
        <f ca="1">VLOOKUP(B66,'Insumos e Serviços'!$A:$F,2,0)</f>
        <v>Próprio</v>
      </c>
      <c r="D66" s="66" t="str">
        <f ca="1">VLOOKUP(B66,'Insumos e Serviços'!$A:$F,4,0)</f>
        <v>Fonte Driver Brilia 435847 Intelligent 30W 2,5A 12V Bivolt</v>
      </c>
      <c r="E66" s="65" t="str">
        <f ca="1">VLOOKUP(B66,'Insumos e Serviços'!$A:$F,5,0)</f>
        <v>un</v>
      </c>
      <c r="F66" s="90">
        <v>1</v>
      </c>
      <c r="G66" s="67">
        <f ca="1">VLOOKUP(B66,'Insumos e Serviços'!$A:$F,6,0)</f>
        <v>59</v>
      </c>
      <c r="H66" s="67">
        <f>TRUNC(F66*G66,2)</f>
        <v>59</v>
      </c>
    </row>
    <row r="67" spans="1:8" ht="23.25" thickBot="1">
      <c r="A67" s="66" t="str">
        <f ca="1">VLOOKUP(B67,'Insumos e Serviços'!$A:$F,3,0)</f>
        <v>Insumo</v>
      </c>
      <c r="B67" s="65" t="s">
        <v>354</v>
      </c>
      <c r="C67" s="65" t="str">
        <f ca="1">VLOOKUP(B67,'Insumos e Serviços'!$A:$F,2,0)</f>
        <v>Próprio</v>
      </c>
      <c r="D67" s="66" t="str">
        <f ca="1">VLOOKUP(B67,'Insumos e Serviços'!$A:$F,4,0)</f>
        <v>Perfil de alumínio de sobrepor, comprimento de 2m, marca Usina Design, modelo 30020/200 Garbo</v>
      </c>
      <c r="E67" s="65" t="str">
        <f ca="1">VLOOKUP(B67,'Insumos e Serviços'!$A:$F,5,0)</f>
        <v>un</v>
      </c>
      <c r="F67" s="90">
        <v>1</v>
      </c>
      <c r="G67" s="67">
        <f ca="1">VLOOKUP(B67,'Insumos e Serviços'!$A:$F,6,0)</f>
        <v>63</v>
      </c>
      <c r="H67" s="67">
        <f>TRUNC(F67*G67,2)</f>
        <v>63</v>
      </c>
    </row>
    <row r="68" spans="1:8" ht="15" thickTop="1">
      <c r="A68" s="4"/>
      <c r="B68" s="4"/>
      <c r="C68" s="4"/>
      <c r="D68" s="4"/>
      <c r="E68" s="4"/>
      <c r="F68" s="4"/>
      <c r="G68" s="4"/>
      <c r="H68" s="4"/>
    </row>
    <row r="69" spans="1:8" ht="45">
      <c r="A69" s="85" t="s">
        <v>108</v>
      </c>
      <c r="B69" s="86" t="str">
        <f ca="1">VLOOKUP(A69,'Orçamento Sintético'!$A:$H,2,0)</f>
        <v xml:space="preserve"> MPDFT1439 </v>
      </c>
      <c r="C69" s="86" t="str">
        <f ca="1">VLOOKUP(A69,'Orçamento Sintético'!$A:$H,3,0)</f>
        <v>Próprio</v>
      </c>
      <c r="D69" s="85" t="str">
        <f ca="1">VLOOKUP(A69,'Orçamento Sintético'!$A:$H,4,0)</f>
        <v>Copia da SBC (060055) - Spot orientável em LED para trilho eletrificado de 1 circuito, com driver multitensão (100 a 250V), corpo em alumínio, acabamento com pintura microtexturizada preta, facho recuado, temp. de cor 3000K, 1000lm, IRC&gt;85, Lumicenter SR19-T1000830FP</v>
      </c>
      <c r="E69" s="86" t="str">
        <f ca="1">VLOOKUP(A69,'Orçamento Sintético'!$A:$H,5,0)</f>
        <v>UN</v>
      </c>
      <c r="F69" s="87"/>
      <c r="G69" s="88"/>
      <c r="H69" s="89">
        <f>SUM(H70:H72)</f>
        <v>132.94999999999999</v>
      </c>
    </row>
    <row r="70" spans="1:8">
      <c r="A70" s="66" t="str">
        <f ca="1">VLOOKUP(B70,'Insumos e Serviços'!$A:$F,3,0)</f>
        <v>Composição</v>
      </c>
      <c r="B70" s="65" t="s">
        <v>179</v>
      </c>
      <c r="C70" s="65" t="str">
        <f ca="1">VLOOKUP(B70,'Insumos e Serviços'!$A:$F,2,0)</f>
        <v>SINAPI</v>
      </c>
      <c r="D70" s="66" t="str">
        <f ca="1">VLOOKUP(B70,'Insumos e Serviços'!$A:$F,4,0)</f>
        <v>ELETRICISTA COM ENCARGOS COMPLEMENTARES</v>
      </c>
      <c r="E70" s="65" t="str">
        <f ca="1">VLOOKUP(B70,'Insumos e Serviços'!$A:$F,5,0)</f>
        <v>H</v>
      </c>
      <c r="F70" s="90">
        <v>0.53300000000000003</v>
      </c>
      <c r="G70" s="67">
        <f ca="1">VLOOKUP(B70,'Insumos e Serviços'!$A:$F,6,0)</f>
        <v>25.32</v>
      </c>
      <c r="H70" s="67">
        <f>TRUNC(F70*G70,2)</f>
        <v>13.49</v>
      </c>
    </row>
    <row r="71" spans="1:8">
      <c r="A71" s="66" t="str">
        <f ca="1">VLOOKUP(B71,'Insumos e Serviços'!$A:$F,3,0)</f>
        <v>Composição</v>
      </c>
      <c r="B71" s="65" t="s">
        <v>181</v>
      </c>
      <c r="C71" s="65" t="str">
        <f ca="1">VLOOKUP(B71,'Insumos e Serviços'!$A:$F,2,0)</f>
        <v>SINAPI</v>
      </c>
      <c r="D71" s="66" t="str">
        <f ca="1">VLOOKUP(B71,'Insumos e Serviços'!$A:$F,4,0)</f>
        <v>AUXILIAR DE ELETRICISTA COM ENCARGOS COMPLEMENTARES</v>
      </c>
      <c r="E71" s="65" t="str">
        <f ca="1">VLOOKUP(B71,'Insumos e Serviços'!$A:$F,5,0)</f>
        <v>H</v>
      </c>
      <c r="F71" s="90">
        <v>0.53300000000000003</v>
      </c>
      <c r="G71" s="67">
        <f ca="1">VLOOKUP(B71,'Insumos e Serviços'!$A:$F,6,0)</f>
        <v>19.84</v>
      </c>
      <c r="H71" s="67">
        <f>TRUNC(F71*G71,2)</f>
        <v>10.57</v>
      </c>
    </row>
    <row r="72" spans="1:8" ht="34.5" thickBot="1">
      <c r="A72" s="66" t="str">
        <f ca="1">VLOOKUP(B72,'Insumos e Serviços'!$A:$F,3,0)</f>
        <v>Insumo</v>
      </c>
      <c r="B72" s="65" t="s">
        <v>202</v>
      </c>
      <c r="C72" s="65" t="str">
        <f ca="1">VLOOKUP(B72,'Insumos e Serviços'!$A:$F,2,0)</f>
        <v>Próprio</v>
      </c>
      <c r="D72" s="66" t="str">
        <f ca="1">VLOOKUP(B72,'Insumos e Serviços'!$A:$F,4,0)</f>
        <v>Spot orientável em LED para trilho eletrificado de 1 circuito, com driver multitensão (100 a 250V), corpo em alumínio, acabamento com pintura microtexturizada preta, facho recuado, temp. de cor 3000K, 1000lm, IRC&gt;85, Lumicenter SR19-T1000830FP</v>
      </c>
      <c r="E72" s="65" t="str">
        <f ca="1">VLOOKUP(B72,'Insumos e Serviços'!$A:$F,5,0)</f>
        <v>un</v>
      </c>
      <c r="F72" s="90">
        <v>1</v>
      </c>
      <c r="G72" s="67">
        <f ca="1">VLOOKUP(B72,'Insumos e Serviços'!$A:$F,6,0)</f>
        <v>108.89</v>
      </c>
      <c r="H72" s="67">
        <f>TRUNC(F72*G72,2)</f>
        <v>108.89</v>
      </c>
    </row>
    <row r="73" spans="1:8" ht="15" thickTop="1">
      <c r="A73" s="4"/>
      <c r="B73" s="4"/>
      <c r="C73" s="4"/>
      <c r="D73" s="4"/>
      <c r="E73" s="4"/>
      <c r="F73" s="4"/>
      <c r="G73" s="4"/>
      <c r="H73" s="4"/>
    </row>
    <row r="74" spans="1:8" ht="33.75">
      <c r="A74" s="85" t="s">
        <v>111</v>
      </c>
      <c r="B74" s="86" t="str">
        <f ca="1">VLOOKUP(A74,'Orçamento Sintético'!$A:$H,2,0)</f>
        <v xml:space="preserve"> MPDFT1438 </v>
      </c>
      <c r="C74" s="86" t="str">
        <f ca="1">VLOOKUP(A74,'Orçamento Sintético'!$A:$H,3,0)</f>
        <v>Próprio</v>
      </c>
      <c r="D74" s="85" t="str">
        <f ca="1">VLOOKUP(A74,'Orçamento Sintético'!$A:$H,4,0)</f>
        <v>Copia da SBC (060017) - Conjunto de Trilho eletrificado de 1 circuito para spot, cor preta (acompanhado de acessórios), Lumicenter ACTR-TR1C200PT, fixado por cabo de aço atirantado em laje</v>
      </c>
      <c r="E74" s="86" t="str">
        <f ca="1">VLOOKUP(A74,'Orçamento Sintético'!$A:$H,5,0)</f>
        <v>cj</v>
      </c>
      <c r="F74" s="87"/>
      <c r="G74" s="88"/>
      <c r="H74" s="89">
        <f>SUM(H75:H82)</f>
        <v>4314.6299999999992</v>
      </c>
    </row>
    <row r="75" spans="1:8">
      <c r="A75" s="66" t="str">
        <f ca="1">VLOOKUP(B75,'Insumos e Serviços'!$A:$F,3,0)</f>
        <v>Composição</v>
      </c>
      <c r="B75" s="65" t="s">
        <v>179</v>
      </c>
      <c r="C75" s="65" t="str">
        <f ca="1">VLOOKUP(B75,'Insumos e Serviços'!$A:$F,2,0)</f>
        <v>SINAPI</v>
      </c>
      <c r="D75" s="66" t="str">
        <f ca="1">VLOOKUP(B75,'Insumos e Serviços'!$A:$F,4,0)</f>
        <v>ELETRICISTA COM ENCARGOS COMPLEMENTARES</v>
      </c>
      <c r="E75" s="65" t="str">
        <f ca="1">VLOOKUP(B75,'Insumos e Serviços'!$A:$F,5,0)</f>
        <v>H</v>
      </c>
      <c r="F75" s="90">
        <v>24</v>
      </c>
      <c r="G75" s="67">
        <f ca="1">VLOOKUP(B75,'Insumos e Serviços'!$A:$F,6,0)</f>
        <v>25.32</v>
      </c>
      <c r="H75" s="67">
        <f t="shared" ref="H75:H82" si="2">TRUNC(F75*G75,2)</f>
        <v>607.67999999999995</v>
      </c>
    </row>
    <row r="76" spans="1:8">
      <c r="A76" s="66" t="str">
        <f ca="1">VLOOKUP(B76,'Insumos e Serviços'!$A:$F,3,0)</f>
        <v>Composição</v>
      </c>
      <c r="B76" s="65" t="s">
        <v>181</v>
      </c>
      <c r="C76" s="65" t="str">
        <f ca="1">VLOOKUP(B76,'Insumos e Serviços'!$A:$F,2,0)</f>
        <v>SINAPI</v>
      </c>
      <c r="D76" s="66" t="str">
        <f ca="1">VLOOKUP(B76,'Insumos e Serviços'!$A:$F,4,0)</f>
        <v>AUXILIAR DE ELETRICISTA COM ENCARGOS COMPLEMENTARES</v>
      </c>
      <c r="E76" s="65" t="str">
        <f ca="1">VLOOKUP(B76,'Insumos e Serviços'!$A:$F,5,0)</f>
        <v>H</v>
      </c>
      <c r="F76" s="90">
        <v>24</v>
      </c>
      <c r="G76" s="67">
        <f ca="1">VLOOKUP(B76,'Insumos e Serviços'!$A:$F,6,0)</f>
        <v>19.84</v>
      </c>
      <c r="H76" s="67">
        <f t="shared" si="2"/>
        <v>476.16</v>
      </c>
    </row>
    <row r="77" spans="1:8">
      <c r="A77" s="66" t="str">
        <f ca="1">VLOOKUP(B77,'Insumos e Serviços'!$A:$F,3,0)</f>
        <v>Insumo</v>
      </c>
      <c r="B77" s="65" t="s">
        <v>200</v>
      </c>
      <c r="C77" s="65" t="str">
        <f ca="1">VLOOKUP(B77,'Insumos e Serviços'!$A:$F,2,0)</f>
        <v>SINAPI</v>
      </c>
      <c r="D77" s="66" t="str">
        <f ca="1">VLOOKUP(B77,'Insumos e Serviços'!$A:$F,4,0)</f>
        <v>PARAFUSO DE ACO TIPO CHUMBADOR PARABOLT, DIAMETRO 3/8", COMPRIMENTO 75 MM</v>
      </c>
      <c r="E77" s="65" t="str">
        <f ca="1">VLOOKUP(B77,'Insumos e Serviços'!$A:$F,5,0)</f>
        <v>UN</v>
      </c>
      <c r="F77" s="90">
        <v>26</v>
      </c>
      <c r="G77" s="67">
        <f ca="1">VLOOKUP(B77,'Insumos e Serviços'!$A:$F,6,0)</f>
        <v>2.48</v>
      </c>
      <c r="H77" s="67">
        <f t="shared" si="2"/>
        <v>64.48</v>
      </c>
    </row>
    <row r="78" spans="1:8">
      <c r="A78" s="66" t="str">
        <f ca="1">VLOOKUP(B78,'Insumos e Serviços'!$A:$F,3,0)</f>
        <v>Insumo</v>
      </c>
      <c r="B78" s="65" t="s">
        <v>198</v>
      </c>
      <c r="C78" s="65" t="str">
        <f ca="1">VLOOKUP(B78,'Insumos e Serviços'!$A:$F,2,0)</f>
        <v>SINAPI</v>
      </c>
      <c r="D78" s="66" t="str">
        <f ca="1">VLOOKUP(B78,'Insumos e Serviços'!$A:$F,4,0)</f>
        <v>CABO DE ACO GALVANIZADO, DIAMETRO 9,53 MM (3/8"), COM ALMA DE FIBRA 6 X 25 F</v>
      </c>
      <c r="E78" s="65" t="str">
        <f ca="1">VLOOKUP(B78,'Insumos e Serviços'!$A:$F,5,0)</f>
        <v>KG</v>
      </c>
      <c r="F78" s="90">
        <v>4</v>
      </c>
      <c r="G78" s="67">
        <f ca="1">VLOOKUP(B78,'Insumos e Serviços'!$A:$F,6,0)</f>
        <v>86.84</v>
      </c>
      <c r="H78" s="67">
        <f t="shared" si="2"/>
        <v>347.36</v>
      </c>
    </row>
    <row r="79" spans="1:8" ht="22.5">
      <c r="A79" s="66" t="str">
        <f ca="1">VLOOKUP(B79,'Insumos e Serviços'!$A:$F,3,0)</f>
        <v>Insumo</v>
      </c>
      <c r="B79" s="65" t="s">
        <v>195</v>
      </c>
      <c r="C79" s="65" t="str">
        <f ca="1">VLOOKUP(B79,'Insumos e Serviços'!$A:$F,2,0)</f>
        <v>Próprio</v>
      </c>
      <c r="D79" s="66" t="str">
        <f ca="1">VLOOKUP(B79,'Insumos e Serviços'!$A:$F,4,0)</f>
        <v>Trilho eletrificado de 1 circuito para spot, cor preta, l=2,0m, Lumicenter ACTR-TR1C200PT, (acompanhado de terminal de alimentação e tampa)</v>
      </c>
      <c r="E79" s="65" t="str">
        <f ca="1">VLOOKUP(B79,'Insumos e Serviços'!$A:$F,5,0)</f>
        <v>un</v>
      </c>
      <c r="F79" s="90">
        <v>11</v>
      </c>
      <c r="G79" s="67">
        <f ca="1">VLOOKUP(B79,'Insumos e Serviços'!$A:$F,6,0)</f>
        <v>167.19</v>
      </c>
      <c r="H79" s="67">
        <f t="shared" si="2"/>
        <v>1839.09</v>
      </c>
    </row>
    <row r="80" spans="1:8" ht="22.5">
      <c r="A80" s="66" t="str">
        <f ca="1">VLOOKUP(B80,'Insumos e Serviços'!$A:$F,3,0)</f>
        <v>Insumo</v>
      </c>
      <c r="B80" s="65" t="s">
        <v>194</v>
      </c>
      <c r="C80" s="65" t="str">
        <f ca="1">VLOOKUP(B80,'Insumos e Serviços'!$A:$F,2,0)</f>
        <v>Próprio</v>
      </c>
      <c r="D80" s="66" t="str">
        <f ca="1">VLOOKUP(B80,'Insumos e Serviços'!$A:$F,4,0)</f>
        <v>Trilho eletrificado de 1 circuito para spot, cor preta, l=3,0m, Lumicenter ACTR-TR1C300PT, (acompanhado de terminal de alimentação e tampa)</v>
      </c>
      <c r="E80" s="65" t="str">
        <f ca="1">VLOOKUP(B80,'Insumos e Serviços'!$A:$F,5,0)</f>
        <v>un</v>
      </c>
      <c r="F80" s="90">
        <v>2</v>
      </c>
      <c r="G80" s="67">
        <f ca="1">VLOOKUP(B80,'Insumos e Serviços'!$A:$F,6,0)</f>
        <v>309.99</v>
      </c>
      <c r="H80" s="67">
        <f t="shared" si="2"/>
        <v>619.98</v>
      </c>
    </row>
    <row r="81" spans="1:8">
      <c r="A81" s="66" t="str">
        <f ca="1">VLOOKUP(B81,'Insumos e Serviços'!$A:$F,3,0)</f>
        <v>Insumo</v>
      </c>
      <c r="B81" s="65" t="s">
        <v>193</v>
      </c>
      <c r="C81" s="65" t="str">
        <f ca="1">VLOOKUP(B81,'Insumos e Serviços'!$A:$F,2,0)</f>
        <v>Próprio</v>
      </c>
      <c r="D81" s="66" t="str">
        <f ca="1">VLOOKUP(B81,'Insumos e Serviços'!$A:$F,4,0)</f>
        <v>Conector em "L", para trilho eletrificado de 1 circuito, cor preta, Lumicenter ACTR-CONL1CPT</v>
      </c>
      <c r="E81" s="65" t="str">
        <f ca="1">VLOOKUP(B81,'Insumos e Serviços'!$A:$F,5,0)</f>
        <v>un</v>
      </c>
      <c r="F81" s="90">
        <v>3</v>
      </c>
      <c r="G81" s="67">
        <f ca="1">VLOOKUP(B81,'Insumos e Serviços'!$A:$F,6,0)</f>
        <v>29.99</v>
      </c>
      <c r="H81" s="67">
        <f t="shared" si="2"/>
        <v>89.97</v>
      </c>
    </row>
    <row r="82" spans="1:8" ht="15" thickBot="1">
      <c r="A82" s="66" t="str">
        <f ca="1">VLOOKUP(B82,'Insumos e Serviços'!$A:$F,3,0)</f>
        <v>Insumo</v>
      </c>
      <c r="B82" s="65" t="s">
        <v>191</v>
      </c>
      <c r="C82" s="65" t="str">
        <f ca="1">VLOOKUP(B82,'Insumos e Serviços'!$A:$F,2,0)</f>
        <v>Próprio</v>
      </c>
      <c r="D82" s="66" t="str">
        <f ca="1">VLOOKUP(B82,'Insumos e Serviços'!$A:$F,4,0)</f>
        <v>Conector em linha, para trilho eletrificado de 1 circuito, cor preta, Lumicenter ACTR-CONI1CPT</v>
      </c>
      <c r="E82" s="65" t="str">
        <f ca="1">VLOOKUP(B82,'Insumos e Serviços'!$A:$F,5,0)</f>
        <v>un</v>
      </c>
      <c r="F82" s="90">
        <v>9</v>
      </c>
      <c r="G82" s="67">
        <f ca="1">VLOOKUP(B82,'Insumos e Serviços'!$A:$F,6,0)</f>
        <v>29.99</v>
      </c>
      <c r="H82" s="67">
        <f t="shared" si="2"/>
        <v>269.91000000000003</v>
      </c>
    </row>
    <row r="83" spans="1:8" ht="15" thickTop="1">
      <c r="A83" s="4"/>
      <c r="B83" s="4"/>
      <c r="C83" s="4"/>
      <c r="D83" s="4"/>
      <c r="E83" s="4"/>
      <c r="F83" s="4"/>
      <c r="G83" s="4"/>
      <c r="H83" s="4"/>
    </row>
    <row r="84" spans="1:8" ht="22.5">
      <c r="A84" s="85" t="s">
        <v>124</v>
      </c>
      <c r="B84" s="86" t="str">
        <f ca="1">VLOOKUP(A84,'Orçamento Sintético'!$A:$H,2,0)</f>
        <v xml:space="preserve"> MPDFT1190 </v>
      </c>
      <c r="C84" s="86" t="str">
        <f ca="1">VLOOKUP(A84,'Orçamento Sintético'!$A:$H,3,0)</f>
        <v>Próprio</v>
      </c>
      <c r="D84" s="85" t="str">
        <f ca="1">VLOOKUP(A84,'Orçamento Sintético'!$A:$H,4,0)</f>
        <v>Copia da SINAPI (98307) - TOMADA DE REDE RJ45 APENAS MÓDULO - FORNECIMENTO E INSTALAÇÃO.</v>
      </c>
      <c r="E84" s="86" t="str">
        <f ca="1">VLOOKUP(A84,'Orçamento Sintético'!$A:$H,5,0)</f>
        <v>UN</v>
      </c>
      <c r="F84" s="87"/>
      <c r="G84" s="88"/>
      <c r="H84" s="89">
        <f>SUM(H85:H87)</f>
        <v>44.3</v>
      </c>
    </row>
    <row r="85" spans="1:8">
      <c r="A85" s="66" t="str">
        <f ca="1">VLOOKUP(B85,'Insumos e Serviços'!$A:$F,3,0)</f>
        <v>Composição</v>
      </c>
      <c r="B85" s="65" t="s">
        <v>181</v>
      </c>
      <c r="C85" s="65" t="str">
        <f ca="1">VLOOKUP(B85,'Insumos e Serviços'!$A:$F,2,0)</f>
        <v>SINAPI</v>
      </c>
      <c r="D85" s="66" t="str">
        <f ca="1">VLOOKUP(B85,'Insumos e Serviços'!$A:$F,4,0)</f>
        <v>AUXILIAR DE ELETRICISTA COM ENCARGOS COMPLEMENTARES</v>
      </c>
      <c r="E85" s="65" t="str">
        <f ca="1">VLOOKUP(B85,'Insumos e Serviços'!$A:$F,5,0)</f>
        <v>H</v>
      </c>
      <c r="F85" s="90">
        <v>0.12</v>
      </c>
      <c r="G85" s="67">
        <f ca="1">VLOOKUP(B85,'Insumos e Serviços'!$A:$F,6,0)</f>
        <v>19.84</v>
      </c>
      <c r="H85" s="67">
        <f>TRUNC(F85*G85,2)</f>
        <v>2.38</v>
      </c>
    </row>
    <row r="86" spans="1:8">
      <c r="A86" s="66" t="str">
        <f ca="1">VLOOKUP(B86,'Insumos e Serviços'!$A:$F,3,0)</f>
        <v>Composição</v>
      </c>
      <c r="B86" s="65" t="s">
        <v>179</v>
      </c>
      <c r="C86" s="65" t="str">
        <f ca="1">VLOOKUP(B86,'Insumos e Serviços'!$A:$F,2,0)</f>
        <v>SINAPI</v>
      </c>
      <c r="D86" s="66" t="str">
        <f ca="1">VLOOKUP(B86,'Insumos e Serviços'!$A:$F,4,0)</f>
        <v>ELETRICISTA COM ENCARGOS COMPLEMENTARES</v>
      </c>
      <c r="E86" s="65" t="str">
        <f ca="1">VLOOKUP(B86,'Insumos e Serviços'!$A:$F,5,0)</f>
        <v>H</v>
      </c>
      <c r="F86" s="90">
        <v>0.12</v>
      </c>
      <c r="G86" s="67">
        <f ca="1">VLOOKUP(B86,'Insumos e Serviços'!$A:$F,6,0)</f>
        <v>25.32</v>
      </c>
      <c r="H86" s="67">
        <f>TRUNC(F86*G86,2)</f>
        <v>3.03</v>
      </c>
    </row>
    <row r="87" spans="1:8" ht="15" thickBot="1">
      <c r="A87" s="66" t="str">
        <f ca="1">VLOOKUP(B87,'Insumos e Serviços'!$A:$F,3,0)</f>
        <v>Insumo</v>
      </c>
      <c r="B87" s="65" t="s">
        <v>189</v>
      </c>
      <c r="C87" s="65" t="str">
        <f ca="1">VLOOKUP(B87,'Insumos e Serviços'!$A:$F,2,0)</f>
        <v>SINAPI</v>
      </c>
      <c r="D87" s="66" t="str">
        <f ca="1">VLOOKUP(B87,'Insumos e Serviços'!$A:$F,4,0)</f>
        <v>TOMADA RJ45, 8 FIOS, CAT 5E (APENAS MODULO)</v>
      </c>
      <c r="E87" s="65" t="str">
        <f ca="1">VLOOKUP(B87,'Insumos e Serviços'!$A:$F,5,0)</f>
        <v>UN</v>
      </c>
      <c r="F87" s="90">
        <v>1</v>
      </c>
      <c r="G87" s="67">
        <f ca="1">VLOOKUP(B87,'Insumos e Serviços'!$A:$F,6,0)</f>
        <v>38.89</v>
      </c>
      <c r="H87" s="67">
        <f>TRUNC(F87*G87,2)</f>
        <v>38.89</v>
      </c>
    </row>
    <row r="88" spans="1:8" ht="15" thickTop="1">
      <c r="A88" s="4"/>
      <c r="B88" s="4"/>
      <c r="C88" s="4"/>
      <c r="D88" s="4"/>
      <c r="E88" s="4"/>
      <c r="F88" s="4"/>
      <c r="G88" s="4"/>
      <c r="H88" s="4"/>
    </row>
    <row r="89" spans="1:8" ht="22.5">
      <c r="A89" s="85" t="s">
        <v>136</v>
      </c>
      <c r="B89" s="86" t="str">
        <f ca="1">VLOOKUP(A89,'Orçamento Sintético'!$A:$H,2,0)</f>
        <v xml:space="preserve"> MPDFT1505 </v>
      </c>
      <c r="C89" s="86" t="str">
        <f ca="1">VLOOKUP(A89,'Orçamento Sintético'!$A:$H,3,0)</f>
        <v>Próprio</v>
      </c>
      <c r="D89" s="85" t="str">
        <f ca="1">VLOOKUP(A89,'Orçamento Sintético'!$A:$H,4,0)</f>
        <v>Copia da SINAPI (95730) - Eletroduto rígido soldável, PVC cor cinza, DN 25 MM (3/4"), aparente, instalado em parede  - fornecimento e instalação</v>
      </c>
      <c r="E89" s="86" t="str">
        <f ca="1">VLOOKUP(A89,'Orçamento Sintético'!$A:$H,5,0)</f>
        <v>M</v>
      </c>
      <c r="F89" s="87"/>
      <c r="G89" s="88"/>
      <c r="H89" s="89">
        <f>SUM(H90:H93)</f>
        <v>21.93</v>
      </c>
    </row>
    <row r="90" spans="1:8">
      <c r="A90" s="66" t="str">
        <f ca="1">VLOOKUP(B90,'Insumos e Serviços'!$A:$F,3,0)</f>
        <v>Composição</v>
      </c>
      <c r="B90" s="65" t="s">
        <v>181</v>
      </c>
      <c r="C90" s="65" t="str">
        <f ca="1">VLOOKUP(B90,'Insumos e Serviços'!$A:$F,2,0)</f>
        <v>SINAPI</v>
      </c>
      <c r="D90" s="66" t="str">
        <f ca="1">VLOOKUP(B90,'Insumos e Serviços'!$A:$F,4,0)</f>
        <v>AUXILIAR DE ELETRICISTA COM ENCARGOS COMPLEMENTARES</v>
      </c>
      <c r="E90" s="65" t="str">
        <f ca="1">VLOOKUP(B90,'Insumos e Serviços'!$A:$F,5,0)</f>
        <v>H</v>
      </c>
      <c r="F90" s="90">
        <v>8.1100000000000005E-2</v>
      </c>
      <c r="G90" s="67">
        <f ca="1">VLOOKUP(B90,'Insumos e Serviços'!$A:$F,6,0)</f>
        <v>19.84</v>
      </c>
      <c r="H90" s="67">
        <f>TRUNC(F90*G90,2)</f>
        <v>1.6</v>
      </c>
    </row>
    <row r="91" spans="1:8">
      <c r="A91" s="66" t="str">
        <f ca="1">VLOOKUP(B91,'Insumos e Serviços'!$A:$F,3,0)</f>
        <v>Composição</v>
      </c>
      <c r="B91" s="65" t="s">
        <v>179</v>
      </c>
      <c r="C91" s="65" t="str">
        <f ca="1">VLOOKUP(B91,'Insumos e Serviços'!$A:$F,2,0)</f>
        <v>SINAPI</v>
      </c>
      <c r="D91" s="66" t="str">
        <f ca="1">VLOOKUP(B91,'Insumos e Serviços'!$A:$F,4,0)</f>
        <v>ELETRICISTA COM ENCARGOS COMPLEMENTARES</v>
      </c>
      <c r="E91" s="65" t="str">
        <f ca="1">VLOOKUP(B91,'Insumos e Serviços'!$A:$F,5,0)</f>
        <v>H</v>
      </c>
      <c r="F91" s="90">
        <v>8.1100000000000005E-2</v>
      </c>
      <c r="G91" s="67">
        <f ca="1">VLOOKUP(B91,'Insumos e Serviços'!$A:$F,6,0)</f>
        <v>25.32</v>
      </c>
      <c r="H91" s="67">
        <f>TRUNC(F91*G91,2)</f>
        <v>2.0499999999999998</v>
      </c>
    </row>
    <row r="92" spans="1:8" ht="33.75">
      <c r="A92" s="66" t="str">
        <f ca="1">VLOOKUP(B92,'Insumos e Serviços'!$A:$F,3,0)</f>
        <v>Composição</v>
      </c>
      <c r="B92" s="65" t="s">
        <v>187</v>
      </c>
      <c r="C92" s="65" t="str">
        <f ca="1">VLOOKUP(B92,'Insumos e Serviços'!$A:$F,2,0)</f>
        <v>SINAPI</v>
      </c>
      <c r="D92" s="66" t="str">
        <f ca="1">VLOOKUP(B92,'Insumos e Serviços'!$A:$F,4,0)</f>
        <v>FIXAÇÃO DE TUBOS VERTICAIS DE PPR DIÂMETROS MENORES OU IGUAIS A 40 MM COM ABRAÇADEIRA METÁLICA RÍGIDA TIPO D 1/2", FIXADA EM PERFILADO EM ALVENARIA. AF_05/2015</v>
      </c>
      <c r="E92" s="65" t="str">
        <f ca="1">VLOOKUP(B92,'Insumos e Serviços'!$A:$F,5,0)</f>
        <v>M</v>
      </c>
      <c r="F92" s="90">
        <v>2</v>
      </c>
      <c r="G92" s="67">
        <f ca="1">VLOOKUP(B92,'Insumos e Serviços'!$A:$F,6,0)</f>
        <v>1.53</v>
      </c>
      <c r="H92" s="67">
        <f>TRUNC(F92*G92,2)</f>
        <v>3.06</v>
      </c>
    </row>
    <row r="93" spans="1:8" ht="23.25" thickBot="1">
      <c r="A93" s="66" t="str">
        <f ca="1">VLOOKUP(B93,'Insumos e Serviços'!$A:$F,3,0)</f>
        <v>Insumo</v>
      </c>
      <c r="B93" s="65" t="s">
        <v>185</v>
      </c>
      <c r="C93" s="65" t="str">
        <f ca="1">VLOOKUP(B93,'Insumos e Serviços'!$A:$F,2,0)</f>
        <v>SINAPI</v>
      </c>
      <c r="D93" s="66" t="str">
        <f ca="1">VLOOKUP(B93,'Insumos e Serviços'!$A:$F,4,0)</f>
        <v>ELETRODUTO/CONDULETE DE PVC RIGIDO, LISO, COR CINZA, DE 3/4", PARA INSTALACOES APARENTES (NBR 5410)</v>
      </c>
      <c r="E93" s="65" t="str">
        <f ca="1">VLOOKUP(B93,'Insumos e Serviços'!$A:$F,5,0)</f>
        <v>M</v>
      </c>
      <c r="F93" s="90">
        <v>1.0481</v>
      </c>
      <c r="G93" s="67">
        <f ca="1">VLOOKUP(B93,'Insumos e Serviços'!$A:$F,6,0)</f>
        <v>14.53</v>
      </c>
      <c r="H93" s="67">
        <f>TRUNC(F93*G93,2)</f>
        <v>15.22</v>
      </c>
    </row>
    <row r="94" spans="1:8" ht="15" thickTop="1">
      <c r="A94" s="4"/>
      <c r="B94" s="4"/>
      <c r="C94" s="4"/>
      <c r="D94" s="4"/>
      <c r="E94" s="4"/>
      <c r="F94" s="4"/>
      <c r="G94" s="4"/>
      <c r="H94" s="4"/>
    </row>
    <row r="95" spans="1:8" ht="22.5">
      <c r="A95" s="85" t="s">
        <v>139</v>
      </c>
      <c r="B95" s="86" t="str">
        <f ca="1">VLOOKUP(A95,'Orçamento Sintético'!$A:$H,2,0)</f>
        <v xml:space="preserve"> MPDFT0702 </v>
      </c>
      <c r="C95" s="86" t="str">
        <f ca="1">VLOOKUP(A95,'Orçamento Sintético'!$A:$H,3,0)</f>
        <v>Próprio</v>
      </c>
      <c r="D95" s="85" t="str">
        <f ca="1">VLOOKUP(A95,'Orçamento Sintético'!$A:$H,4,0)</f>
        <v>Cópia da Agetop Civil (071232) - Eletroduto metálico flexível tipo sealtube / copex 25mm (3/4")</v>
      </c>
      <c r="E95" s="86" t="str">
        <f ca="1">VLOOKUP(A95,'Orçamento Sintético'!$A:$H,5,0)</f>
        <v>m</v>
      </c>
      <c r="F95" s="87"/>
      <c r="G95" s="88"/>
      <c r="H95" s="89">
        <f>SUM(H96:H98)</f>
        <v>22.33</v>
      </c>
    </row>
    <row r="96" spans="1:8">
      <c r="A96" s="66" t="str">
        <f ca="1">VLOOKUP(B96,'Insumos e Serviços'!$A:$F,3,0)</f>
        <v>Composição</v>
      </c>
      <c r="B96" s="65" t="s">
        <v>181</v>
      </c>
      <c r="C96" s="65" t="str">
        <f ca="1">VLOOKUP(B96,'Insumos e Serviços'!$A:$F,2,0)</f>
        <v>SINAPI</v>
      </c>
      <c r="D96" s="66" t="str">
        <f ca="1">VLOOKUP(B96,'Insumos e Serviços'!$A:$F,4,0)</f>
        <v>AUXILIAR DE ELETRICISTA COM ENCARGOS COMPLEMENTARES</v>
      </c>
      <c r="E96" s="65" t="str">
        <f ca="1">VLOOKUP(B96,'Insumos e Serviços'!$A:$F,5,0)</f>
        <v>H</v>
      </c>
      <c r="F96" s="90">
        <v>0.17</v>
      </c>
      <c r="G96" s="67">
        <f ca="1">VLOOKUP(B96,'Insumos e Serviços'!$A:$F,6,0)</f>
        <v>19.84</v>
      </c>
      <c r="H96" s="67">
        <f>TRUNC(F96*G96,2)</f>
        <v>3.37</v>
      </c>
    </row>
    <row r="97" spans="1:8">
      <c r="A97" s="66" t="str">
        <f ca="1">VLOOKUP(B97,'Insumos e Serviços'!$A:$F,3,0)</f>
        <v>Composição</v>
      </c>
      <c r="B97" s="65" t="s">
        <v>179</v>
      </c>
      <c r="C97" s="65" t="str">
        <f ca="1">VLOOKUP(B97,'Insumos e Serviços'!$A:$F,2,0)</f>
        <v>SINAPI</v>
      </c>
      <c r="D97" s="66" t="str">
        <f ca="1">VLOOKUP(B97,'Insumos e Serviços'!$A:$F,4,0)</f>
        <v>ELETRICISTA COM ENCARGOS COMPLEMENTARES</v>
      </c>
      <c r="E97" s="65" t="str">
        <f ca="1">VLOOKUP(B97,'Insumos e Serviços'!$A:$F,5,0)</f>
        <v>H</v>
      </c>
      <c r="F97" s="90">
        <v>0.17</v>
      </c>
      <c r="G97" s="67">
        <f ca="1">VLOOKUP(B97,'Insumos e Serviços'!$A:$F,6,0)</f>
        <v>25.32</v>
      </c>
      <c r="H97" s="67">
        <f>TRUNC(F97*G97,2)</f>
        <v>4.3</v>
      </c>
    </row>
    <row r="98" spans="1:8" ht="22.5">
      <c r="A98" s="66" t="str">
        <f ca="1">VLOOKUP(B98,'Insumos e Serviços'!$A:$F,3,0)</f>
        <v>Insumo</v>
      </c>
      <c r="B98" s="65" t="s">
        <v>183</v>
      </c>
      <c r="C98" s="65" t="str">
        <f ca="1">VLOOKUP(B98,'Insumos e Serviços'!$A:$F,2,0)</f>
        <v>SINAPI</v>
      </c>
      <c r="D98" s="66" t="str">
        <f ca="1">VLOOKUP(B98,'Insumos e Serviços'!$A:$F,4,0)</f>
        <v>ELETRODUTO FLEXIVEL, EM ACO GALVANIZADO, REVESTIDO EXTERNAMENTE COM PVC PRETO, DIAMETRO EXTERNO DE 25 MM (3/4"), TIPO SEALTUBO</v>
      </c>
      <c r="E98" s="65" t="str">
        <f ca="1">VLOOKUP(B98,'Insumos e Serviços'!$A:$F,5,0)</f>
        <v>M</v>
      </c>
      <c r="F98" s="90">
        <v>1.05</v>
      </c>
      <c r="G98" s="67">
        <f ca="1">VLOOKUP(B98,'Insumos e Serviços'!$A:$F,6,0)</f>
        <v>13.97</v>
      </c>
      <c r="H98" s="67">
        <f>TRUNC(F98*G98,2)</f>
        <v>14.66</v>
      </c>
    </row>
  </sheetData>
  <sheetCalcPr fullCalcOnLoad="1"/>
  <mergeCells count="13">
    <mergeCell ref="G1:H1"/>
    <mergeCell ref="G2:H2"/>
    <mergeCell ref="G4:H4"/>
    <mergeCell ref="G6:H6"/>
    <mergeCell ref="A2:B2"/>
    <mergeCell ref="E2:F2"/>
    <mergeCell ref="A4:B4"/>
    <mergeCell ref="C4:D4"/>
    <mergeCell ref="E4:F4"/>
    <mergeCell ref="A7:H7"/>
    <mergeCell ref="A6:B6"/>
    <mergeCell ref="C6:D6"/>
    <mergeCell ref="E6:F6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8" fitToHeight="0" orientation="portrait" r:id="rId1"/>
  <headerFooter>
    <oddHeader>&amp;L &amp;C &amp;R</oddHeader>
    <oddFooter>&amp;L &amp;C 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OutlineSymbols="0" showWhiteSpace="0" zoomScale="85" zoomScaleNormal="85" workbookViewId="0"/>
  </sheetViews>
  <sheetFormatPr defaultRowHeight="14.25"/>
  <cols>
    <col min="1" max="1" width="12" bestFit="1" customWidth="1"/>
    <col min="2" max="2" width="10" bestFit="1" customWidth="1"/>
    <col min="3" max="3" width="10" customWidth="1"/>
    <col min="4" max="4" width="60" bestFit="1" customWidth="1"/>
    <col min="5" max="5" width="12" bestFit="1" customWidth="1"/>
    <col min="6" max="6" width="13" bestFit="1" customWidth="1"/>
  </cols>
  <sheetData>
    <row r="1" spans="1:6">
      <c r="A1" s="43" t="str">
        <f ca="1">'Orçamento Sintético'!A1</f>
        <v>P. Execução:</v>
      </c>
      <c r="B1" s="57"/>
      <c r="C1" s="43" t="str">
        <f ca="1">'Orçamento Sintético'!C1</f>
        <v>Licitação:</v>
      </c>
      <c r="D1" s="44" t="str">
        <f ca="1">'Orçamento Sintético'!D1</f>
        <v>Objeto: Adequação para instalação do Espaço Memória no edifício-sede</v>
      </c>
      <c r="E1" s="43" t="str">
        <f ca="1">'Orçamento Sintético'!E1</f>
        <v>Data:</v>
      </c>
      <c r="F1" s="55"/>
    </row>
    <row r="2" spans="1:6">
      <c r="A2" s="157" t="str">
        <f ca="1">'Orçamento Sintético'!A2:B2</f>
        <v>A</v>
      </c>
      <c r="B2" s="158"/>
      <c r="C2" s="48" t="str">
        <f ca="1">'Orçamento Sintético'!C2</f>
        <v>B</v>
      </c>
      <c r="D2" s="47" t="str">
        <f ca="1">'Orçamento Sintético'!D2</f>
        <v>Local: Praça do Buriti Bloco A, Zona Cívico-Administrativa, Lote 2 - Brasília / DF</v>
      </c>
      <c r="E2" s="176">
        <f ca="1">'Orçamento Sintético'!E2:F2</f>
        <v>1</v>
      </c>
      <c r="F2" s="177"/>
    </row>
    <row r="3" spans="1:6">
      <c r="A3" s="49" t="str">
        <f ca="1">'Orçamento Sintético'!A3</f>
        <v>P. Validade:</v>
      </c>
      <c r="B3" s="63"/>
      <c r="C3" s="49" t="str">
        <f ca="1">'Orçamento Sintético'!C3</f>
        <v>Razão Social:</v>
      </c>
      <c r="D3" s="55"/>
      <c r="E3" s="43" t="str">
        <f ca="1">'Orçamento Sintético'!E3</f>
        <v>Telefone:</v>
      </c>
      <c r="F3" s="55"/>
    </row>
    <row r="4" spans="1:6">
      <c r="A4" s="157" t="str">
        <f ca="1">'Orçamento Sintético'!A4:B4</f>
        <v>C</v>
      </c>
      <c r="B4" s="158"/>
      <c r="C4" s="157" t="str">
        <f ca="1">'Orçamento Sintético'!C4:D4</f>
        <v>D</v>
      </c>
      <c r="D4" s="171"/>
      <c r="E4" s="157" t="str">
        <f ca="1">'Orçamento Sintético'!E4:F4</f>
        <v>E</v>
      </c>
      <c r="F4" s="171"/>
    </row>
    <row r="5" spans="1:6">
      <c r="A5" s="43" t="str">
        <f ca="1">'Orçamento Sintético'!A5</f>
        <v>P. Garantia:</v>
      </c>
      <c r="B5" s="57"/>
      <c r="C5" s="43" t="str">
        <f ca="1">'Orçamento Sintético'!C5</f>
        <v>CNPJ:</v>
      </c>
      <c r="D5" s="55"/>
      <c r="E5" s="43" t="str">
        <f ca="1">'Orçamento Sintético'!E5</f>
        <v>E-mail:</v>
      </c>
      <c r="F5" s="55"/>
    </row>
    <row r="6" spans="1:6">
      <c r="A6" s="157" t="str">
        <f ca="1">'Orçamento Sintético'!A6:B6</f>
        <v>F</v>
      </c>
      <c r="B6" s="158"/>
      <c r="C6" s="157" t="str">
        <f ca="1">'Orçamento Sintético'!C6:D6</f>
        <v>G</v>
      </c>
      <c r="D6" s="171"/>
      <c r="E6" s="157" t="str">
        <f ca="1">'Orçamento Sintético'!E6:F6</f>
        <v>H</v>
      </c>
      <c r="F6" s="171"/>
    </row>
    <row r="7" spans="1:6" ht="15">
      <c r="A7" s="179" t="s">
        <v>372</v>
      </c>
      <c r="B7" s="179"/>
      <c r="C7" s="179"/>
      <c r="D7" s="179"/>
      <c r="E7" s="179"/>
      <c r="F7" s="179"/>
    </row>
    <row r="8" spans="1:6" ht="25.5">
      <c r="A8" s="64" t="s">
        <v>2</v>
      </c>
      <c r="B8" s="64" t="s">
        <v>3</v>
      </c>
      <c r="C8" s="64" t="s">
        <v>373</v>
      </c>
      <c r="D8" s="64" t="s">
        <v>4</v>
      </c>
      <c r="E8" s="64" t="s">
        <v>5</v>
      </c>
      <c r="F8" s="64" t="s">
        <v>7</v>
      </c>
    </row>
    <row r="9" spans="1:6" ht="22.5">
      <c r="A9" s="65" t="s">
        <v>183</v>
      </c>
      <c r="B9" s="65" t="s">
        <v>26</v>
      </c>
      <c r="C9" s="65" t="s">
        <v>172</v>
      </c>
      <c r="D9" s="66" t="s">
        <v>182</v>
      </c>
      <c r="E9" s="65" t="s">
        <v>28</v>
      </c>
      <c r="F9" s="67">
        <v>13.97</v>
      </c>
    </row>
    <row r="10" spans="1:6" ht="22.5">
      <c r="A10" s="65" t="s">
        <v>30</v>
      </c>
      <c r="B10" s="65" t="s">
        <v>26</v>
      </c>
      <c r="C10" s="65" t="s">
        <v>172</v>
      </c>
      <c r="D10" s="66" t="s">
        <v>31</v>
      </c>
      <c r="E10" s="65" t="s">
        <v>32</v>
      </c>
      <c r="F10" s="67">
        <v>17</v>
      </c>
    </row>
    <row r="11" spans="1:6" ht="22.5">
      <c r="A11" s="65" t="s">
        <v>207</v>
      </c>
      <c r="B11" s="65" t="s">
        <v>26</v>
      </c>
      <c r="C11" s="65" t="s">
        <v>172</v>
      </c>
      <c r="D11" s="66" t="s">
        <v>206</v>
      </c>
      <c r="E11" s="65" t="s">
        <v>38</v>
      </c>
      <c r="F11" s="67">
        <v>377.73</v>
      </c>
    </row>
    <row r="12" spans="1:6">
      <c r="A12" s="65" t="s">
        <v>200</v>
      </c>
      <c r="B12" s="65" t="s">
        <v>26</v>
      </c>
      <c r="C12" s="65" t="s">
        <v>172</v>
      </c>
      <c r="D12" s="66" t="s">
        <v>199</v>
      </c>
      <c r="E12" s="65" t="s">
        <v>107</v>
      </c>
      <c r="F12" s="67">
        <v>2.48</v>
      </c>
    </row>
    <row r="13" spans="1:6">
      <c r="A13" s="65" t="s">
        <v>211</v>
      </c>
      <c r="B13" s="65" t="s">
        <v>26</v>
      </c>
      <c r="C13" s="65" t="s">
        <v>172</v>
      </c>
      <c r="D13" s="66" t="s">
        <v>210</v>
      </c>
      <c r="E13" s="65" t="s">
        <v>196</v>
      </c>
      <c r="F13" s="67">
        <v>3.22</v>
      </c>
    </row>
    <row r="14" spans="1:6" ht="22.5">
      <c r="A14" s="65" t="s">
        <v>245</v>
      </c>
      <c r="B14" s="65" t="s">
        <v>26</v>
      </c>
      <c r="C14" s="65" t="s">
        <v>172</v>
      </c>
      <c r="D14" s="66" t="s">
        <v>244</v>
      </c>
      <c r="E14" s="65" t="s">
        <v>226</v>
      </c>
      <c r="F14" s="67">
        <v>46.52</v>
      </c>
    </row>
    <row r="15" spans="1:6">
      <c r="A15" s="65" t="s">
        <v>209</v>
      </c>
      <c r="B15" s="65" t="s">
        <v>26</v>
      </c>
      <c r="C15" s="65" t="s">
        <v>172</v>
      </c>
      <c r="D15" s="66" t="s">
        <v>208</v>
      </c>
      <c r="E15" s="65" t="s">
        <v>196</v>
      </c>
      <c r="F15" s="67">
        <v>1.69</v>
      </c>
    </row>
    <row r="16" spans="1:6">
      <c r="A16" s="65" t="s">
        <v>189</v>
      </c>
      <c r="B16" s="65" t="s">
        <v>26</v>
      </c>
      <c r="C16" s="65" t="s">
        <v>172</v>
      </c>
      <c r="D16" s="66" t="s">
        <v>188</v>
      </c>
      <c r="E16" s="65" t="s">
        <v>107</v>
      </c>
      <c r="F16" s="67">
        <v>38.89</v>
      </c>
    </row>
    <row r="17" spans="1:6" ht="22.5">
      <c r="A17" s="65" t="s">
        <v>185</v>
      </c>
      <c r="B17" s="65" t="s">
        <v>26</v>
      </c>
      <c r="C17" s="65" t="s">
        <v>172</v>
      </c>
      <c r="D17" s="66" t="s">
        <v>184</v>
      </c>
      <c r="E17" s="65" t="s">
        <v>28</v>
      </c>
      <c r="F17" s="67">
        <v>14.53</v>
      </c>
    </row>
    <row r="18" spans="1:6" ht="22.5">
      <c r="A18" s="65" t="s">
        <v>225</v>
      </c>
      <c r="B18" s="65" t="s">
        <v>26</v>
      </c>
      <c r="C18" s="65" t="s">
        <v>172</v>
      </c>
      <c r="D18" s="66" t="s">
        <v>224</v>
      </c>
      <c r="E18" s="65" t="s">
        <v>38</v>
      </c>
      <c r="F18" s="67">
        <v>16.84</v>
      </c>
    </row>
    <row r="19" spans="1:6" ht="22.5">
      <c r="A19" s="65" t="s">
        <v>243</v>
      </c>
      <c r="B19" s="65" t="s">
        <v>26</v>
      </c>
      <c r="C19" s="65" t="s">
        <v>172</v>
      </c>
      <c r="D19" s="66" t="s">
        <v>242</v>
      </c>
      <c r="E19" s="65" t="s">
        <v>28</v>
      </c>
      <c r="F19" s="67">
        <v>8.06</v>
      </c>
    </row>
    <row r="20" spans="1:6" ht="22.5">
      <c r="A20" s="65" t="s">
        <v>241</v>
      </c>
      <c r="B20" s="65" t="s">
        <v>26</v>
      </c>
      <c r="C20" s="65" t="s">
        <v>172</v>
      </c>
      <c r="D20" s="66" t="s">
        <v>240</v>
      </c>
      <c r="E20" s="65" t="s">
        <v>28</v>
      </c>
      <c r="F20" s="67">
        <v>9.14</v>
      </c>
    </row>
    <row r="21" spans="1:6" ht="22.5">
      <c r="A21" s="65" t="s">
        <v>239</v>
      </c>
      <c r="B21" s="65" t="s">
        <v>26</v>
      </c>
      <c r="C21" s="65" t="s">
        <v>172</v>
      </c>
      <c r="D21" s="66" t="s">
        <v>238</v>
      </c>
      <c r="E21" s="65" t="s">
        <v>28</v>
      </c>
      <c r="F21" s="67">
        <v>0.26</v>
      </c>
    </row>
    <row r="22" spans="1:6" ht="22.5">
      <c r="A22" s="65" t="s">
        <v>234</v>
      </c>
      <c r="B22" s="65" t="s">
        <v>26</v>
      </c>
      <c r="C22" s="65" t="s">
        <v>172</v>
      </c>
      <c r="D22" s="66" t="s">
        <v>233</v>
      </c>
      <c r="E22" s="65" t="s">
        <v>28</v>
      </c>
      <c r="F22" s="67">
        <v>2.33</v>
      </c>
    </row>
    <row r="23" spans="1:6" ht="22.5">
      <c r="A23" s="65" t="s">
        <v>232</v>
      </c>
      <c r="B23" s="65" t="s">
        <v>26</v>
      </c>
      <c r="C23" s="65" t="s">
        <v>172</v>
      </c>
      <c r="D23" s="66" t="s">
        <v>231</v>
      </c>
      <c r="E23" s="65" t="s">
        <v>196</v>
      </c>
      <c r="F23" s="67">
        <v>2.92</v>
      </c>
    </row>
    <row r="24" spans="1:6" ht="22.5">
      <c r="A24" s="65" t="s">
        <v>230</v>
      </c>
      <c r="B24" s="65" t="s">
        <v>26</v>
      </c>
      <c r="C24" s="65" t="s">
        <v>172</v>
      </c>
      <c r="D24" s="66" t="s">
        <v>229</v>
      </c>
      <c r="E24" s="65" t="s">
        <v>107</v>
      </c>
      <c r="F24" s="67">
        <v>0.1</v>
      </c>
    </row>
    <row r="25" spans="1:6" ht="22.5">
      <c r="A25" s="65" t="s">
        <v>228</v>
      </c>
      <c r="B25" s="65" t="s">
        <v>26</v>
      </c>
      <c r="C25" s="65" t="s">
        <v>172</v>
      </c>
      <c r="D25" s="66" t="s">
        <v>227</v>
      </c>
      <c r="E25" s="65" t="s">
        <v>107</v>
      </c>
      <c r="F25" s="67">
        <v>0.25</v>
      </c>
    </row>
    <row r="26" spans="1:6">
      <c r="A26" s="65" t="s">
        <v>198</v>
      </c>
      <c r="B26" s="65" t="s">
        <v>26</v>
      </c>
      <c r="C26" s="65" t="s">
        <v>172</v>
      </c>
      <c r="D26" s="66" t="s">
        <v>197</v>
      </c>
      <c r="E26" s="65" t="s">
        <v>196</v>
      </c>
      <c r="F26" s="67">
        <v>86.84</v>
      </c>
    </row>
    <row r="27" spans="1:6">
      <c r="A27" s="65" t="s">
        <v>181</v>
      </c>
      <c r="B27" s="65" t="s">
        <v>26</v>
      </c>
      <c r="C27" s="65" t="s">
        <v>174</v>
      </c>
      <c r="D27" s="66" t="s">
        <v>180</v>
      </c>
      <c r="E27" s="65" t="s">
        <v>175</v>
      </c>
      <c r="F27" s="67">
        <v>19.84</v>
      </c>
    </row>
    <row r="28" spans="1:6">
      <c r="A28" s="65" t="s">
        <v>217</v>
      </c>
      <c r="B28" s="65" t="s">
        <v>26</v>
      </c>
      <c r="C28" s="65" t="s">
        <v>174</v>
      </c>
      <c r="D28" s="66" t="s">
        <v>216</v>
      </c>
      <c r="E28" s="65" t="s">
        <v>175</v>
      </c>
      <c r="F28" s="67">
        <v>19.82</v>
      </c>
    </row>
    <row r="29" spans="1:6">
      <c r="A29" s="65" t="s">
        <v>179</v>
      </c>
      <c r="B29" s="65" t="s">
        <v>26</v>
      </c>
      <c r="C29" s="65" t="s">
        <v>174</v>
      </c>
      <c r="D29" s="66" t="s">
        <v>178</v>
      </c>
      <c r="E29" s="65" t="s">
        <v>175</v>
      </c>
      <c r="F29" s="67">
        <v>25.32</v>
      </c>
    </row>
    <row r="30" spans="1:6">
      <c r="A30" s="65" t="s">
        <v>213</v>
      </c>
      <c r="B30" s="65" t="s">
        <v>26</v>
      </c>
      <c r="C30" s="65" t="s">
        <v>174</v>
      </c>
      <c r="D30" s="66" t="s">
        <v>212</v>
      </c>
      <c r="E30" s="65" t="s">
        <v>175</v>
      </c>
      <c r="F30" s="67">
        <v>24.98</v>
      </c>
    </row>
    <row r="31" spans="1:6">
      <c r="A31" s="65" t="s">
        <v>236</v>
      </c>
      <c r="B31" s="65" t="s">
        <v>26</v>
      </c>
      <c r="C31" s="65" t="s">
        <v>174</v>
      </c>
      <c r="D31" s="66" t="s">
        <v>235</v>
      </c>
      <c r="E31" s="65" t="s">
        <v>175</v>
      </c>
      <c r="F31" s="67">
        <v>19.100000000000001</v>
      </c>
    </row>
    <row r="32" spans="1:6">
      <c r="A32" s="65" t="s">
        <v>219</v>
      </c>
      <c r="B32" s="65" t="s">
        <v>26</v>
      </c>
      <c r="C32" s="65" t="s">
        <v>174</v>
      </c>
      <c r="D32" s="66" t="s">
        <v>218</v>
      </c>
      <c r="E32" s="65" t="s">
        <v>175</v>
      </c>
      <c r="F32" s="67">
        <v>24.93</v>
      </c>
    </row>
    <row r="33" spans="1:6">
      <c r="A33" s="65" t="s">
        <v>177</v>
      </c>
      <c r="B33" s="65" t="s">
        <v>26</v>
      </c>
      <c r="C33" s="65" t="s">
        <v>174</v>
      </c>
      <c r="D33" s="66" t="s">
        <v>176</v>
      </c>
      <c r="E33" s="65" t="s">
        <v>175</v>
      </c>
      <c r="F33" s="67">
        <v>18.649999999999999</v>
      </c>
    </row>
    <row r="34" spans="1:6">
      <c r="A34" s="65" t="s">
        <v>223</v>
      </c>
      <c r="B34" s="65" t="s">
        <v>26</v>
      </c>
      <c r="C34" s="65" t="s">
        <v>174</v>
      </c>
      <c r="D34" s="66" t="s">
        <v>222</v>
      </c>
      <c r="E34" s="65" t="s">
        <v>175</v>
      </c>
      <c r="F34" s="67">
        <v>23.15</v>
      </c>
    </row>
    <row r="35" spans="1:6">
      <c r="A35" s="65" t="s">
        <v>73</v>
      </c>
      <c r="B35" s="65" t="s">
        <v>26</v>
      </c>
      <c r="C35" s="65" t="s">
        <v>174</v>
      </c>
      <c r="D35" s="66" t="s">
        <v>74</v>
      </c>
      <c r="E35" s="65" t="s">
        <v>38</v>
      </c>
      <c r="F35" s="67">
        <v>2.87</v>
      </c>
    </row>
    <row r="36" spans="1:6" ht="22.5">
      <c r="A36" s="65" t="s">
        <v>84</v>
      </c>
      <c r="B36" s="65" t="s">
        <v>26</v>
      </c>
      <c r="C36" s="65" t="s">
        <v>174</v>
      </c>
      <c r="D36" s="66" t="s">
        <v>85</v>
      </c>
      <c r="E36" s="65" t="s">
        <v>38</v>
      </c>
      <c r="F36" s="67">
        <v>15.82</v>
      </c>
    </row>
    <row r="37" spans="1:6" ht="22.5">
      <c r="A37" s="65" t="s">
        <v>79</v>
      </c>
      <c r="B37" s="65" t="s">
        <v>26</v>
      </c>
      <c r="C37" s="65" t="s">
        <v>174</v>
      </c>
      <c r="D37" s="66" t="s">
        <v>80</v>
      </c>
      <c r="E37" s="65" t="s">
        <v>38</v>
      </c>
      <c r="F37" s="67">
        <v>13.96</v>
      </c>
    </row>
    <row r="38" spans="1:6">
      <c r="A38" s="65" t="s">
        <v>81</v>
      </c>
      <c r="B38" s="65" t="s">
        <v>26</v>
      </c>
      <c r="C38" s="65" t="s">
        <v>174</v>
      </c>
      <c r="D38" s="66" t="s">
        <v>82</v>
      </c>
      <c r="E38" s="65" t="s">
        <v>38</v>
      </c>
      <c r="F38" s="67">
        <v>28.29</v>
      </c>
    </row>
    <row r="39" spans="1:6">
      <c r="A39" s="65" t="s">
        <v>76</v>
      </c>
      <c r="B39" s="65" t="s">
        <v>26</v>
      </c>
      <c r="C39" s="65" t="s">
        <v>174</v>
      </c>
      <c r="D39" s="66" t="s">
        <v>77</v>
      </c>
      <c r="E39" s="65" t="s">
        <v>38</v>
      </c>
      <c r="F39" s="67">
        <v>16.41</v>
      </c>
    </row>
    <row r="40" spans="1:6" ht="33.75">
      <c r="A40" s="65" t="s">
        <v>187</v>
      </c>
      <c r="B40" s="65" t="s">
        <v>26</v>
      </c>
      <c r="C40" s="65" t="s">
        <v>174</v>
      </c>
      <c r="D40" s="66" t="s">
        <v>186</v>
      </c>
      <c r="E40" s="65" t="s">
        <v>28</v>
      </c>
      <c r="F40" s="67">
        <v>1.53</v>
      </c>
    </row>
    <row r="41" spans="1:6" ht="22.5">
      <c r="A41" s="65" t="s">
        <v>143</v>
      </c>
      <c r="B41" s="65" t="s">
        <v>26</v>
      </c>
      <c r="C41" s="65" t="s">
        <v>174</v>
      </c>
      <c r="D41" s="66" t="s">
        <v>144</v>
      </c>
      <c r="E41" s="65" t="s">
        <v>28</v>
      </c>
      <c r="F41" s="67">
        <v>9.0500000000000007</v>
      </c>
    </row>
    <row r="42" spans="1:6" ht="22.5">
      <c r="A42" s="65" t="s">
        <v>146</v>
      </c>
      <c r="B42" s="65" t="s">
        <v>26</v>
      </c>
      <c r="C42" s="65" t="s">
        <v>174</v>
      </c>
      <c r="D42" s="66" t="s">
        <v>147</v>
      </c>
      <c r="E42" s="65" t="s">
        <v>28</v>
      </c>
      <c r="F42" s="67">
        <v>4.32</v>
      </c>
    </row>
    <row r="43" spans="1:6" ht="22.5">
      <c r="A43" s="65" t="s">
        <v>128</v>
      </c>
      <c r="B43" s="65" t="s">
        <v>26</v>
      </c>
      <c r="C43" s="65" t="s">
        <v>174</v>
      </c>
      <c r="D43" s="66" t="s">
        <v>129</v>
      </c>
      <c r="E43" s="65" t="s">
        <v>107</v>
      </c>
      <c r="F43" s="67">
        <v>10.06</v>
      </c>
    </row>
    <row r="44" spans="1:6" ht="22.5">
      <c r="A44" s="65" t="s">
        <v>116</v>
      </c>
      <c r="B44" s="65" t="s">
        <v>26</v>
      </c>
      <c r="C44" s="65" t="s">
        <v>174</v>
      </c>
      <c r="D44" s="66" t="s">
        <v>117</v>
      </c>
      <c r="E44" s="65" t="s">
        <v>107</v>
      </c>
      <c r="F44" s="67">
        <v>26.92</v>
      </c>
    </row>
    <row r="45" spans="1:6" ht="22.5">
      <c r="A45" s="65" t="s">
        <v>119</v>
      </c>
      <c r="B45" s="65" t="s">
        <v>26</v>
      </c>
      <c r="C45" s="65" t="s">
        <v>174</v>
      </c>
      <c r="D45" s="66" t="s">
        <v>120</v>
      </c>
      <c r="E45" s="65" t="s">
        <v>107</v>
      </c>
      <c r="F45" s="67">
        <v>40.299999999999997</v>
      </c>
    </row>
    <row r="46" spans="1:6">
      <c r="A46" s="65" t="s">
        <v>163</v>
      </c>
      <c r="B46" s="65" t="s">
        <v>26</v>
      </c>
      <c r="C46" s="65" t="s">
        <v>174</v>
      </c>
      <c r="D46" s="66" t="s">
        <v>164</v>
      </c>
      <c r="E46" s="65" t="s">
        <v>165</v>
      </c>
      <c r="F46" s="67">
        <v>3606.88</v>
      </c>
    </row>
    <row r="47" spans="1:6" ht="22.5">
      <c r="A47" s="65" t="s">
        <v>131</v>
      </c>
      <c r="B47" s="65" t="s">
        <v>26</v>
      </c>
      <c r="C47" s="65" t="s">
        <v>174</v>
      </c>
      <c r="D47" s="66" t="s">
        <v>132</v>
      </c>
      <c r="E47" s="65" t="s">
        <v>107</v>
      </c>
      <c r="F47" s="67">
        <v>26.27</v>
      </c>
    </row>
    <row r="48" spans="1:6" ht="22.5">
      <c r="A48" s="65" t="s">
        <v>134</v>
      </c>
      <c r="B48" s="65" t="s">
        <v>26</v>
      </c>
      <c r="C48" s="65" t="s">
        <v>174</v>
      </c>
      <c r="D48" s="66" t="s">
        <v>135</v>
      </c>
      <c r="E48" s="65" t="s">
        <v>107</v>
      </c>
      <c r="F48" s="67">
        <v>30.4</v>
      </c>
    </row>
    <row r="49" spans="1:6" ht="22.5">
      <c r="A49" s="65" t="s">
        <v>68</v>
      </c>
      <c r="B49" s="65" t="s">
        <v>26</v>
      </c>
      <c r="C49" s="65" t="s">
        <v>174</v>
      </c>
      <c r="D49" s="66" t="s">
        <v>69</v>
      </c>
      <c r="E49" s="65" t="s">
        <v>38</v>
      </c>
      <c r="F49" s="67">
        <v>65.83</v>
      </c>
    </row>
    <row r="50" spans="1:6" ht="33.75">
      <c r="A50" s="65" t="s">
        <v>53</v>
      </c>
      <c r="B50" s="65" t="s">
        <v>26</v>
      </c>
      <c r="C50" s="65" t="s">
        <v>174</v>
      </c>
      <c r="D50" s="66" t="s">
        <v>54</v>
      </c>
      <c r="E50" s="65" t="s">
        <v>38</v>
      </c>
      <c r="F50" s="67">
        <v>56.54</v>
      </c>
    </row>
    <row r="51" spans="1:6">
      <c r="A51" s="65" t="s">
        <v>58</v>
      </c>
      <c r="B51" s="65" t="s">
        <v>26</v>
      </c>
      <c r="C51" s="65" t="s">
        <v>174</v>
      </c>
      <c r="D51" s="66" t="s">
        <v>59</v>
      </c>
      <c r="E51" s="65" t="s">
        <v>28</v>
      </c>
      <c r="F51" s="67">
        <v>32.07</v>
      </c>
    </row>
    <row r="52" spans="1:6" ht="22.5">
      <c r="A52" s="65" t="s">
        <v>25</v>
      </c>
      <c r="B52" s="65" t="s">
        <v>26</v>
      </c>
      <c r="C52" s="65" t="s">
        <v>174</v>
      </c>
      <c r="D52" s="66" t="s">
        <v>27</v>
      </c>
      <c r="E52" s="65" t="s">
        <v>28</v>
      </c>
      <c r="F52" s="67">
        <v>15.99</v>
      </c>
    </row>
    <row r="53" spans="1:6" ht="22.5">
      <c r="A53" s="65" t="s">
        <v>44</v>
      </c>
      <c r="B53" s="65" t="s">
        <v>26</v>
      </c>
      <c r="C53" s="65" t="s">
        <v>174</v>
      </c>
      <c r="D53" s="66" t="s">
        <v>45</v>
      </c>
      <c r="E53" s="65" t="s">
        <v>38</v>
      </c>
      <c r="F53" s="67">
        <v>4.38</v>
      </c>
    </row>
    <row r="54" spans="1:6" ht="22.5">
      <c r="A54" s="65" t="s">
        <v>149</v>
      </c>
      <c r="B54" s="65" t="s">
        <v>26</v>
      </c>
      <c r="C54" s="65" t="s">
        <v>174</v>
      </c>
      <c r="D54" s="66" t="s">
        <v>150</v>
      </c>
      <c r="E54" s="65" t="s">
        <v>28</v>
      </c>
      <c r="F54" s="67">
        <v>4.78</v>
      </c>
    </row>
    <row r="55" spans="1:6">
      <c r="A55" s="65" t="s">
        <v>122</v>
      </c>
      <c r="B55" s="65" t="s">
        <v>26</v>
      </c>
      <c r="C55" s="65" t="s">
        <v>174</v>
      </c>
      <c r="D55" s="66" t="s">
        <v>123</v>
      </c>
      <c r="E55" s="65" t="s">
        <v>107</v>
      </c>
      <c r="F55" s="67">
        <v>52.49</v>
      </c>
    </row>
    <row r="56" spans="1:6">
      <c r="A56" s="65" t="s">
        <v>156</v>
      </c>
      <c r="B56" s="65" t="s">
        <v>26</v>
      </c>
      <c r="C56" s="65" t="s">
        <v>174</v>
      </c>
      <c r="D56" s="66" t="s">
        <v>157</v>
      </c>
      <c r="E56" s="65" t="s">
        <v>38</v>
      </c>
      <c r="F56" s="67">
        <v>5.14</v>
      </c>
    </row>
    <row r="57" spans="1:6">
      <c r="A57" s="65" t="s">
        <v>205</v>
      </c>
      <c r="B57" s="65" t="s">
        <v>15</v>
      </c>
      <c r="C57" s="65" t="s">
        <v>172</v>
      </c>
      <c r="D57" s="66" t="s">
        <v>204</v>
      </c>
      <c r="E57" s="65" t="s">
        <v>94</v>
      </c>
      <c r="F57" s="67">
        <v>22.2</v>
      </c>
    </row>
    <row r="58" spans="1:6">
      <c r="A58" s="65" t="s">
        <v>250</v>
      </c>
      <c r="B58" s="65" t="s">
        <v>15</v>
      </c>
      <c r="C58" s="65" t="s">
        <v>172</v>
      </c>
      <c r="D58" s="66" t="s">
        <v>249</v>
      </c>
      <c r="E58" s="65" t="s">
        <v>248</v>
      </c>
      <c r="F58" s="67">
        <v>233.94</v>
      </c>
    </row>
    <row r="59" spans="1:6">
      <c r="A59" s="65" t="s">
        <v>247</v>
      </c>
      <c r="B59" s="65" t="s">
        <v>15</v>
      </c>
      <c r="C59" s="65" t="s">
        <v>172</v>
      </c>
      <c r="D59" s="66" t="s">
        <v>246</v>
      </c>
      <c r="E59" s="65" t="s">
        <v>38</v>
      </c>
      <c r="F59" s="67">
        <v>5.97</v>
      </c>
    </row>
    <row r="60" spans="1:6" ht="33.75">
      <c r="A60" s="65" t="s">
        <v>202</v>
      </c>
      <c r="B60" s="65" t="s">
        <v>15</v>
      </c>
      <c r="C60" s="65" t="s">
        <v>172</v>
      </c>
      <c r="D60" s="66" t="s">
        <v>201</v>
      </c>
      <c r="E60" s="65" t="s">
        <v>17</v>
      </c>
      <c r="F60" s="67">
        <v>108.89</v>
      </c>
    </row>
    <row r="61" spans="1:6" ht="22.5">
      <c r="A61" s="65" t="s">
        <v>194</v>
      </c>
      <c r="B61" s="65" t="s">
        <v>15</v>
      </c>
      <c r="C61" s="65" t="s">
        <v>172</v>
      </c>
      <c r="D61" s="66" t="s">
        <v>357</v>
      </c>
      <c r="E61" s="65" t="s">
        <v>17</v>
      </c>
      <c r="F61" s="67">
        <v>309.99</v>
      </c>
    </row>
    <row r="62" spans="1:6" ht="22.5">
      <c r="A62" s="65" t="s">
        <v>195</v>
      </c>
      <c r="B62" s="65" t="s">
        <v>15</v>
      </c>
      <c r="C62" s="65" t="s">
        <v>172</v>
      </c>
      <c r="D62" s="66" t="s">
        <v>356</v>
      </c>
      <c r="E62" s="65" t="s">
        <v>17</v>
      </c>
      <c r="F62" s="67">
        <v>167.19</v>
      </c>
    </row>
    <row r="63" spans="1:6">
      <c r="A63" s="65" t="s">
        <v>191</v>
      </c>
      <c r="B63" s="65" t="s">
        <v>15</v>
      </c>
      <c r="C63" s="65" t="s">
        <v>172</v>
      </c>
      <c r="D63" s="66" t="s">
        <v>190</v>
      </c>
      <c r="E63" s="65" t="s">
        <v>17</v>
      </c>
      <c r="F63" s="67">
        <v>29.99</v>
      </c>
    </row>
    <row r="64" spans="1:6">
      <c r="A64" s="65" t="s">
        <v>193</v>
      </c>
      <c r="B64" s="65" t="s">
        <v>15</v>
      </c>
      <c r="C64" s="65" t="s">
        <v>172</v>
      </c>
      <c r="D64" s="66" t="s">
        <v>192</v>
      </c>
      <c r="E64" s="65" t="s">
        <v>17</v>
      </c>
      <c r="F64" s="67">
        <v>29.99</v>
      </c>
    </row>
    <row r="65" spans="1:6">
      <c r="A65" s="65" t="s">
        <v>221</v>
      </c>
      <c r="B65" s="65" t="s">
        <v>15</v>
      </c>
      <c r="C65" s="65" t="s">
        <v>172</v>
      </c>
      <c r="D65" s="66" t="s">
        <v>220</v>
      </c>
      <c r="E65" s="65" t="s">
        <v>38</v>
      </c>
      <c r="F65" s="67">
        <v>36.33</v>
      </c>
    </row>
    <row r="66" spans="1:6" ht="22.5">
      <c r="A66" s="65" t="s">
        <v>215</v>
      </c>
      <c r="B66" s="65" t="s">
        <v>15</v>
      </c>
      <c r="C66" s="65" t="s">
        <v>172</v>
      </c>
      <c r="D66" s="66" t="s">
        <v>214</v>
      </c>
      <c r="E66" s="65" t="s">
        <v>94</v>
      </c>
      <c r="F66" s="67">
        <v>27.95</v>
      </c>
    </row>
    <row r="67" spans="1:6">
      <c r="A67" s="65" t="s">
        <v>203</v>
      </c>
      <c r="B67" s="65" t="s">
        <v>15</v>
      </c>
      <c r="C67" s="65" t="s">
        <v>172</v>
      </c>
      <c r="D67" s="66" t="s">
        <v>351</v>
      </c>
      <c r="E67" s="65" t="s">
        <v>17</v>
      </c>
      <c r="F67" s="67">
        <v>50</v>
      </c>
    </row>
    <row r="68" spans="1:6" ht="22.5">
      <c r="A68" s="65" t="s">
        <v>237</v>
      </c>
      <c r="B68" s="65" t="s">
        <v>15</v>
      </c>
      <c r="C68" s="65" t="s">
        <v>172</v>
      </c>
      <c r="D68" s="66" t="s">
        <v>64</v>
      </c>
      <c r="E68" s="65" t="s">
        <v>17</v>
      </c>
      <c r="F68" s="67">
        <v>2900</v>
      </c>
    </row>
    <row r="69" spans="1:6">
      <c r="A69" s="65" t="s">
        <v>352</v>
      </c>
      <c r="B69" s="65" t="s">
        <v>15</v>
      </c>
      <c r="C69" s="65" t="s">
        <v>172</v>
      </c>
      <c r="D69" s="66" t="s">
        <v>353</v>
      </c>
      <c r="E69" s="65" t="s">
        <v>17</v>
      </c>
      <c r="F69" s="67">
        <v>59</v>
      </c>
    </row>
    <row r="70" spans="1:6" ht="22.5">
      <c r="A70" s="65" t="s">
        <v>354</v>
      </c>
      <c r="B70" s="65" t="s">
        <v>15</v>
      </c>
      <c r="C70" s="65" t="s">
        <v>172</v>
      </c>
      <c r="D70" s="66" t="s">
        <v>355</v>
      </c>
      <c r="E70" s="65" t="s">
        <v>17</v>
      </c>
      <c r="F70" s="67">
        <v>63</v>
      </c>
    </row>
    <row r="71" spans="1:6" ht="33.75">
      <c r="A71" s="65" t="s">
        <v>109</v>
      </c>
      <c r="B71" s="65" t="s">
        <v>15</v>
      </c>
      <c r="C71" s="65" t="s">
        <v>172</v>
      </c>
      <c r="D71" s="66" t="s">
        <v>110</v>
      </c>
      <c r="E71" s="65" t="s">
        <v>107</v>
      </c>
      <c r="F71" s="67">
        <v>132.94999999999999</v>
      </c>
    </row>
  </sheetData>
  <mergeCells count="9">
    <mergeCell ref="C6:D6"/>
    <mergeCell ref="A7:F7"/>
    <mergeCell ref="A2:B2"/>
    <mergeCell ref="E2:F2"/>
    <mergeCell ref="A4:B4"/>
    <mergeCell ref="C4:D4"/>
    <mergeCell ref="E4:F4"/>
    <mergeCell ref="A6:B6"/>
    <mergeCell ref="E6:F6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1" fitToHeight="0" orientation="portrait" r:id="rId1"/>
  <headerFooter>
    <oddHeader>&amp;L &amp;C &amp;R</oddHeader>
    <oddFooter>&amp;L &amp;C 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showOutlineSymbols="0" showWhiteSpace="0" zoomScale="85" zoomScaleNormal="85" workbookViewId="0"/>
  </sheetViews>
  <sheetFormatPr defaultRowHeight="14.25"/>
  <cols>
    <col min="1" max="1" width="27.375" customWidth="1"/>
    <col min="2" max="3" width="20.25" customWidth="1"/>
    <col min="4" max="4" width="0.875" customWidth="1"/>
    <col min="5" max="6" width="20.25" customWidth="1"/>
    <col min="7" max="27" width="12" bestFit="1" customWidth="1"/>
  </cols>
  <sheetData>
    <row r="1" spans="1:6">
      <c r="A1" s="43" t="str">
        <f>'[2]Orçamento Sintético'!A1</f>
        <v>P. Execução:</v>
      </c>
      <c r="B1" s="181" t="str">
        <f>'[2]Orçamento Sintético'!D1</f>
        <v>Objeto: Contratação do remanescente da obra do edifício das Promotorias de Justiça de Brazlândia</v>
      </c>
      <c r="C1" s="182"/>
      <c r="D1" s="182"/>
      <c r="E1" s="183"/>
      <c r="F1" s="45" t="str">
        <f>'[2]Orçamento Sintético'!C1</f>
        <v>Licitação:</v>
      </c>
    </row>
    <row r="2" spans="1:6">
      <c r="A2" s="46" t="str">
        <f>'[2]Orçamento Sintético'!A2</f>
        <v>A</v>
      </c>
      <c r="B2" s="184" t="str">
        <f>'[2]Orçamento Sintético'!D2</f>
        <v>Local: Setor Administrativo, Setor Tradicional, Lotes 2 e 10 - Brazlândia / DF</v>
      </c>
      <c r="C2" s="185"/>
      <c r="D2" s="185"/>
      <c r="E2" s="186"/>
      <c r="F2" s="48" t="str">
        <f>'[2]Orçamento Sintético'!C2</f>
        <v>B</v>
      </c>
    </row>
    <row r="3" spans="1:6">
      <c r="A3" s="123" t="str">
        <f>'[2]Orçamento Sintético'!A3</f>
        <v>P. Validade:</v>
      </c>
      <c r="B3" s="181" t="str">
        <f>'[2]Orçamento Sintético'!C3</f>
        <v>Razão Social:</v>
      </c>
      <c r="C3" s="182"/>
      <c r="D3" s="182"/>
      <c r="E3" s="183"/>
      <c r="F3" s="124" t="str">
        <f>'[2]Orçamento Sintético'!E1</f>
        <v>Data:</v>
      </c>
    </row>
    <row r="4" spans="1:6">
      <c r="A4" s="46" t="str">
        <f>'[2]Orçamento Sintético'!A4</f>
        <v>C</v>
      </c>
      <c r="B4" s="187" t="str">
        <f>'[2]Orçamento Sintético'!C4</f>
        <v>D</v>
      </c>
      <c r="C4" s="188"/>
      <c r="D4" s="188"/>
      <c r="E4" s="189"/>
      <c r="F4" s="68">
        <f>'[2]Orçamento Sintético'!E2</f>
        <v>1</v>
      </c>
    </row>
    <row r="5" spans="1:6" ht="15" customHeight="1">
      <c r="A5" s="43" t="str">
        <f>'[2]Orçamento Sintético'!A5</f>
        <v>P. Garantia:</v>
      </c>
      <c r="B5" s="181" t="str">
        <f>'[2]Orçamento Sintético'!C5</f>
        <v>CNPJ:</v>
      </c>
      <c r="C5" s="182"/>
      <c r="D5" s="182"/>
      <c r="E5" s="183"/>
      <c r="F5" s="45" t="str">
        <f>'[2]Orçamento Sintético'!E3</f>
        <v>Telefone:</v>
      </c>
    </row>
    <row r="6" spans="1:6" ht="14.25" customHeight="1">
      <c r="A6" s="46" t="str">
        <f>'[2]Orçamento Sintético'!A6</f>
        <v>F</v>
      </c>
      <c r="B6" s="187" t="str">
        <f>'[2]Orçamento Sintético'!C6</f>
        <v>G</v>
      </c>
      <c r="C6" s="188"/>
      <c r="D6" s="188"/>
      <c r="E6" s="189"/>
      <c r="F6" s="68" t="str">
        <f>'[2]Orçamento Sintético'!E4</f>
        <v>E</v>
      </c>
    </row>
    <row r="7" spans="1:6" ht="15">
      <c r="A7" s="155" t="s">
        <v>445</v>
      </c>
      <c r="B7" s="156"/>
      <c r="C7" s="156"/>
      <c r="D7" s="156"/>
      <c r="E7" s="156"/>
      <c r="F7" s="156"/>
    </row>
    <row r="8" spans="1:6" ht="15" customHeight="1">
      <c r="A8" s="180" t="s">
        <v>264</v>
      </c>
      <c r="B8" s="190" t="s">
        <v>446</v>
      </c>
      <c r="C8" s="190"/>
      <c r="D8" s="126"/>
      <c r="E8" s="190" t="s">
        <v>447</v>
      </c>
      <c r="F8" s="190"/>
    </row>
    <row r="9" spans="1:6" ht="14.25" customHeight="1">
      <c r="A9" s="180"/>
      <c r="B9" s="9" t="s">
        <v>410</v>
      </c>
      <c r="C9" s="9" t="s">
        <v>411</v>
      </c>
      <c r="D9" s="127"/>
      <c r="E9" s="9" t="s">
        <v>410</v>
      </c>
      <c r="F9" s="9" t="s">
        <v>411</v>
      </c>
    </row>
    <row r="10" spans="1:6">
      <c r="A10" s="6" t="s">
        <v>412</v>
      </c>
      <c r="B10" s="5" t="s">
        <v>413</v>
      </c>
      <c r="C10" s="5" t="s">
        <v>414</v>
      </c>
      <c r="D10" s="128"/>
      <c r="E10" s="5"/>
      <c r="F10" s="5"/>
    </row>
    <row r="11" spans="1:6" ht="25.5">
      <c r="A11" s="6" t="s">
        <v>415</v>
      </c>
      <c r="B11" s="5" t="s">
        <v>416</v>
      </c>
      <c r="C11" s="5" t="s">
        <v>417</v>
      </c>
      <c r="D11" s="125"/>
      <c r="E11" s="5"/>
      <c r="F11" s="5"/>
    </row>
    <row r="12" spans="1:6">
      <c r="A12" s="6" t="s">
        <v>418</v>
      </c>
      <c r="B12" s="5" t="s">
        <v>419</v>
      </c>
      <c r="C12" s="5" t="s">
        <v>420</v>
      </c>
      <c r="D12" s="125"/>
      <c r="E12" s="5"/>
      <c r="F12" s="5"/>
    </row>
    <row r="13" spans="1:6">
      <c r="A13" s="6" t="s">
        <v>421</v>
      </c>
      <c r="B13" s="5" t="s">
        <v>422</v>
      </c>
      <c r="C13" s="5" t="s">
        <v>423</v>
      </c>
      <c r="D13" s="125"/>
      <c r="E13" s="5"/>
      <c r="F13" s="5"/>
    </row>
    <row r="14" spans="1:6">
      <c r="A14" s="6" t="s">
        <v>424</v>
      </c>
      <c r="B14" s="5" t="s">
        <v>425</v>
      </c>
      <c r="C14" s="5" t="s">
        <v>426</v>
      </c>
      <c r="D14" s="125"/>
      <c r="E14" s="5"/>
      <c r="F14" s="5"/>
    </row>
    <row r="15" spans="1:6">
      <c r="A15" s="6" t="s">
        <v>427</v>
      </c>
      <c r="B15" s="5" t="s">
        <v>425</v>
      </c>
      <c r="C15" s="5" t="s">
        <v>428</v>
      </c>
      <c r="D15" s="125"/>
      <c r="E15" s="5"/>
      <c r="F15" s="5"/>
    </row>
    <row r="16" spans="1:6">
      <c r="A16" s="6" t="s">
        <v>429</v>
      </c>
      <c r="B16" s="5" t="s">
        <v>430</v>
      </c>
      <c r="C16" s="5" t="s">
        <v>431</v>
      </c>
      <c r="D16" s="125"/>
      <c r="E16" s="5"/>
      <c r="F16" s="5"/>
    </row>
    <row r="17" spans="1:6">
      <c r="A17" s="6" t="s">
        <v>432</v>
      </c>
      <c r="B17" s="5" t="s">
        <v>433</v>
      </c>
      <c r="C17" s="5">
        <v>431221</v>
      </c>
      <c r="D17" s="125"/>
      <c r="E17" s="5"/>
      <c r="F17" s="5"/>
    </row>
    <row r="18" spans="1:6">
      <c r="A18" s="6" t="s">
        <v>434</v>
      </c>
      <c r="B18" s="5" t="s">
        <v>435</v>
      </c>
      <c r="C18" s="5" t="s">
        <v>436</v>
      </c>
      <c r="D18" s="125"/>
      <c r="E18" s="5"/>
      <c r="F18" s="5"/>
    </row>
    <row r="19" spans="1:6">
      <c r="A19" s="6" t="s">
        <v>437</v>
      </c>
      <c r="B19" s="5" t="s">
        <v>438</v>
      </c>
      <c r="C19" s="5" t="s">
        <v>439</v>
      </c>
      <c r="D19" s="125"/>
      <c r="E19" s="5"/>
      <c r="F19" s="5"/>
    </row>
    <row r="20" spans="1:6">
      <c r="A20" s="6" t="s">
        <v>440</v>
      </c>
      <c r="B20" s="5" t="s">
        <v>441</v>
      </c>
      <c r="C20" s="5" t="s">
        <v>442</v>
      </c>
      <c r="D20" s="125"/>
      <c r="E20" s="5"/>
      <c r="F20" s="5"/>
    </row>
    <row r="21" spans="1:6">
      <c r="A21" s="6" t="s">
        <v>443</v>
      </c>
      <c r="B21" s="5" t="s">
        <v>441</v>
      </c>
      <c r="C21" s="5" t="s">
        <v>444</v>
      </c>
      <c r="D21" s="125"/>
      <c r="E21" s="5"/>
      <c r="F21" s="5"/>
    </row>
  </sheetData>
  <mergeCells count="10">
    <mergeCell ref="A8:A9"/>
    <mergeCell ref="A7:F7"/>
    <mergeCell ref="B1:E1"/>
    <mergeCell ref="B2:E2"/>
    <mergeCell ref="B4:E4"/>
    <mergeCell ref="B3:E3"/>
    <mergeCell ref="B5:E5"/>
    <mergeCell ref="B6:E6"/>
    <mergeCell ref="E8:F8"/>
    <mergeCell ref="B8:C8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6" fitToHeight="0" orientation="portrait" r:id="rId1"/>
  <headerFooter>
    <oddHeader>&amp;L &amp;C &amp;R</oddHeader>
    <oddFooter>&amp;L &amp;C 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zoomScale="85" zoomScaleNormal="85" zoomScaleSheetLayoutView="100" workbookViewId="0"/>
  </sheetViews>
  <sheetFormatPr defaultRowHeight="11.25"/>
  <cols>
    <col min="1" max="2" width="10.625" style="7" customWidth="1"/>
    <col min="3" max="3" width="58.625" style="7" customWidth="1"/>
    <col min="4" max="4" width="18.625" style="7" customWidth="1"/>
    <col min="5" max="16384" width="9" style="7"/>
  </cols>
  <sheetData>
    <row r="1" spans="1:4" ht="15" customHeight="1">
      <c r="A1" s="43" t="str">
        <f ca="1">'Orçamento Sintético'!A1</f>
        <v>P. Execução:</v>
      </c>
      <c r="B1" s="55"/>
      <c r="C1" s="44" t="str">
        <f ca="1">'Orçamento Sintético'!D1</f>
        <v>Objeto: Adequação para instalação do Espaço Memória no edifício-sede</v>
      </c>
      <c r="D1" s="45" t="str">
        <f ca="1">'Orçamento Sintético'!C1</f>
        <v>Licitação:</v>
      </c>
    </row>
    <row r="2" spans="1:4" ht="15" customHeight="1">
      <c r="A2" s="157" t="str">
        <f ca="1">'Orçamento Sintético'!A2:B2</f>
        <v>A</v>
      </c>
      <c r="B2" s="171"/>
      <c r="C2" s="47" t="str">
        <f ca="1">'Orçamento Sintético'!D2</f>
        <v>Local: Praça do Buriti Bloco A, Zona Cívico-Administrativa, Lote 2 - Brasília / DF</v>
      </c>
      <c r="D2" s="48" t="str">
        <f ca="1">'Orçamento Sintético'!C2</f>
        <v>B</v>
      </c>
    </row>
    <row r="3" spans="1:4" ht="15" customHeight="1">
      <c r="A3" s="49" t="str">
        <f ca="1">'Orçamento Sintético'!A3</f>
        <v>P. Validade:</v>
      </c>
      <c r="B3" s="55"/>
      <c r="C3" s="49" t="str">
        <f ca="1">'Orçamento Sintético'!C3</f>
        <v>Razão Social:</v>
      </c>
      <c r="D3" s="45" t="str">
        <f ca="1">'Orçamento Sintético'!E1</f>
        <v>Data:</v>
      </c>
    </row>
    <row r="4" spans="1:4" ht="15" customHeight="1">
      <c r="A4" s="157" t="str">
        <f ca="1">'Orçamento Sintético'!A4:B4</f>
        <v>C</v>
      </c>
      <c r="B4" s="171"/>
      <c r="C4" s="46" t="str">
        <f ca="1">'Orçamento Sintético'!C4</f>
        <v>D</v>
      </c>
      <c r="D4" s="68">
        <f ca="1">'Orçamento Sintético'!E2</f>
        <v>1</v>
      </c>
    </row>
    <row r="5" spans="1:4" ht="15" customHeight="1">
      <c r="A5" s="43" t="str">
        <f ca="1">'Orçamento Sintético'!A5</f>
        <v>P. Garantia:</v>
      </c>
      <c r="B5" s="55"/>
      <c r="C5" s="49" t="str">
        <f ca="1">'Orçamento Sintético'!C5</f>
        <v>CNPJ:</v>
      </c>
      <c r="D5" s="45" t="str">
        <f ca="1">'Orçamento Sintético'!E3</f>
        <v>Telefone:</v>
      </c>
    </row>
    <row r="6" spans="1:4" ht="15" customHeight="1">
      <c r="A6" s="157" t="str">
        <f ca="1">'Orçamento Sintético'!A6:B6</f>
        <v>F</v>
      </c>
      <c r="B6" s="171"/>
      <c r="C6" s="46" t="str">
        <f ca="1">'Orçamento Sintético'!C6</f>
        <v>G</v>
      </c>
      <c r="D6" s="68" t="str">
        <f ca="1">'Orçamento Sintético'!E4</f>
        <v>E</v>
      </c>
    </row>
    <row r="7" spans="1:4" ht="15" customHeight="1">
      <c r="A7" s="194" t="s">
        <v>263</v>
      </c>
      <c r="B7" s="194"/>
      <c r="C7" s="194"/>
      <c r="D7" s="194"/>
    </row>
    <row r="8" spans="1:4" ht="14.25" customHeight="1">
      <c r="A8" s="9" t="s">
        <v>264</v>
      </c>
      <c r="B8" s="195" t="s">
        <v>265</v>
      </c>
      <c r="C8" s="196"/>
      <c r="D8" s="9" t="s">
        <v>266</v>
      </c>
    </row>
    <row r="9" spans="1:4" ht="14.25" customHeight="1">
      <c r="A9" s="10" t="s">
        <v>267</v>
      </c>
      <c r="B9" s="191" t="s">
        <v>268</v>
      </c>
      <c r="C9" s="191"/>
      <c r="D9" s="11"/>
    </row>
    <row r="10" spans="1:4" ht="14.25" customHeight="1">
      <c r="A10" s="12" t="s">
        <v>269</v>
      </c>
      <c r="B10" s="192" t="s">
        <v>270</v>
      </c>
      <c r="C10" s="192"/>
      <c r="D10" s="13">
        <f>ROUND(SUM(D11:D15),4)</f>
        <v>0.15740000000000001</v>
      </c>
    </row>
    <row r="11" spans="1:4" ht="14.25" customHeight="1">
      <c r="A11" s="14" t="s">
        <v>271</v>
      </c>
      <c r="B11" s="15" t="s">
        <v>272</v>
      </c>
      <c r="C11" s="16"/>
      <c r="D11" s="17">
        <v>0.04</v>
      </c>
    </row>
    <row r="12" spans="1:4" ht="14.25" customHeight="1">
      <c r="A12" s="14" t="s">
        <v>273</v>
      </c>
      <c r="B12" s="15" t="s">
        <v>274</v>
      </c>
      <c r="C12" s="16"/>
      <c r="D12" s="17">
        <v>8.0000000000000002E-3</v>
      </c>
    </row>
    <row r="13" spans="1:4" ht="14.25" customHeight="1">
      <c r="A13" s="14" t="s">
        <v>275</v>
      </c>
      <c r="B13" s="15" t="s">
        <v>276</v>
      </c>
      <c r="C13" s="16"/>
      <c r="D13" s="17">
        <v>1.2699999999999999E-2</v>
      </c>
    </row>
    <row r="14" spans="1:4" ht="14.25" customHeight="1">
      <c r="A14" s="14" t="s">
        <v>277</v>
      </c>
      <c r="B14" s="15" t="s">
        <v>278</v>
      </c>
      <c r="C14" s="16"/>
      <c r="D14" s="17">
        <v>1.23E-2</v>
      </c>
    </row>
    <row r="15" spans="1:4" ht="14.25" customHeight="1">
      <c r="A15" s="14" t="s">
        <v>279</v>
      </c>
      <c r="B15" s="15" t="s">
        <v>280</v>
      </c>
      <c r="C15" s="16"/>
      <c r="D15" s="17">
        <v>8.4400000000000003E-2</v>
      </c>
    </row>
    <row r="16" spans="1:4" ht="14.25" customHeight="1">
      <c r="A16" s="18"/>
      <c r="B16" s="15"/>
      <c r="C16" s="16"/>
      <c r="D16" s="17"/>
    </row>
    <row r="17" spans="1:4" ht="14.25" customHeight="1">
      <c r="A17" s="10" t="s">
        <v>281</v>
      </c>
      <c r="B17" s="191" t="s">
        <v>282</v>
      </c>
      <c r="C17" s="191"/>
      <c r="D17" s="11"/>
    </row>
    <row r="18" spans="1:4" ht="14.25" customHeight="1">
      <c r="A18" s="12" t="s">
        <v>283</v>
      </c>
      <c r="B18" s="192" t="s">
        <v>284</v>
      </c>
      <c r="C18" s="192"/>
      <c r="D18" s="13">
        <f>D19+D20+D21</f>
        <v>4.65E-2</v>
      </c>
    </row>
    <row r="19" spans="1:4" ht="14.25" customHeight="1">
      <c r="A19" s="14"/>
      <c r="B19" s="15" t="s">
        <v>285</v>
      </c>
      <c r="C19" s="16"/>
      <c r="D19" s="17">
        <v>6.5000000000000006E-3</v>
      </c>
    </row>
    <row r="20" spans="1:4" ht="14.25" customHeight="1">
      <c r="A20" s="14"/>
      <c r="B20" s="15" t="s">
        <v>286</v>
      </c>
      <c r="C20" s="16"/>
      <c r="D20" s="17">
        <v>0.03</v>
      </c>
    </row>
    <row r="21" spans="1:4" ht="14.25" customHeight="1">
      <c r="A21" s="14"/>
      <c r="B21" s="15" t="s">
        <v>287</v>
      </c>
      <c r="C21" s="16"/>
      <c r="D21" s="17">
        <f ca="1">2%*'Orçamento Sintético'!B67</f>
        <v>0.01</v>
      </c>
    </row>
    <row r="22" spans="1:4" ht="14.25" customHeight="1">
      <c r="A22" s="14"/>
      <c r="B22" s="15"/>
      <c r="C22" s="16"/>
      <c r="D22" s="17"/>
    </row>
    <row r="23" spans="1:4" ht="14.25" customHeight="1">
      <c r="A23" s="19" t="s">
        <v>288</v>
      </c>
      <c r="B23" s="193" t="s">
        <v>289</v>
      </c>
      <c r="C23" s="193"/>
      <c r="D23" s="20">
        <f>ROUND((((1+(D11+D12+D13))*(1+D14)*(1+D15))/(1-D18)-1),4)</f>
        <v>0.22120000000000001</v>
      </c>
    </row>
  </sheetData>
  <mergeCells count="10">
    <mergeCell ref="A2:B2"/>
    <mergeCell ref="A4:B4"/>
    <mergeCell ref="A6:B6"/>
    <mergeCell ref="B10:C10"/>
    <mergeCell ref="B17:C17"/>
    <mergeCell ref="B18:C18"/>
    <mergeCell ref="B23:C23"/>
    <mergeCell ref="A7:D7"/>
    <mergeCell ref="B8:C8"/>
    <mergeCell ref="B9:C9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4" fitToHeight="0" orientation="portrait" r:id="rId1"/>
  <headerFooter>
    <oddHeader>&amp;L &amp;C &amp;R</oddHeader>
    <oddFooter>&amp;L &amp;C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D43"/>
  <sheetViews>
    <sheetView showGridLines="0" zoomScale="85" zoomScaleNormal="85" zoomScaleSheetLayoutView="100" workbookViewId="0"/>
  </sheetViews>
  <sheetFormatPr defaultRowHeight="14.25"/>
  <cols>
    <col min="1" max="1" width="10.625" style="39" customWidth="1"/>
    <col min="2" max="2" width="10.625" style="40" customWidth="1"/>
    <col min="3" max="3" width="58.625" style="40" customWidth="1"/>
    <col min="4" max="4" width="18.625" style="41" customWidth="1"/>
    <col min="5" max="16384" width="9" style="42"/>
  </cols>
  <sheetData>
    <row r="1" spans="1:4" s="8" customFormat="1" ht="15" customHeight="1">
      <c r="A1" s="43" t="str">
        <f ca="1">'Orçamento Sintético'!A1</f>
        <v>P. Execução:</v>
      </c>
      <c r="B1" s="55"/>
      <c r="C1" s="44" t="str">
        <f ca="1">'Orçamento Sintético'!D1</f>
        <v>Objeto: Adequação para instalação do Espaço Memória no edifício-sede</v>
      </c>
      <c r="D1" s="45" t="str">
        <f ca="1">'Orçamento Sintético'!C1</f>
        <v>Licitação:</v>
      </c>
    </row>
    <row r="2" spans="1:4" s="8" customFormat="1" ht="15" customHeight="1">
      <c r="A2" s="157" t="str">
        <f ca="1">'Orçamento Sintético'!A2:B2</f>
        <v>A</v>
      </c>
      <c r="B2" s="171"/>
      <c r="C2" s="47" t="str">
        <f ca="1">'Orçamento Sintético'!D2</f>
        <v>Local: Praça do Buriti Bloco A, Zona Cívico-Administrativa, Lote 2 - Brasília / DF</v>
      </c>
      <c r="D2" s="48" t="str">
        <f ca="1">'Orçamento Sintético'!C2</f>
        <v>B</v>
      </c>
    </row>
    <row r="3" spans="1:4" s="8" customFormat="1" ht="15" customHeight="1">
      <c r="A3" s="49" t="str">
        <f ca="1">'Orçamento Sintético'!A3</f>
        <v>P. Validade:</v>
      </c>
      <c r="B3" s="55"/>
      <c r="C3" s="49" t="str">
        <f ca="1">'Orçamento Sintético'!C3</f>
        <v>Razão Social:</v>
      </c>
      <c r="D3" s="45" t="str">
        <f ca="1">'Orçamento Sintético'!E1</f>
        <v>Data:</v>
      </c>
    </row>
    <row r="4" spans="1:4" s="8" customFormat="1" ht="15" customHeight="1">
      <c r="A4" s="157" t="str">
        <f ca="1">'Orçamento Sintético'!A4:B4</f>
        <v>C</v>
      </c>
      <c r="B4" s="171"/>
      <c r="C4" s="46" t="str">
        <f ca="1">'Orçamento Sintético'!C4</f>
        <v>D</v>
      </c>
      <c r="D4" s="68">
        <f ca="1">'Orçamento Sintético'!E2</f>
        <v>1</v>
      </c>
    </row>
    <row r="5" spans="1:4" s="8" customFormat="1" ht="15" customHeight="1">
      <c r="A5" s="43" t="str">
        <f ca="1">'Orçamento Sintético'!A5</f>
        <v>P. Garantia:</v>
      </c>
      <c r="B5" s="55"/>
      <c r="C5" s="49" t="str">
        <f ca="1">'Orçamento Sintético'!C5</f>
        <v>CNPJ:</v>
      </c>
      <c r="D5" s="45" t="str">
        <f ca="1">'Orçamento Sintético'!E3</f>
        <v>Telefone:</v>
      </c>
    </row>
    <row r="6" spans="1:4" s="21" customFormat="1" ht="15" customHeight="1">
      <c r="A6" s="157" t="str">
        <f ca="1">'Orçamento Sintético'!A6:B6</f>
        <v>F</v>
      </c>
      <c r="B6" s="171"/>
      <c r="C6" s="46" t="str">
        <f ca="1">'Orçamento Sintético'!C6</f>
        <v>G</v>
      </c>
      <c r="D6" s="68" t="str">
        <f ca="1">'Orçamento Sintético'!E4</f>
        <v>E</v>
      </c>
    </row>
    <row r="7" spans="1:4" customFormat="1" ht="15" customHeight="1">
      <c r="A7" s="202" t="s">
        <v>290</v>
      </c>
      <c r="B7" s="202"/>
      <c r="C7" s="202"/>
      <c r="D7" s="202"/>
    </row>
    <row r="8" spans="1:4" s="22" customFormat="1" ht="12.75">
      <c r="A8" s="9" t="s">
        <v>1</v>
      </c>
      <c r="B8" s="195" t="s">
        <v>291</v>
      </c>
      <c r="C8" s="196"/>
      <c r="D8" s="9" t="s">
        <v>266</v>
      </c>
    </row>
    <row r="9" spans="1:4" s="22" customFormat="1" ht="13.15" customHeight="1">
      <c r="A9" s="197" t="s">
        <v>292</v>
      </c>
      <c r="B9" s="198"/>
      <c r="C9" s="198"/>
      <c r="D9" s="199"/>
    </row>
    <row r="10" spans="1:4" s="22" customFormat="1" ht="12.75">
      <c r="A10" s="23" t="s">
        <v>269</v>
      </c>
      <c r="B10" s="24" t="s">
        <v>293</v>
      </c>
      <c r="C10" s="25"/>
      <c r="D10" s="26">
        <v>0.2</v>
      </c>
    </row>
    <row r="11" spans="1:4" s="22" customFormat="1" ht="12.75">
      <c r="A11" s="23" t="s">
        <v>294</v>
      </c>
      <c r="B11" s="24" t="s">
        <v>295</v>
      </c>
      <c r="C11" s="25"/>
      <c r="D11" s="26">
        <v>1.4999999999999999E-2</v>
      </c>
    </row>
    <row r="12" spans="1:4" s="22" customFormat="1" ht="12.75">
      <c r="A12" s="23" t="s">
        <v>296</v>
      </c>
      <c r="B12" s="24" t="s">
        <v>297</v>
      </c>
      <c r="C12" s="25"/>
      <c r="D12" s="26">
        <v>0.01</v>
      </c>
    </row>
    <row r="13" spans="1:4" s="22" customFormat="1" ht="12.75">
      <c r="A13" s="23" t="s">
        <v>298</v>
      </c>
      <c r="B13" s="24" t="s">
        <v>299</v>
      </c>
      <c r="C13" s="25"/>
      <c r="D13" s="26">
        <v>2E-3</v>
      </c>
    </row>
    <row r="14" spans="1:4" s="22" customFormat="1" ht="12.75">
      <c r="A14" s="23" t="s">
        <v>300</v>
      </c>
      <c r="B14" s="24" t="s">
        <v>301</v>
      </c>
      <c r="C14" s="25"/>
      <c r="D14" s="26">
        <v>6.0000000000000001E-3</v>
      </c>
    </row>
    <row r="15" spans="1:4" s="22" customFormat="1" ht="12.75">
      <c r="A15" s="23" t="s">
        <v>302</v>
      </c>
      <c r="B15" s="24" t="s">
        <v>303</v>
      </c>
      <c r="C15" s="25"/>
      <c r="D15" s="26">
        <v>2.5000000000000001E-2</v>
      </c>
    </row>
    <row r="16" spans="1:4" s="22" customFormat="1" ht="12.75">
      <c r="A16" s="23" t="s">
        <v>304</v>
      </c>
      <c r="B16" s="24" t="s">
        <v>305</v>
      </c>
      <c r="C16" s="25"/>
      <c r="D16" s="26">
        <v>0.03</v>
      </c>
    </row>
    <row r="17" spans="1:4" s="22" customFormat="1" ht="12.75">
      <c r="A17" s="23" t="s">
        <v>306</v>
      </c>
      <c r="B17" s="24" t="s">
        <v>307</v>
      </c>
      <c r="C17" s="25"/>
      <c r="D17" s="26">
        <v>0.08</v>
      </c>
    </row>
    <row r="18" spans="1:4" s="22" customFormat="1" ht="12.75">
      <c r="A18" s="23" t="s">
        <v>308</v>
      </c>
      <c r="B18" s="24" t="s">
        <v>309</v>
      </c>
      <c r="C18" s="25"/>
      <c r="D18" s="26">
        <v>0.01</v>
      </c>
    </row>
    <row r="19" spans="1:4" s="22" customFormat="1" ht="12.75">
      <c r="A19" s="27" t="s">
        <v>310</v>
      </c>
      <c r="B19" s="28" t="s">
        <v>8</v>
      </c>
      <c r="C19" s="29"/>
      <c r="D19" s="30">
        <f>SUM(D10:D18)</f>
        <v>0.37800000000000006</v>
      </c>
    </row>
    <row r="20" spans="1:4" s="22" customFormat="1" ht="13.15" customHeight="1">
      <c r="A20" s="197" t="s">
        <v>311</v>
      </c>
      <c r="B20" s="198"/>
      <c r="C20" s="198"/>
      <c r="D20" s="199"/>
    </row>
    <row r="21" spans="1:4" s="22" customFormat="1" ht="12.75">
      <c r="A21" s="23" t="s">
        <v>283</v>
      </c>
      <c r="B21" s="24" t="s">
        <v>312</v>
      </c>
      <c r="C21" s="25"/>
      <c r="D21" s="26">
        <v>0.17749999999999999</v>
      </c>
    </row>
    <row r="22" spans="1:4" s="22" customFormat="1" ht="12.75">
      <c r="A22" s="23" t="s">
        <v>313</v>
      </c>
      <c r="B22" s="24" t="s">
        <v>314</v>
      </c>
      <c r="C22" s="25"/>
      <c r="D22" s="26">
        <v>3.4099999999999998E-2</v>
      </c>
    </row>
    <row r="23" spans="1:4" s="22" customFormat="1" ht="12.75">
      <c r="A23" s="23" t="s">
        <v>315</v>
      </c>
      <c r="B23" s="24" t="s">
        <v>316</v>
      </c>
      <c r="C23" s="25"/>
      <c r="D23" s="26">
        <v>8.3999999999999995E-3</v>
      </c>
    </row>
    <row r="24" spans="1:4" s="22" customFormat="1" ht="12.75">
      <c r="A24" s="23" t="s">
        <v>317</v>
      </c>
      <c r="B24" s="24" t="s">
        <v>318</v>
      </c>
      <c r="C24" s="25"/>
      <c r="D24" s="26">
        <v>0.107</v>
      </c>
    </row>
    <row r="25" spans="1:4" s="22" customFormat="1" ht="12.75">
      <c r="A25" s="23" t="s">
        <v>319</v>
      </c>
      <c r="B25" s="24" t="s">
        <v>320</v>
      </c>
      <c r="C25" s="25"/>
      <c r="D25" s="26">
        <v>6.9999999999999999E-4</v>
      </c>
    </row>
    <row r="26" spans="1:4" s="22" customFormat="1" ht="12.75">
      <c r="A26" s="23" t="s">
        <v>321</v>
      </c>
      <c r="B26" s="24" t="s">
        <v>322</v>
      </c>
      <c r="C26" s="25"/>
      <c r="D26" s="26">
        <v>7.1000000000000004E-3</v>
      </c>
    </row>
    <row r="27" spans="1:4" s="22" customFormat="1" ht="12.75">
      <c r="A27" s="23" t="s">
        <v>323</v>
      </c>
      <c r="B27" s="24" t="s">
        <v>324</v>
      </c>
      <c r="C27" s="25"/>
      <c r="D27" s="26">
        <v>1.3299999999999999E-2</v>
      </c>
    </row>
    <row r="28" spans="1:4" s="22" customFormat="1" ht="12.75">
      <c r="A28" s="23" t="s">
        <v>325</v>
      </c>
      <c r="B28" s="24" t="s">
        <v>326</v>
      </c>
      <c r="C28" s="25"/>
      <c r="D28" s="26">
        <v>1E-3</v>
      </c>
    </row>
    <row r="29" spans="1:4" s="22" customFormat="1" ht="12.75">
      <c r="A29" s="23" t="s">
        <v>327</v>
      </c>
      <c r="B29" s="24" t="s">
        <v>328</v>
      </c>
      <c r="C29" s="25"/>
      <c r="D29" s="26">
        <v>8.0199999999999994E-2</v>
      </c>
    </row>
    <row r="30" spans="1:4" s="22" customFormat="1" ht="12.75">
      <c r="A30" s="23" t="s">
        <v>329</v>
      </c>
      <c r="B30" s="24" t="s">
        <v>330</v>
      </c>
      <c r="C30" s="25"/>
      <c r="D30" s="26">
        <v>2.9999999999999997E-4</v>
      </c>
    </row>
    <row r="31" spans="1:4" s="22" customFormat="1" ht="12.75">
      <c r="A31" s="27" t="s">
        <v>331</v>
      </c>
      <c r="B31" s="28" t="s">
        <v>8</v>
      </c>
      <c r="C31" s="29"/>
      <c r="D31" s="30">
        <f>SUM(D21:D30)</f>
        <v>0.42959999999999993</v>
      </c>
    </row>
    <row r="32" spans="1:4" s="22" customFormat="1" ht="13.15" customHeight="1">
      <c r="A32" s="197" t="s">
        <v>332</v>
      </c>
      <c r="B32" s="198"/>
      <c r="C32" s="198"/>
      <c r="D32" s="199"/>
    </row>
    <row r="33" spans="1:4" s="22" customFormat="1" ht="12.75">
      <c r="A33" s="31" t="s">
        <v>333</v>
      </c>
      <c r="B33" s="32" t="s">
        <v>334</v>
      </c>
      <c r="C33" s="33"/>
      <c r="D33" s="26">
        <v>4.1500000000000002E-2</v>
      </c>
    </row>
    <row r="34" spans="1:4" s="22" customFormat="1" ht="12.75">
      <c r="A34" s="31" t="s">
        <v>335</v>
      </c>
      <c r="B34" s="32" t="s">
        <v>336</v>
      </c>
      <c r="C34" s="33"/>
      <c r="D34" s="26">
        <v>1E-3</v>
      </c>
    </row>
    <row r="35" spans="1:4" s="22" customFormat="1" ht="12.75">
      <c r="A35" s="31" t="s">
        <v>337</v>
      </c>
      <c r="B35" s="32" t="s">
        <v>338</v>
      </c>
      <c r="C35" s="33"/>
      <c r="D35" s="26">
        <v>4.9399999999999999E-2</v>
      </c>
    </row>
    <row r="36" spans="1:4" s="22" customFormat="1" ht="12.75">
      <c r="A36" s="31" t="s">
        <v>339</v>
      </c>
      <c r="B36" s="32" t="s">
        <v>340</v>
      </c>
      <c r="C36" s="33"/>
      <c r="D36" s="26">
        <v>3.2300000000000002E-2</v>
      </c>
    </row>
    <row r="37" spans="1:4" s="22" customFormat="1" ht="12.75">
      <c r="A37" s="31" t="s">
        <v>341</v>
      </c>
      <c r="B37" s="32" t="s">
        <v>342</v>
      </c>
      <c r="C37" s="33"/>
      <c r="D37" s="26">
        <v>3.5000000000000001E-3</v>
      </c>
    </row>
    <row r="38" spans="1:4" s="22" customFormat="1" ht="12.75">
      <c r="A38" s="34" t="s">
        <v>343</v>
      </c>
      <c r="B38" s="35" t="s">
        <v>8</v>
      </c>
      <c r="C38" s="36"/>
      <c r="D38" s="30">
        <f>SUM(D33:D37)</f>
        <v>0.12770000000000001</v>
      </c>
    </row>
    <row r="39" spans="1:4" s="22" customFormat="1" ht="13.15" customHeight="1">
      <c r="A39" s="197" t="s">
        <v>344</v>
      </c>
      <c r="B39" s="198"/>
      <c r="C39" s="198"/>
      <c r="D39" s="199"/>
    </row>
    <row r="40" spans="1:4" s="22" customFormat="1" ht="12.75">
      <c r="A40" s="31" t="s">
        <v>345</v>
      </c>
      <c r="B40" s="32" t="s">
        <v>346</v>
      </c>
      <c r="C40" s="33"/>
      <c r="D40" s="37">
        <f>ROUND(D19*D31,4)</f>
        <v>0.16239999999999999</v>
      </c>
    </row>
    <row r="41" spans="1:4" s="22" customFormat="1" ht="12.75">
      <c r="A41" s="31" t="s">
        <v>347</v>
      </c>
      <c r="B41" s="32" t="s">
        <v>348</v>
      </c>
      <c r="C41" s="33"/>
      <c r="D41" s="37">
        <f>ROUND(D17*D33+D19*D34,4)</f>
        <v>3.7000000000000002E-3</v>
      </c>
    </row>
    <row r="42" spans="1:4" s="22" customFormat="1" ht="12.75">
      <c r="A42" s="34" t="s">
        <v>349</v>
      </c>
      <c r="B42" s="35" t="s">
        <v>8</v>
      </c>
      <c r="C42" s="36"/>
      <c r="D42" s="38">
        <f>SUM(D40:D41)</f>
        <v>0.1661</v>
      </c>
    </row>
    <row r="43" spans="1:4" s="22" customFormat="1" ht="13.15" customHeight="1">
      <c r="A43" s="200" t="s">
        <v>350</v>
      </c>
      <c r="B43" s="201"/>
      <c r="C43" s="201"/>
      <c r="D43" s="20">
        <f>D19+D31+D38+D42</f>
        <v>1.1013999999999999</v>
      </c>
    </row>
  </sheetData>
  <sheetProtection selectLockedCells="1" selectUnlockedCells="1"/>
  <mergeCells count="10">
    <mergeCell ref="A2:B2"/>
    <mergeCell ref="A4:B4"/>
    <mergeCell ref="A20:D20"/>
    <mergeCell ref="A32:D32"/>
    <mergeCell ref="A39:D39"/>
    <mergeCell ref="A43:C43"/>
    <mergeCell ref="A6:B6"/>
    <mergeCell ref="A7:D7"/>
    <mergeCell ref="B8:C8"/>
    <mergeCell ref="A9:D9"/>
  </mergeCells>
  <phoneticPr fontId="17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4" firstPageNumber="0" fitToHeight="0" orientation="portrait" r:id="rId1"/>
  <headerFooter>
    <oddHeader>&amp;L &amp;C &amp;R</oddHeader>
    <oddFooter>&amp;L &amp;C 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9"/>
  <sheetViews>
    <sheetView showGridLines="0" showOutlineSymbols="0" showWhiteSpace="0" zoomScale="85" zoomScaleNormal="85" workbookViewId="0"/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5" width="18.75" customWidth="1"/>
    <col min="6" max="26" width="12" bestFit="1" customWidth="1"/>
  </cols>
  <sheetData>
    <row r="1" spans="1:5">
      <c r="A1" s="43" t="str">
        <f ca="1">'Orçamento Sintético'!A1</f>
        <v>P. Execução:</v>
      </c>
      <c r="B1" s="44" t="str">
        <f ca="1">'Orçamento Sintético'!D1</f>
        <v>Objeto: Adequação para instalação do Espaço Memória no edifício-sede</v>
      </c>
      <c r="C1" s="45" t="str">
        <f ca="1">'Orçamento Sintético'!C1</f>
        <v>Licitação:</v>
      </c>
      <c r="D1" s="217"/>
      <c r="E1" s="129"/>
    </row>
    <row r="2" spans="1:5">
      <c r="A2" s="46" t="str">
        <f ca="1">'Orçamento Sintético'!A2</f>
        <v>A</v>
      </c>
      <c r="B2" s="47" t="str">
        <f ca="1">'Orçamento Sintético'!D2</f>
        <v>Local: Praça do Buriti Bloco A, Zona Cívico-Administrativa, Lote 2 - Brasília / DF</v>
      </c>
      <c r="C2" s="48" t="str">
        <f ca="1">'Orçamento Sintético'!C2</f>
        <v>B</v>
      </c>
      <c r="D2" s="218"/>
      <c r="E2" s="130"/>
    </row>
    <row r="3" spans="1:5">
      <c r="A3" s="49" t="str">
        <f ca="1">'Orçamento Sintético'!A3</f>
        <v>P. Validade:</v>
      </c>
      <c r="B3" s="49" t="str">
        <f ca="1">'Orçamento Sintético'!C3</f>
        <v>Razão Social:</v>
      </c>
      <c r="C3" s="43" t="str">
        <f ca="1">'Orçamento Sintético'!E1</f>
        <v>Data:</v>
      </c>
      <c r="D3" s="218"/>
      <c r="E3" s="130"/>
    </row>
    <row r="4" spans="1:5">
      <c r="A4" s="46" t="str">
        <f ca="1">'Orçamento Sintético'!A4</f>
        <v>C</v>
      </c>
      <c r="B4" s="50" t="str">
        <f ca="1">'Orçamento Sintético'!C4</f>
        <v>D</v>
      </c>
      <c r="C4" s="50">
        <f ca="1">'Orçamento Sintético'!E2</f>
        <v>1</v>
      </c>
      <c r="D4" s="218"/>
      <c r="E4" s="130"/>
    </row>
    <row r="5" spans="1:5" ht="15" customHeight="1">
      <c r="A5" s="43" t="str">
        <f ca="1">'Orçamento Sintético'!A5</f>
        <v>P. Garantia:</v>
      </c>
      <c r="B5" s="49" t="str">
        <f ca="1">'Orçamento Sintético'!C5</f>
        <v>CNPJ:</v>
      </c>
      <c r="C5" s="43" t="str">
        <f ca="1">'Orçamento Sintético'!E3</f>
        <v>Telefone:</v>
      </c>
      <c r="D5" s="218"/>
      <c r="E5" s="130"/>
    </row>
    <row r="6" spans="1:5" ht="14.25" customHeight="1">
      <c r="A6" s="46" t="str">
        <f ca="1">'Orçamento Sintético'!A6</f>
        <v>F</v>
      </c>
      <c r="B6" s="50" t="str">
        <f ca="1">'Orçamento Sintético'!C6</f>
        <v>G</v>
      </c>
      <c r="C6" s="50" t="str">
        <f ca="1">'Orçamento Sintético'!E4</f>
        <v>E</v>
      </c>
      <c r="D6" s="219"/>
      <c r="E6" s="131"/>
    </row>
    <row r="7" spans="1:5" ht="15">
      <c r="A7" s="155" t="s">
        <v>260</v>
      </c>
      <c r="B7" s="156"/>
      <c r="C7" s="156"/>
      <c r="D7" s="156"/>
      <c r="E7" s="156"/>
    </row>
    <row r="8" spans="1:5">
      <c r="A8" s="9" t="s">
        <v>1</v>
      </c>
      <c r="B8" s="9" t="s">
        <v>4</v>
      </c>
      <c r="C8" s="9" t="s">
        <v>259</v>
      </c>
      <c r="D8" s="9" t="s">
        <v>258</v>
      </c>
      <c r="E8" s="9" t="s">
        <v>257</v>
      </c>
    </row>
    <row r="9" spans="1:5">
      <c r="A9" s="206" t="s">
        <v>9</v>
      </c>
      <c r="B9" s="205" t="str">
        <f ca="1">VLOOKUP($A9,'Orçamento Sintético'!$A:$H,4,0)</f>
        <v>SERVIÇOS TÉCNICOS-PROFISSIONAIS</v>
      </c>
      <c r="C9" s="132">
        <f ca="1">ROUND(C10/$E$128,4)</f>
        <v>5.7000000000000002E-3</v>
      </c>
      <c r="D9" s="134">
        <f>ROUND(D10/$C10,4)</f>
        <v>1</v>
      </c>
      <c r="E9" s="134">
        <f>ROUND(E10/$C10,4)</f>
        <v>0</v>
      </c>
    </row>
    <row r="10" spans="1:5">
      <c r="A10" s="206"/>
      <c r="B10" s="205"/>
      <c r="C10" s="133">
        <f ca="1">VLOOKUP($A9,'Orçamento Sintético'!$A:$H,8,0)</f>
        <v>233.94</v>
      </c>
      <c r="D10" s="135">
        <f>D12</f>
        <v>233.94</v>
      </c>
      <c r="E10" s="135">
        <f>E12</f>
        <v>0</v>
      </c>
    </row>
    <row r="11" spans="1:5">
      <c r="A11" s="207" t="s">
        <v>11</v>
      </c>
      <c r="B11" s="208" t="str">
        <f ca="1">VLOOKUP($A11,'Orçamento Sintético'!$A:$H,4,0)</f>
        <v>TAXAS E EMOLUMENTOS</v>
      </c>
      <c r="C11" s="136">
        <f ca="1">ROUND(C12/$E$128,4)</f>
        <v>5.7000000000000002E-3</v>
      </c>
      <c r="D11" s="136">
        <f>ROUND(D12/$C12,4)</f>
        <v>1</v>
      </c>
      <c r="E11" s="136">
        <f>ROUND(E12/$C12,4)</f>
        <v>0</v>
      </c>
    </row>
    <row r="12" spans="1:5">
      <c r="A12" s="207"/>
      <c r="B12" s="208"/>
      <c r="C12" s="137">
        <f ca="1">VLOOKUP($A11,'Orçamento Sintético'!$A:$H,8,0)</f>
        <v>233.94</v>
      </c>
      <c r="D12" s="137">
        <f>D14</f>
        <v>233.94</v>
      </c>
      <c r="E12" s="137">
        <f>E14</f>
        <v>0</v>
      </c>
    </row>
    <row r="13" spans="1:5">
      <c r="A13" s="211" t="s">
        <v>13</v>
      </c>
      <c r="B13" s="203" t="str">
        <f ca="1">VLOOKUP($A13,'Orçamento Sintético'!$A:$H,4,0)</f>
        <v>Anotação de Responsabilidade Técnica (Faixa 3 - Tabela A - CONFEA)</v>
      </c>
      <c r="C13" s="138">
        <f ca="1">ROUND(C14/$E$128,4)</f>
        <v>5.7000000000000002E-3</v>
      </c>
      <c r="D13" s="138">
        <v>1</v>
      </c>
      <c r="E13" s="138">
        <f>ROUND(E14/$C14,4)</f>
        <v>0</v>
      </c>
    </row>
    <row r="14" spans="1:5">
      <c r="A14" s="211"/>
      <c r="B14" s="204"/>
      <c r="C14" s="139">
        <f ca="1">VLOOKUP($A13,'Orçamento Sintético'!$A:$H,8,0)</f>
        <v>233.94</v>
      </c>
      <c r="D14" s="139">
        <f>ROUND($C14*D13,2)</f>
        <v>233.94</v>
      </c>
      <c r="E14" s="139">
        <f>$C14-SUM(D14)</f>
        <v>0</v>
      </c>
    </row>
    <row r="15" spans="1:5">
      <c r="A15" s="206" t="s">
        <v>18</v>
      </c>
      <c r="B15" s="205" t="str">
        <f ca="1">VLOOKUP($A15,'Orçamento Sintético'!$A:$H,4,0)</f>
        <v>SERVIÇOS PRELIMINARES</v>
      </c>
      <c r="C15" s="132">
        <f ca="1">ROUND(C16/$E$128,4)</f>
        <v>2.4799999999999999E-2</v>
      </c>
      <c r="D15" s="134">
        <f>ROUND(D16/$C16,4)</f>
        <v>0.80510000000000004</v>
      </c>
      <c r="E15" s="134">
        <f>ROUND(E16/$C16,4)</f>
        <v>0.19489999999999999</v>
      </c>
    </row>
    <row r="16" spans="1:5">
      <c r="A16" s="206"/>
      <c r="B16" s="205"/>
      <c r="C16" s="133">
        <f ca="1">VLOOKUP($A15,'Orçamento Sintético'!$A:$H,8,0)</f>
        <v>1015.6</v>
      </c>
      <c r="D16" s="135">
        <f>D18+D30</f>
        <v>817.66</v>
      </c>
      <c r="E16" s="135">
        <f>E18+E30</f>
        <v>197.94</v>
      </c>
    </row>
    <row r="17" spans="1:5">
      <c r="A17" s="207" t="s">
        <v>20</v>
      </c>
      <c r="B17" s="208" t="str">
        <f ca="1">VLOOKUP($A17,'Orçamento Sintético'!$A:$H,4,0)</f>
        <v>CANTEIRO DE OBRAS</v>
      </c>
      <c r="C17" s="136">
        <f ca="1">ROUND(C18/$E$128,4)</f>
        <v>2.4299999999999999E-2</v>
      </c>
      <c r="D17" s="136">
        <f>ROUND(D18/$C18,4)</f>
        <v>0.80079999999999996</v>
      </c>
      <c r="E17" s="136">
        <f>ROUND(E18/$C18,4)</f>
        <v>0.19919999999999999</v>
      </c>
    </row>
    <row r="18" spans="1:5">
      <c r="A18" s="207"/>
      <c r="B18" s="208"/>
      <c r="C18" s="137">
        <f ca="1">VLOOKUP($A17,'Orçamento Sintético'!$A:$H,8,0)</f>
        <v>993.7</v>
      </c>
      <c r="D18" s="137">
        <f>D20+D26</f>
        <v>795.76</v>
      </c>
      <c r="E18" s="137">
        <f>E20+E26</f>
        <v>197.94</v>
      </c>
    </row>
    <row r="19" spans="1:5">
      <c r="A19" s="210" t="s">
        <v>22</v>
      </c>
      <c r="B19" s="209" t="str">
        <f ca="1">VLOOKUP($A19,'Orçamento Sintético'!$A:$H,4,0)</f>
        <v>Construções Provisórias</v>
      </c>
      <c r="C19" s="140">
        <f ca="1">ROUND(C20/$E$128,4)</f>
        <v>9.7000000000000003E-3</v>
      </c>
      <c r="D19" s="142">
        <f>ROUND(D20/$C20,4)</f>
        <v>0.5</v>
      </c>
      <c r="E19" s="142">
        <f>ROUND(E20/$C20,4)</f>
        <v>0.5</v>
      </c>
    </row>
    <row r="20" spans="1:5">
      <c r="A20" s="210"/>
      <c r="B20" s="209"/>
      <c r="C20" s="141">
        <f ca="1">VLOOKUP($A19,'Orçamento Sintético'!$A:$H,8,0)</f>
        <v>395.88</v>
      </c>
      <c r="D20" s="143">
        <f>D22+D24</f>
        <v>197.94</v>
      </c>
      <c r="E20" s="143">
        <f>E22+E24</f>
        <v>197.94</v>
      </c>
    </row>
    <row r="21" spans="1:5">
      <c r="A21" s="211" t="s">
        <v>24</v>
      </c>
      <c r="B21" s="203" t="str">
        <f ca="1">VLOOKUP($A21,'Orçamento Sintético'!$A:$H,4,0)</f>
        <v>MONTAGEM E DESMONTAGEM DE ANDAIME TUBULAR TIPO TORRE (EXCLUSIVE ANDAIME E LIMPEZA). AF_11/2017</v>
      </c>
      <c r="C21" s="138">
        <f ca="1">ROUND(C22/$E$128,4)</f>
        <v>4.7000000000000002E-3</v>
      </c>
      <c r="D21" s="138">
        <v>0.5</v>
      </c>
      <c r="E21" s="138">
        <f>ROUND(E22/$C22,4)</f>
        <v>0.5</v>
      </c>
    </row>
    <row r="22" spans="1:5">
      <c r="A22" s="211"/>
      <c r="B22" s="204"/>
      <c r="C22" s="139">
        <f ca="1">VLOOKUP($A21,'Orçamento Sintético'!$A:$H,8,0)</f>
        <v>191.88</v>
      </c>
      <c r="D22" s="139">
        <f>ROUND($C22*D21,2)</f>
        <v>95.94</v>
      </c>
      <c r="E22" s="139">
        <f>$C22-SUM(D22)</f>
        <v>95.94</v>
      </c>
    </row>
    <row r="23" spans="1:5">
      <c r="A23" s="211" t="s">
        <v>29</v>
      </c>
      <c r="B23" s="203" t="str">
        <f ca="1">VLOOKUP($A23,'Orçamento Sintético'!$A:$H,4,0)</f>
        <v>LOCACAO DE ANDAIME METALICO TUBULAR DE ENCAIXE, TIPO DE TORRE, COM LARGURA DE 1 ATE 1,5 M E ALTURA DE *1,00* M (INCLUSO SAPATAS FIXAS OU RODIZIOS)</v>
      </c>
      <c r="C23" s="138">
        <f ca="1">ROUND(C24/$E$128,4)</f>
        <v>5.0000000000000001E-3</v>
      </c>
      <c r="D23" s="138">
        <v>0.5</v>
      </c>
      <c r="E23" s="138">
        <f>ROUND(E24/$C24,4)</f>
        <v>0.5</v>
      </c>
    </row>
    <row r="24" spans="1:5">
      <c r="A24" s="211"/>
      <c r="B24" s="204"/>
      <c r="C24" s="139">
        <f ca="1">VLOOKUP($A23,'Orçamento Sintético'!$A:$H,8,0)</f>
        <v>204</v>
      </c>
      <c r="D24" s="139">
        <f>ROUND($C24*D23,2)</f>
        <v>102</v>
      </c>
      <c r="E24" s="139">
        <f>$C24-SUM(D24)</f>
        <v>102</v>
      </c>
    </row>
    <row r="25" spans="1:5">
      <c r="A25" s="210" t="s">
        <v>33</v>
      </c>
      <c r="B25" s="209" t="str">
        <f ca="1">VLOOKUP($A25,'Orçamento Sintético'!$A:$H,4,0)</f>
        <v>Proteção e Sinalização</v>
      </c>
      <c r="C25" s="140">
        <f ca="1">ROUND(C26/$E$128,4)</f>
        <v>1.46E-2</v>
      </c>
      <c r="D25" s="142">
        <f>ROUND(D26/$C26,4)</f>
        <v>1</v>
      </c>
      <c r="E25" s="142">
        <f>ROUND(E26/$C26,4)</f>
        <v>0</v>
      </c>
    </row>
    <row r="26" spans="1:5">
      <c r="A26" s="210"/>
      <c r="B26" s="209"/>
      <c r="C26" s="141">
        <f ca="1">VLOOKUP($A25,'Orçamento Sintético'!$A:$H,8,0)</f>
        <v>597.82000000000005</v>
      </c>
      <c r="D26" s="143">
        <f>D28</f>
        <v>597.82000000000005</v>
      </c>
      <c r="E26" s="143">
        <f>E28</f>
        <v>0</v>
      </c>
    </row>
    <row r="27" spans="1:5">
      <c r="A27" s="211" t="s">
        <v>35</v>
      </c>
      <c r="B27" s="203" t="str">
        <f ca="1">VLOOKUP($A27,'Orçamento Sintético'!$A:$H,4,0)</f>
        <v>Cópia da CPOS (02.03.030) - Proteção de superfícies com manta de papel kraft com plástico bolha alta resistência</v>
      </c>
      <c r="C27" s="138">
        <f ca="1">ROUND(C28/$E$128,4)</f>
        <v>1.46E-2</v>
      </c>
      <c r="D27" s="138">
        <v>1</v>
      </c>
      <c r="E27" s="138">
        <f>ROUND(E28/$C28,4)</f>
        <v>0</v>
      </c>
    </row>
    <row r="28" spans="1:5">
      <c r="A28" s="211"/>
      <c r="B28" s="204"/>
      <c r="C28" s="139">
        <f ca="1">VLOOKUP($A27,'Orçamento Sintético'!$A:$H,8,0)</f>
        <v>597.82000000000005</v>
      </c>
      <c r="D28" s="139">
        <f>ROUND($C28*D27,2)</f>
        <v>597.82000000000005</v>
      </c>
      <c r="E28" s="139">
        <f>$C28-SUM(D28)</f>
        <v>0</v>
      </c>
    </row>
    <row r="29" spans="1:5">
      <c r="A29" s="207" t="s">
        <v>39</v>
      </c>
      <c r="B29" s="208" t="str">
        <f ca="1">VLOOKUP($A29,'Orçamento Sintético'!$A:$H,4,0)</f>
        <v>DEMOLIÇÃO</v>
      </c>
      <c r="C29" s="136">
        <f ca="1">ROUND(C30/$E$128,4)</f>
        <v>5.0000000000000001E-4</v>
      </c>
      <c r="D29" s="136">
        <f>ROUND(D30/$C30,4)</f>
        <v>1</v>
      </c>
      <c r="E29" s="136">
        <f>ROUND(E30/$C30,4)</f>
        <v>0</v>
      </c>
    </row>
    <row r="30" spans="1:5">
      <c r="A30" s="207"/>
      <c r="B30" s="208"/>
      <c r="C30" s="137">
        <f ca="1">VLOOKUP($A29,'Orçamento Sintético'!$A:$H,8,0)</f>
        <v>21.9</v>
      </c>
      <c r="D30" s="137">
        <f>D32</f>
        <v>21.9</v>
      </c>
      <c r="E30" s="137">
        <f>E32</f>
        <v>0</v>
      </c>
    </row>
    <row r="31" spans="1:5">
      <c r="A31" s="210" t="s">
        <v>41</v>
      </c>
      <c r="B31" s="209" t="str">
        <f ca="1">VLOOKUP($A31,'Orçamento Sintético'!$A:$H,4,0)</f>
        <v>Demolição Convencional</v>
      </c>
      <c r="C31" s="140">
        <f ca="1">ROUND(C32/$E$128,4)</f>
        <v>5.0000000000000001E-4</v>
      </c>
      <c r="D31" s="142">
        <f>ROUND(D32/$C32,4)</f>
        <v>1</v>
      </c>
      <c r="E31" s="142">
        <f>ROUND(E32/$C32,4)</f>
        <v>0</v>
      </c>
    </row>
    <row r="32" spans="1:5">
      <c r="A32" s="210"/>
      <c r="B32" s="209"/>
      <c r="C32" s="141">
        <f ca="1">VLOOKUP($A31,'Orçamento Sintético'!$A:$H,8,0)</f>
        <v>21.9</v>
      </c>
      <c r="D32" s="143">
        <f>D34</f>
        <v>21.9</v>
      </c>
      <c r="E32" s="143">
        <f>E34</f>
        <v>0</v>
      </c>
    </row>
    <row r="33" spans="1:5">
      <c r="A33" s="203" t="s">
        <v>43</v>
      </c>
      <c r="B33" s="203" t="str">
        <f ca="1">VLOOKUP($A33,'Orçamento Sintético'!$A:$H,4,0)</f>
        <v>REMOÇÃO DE FORRO DE GESSO, DE FORMA MANUAL, SEM REAPROVEITAMENTO. AF_12/2017</v>
      </c>
      <c r="C33" s="138">
        <f ca="1">ROUND(C34/$E$128,4)</f>
        <v>5.0000000000000001E-4</v>
      </c>
      <c r="D33" s="138">
        <v>1</v>
      </c>
      <c r="E33" s="138">
        <f>ROUND(E34/$C34,4)</f>
        <v>0</v>
      </c>
    </row>
    <row r="34" spans="1:5">
      <c r="A34" s="204"/>
      <c r="B34" s="204"/>
      <c r="C34" s="139">
        <f ca="1">VLOOKUP($A33,'Orçamento Sintético'!$A:$H,8,0)</f>
        <v>21.9</v>
      </c>
      <c r="D34" s="139">
        <f>ROUND($C34*D33,2)</f>
        <v>21.9</v>
      </c>
      <c r="E34" s="139">
        <f>$C34-SUM(D34)</f>
        <v>0</v>
      </c>
    </row>
    <row r="35" spans="1:5">
      <c r="A35" s="206" t="s">
        <v>46</v>
      </c>
      <c r="B35" s="205" t="str">
        <f ca="1">VLOOKUP($A35,'Orçamento Sintético'!$A:$H,4,0)</f>
        <v>ARQUITETURA E ELEMENTOS DE URBANISMO</v>
      </c>
      <c r="C35" s="132">
        <f ca="1">ROUND(C36/$E$128,4)</f>
        <v>0.52149999999999996</v>
      </c>
      <c r="D35" s="134">
        <f>ROUND(D36/$C36,4)</f>
        <v>0.1978</v>
      </c>
      <c r="E35" s="134">
        <f>ROUND(E36/$C36,4)</f>
        <v>0.80220000000000002</v>
      </c>
    </row>
    <row r="36" spans="1:5">
      <c r="A36" s="206"/>
      <c r="B36" s="205"/>
      <c r="C36" s="133">
        <f ca="1">VLOOKUP($A35,'Orçamento Sintético'!$A:$H,8,0)</f>
        <v>21320.85</v>
      </c>
      <c r="D36" s="135">
        <f>D38</f>
        <v>4216.9400000000005</v>
      </c>
      <c r="E36" s="135">
        <f>E38</f>
        <v>17103.91</v>
      </c>
    </row>
    <row r="37" spans="1:5">
      <c r="A37" s="207" t="s">
        <v>48</v>
      </c>
      <c r="B37" s="208" t="str">
        <f ca="1">VLOOKUP($A37,'Orçamento Sintético'!$A:$H,4,0)</f>
        <v>ARQUITETURA</v>
      </c>
      <c r="C37" s="136">
        <f ca="1">ROUND(C38/$E$128,4)</f>
        <v>0.52149999999999996</v>
      </c>
      <c r="D37" s="136">
        <f>ROUND(D38/$C38,4)</f>
        <v>0.1978</v>
      </c>
      <c r="E37" s="136">
        <f>ROUND(E38/$C38,4)</f>
        <v>0.80220000000000002</v>
      </c>
    </row>
    <row r="38" spans="1:5">
      <c r="A38" s="207"/>
      <c r="B38" s="208"/>
      <c r="C38" s="137">
        <f ca="1">VLOOKUP($A37,'Orçamento Sintético'!$A:$H,8,0)</f>
        <v>21320.85</v>
      </c>
      <c r="D38" s="137">
        <f>D40+D48+D52+D56+D68</f>
        <v>4216.9400000000005</v>
      </c>
      <c r="E38" s="137">
        <f>E40+E48+E52+E56+E68</f>
        <v>17103.91</v>
      </c>
    </row>
    <row r="39" spans="1:5">
      <c r="A39" s="210" t="s">
        <v>50</v>
      </c>
      <c r="B39" s="209" t="str">
        <f ca="1">VLOOKUP($A39,'Orçamento Sintético'!$A:$H,4,0)</f>
        <v>Paredes</v>
      </c>
      <c r="C39" s="140">
        <f ca="1">ROUND(C40/$E$128,4)</f>
        <v>0.1958</v>
      </c>
      <c r="D39" s="142">
        <f>ROUND(D40/$C40,4)</f>
        <v>0.25850000000000001</v>
      </c>
      <c r="E39" s="142">
        <f>ROUND(E40/$C40,4)</f>
        <v>0.74150000000000005</v>
      </c>
    </row>
    <row r="40" spans="1:5">
      <c r="A40" s="210"/>
      <c r="B40" s="209"/>
      <c r="C40" s="141">
        <f ca="1">VLOOKUP($A39,'Orçamento Sintético'!$A:$H,8,0)</f>
        <v>8005.13</v>
      </c>
      <c r="D40" s="143">
        <f>D42+D44+D46</f>
        <v>2069.36</v>
      </c>
      <c r="E40" s="143">
        <f>E42+E44+E46</f>
        <v>5935.77</v>
      </c>
    </row>
    <row r="41" spans="1:5" ht="14.25" customHeight="1">
      <c r="A41" s="203" t="s">
        <v>52</v>
      </c>
      <c r="B41" s="203" t="str">
        <f ca="1">VLOOKUP($A41,'Orçamento Sintético'!$A:$H,4,0)</f>
        <v>PAREDE COM PLACAS DE GESSO ACARTONADO (DRYWALL), PARA USO INTERNO, COM UMA FACE SIMPLES E ESTRUTURA METÁLICA COM GUIAS SIMPLES, SEM VÃOS. AF_06/2017_P</v>
      </c>
      <c r="C41" s="138">
        <f ca="1">ROUND(C42/$E$128,4)</f>
        <v>0.16869999999999999</v>
      </c>
      <c r="D41" s="138">
        <v>0.3</v>
      </c>
      <c r="E41" s="138">
        <f>ROUND(E42/$C42,4)</f>
        <v>0.7</v>
      </c>
    </row>
    <row r="42" spans="1:5">
      <c r="A42" s="204"/>
      <c r="B42" s="204"/>
      <c r="C42" s="139">
        <f ca="1">VLOOKUP($A41,'Orçamento Sintético'!$A:$H,8,0)</f>
        <v>6897.88</v>
      </c>
      <c r="D42" s="139">
        <f>ROUND($C42*D41,2)</f>
        <v>2069.36</v>
      </c>
      <c r="E42" s="139">
        <f>$C42-SUM(D42)</f>
        <v>4828.5200000000004</v>
      </c>
    </row>
    <row r="43" spans="1:5" ht="14.25" customHeight="1">
      <c r="A43" s="203" t="s">
        <v>455</v>
      </c>
      <c r="B43" s="203" t="str">
        <f ca="1">VLOOKUP($A43,'Orçamento Sintético'!$A:$H,4,0)</f>
        <v>Copia da SINAPI (96370) - EXECUÇÃO DE NICHO EM PAREDE COM PLACAS DE GESSO ACARTONADO (DRYWALL), COM UMA FACE SIMPLES E ESTRUTURA METÁLICA COM GUIAS SIMPLES</v>
      </c>
      <c r="C43" s="138">
        <f ca="1">ROUND(C44/$E$128,4)</f>
        <v>2.8E-3</v>
      </c>
      <c r="D43" s="138"/>
      <c r="E43" s="138">
        <f>ROUND(E44/$C44,4)</f>
        <v>1</v>
      </c>
    </row>
    <row r="44" spans="1:5">
      <c r="A44" s="204"/>
      <c r="B44" s="204"/>
      <c r="C44" s="139">
        <f ca="1">VLOOKUP($A43,'Orçamento Sintético'!$A:$H,8,0)</f>
        <v>113.08</v>
      </c>
      <c r="D44" s="139">
        <f>ROUND($C44*D43,2)</f>
        <v>0</v>
      </c>
      <c r="E44" s="139">
        <f>$C44-SUM(D44)</f>
        <v>113.08</v>
      </c>
    </row>
    <row r="45" spans="1:5">
      <c r="A45" s="203" t="s">
        <v>55</v>
      </c>
      <c r="B45" s="203" t="str">
        <f ca="1">VLOOKUP($A45,'Orçamento Sintético'!$A:$H,4,0)</f>
        <v>INSTALAÇÃO DE REFORÇO DE MADEIRA EM PAREDE DRYWALL. AF_06/2017</v>
      </c>
      <c r="C45" s="138">
        <f ca="1">ROUND(C46/$E$128,4)</f>
        <v>2.4299999999999999E-2</v>
      </c>
      <c r="D45" s="138"/>
      <c r="E45" s="138">
        <f>ROUND(E46/$C46,4)</f>
        <v>1</v>
      </c>
    </row>
    <row r="46" spans="1:5">
      <c r="A46" s="204"/>
      <c r="B46" s="204"/>
      <c r="C46" s="139">
        <f ca="1">VLOOKUP($A45,'Orçamento Sintético'!$A:$H,8,0)</f>
        <v>994.17</v>
      </c>
      <c r="D46" s="139">
        <f>ROUND($C46*D45,2)</f>
        <v>0</v>
      </c>
      <c r="E46" s="139">
        <f>$C46-SUM(D46)</f>
        <v>994.17</v>
      </c>
    </row>
    <row r="47" spans="1:5">
      <c r="A47" s="210" t="s">
        <v>60</v>
      </c>
      <c r="B47" s="209" t="str">
        <f ca="1">VLOOKUP($A47,'Orçamento Sintético'!$A:$H,4,0)</f>
        <v>Esquadria de vidro</v>
      </c>
      <c r="C47" s="140">
        <f ca="1">ROUND(C48/$E$128,4)</f>
        <v>7.0900000000000005E-2</v>
      </c>
      <c r="D47" s="142">
        <f>ROUND(D48/$C48,4)</f>
        <v>0</v>
      </c>
      <c r="E47" s="142">
        <f>ROUND(E48/$C48,4)</f>
        <v>1</v>
      </c>
    </row>
    <row r="48" spans="1:5">
      <c r="A48" s="210"/>
      <c r="B48" s="209"/>
      <c r="C48" s="141">
        <f ca="1">VLOOKUP($A47,'Orçamento Sintético'!$A:$H,8,0)</f>
        <v>2900</v>
      </c>
      <c r="D48" s="143">
        <f>D50</f>
        <v>0</v>
      </c>
      <c r="E48" s="143">
        <f>E50</f>
        <v>2900</v>
      </c>
    </row>
    <row r="49" spans="1:5">
      <c r="A49" s="203" t="s">
        <v>62</v>
      </c>
      <c r="B49" s="203" t="str">
        <f ca="1">VLOOKUP($A49,'Orçamento Sintético'!$A:$H,4,0)</f>
        <v>Porta de correr (duas folhas), DM 2,20 m x 2,00 m (AxL), em vidro temperado incolor de 10 mm com película decorativa jateada e ferragens na cor preta</v>
      </c>
      <c r="C49" s="138">
        <f ca="1">ROUND(C50/$E$128,4)</f>
        <v>7.0900000000000005E-2</v>
      </c>
      <c r="D49" s="138"/>
      <c r="E49" s="138">
        <f>ROUND(E50/$C50,4)</f>
        <v>1</v>
      </c>
    </row>
    <row r="50" spans="1:5">
      <c r="A50" s="204"/>
      <c r="B50" s="204"/>
      <c r="C50" s="139">
        <f ca="1">VLOOKUP($A49,'Orçamento Sintético'!$A:$H,8,0)</f>
        <v>2900</v>
      </c>
      <c r="D50" s="139">
        <f>ROUND($C50*D49,2)</f>
        <v>0</v>
      </c>
      <c r="E50" s="139">
        <f>$C50-SUM(D50)</f>
        <v>2900</v>
      </c>
    </row>
    <row r="51" spans="1:5">
      <c r="A51" s="210" t="s">
        <v>65</v>
      </c>
      <c r="B51" s="209" t="str">
        <f ca="1">VLOOKUP($A51,'Orçamento Sintético'!$A:$H,4,0)</f>
        <v>Revestimentos de forro</v>
      </c>
      <c r="C51" s="140">
        <f ca="1">ROUND(C52/$E$128,4)</f>
        <v>8.0999999999999996E-3</v>
      </c>
      <c r="D51" s="142">
        <f>ROUND(D52/$C52,4)</f>
        <v>0</v>
      </c>
      <c r="E51" s="142">
        <f>ROUND(E52/$C52,4)</f>
        <v>1</v>
      </c>
    </row>
    <row r="52" spans="1:5">
      <c r="A52" s="210"/>
      <c r="B52" s="209"/>
      <c r="C52" s="141">
        <f ca="1">VLOOKUP($A51,'Orçamento Sintético'!$A:$H,8,0)</f>
        <v>329.15</v>
      </c>
      <c r="D52" s="143">
        <f>D54</f>
        <v>0</v>
      </c>
      <c r="E52" s="143">
        <f>E54</f>
        <v>329.15</v>
      </c>
    </row>
    <row r="53" spans="1:5">
      <c r="A53" s="203" t="s">
        <v>67</v>
      </c>
      <c r="B53" s="203" t="str">
        <f ca="1">VLOOKUP($A53,'Orçamento Sintético'!$A:$H,4,0)</f>
        <v>FORRO EM DRYWALL, PARA AMBIENTES COMERCIAIS, INCLUSIVE ESTRUTURA DE FIXAÇÃO. AF_05/2017_P</v>
      </c>
      <c r="C53" s="138">
        <f ca="1">ROUND(C54/$E$128,4)</f>
        <v>8.0999999999999996E-3</v>
      </c>
      <c r="D53" s="138"/>
      <c r="E53" s="138">
        <f>ROUND(E54/$C54,4)</f>
        <v>1</v>
      </c>
    </row>
    <row r="54" spans="1:5">
      <c r="A54" s="204"/>
      <c r="B54" s="204"/>
      <c r="C54" s="139">
        <f ca="1">VLOOKUP($A53,'Orçamento Sintético'!$A:$H,8,0)</f>
        <v>329.15</v>
      </c>
      <c r="D54" s="139">
        <f>ROUND($C54*D53,2)</f>
        <v>0</v>
      </c>
      <c r="E54" s="139">
        <f>$C54-SUM(D54)</f>
        <v>329.15</v>
      </c>
    </row>
    <row r="55" spans="1:5">
      <c r="A55" s="210" t="s">
        <v>70</v>
      </c>
      <c r="B55" s="209" t="str">
        <f ca="1">VLOOKUP($A55,'Orçamento Sintético'!$A:$H,4,0)</f>
        <v>Pinturas</v>
      </c>
      <c r="C55" s="140">
        <f ca="1">ROUND(C56/$E$128,4)</f>
        <v>0.12889999999999999</v>
      </c>
      <c r="D55" s="142">
        <f>ROUND(D56/$C56,4)</f>
        <v>0</v>
      </c>
      <c r="E55" s="142">
        <f>ROUND(E56/$C56,4)</f>
        <v>1</v>
      </c>
    </row>
    <row r="56" spans="1:5">
      <c r="A56" s="210"/>
      <c r="B56" s="209"/>
      <c r="C56" s="141">
        <f ca="1">VLOOKUP($A55,'Orçamento Sintético'!$A:$H,8,0)</f>
        <v>5271.57</v>
      </c>
      <c r="D56" s="143">
        <f>D58+D60+D62+D64+D66</f>
        <v>0</v>
      </c>
      <c r="E56" s="143">
        <f>E58+E60+E62+E64+E66</f>
        <v>5271.57</v>
      </c>
    </row>
    <row r="57" spans="1:5">
      <c r="A57" s="203" t="s">
        <v>72</v>
      </c>
      <c r="B57" s="203" t="str">
        <f ca="1">VLOOKUP($A57,'Orçamento Sintético'!$A:$H,4,0)</f>
        <v>APLICAÇÃO DE FUNDO SELADOR ACRÍLICO EM PAREDES, UMA DEMÃO. AF_06/2014</v>
      </c>
      <c r="C57" s="138">
        <f ca="1">ROUND(C58/$E$128,4)</f>
        <v>8.6E-3</v>
      </c>
      <c r="D57" s="138"/>
      <c r="E57" s="138">
        <f>ROUND(E58/$C58,4)</f>
        <v>1</v>
      </c>
    </row>
    <row r="58" spans="1:5">
      <c r="A58" s="204"/>
      <c r="B58" s="204"/>
      <c r="C58" s="139">
        <f ca="1">VLOOKUP($A57,'Orçamento Sintético'!$A:$H,8,0)</f>
        <v>350.14</v>
      </c>
      <c r="D58" s="139">
        <f>ROUND($C58*D57,2)</f>
        <v>0</v>
      </c>
      <c r="E58" s="139">
        <f>$C58-SUM(D58)</f>
        <v>350.14</v>
      </c>
    </row>
    <row r="59" spans="1:5">
      <c r="A59" s="203" t="s">
        <v>75</v>
      </c>
      <c r="B59" s="203" t="str">
        <f ca="1">VLOOKUP($A59,'Orçamento Sintético'!$A:$H,4,0)</f>
        <v>APLICAÇÃO E LIXAMENTO DE MASSA LÁTEX EM PAREDES, DUAS DEMÃOS. AF_06/2014</v>
      </c>
      <c r="C59" s="138">
        <f ca="1">ROUND(C60/$E$128,4)</f>
        <v>4.9000000000000002E-2</v>
      </c>
      <c r="D59" s="138"/>
      <c r="E59" s="138">
        <f>ROUND(E60/$C60,4)</f>
        <v>1</v>
      </c>
    </row>
    <row r="60" spans="1:5">
      <c r="A60" s="204"/>
      <c r="B60" s="204"/>
      <c r="C60" s="139">
        <f ca="1">VLOOKUP($A59,'Orçamento Sintético'!$A:$H,8,0)</f>
        <v>2002.02</v>
      </c>
      <c r="D60" s="139">
        <f>ROUND($C60*D59,2)</f>
        <v>0</v>
      </c>
      <c r="E60" s="139">
        <f>$C60-SUM(D60)</f>
        <v>2002.02</v>
      </c>
    </row>
    <row r="61" spans="1:5">
      <c r="A61" s="203" t="s">
        <v>78</v>
      </c>
      <c r="B61" s="203" t="str">
        <f ca="1">VLOOKUP($A61,'Orçamento Sintético'!$A:$H,4,0)</f>
        <v>APLICAÇÃO MANUAL DE PINTURA COM TINTA LÁTEX ACRÍLICA EM PAREDES, DUAS DEMÃOS. AF_06/2014</v>
      </c>
      <c r="C61" s="138">
        <f ca="1">ROUND(C62/$E$128,4)</f>
        <v>4.4699999999999997E-2</v>
      </c>
      <c r="D61" s="138"/>
      <c r="E61" s="138">
        <f>ROUND(E62/$C62,4)</f>
        <v>1</v>
      </c>
    </row>
    <row r="62" spans="1:5">
      <c r="A62" s="204"/>
      <c r="B62" s="204"/>
      <c r="C62" s="139">
        <f ca="1">VLOOKUP($A61,'Orçamento Sintético'!$A:$H,8,0)</f>
        <v>1828.76</v>
      </c>
      <c r="D62" s="139">
        <f>ROUND($C62*D61,2)</f>
        <v>0</v>
      </c>
      <c r="E62" s="139">
        <f>$C62-SUM(D62)</f>
        <v>1828.76</v>
      </c>
    </row>
    <row r="63" spans="1:5">
      <c r="A63" s="203" t="s">
        <v>83</v>
      </c>
      <c r="B63" s="203" t="str">
        <f ca="1">VLOOKUP($A63,'Orçamento Sintético'!$A:$H,4,0)</f>
        <v>APLICAÇÃO E LIXAMENTO DE MASSA LÁTEX EM TETO, DUAS DEMÃOS. AF_06/2014</v>
      </c>
      <c r="C63" s="138">
        <f ca="1">ROUND(C64/$E$128,4)</f>
        <v>3.5000000000000001E-3</v>
      </c>
      <c r="D63" s="138"/>
      <c r="E63" s="138">
        <f>ROUND(E64/$C64,4)</f>
        <v>1</v>
      </c>
    </row>
    <row r="64" spans="1:5">
      <c r="A64" s="204"/>
      <c r="B64" s="204"/>
      <c r="C64" s="139">
        <f ca="1">VLOOKUP($A63,'Orçamento Sintético'!$A:$H,8,0)</f>
        <v>141.44999999999999</v>
      </c>
      <c r="D64" s="139">
        <f>ROUND($C64*D63,2)</f>
        <v>0</v>
      </c>
      <c r="E64" s="139">
        <f>$C64-SUM(D64)</f>
        <v>141.44999999999999</v>
      </c>
    </row>
    <row r="65" spans="1:5">
      <c r="A65" s="203" t="s">
        <v>456</v>
      </c>
      <c r="B65" s="203" t="str">
        <f ca="1">VLOOKUP($A65,'Orçamento Sintético'!$A:$H,4,0)</f>
        <v>APLICAÇÃO MANUAL DE PINTURA COM TINTA LÁTEX ACRÍLICA EM TETO, DUAS DEMÃOS. AF_06/2014</v>
      </c>
      <c r="C65" s="138">
        <f ca="1">ROUND(C66/$E$128,4)</f>
        <v>2.3199999999999998E-2</v>
      </c>
      <c r="D65" s="138"/>
      <c r="E65" s="138">
        <f>ROUND(E66/$C66,4)</f>
        <v>1</v>
      </c>
    </row>
    <row r="66" spans="1:5">
      <c r="A66" s="204"/>
      <c r="B66" s="204"/>
      <c r="C66" s="139">
        <f ca="1">VLOOKUP($A65,'Orçamento Sintético'!$A:$H,8,0)</f>
        <v>949.2</v>
      </c>
      <c r="D66" s="139">
        <f>ROUND($C66*D65,2)</f>
        <v>0</v>
      </c>
      <c r="E66" s="139">
        <f>$C66-SUM(D66)</f>
        <v>949.2</v>
      </c>
    </row>
    <row r="67" spans="1:5">
      <c r="A67" s="210" t="s">
        <v>86</v>
      </c>
      <c r="B67" s="209" t="str">
        <f ca="1">VLOOKUP($A67,'Orçamento Sintético'!$A:$H,4,0)</f>
        <v>Acabamentos e Arremates</v>
      </c>
      <c r="C67" s="140">
        <f ca="1">ROUND(C68/$E$128,4)</f>
        <v>0.1178</v>
      </c>
      <c r="D67" s="142">
        <f>ROUND(D68/$C68,4)</f>
        <v>0.44600000000000001</v>
      </c>
      <c r="E67" s="142">
        <f>ROUND(E68/$C68,4)</f>
        <v>0.55400000000000005</v>
      </c>
    </row>
    <row r="68" spans="1:5">
      <c r="A68" s="210"/>
      <c r="B68" s="209"/>
      <c r="C68" s="141">
        <f ca="1">VLOOKUP($A67,'Orçamento Sintético'!$A:$H,8,0)</f>
        <v>4815</v>
      </c>
      <c r="D68" s="143">
        <f>D70+D72+D74</f>
        <v>2147.58</v>
      </c>
      <c r="E68" s="143">
        <f>E70+E72+E74</f>
        <v>2667.42</v>
      </c>
    </row>
    <row r="69" spans="1:5">
      <c r="A69" s="203" t="s">
        <v>88</v>
      </c>
      <c r="B69" s="203" t="str">
        <f ca="1">VLOOKUP($A69,'Orçamento Sintético'!$A:$H,4,0)</f>
        <v>Copia da SBC (150158) - Película de controle solar, 3M modelo Preto blackout</v>
      </c>
      <c r="C69" s="138">
        <f ca="1">ROUND(C70/$E$128,4)</f>
        <v>5.2499999999999998E-2</v>
      </c>
      <c r="D69" s="138">
        <v>1</v>
      </c>
      <c r="E69" s="138">
        <f>ROUND(E70/$C70,4)</f>
        <v>0</v>
      </c>
    </row>
    <row r="70" spans="1:5">
      <c r="A70" s="204"/>
      <c r="B70" s="204"/>
      <c r="C70" s="139">
        <f ca="1">VLOOKUP($A69,'Orçamento Sintético'!$A:$H,8,0)</f>
        <v>2147.58</v>
      </c>
      <c r="D70" s="139">
        <f>ROUND($C70*D69,2)</f>
        <v>2147.58</v>
      </c>
      <c r="E70" s="139">
        <f>$C70-SUM(D70)</f>
        <v>0</v>
      </c>
    </row>
    <row r="71" spans="1:5">
      <c r="A71" s="203" t="s">
        <v>91</v>
      </c>
      <c r="B71" s="203" t="str">
        <f ca="1">VLOOKUP($A71,'Orçamento Sintético'!$A:$H,4,0)</f>
        <v>Copia da SBC (130311) - Rodapé inverso de alumínio e=2mm, com acabamento em pintura eletrostática na cor preta, DM 6,2 x 1,4 cm (AxE)</v>
      </c>
      <c r="C71" s="138">
        <f ca="1">ROUND(C72/$E$128,4)</f>
        <v>2.98E-2</v>
      </c>
      <c r="D71" s="138"/>
      <c r="E71" s="138">
        <f>ROUND(E72/$C72,4)</f>
        <v>1</v>
      </c>
    </row>
    <row r="72" spans="1:5">
      <c r="A72" s="204"/>
      <c r="B72" s="204"/>
      <c r="C72" s="139">
        <f ca="1">VLOOKUP($A71,'Orçamento Sintético'!$A:$H,8,0)</f>
        <v>1220.3399999999999</v>
      </c>
      <c r="D72" s="139">
        <f>ROUND($C72*D71,2)</f>
        <v>0</v>
      </c>
      <c r="E72" s="139">
        <f>$C72-SUM(D72)</f>
        <v>1220.3399999999999</v>
      </c>
    </row>
    <row r="73" spans="1:5">
      <c r="A73" s="203" t="s">
        <v>95</v>
      </c>
      <c r="B73" s="203" t="str">
        <f ca="1">VLOOKUP($A73,'Orçamento Sintético'!$A:$H,4,0)</f>
        <v>Copia da SINAPI (98685) - RODAPÉ EM GRANITO SÃO GRABRIEL, ALTURA 20 CM. AF_09/2020</v>
      </c>
      <c r="C73" s="138">
        <f ca="1">ROUND(C74/$E$128,4)</f>
        <v>3.5400000000000001E-2</v>
      </c>
      <c r="D73" s="138"/>
      <c r="E73" s="138">
        <f>ROUND(E74/$C74,4)</f>
        <v>1</v>
      </c>
    </row>
    <row r="74" spans="1:5">
      <c r="A74" s="204"/>
      <c r="B74" s="204"/>
      <c r="C74" s="139">
        <f ca="1">VLOOKUP($A73,'Orçamento Sintético'!$A:$H,8,0)</f>
        <v>1447.08</v>
      </c>
      <c r="D74" s="139">
        <f>ROUND($C74*D73,2)</f>
        <v>0</v>
      </c>
      <c r="E74" s="139">
        <f>$C74-SUM(D74)</f>
        <v>1447.08</v>
      </c>
    </row>
    <row r="75" spans="1:5">
      <c r="A75" s="206" t="s">
        <v>98</v>
      </c>
      <c r="B75" s="205" t="str">
        <f ca="1">VLOOKUP($A75,'Orçamento Sintético'!$A:$H,4,0)</f>
        <v>INSTALAÇÕES ELÉTRICAS E ELETRÔNICA</v>
      </c>
      <c r="C75" s="132">
        <f ca="1">ROUND(C76/$E$128,4)</f>
        <v>0.2626</v>
      </c>
      <c r="D75" s="134">
        <f>ROUND(D76/$C76,4)</f>
        <v>0.57130000000000003</v>
      </c>
      <c r="E75" s="134">
        <f>ROUND(E76/$C76,4)</f>
        <v>0.42870000000000003</v>
      </c>
    </row>
    <row r="76" spans="1:5">
      <c r="A76" s="206"/>
      <c r="B76" s="205"/>
      <c r="C76" s="133">
        <f ca="1">VLOOKUP($A75,'Orçamento Sintético'!$A:$H,8,0)</f>
        <v>10738.5</v>
      </c>
      <c r="D76" s="135">
        <f>D78</f>
        <v>6135.38</v>
      </c>
      <c r="E76" s="135">
        <f>E78</f>
        <v>4603.12</v>
      </c>
    </row>
    <row r="77" spans="1:5">
      <c r="A77" s="207" t="s">
        <v>100</v>
      </c>
      <c r="B77" s="208" t="str">
        <f ca="1">VLOOKUP($A77,'Orçamento Sintético'!$A:$H,4,0)</f>
        <v>INSTALAÇÕES ELÉTRICAS</v>
      </c>
      <c r="C77" s="136">
        <f ca="1">ROUND(C78/$E$128,4)</f>
        <v>0.2626</v>
      </c>
      <c r="D77" s="136">
        <f>ROUND(D78/$C78,4)</f>
        <v>0.57130000000000003</v>
      </c>
      <c r="E77" s="136">
        <f>ROUND(E78/$C78,4)</f>
        <v>0.42870000000000003</v>
      </c>
    </row>
    <row r="78" spans="1:5">
      <c r="A78" s="207"/>
      <c r="B78" s="208"/>
      <c r="C78" s="137">
        <f ca="1">VLOOKUP($A77,'Orçamento Sintético'!$A:$H,8,0)</f>
        <v>10738.5</v>
      </c>
      <c r="D78" s="137">
        <f>D80</f>
        <v>6135.38</v>
      </c>
      <c r="E78" s="137">
        <f>E80</f>
        <v>4603.12</v>
      </c>
    </row>
    <row r="79" spans="1:5">
      <c r="A79" s="210" t="s">
        <v>102</v>
      </c>
      <c r="B79" s="209" t="str">
        <f ca="1">VLOOKUP($A79,'Orçamento Sintético'!$A:$H,4,0)</f>
        <v>Rede Elétrica Secundária</v>
      </c>
      <c r="C79" s="140">
        <f ca="1">ROUND(C80/$E$128,4)</f>
        <v>0.2626</v>
      </c>
      <c r="D79" s="142">
        <f>ROUND(D80/$C80,4)</f>
        <v>0.57130000000000003</v>
      </c>
      <c r="E79" s="142">
        <f>ROUND(E80/$C80,4)</f>
        <v>0.42870000000000003</v>
      </c>
    </row>
    <row r="80" spans="1:5">
      <c r="A80" s="210"/>
      <c r="B80" s="209"/>
      <c r="C80" s="141">
        <f ca="1">VLOOKUP($A79,'Orçamento Sintético'!$A:$H,8,0)</f>
        <v>10738.5</v>
      </c>
      <c r="D80" s="143">
        <f>D82+D84+D86+D88+D90+D92+D94+D96+D98+D100+D102+D104+D106+D108+D110</f>
        <v>6135.38</v>
      </c>
      <c r="E80" s="143">
        <f>E82+E84+E86+E88+E90+E92+E94+E96+E98+E100+E102+E104+E106+E108+E110</f>
        <v>4603.12</v>
      </c>
    </row>
    <row r="81" spans="1:5" ht="14.25" customHeight="1">
      <c r="A81" s="203" t="s">
        <v>104</v>
      </c>
      <c r="B81" s="203" t="str">
        <f ca="1">VLOOKUP($A81,'Orçamento Sintético'!$A:$H,4,0)</f>
        <v>Copia da SBC (060105) - Luminária perfil alumínio de sobrepor Usina Design, modelo 30020/200 Garbo, com fita LED integrada, Brilia mod. 431221 ,  comprimento de 2m</v>
      </c>
      <c r="C81" s="138">
        <f ca="1">ROUND(C82/$E$128,4)</f>
        <v>2.1499999999999998E-2</v>
      </c>
      <c r="D81" s="138"/>
      <c r="E81" s="138">
        <f>ROUND(E82/$C82,4)</f>
        <v>1</v>
      </c>
    </row>
    <row r="82" spans="1:5">
      <c r="A82" s="204"/>
      <c r="B82" s="204"/>
      <c r="C82" s="139">
        <f ca="1">VLOOKUP($A81,'Orçamento Sintético'!$A:$H,8,0)</f>
        <v>880.52</v>
      </c>
      <c r="D82" s="139">
        <f>ROUND($C82*D81,2)</f>
        <v>0</v>
      </c>
      <c r="E82" s="139">
        <f>$C82-SUM(D82)</f>
        <v>880.52</v>
      </c>
    </row>
    <row r="83" spans="1:5">
      <c r="A83" s="203" t="s">
        <v>108</v>
      </c>
      <c r="B83" s="203" t="str">
        <f ca="1">VLOOKUP($A83,'Orçamento Sintético'!$A:$H,4,0)</f>
        <v>Copia da SBC (060055) - Spot orientável em LED para trilho eletrificado de 1 circuito, com driver multitensão (100 a 250V), corpo em alumínio, acabamento com pintura microtexturizada preta, facho recuado, temp. de cor 3000K, 1000lm, IRC&gt;85, Lumicenter SR19-T1000830FP</v>
      </c>
      <c r="C83" s="138">
        <f ca="1">ROUND(C84/$E$128,4)</f>
        <v>9.0999999999999998E-2</v>
      </c>
      <c r="D83" s="138"/>
      <c r="E83" s="138">
        <f>ROUND(E84/$C84,4)</f>
        <v>1</v>
      </c>
    </row>
    <row r="84" spans="1:5">
      <c r="A84" s="204"/>
      <c r="B84" s="204"/>
      <c r="C84" s="139">
        <f ca="1">VLOOKUP($A83,'Orçamento Sintético'!$A:$H,8,0)</f>
        <v>3722.6</v>
      </c>
      <c r="D84" s="139">
        <f>ROUND($C84*D83,2)</f>
        <v>0</v>
      </c>
      <c r="E84" s="139">
        <f>$C84-SUM(D84)</f>
        <v>3722.6</v>
      </c>
    </row>
    <row r="85" spans="1:5">
      <c r="A85" s="203" t="s">
        <v>111</v>
      </c>
      <c r="B85" s="203" t="str">
        <f ca="1">VLOOKUP($A85,'Orçamento Sintético'!$A:$H,4,0)</f>
        <v>Copia da SBC (060017) - Conjunto de Trilho eletrificado de 1 circuito para spot, cor preta (acompanhado de acessórios), Lumicenter ACTR-TR1C200PT, fixado por cabo de aço atirantado em laje</v>
      </c>
      <c r="C85" s="138">
        <f ca="1">ROUND(C86/$E$128,4)</f>
        <v>0.1055</v>
      </c>
      <c r="D85" s="138">
        <v>1</v>
      </c>
      <c r="E85" s="138">
        <f t="shared" ref="E85:E109" si="0">ROUND(E86/$C86,4)</f>
        <v>0</v>
      </c>
    </row>
    <row r="86" spans="1:5">
      <c r="A86" s="204"/>
      <c r="B86" s="204"/>
      <c r="C86" s="139">
        <f ca="1">VLOOKUP($A85,'Orçamento Sintético'!$A:$H,8,0)</f>
        <v>4314.63</v>
      </c>
      <c r="D86" s="139">
        <f>ROUND($C86*D85,2)</f>
        <v>4314.63</v>
      </c>
      <c r="E86" s="139">
        <f>$C86-SUM(D86)</f>
        <v>0</v>
      </c>
    </row>
    <row r="87" spans="1:5">
      <c r="A87" s="203" t="s">
        <v>115</v>
      </c>
      <c r="B87" s="203" t="str">
        <f ca="1">VLOOKUP($A87,'Orçamento Sintético'!$A:$H,4,0)</f>
        <v>INTERRUPTOR SIMPLES (1 MÓDULO), 10A/250V, INCLUINDO SUPORTE E PLACA - FORNECIMENTO E INSTALAÇÃO. AF_12/2015</v>
      </c>
      <c r="C87" s="138">
        <f ca="1">ROUND(C88/$E$128,4)</f>
        <v>3.3E-3</v>
      </c>
      <c r="D87" s="138">
        <v>1</v>
      </c>
      <c r="E87" s="138">
        <f t="shared" si="0"/>
        <v>0</v>
      </c>
    </row>
    <row r="88" spans="1:5">
      <c r="A88" s="204"/>
      <c r="B88" s="204"/>
      <c r="C88" s="139">
        <f ca="1">VLOOKUP($A87,'Orçamento Sintético'!$A:$H,8,0)</f>
        <v>134.6</v>
      </c>
      <c r="D88" s="139">
        <f>ROUND($C88*D87,2)</f>
        <v>134.6</v>
      </c>
      <c r="E88" s="139">
        <f>$C88-SUM(D88)</f>
        <v>0</v>
      </c>
    </row>
    <row r="89" spans="1:5">
      <c r="A89" s="203" t="s">
        <v>118</v>
      </c>
      <c r="B89" s="203" t="str">
        <f ca="1">VLOOKUP($A89,'Orçamento Sintético'!$A:$H,4,0)</f>
        <v>TOMADA ALTA DE EMBUTIR (1 MÓDULO), 2P+T 10 A, INCLUINDO SUPORTE E PLACA - FORNECIMENTO E INSTALAÇÃO. AF_12/2015</v>
      </c>
      <c r="C89" s="138">
        <f ca="1">ROUND(C90/$E$128,4)</f>
        <v>1E-3</v>
      </c>
      <c r="D89" s="138">
        <v>1</v>
      </c>
      <c r="E89" s="138">
        <f t="shared" si="0"/>
        <v>0</v>
      </c>
    </row>
    <row r="90" spans="1:5">
      <c r="A90" s="204"/>
      <c r="B90" s="204"/>
      <c r="C90" s="139">
        <f ca="1">VLOOKUP($A89,'Orçamento Sintético'!$A:$H,8,0)</f>
        <v>40.299999999999997</v>
      </c>
      <c r="D90" s="139">
        <f>ROUND($C90*D89,2)</f>
        <v>40.299999999999997</v>
      </c>
      <c r="E90" s="139">
        <f>$C90-SUM(D90)</f>
        <v>0</v>
      </c>
    </row>
    <row r="91" spans="1:5">
      <c r="A91" s="203" t="s">
        <v>121</v>
      </c>
      <c r="B91" s="203" t="str">
        <f ca="1">VLOOKUP($A91,'Orçamento Sintético'!$A:$H,4,0)</f>
        <v>TOMADA DE REDE RJ45 - FORNECIMENTO E INSTALAÇÃO. AF_11/2019</v>
      </c>
      <c r="C91" s="138">
        <f ca="1">ROUND(C92/$E$128,4)</f>
        <v>1.2999999999999999E-3</v>
      </c>
      <c r="D91" s="138">
        <v>1</v>
      </c>
      <c r="E91" s="138">
        <f t="shared" si="0"/>
        <v>0</v>
      </c>
    </row>
    <row r="92" spans="1:5">
      <c r="A92" s="204"/>
      <c r="B92" s="204"/>
      <c r="C92" s="139">
        <f ca="1">VLOOKUP($A91,'Orçamento Sintético'!$A:$H,8,0)</f>
        <v>52.49</v>
      </c>
      <c r="D92" s="139">
        <f>ROUND($C92*D91,2)</f>
        <v>52.49</v>
      </c>
      <c r="E92" s="139">
        <f>$C92-SUM(D92)</f>
        <v>0</v>
      </c>
    </row>
    <row r="93" spans="1:5">
      <c r="A93" s="203" t="s">
        <v>124</v>
      </c>
      <c r="B93" s="203" t="str">
        <f ca="1">VLOOKUP($A93,'Orçamento Sintético'!$A:$H,4,0)</f>
        <v>Copia da SINAPI (98307) - TOMADA DE REDE RJ45 APENAS MÓDULO - FORNECIMENTO E INSTALAÇÃO.</v>
      </c>
      <c r="C93" s="138">
        <f ca="1">ROUND(C94/$E$128,4)</f>
        <v>1.1000000000000001E-3</v>
      </c>
      <c r="D93" s="138">
        <v>1</v>
      </c>
      <c r="E93" s="138">
        <f t="shared" si="0"/>
        <v>0</v>
      </c>
    </row>
    <row r="94" spans="1:5">
      <c r="A94" s="204"/>
      <c r="B94" s="204"/>
      <c r="C94" s="139">
        <f ca="1">VLOOKUP($A93,'Orçamento Sintético'!$A:$H,8,0)</f>
        <v>44.3</v>
      </c>
      <c r="D94" s="139">
        <f>ROUND($C94*D93,2)</f>
        <v>44.3</v>
      </c>
      <c r="E94" s="139">
        <f>$C94-SUM(D94)</f>
        <v>0</v>
      </c>
    </row>
    <row r="95" spans="1:5">
      <c r="A95" s="203" t="s">
        <v>127</v>
      </c>
      <c r="B95" s="203" t="str">
        <f ca="1">VLOOKUP($A95,'Orçamento Sintético'!$A:$H,4,0)</f>
        <v>CAIXA RETANGULAR 4" X 2" BAIXA (0,30 M DO PISO), PVC, INSTALADA EM PAREDE - FORNECIMENTO E INSTALAÇÃO. AF_12/2015</v>
      </c>
      <c r="C95" s="138">
        <f ca="1">ROUND(C96/$E$128,4)</f>
        <v>1.5E-3</v>
      </c>
      <c r="D95" s="138">
        <v>1</v>
      </c>
      <c r="E95" s="138">
        <f t="shared" si="0"/>
        <v>0</v>
      </c>
    </row>
    <row r="96" spans="1:5">
      <c r="A96" s="204"/>
      <c r="B96" s="204"/>
      <c r="C96" s="139">
        <f ca="1">VLOOKUP($A95,'Orçamento Sintético'!$A:$H,8,0)</f>
        <v>60.36</v>
      </c>
      <c r="D96" s="139">
        <f>ROUND($C96*D95,2)</f>
        <v>60.36</v>
      </c>
      <c r="E96" s="139">
        <f>$C96-SUM(D96)</f>
        <v>0</v>
      </c>
    </row>
    <row r="97" spans="1:5">
      <c r="A97" s="203" t="s">
        <v>130</v>
      </c>
      <c r="B97" s="203" t="str">
        <f ca="1">VLOOKUP($A97,'Orçamento Sintético'!$A:$H,4,0)</f>
        <v>CONDULETE DE PVC, TIPO B, PARA ELETRODUTO DE PVC SOLDÁVEL DN 25 MM (3/4''), APARENTE - FORNECIMENTO E INSTALAÇÃO. AF_11/2016</v>
      </c>
      <c r="C97" s="138">
        <f ca="1">ROUND(C98/$E$128,4)</f>
        <v>5.9999999999999995E-4</v>
      </c>
      <c r="D97" s="138">
        <v>1</v>
      </c>
      <c r="E97" s="138">
        <f t="shared" si="0"/>
        <v>0</v>
      </c>
    </row>
    <row r="98" spans="1:5">
      <c r="A98" s="204"/>
      <c r="B98" s="204"/>
      <c r="C98" s="139">
        <f ca="1">VLOOKUP($A97,'Orçamento Sintético'!$A:$H,8,0)</f>
        <v>26.27</v>
      </c>
      <c r="D98" s="139">
        <f>ROUND($C98*D97,2)</f>
        <v>26.27</v>
      </c>
      <c r="E98" s="139">
        <f>$C98-SUM(D98)</f>
        <v>0</v>
      </c>
    </row>
    <row r="99" spans="1:5">
      <c r="A99" s="203" t="s">
        <v>133</v>
      </c>
      <c r="B99" s="203" t="str">
        <f ca="1">VLOOKUP($A99,'Orçamento Sintético'!$A:$H,4,0)</f>
        <v>CONDULETE DE PVC, TIPO LL, PARA ELETRODUTO DE PVC SOLDÁVEL DN 25 MM (3/4''), APARENTE - FORNECIMENTO E INSTALAÇÃO. AF_11/2016</v>
      </c>
      <c r="C99" s="138">
        <f ca="1">ROUND(C100/$E$128,4)</f>
        <v>2.2000000000000001E-3</v>
      </c>
      <c r="D99" s="138">
        <v>1</v>
      </c>
      <c r="E99" s="138">
        <f t="shared" si="0"/>
        <v>0</v>
      </c>
    </row>
    <row r="100" spans="1:5">
      <c r="A100" s="204"/>
      <c r="B100" s="204"/>
      <c r="C100" s="139">
        <f ca="1">VLOOKUP($A99,'Orçamento Sintético'!$A:$H,8,0)</f>
        <v>91.2</v>
      </c>
      <c r="D100" s="139">
        <f>ROUND($C100*D99,2)</f>
        <v>91.2</v>
      </c>
      <c r="E100" s="139">
        <f>$C100-SUM(D100)</f>
        <v>0</v>
      </c>
    </row>
    <row r="101" spans="1:5">
      <c r="A101" s="203" t="s">
        <v>136</v>
      </c>
      <c r="B101" s="203" t="str">
        <f ca="1">VLOOKUP($A101,'Orçamento Sintético'!$A:$H,4,0)</f>
        <v>Copia da SINAPI (95730) - Eletroduto rígido soldável, PVC cor cinza, DN 25 MM (3/4"), aparente, instalado em parede  - fornecimento e instalação</v>
      </c>
      <c r="C101" s="138">
        <f ca="1">ROUND(C102/$E$128,4)</f>
        <v>6.4000000000000003E-3</v>
      </c>
      <c r="D101" s="138">
        <v>1</v>
      </c>
      <c r="E101" s="138">
        <f t="shared" si="0"/>
        <v>0</v>
      </c>
    </row>
    <row r="102" spans="1:5">
      <c r="A102" s="204"/>
      <c r="B102" s="204"/>
      <c r="C102" s="139">
        <f ca="1">VLOOKUP($A101,'Orçamento Sintético'!$A:$H,8,0)</f>
        <v>263.16000000000003</v>
      </c>
      <c r="D102" s="139">
        <f>ROUND($C102*D101,2)</f>
        <v>263.16000000000003</v>
      </c>
      <c r="E102" s="139">
        <f>$C102-SUM(D102)</f>
        <v>0</v>
      </c>
    </row>
    <row r="103" spans="1:5">
      <c r="A103" s="203" t="s">
        <v>139</v>
      </c>
      <c r="B103" s="203" t="str">
        <f ca="1">VLOOKUP($A103,'Orçamento Sintético'!$A:$H,4,0)</f>
        <v>Cópia da Agetop Civil (071232) - Eletroduto metálico flexível tipo sealtube / copex 25mm (3/4")</v>
      </c>
      <c r="C103" s="138">
        <f ca="1">ROUND(C104/$E$128,4)</f>
        <v>1.37E-2</v>
      </c>
      <c r="D103" s="138">
        <v>1</v>
      </c>
      <c r="E103" s="138">
        <f t="shared" si="0"/>
        <v>0</v>
      </c>
    </row>
    <row r="104" spans="1:5">
      <c r="A104" s="204"/>
      <c r="B104" s="204"/>
      <c r="C104" s="139">
        <f ca="1">VLOOKUP($A103,'Orçamento Sintético'!$A:$H,8,0)</f>
        <v>558.25</v>
      </c>
      <c r="D104" s="139">
        <f>ROUND($C104*D103,2)</f>
        <v>558.25</v>
      </c>
      <c r="E104" s="139">
        <f>$C104-SUM(D104)</f>
        <v>0</v>
      </c>
    </row>
    <row r="105" spans="1:5">
      <c r="A105" s="203" t="s">
        <v>142</v>
      </c>
      <c r="B105" s="203" t="str">
        <f ca="1">VLOOKUP($A105,'Orçamento Sintético'!$A:$H,4,0)</f>
        <v>ELETRODUTO FLEXÍVEL CORRUGADO, PVC, DN 25 MM (3/4"), PARA CIRCUITOS TERMINAIS, INSTALADO EM FORRO - FORNECIMENTO E INSTALAÇÃO. AF_12/2015</v>
      </c>
      <c r="C105" s="138">
        <f ca="1">ROUND(C106/$E$128,4)</f>
        <v>2.2000000000000001E-3</v>
      </c>
      <c r="D105" s="138">
        <v>1</v>
      </c>
      <c r="E105" s="138">
        <f t="shared" si="0"/>
        <v>0</v>
      </c>
    </row>
    <row r="106" spans="1:5">
      <c r="A106" s="204"/>
      <c r="B106" s="204"/>
      <c r="C106" s="139">
        <f ca="1">VLOOKUP($A105,'Orçamento Sintético'!$A:$H,8,0)</f>
        <v>90.5</v>
      </c>
      <c r="D106" s="139">
        <f>ROUND($C106*D105,2)</f>
        <v>90.5</v>
      </c>
      <c r="E106" s="139">
        <f>$C106-SUM(D106)</f>
        <v>0</v>
      </c>
    </row>
    <row r="107" spans="1:5">
      <c r="A107" s="203" t="s">
        <v>145</v>
      </c>
      <c r="B107" s="203" t="str">
        <f ca="1">VLOOKUP($A107,'Orçamento Sintético'!$A:$H,4,0)</f>
        <v>CABO DE COBRE FLEXÍVEL ISOLADO, 2,5 MM², ANTI-CHAMA 450/750 V, PARA CIRCUITOS TERMINAIS - FORNECIMENTO E INSTALAÇÃO. AF_12/2015</v>
      </c>
      <c r="C107" s="138">
        <f ca="1">ROUND(C108/$E$128,4)</f>
        <v>5.4000000000000003E-3</v>
      </c>
      <c r="D107" s="138">
        <v>1</v>
      </c>
      <c r="E107" s="138">
        <f t="shared" si="0"/>
        <v>0</v>
      </c>
    </row>
    <row r="108" spans="1:5">
      <c r="A108" s="204"/>
      <c r="B108" s="204"/>
      <c r="C108" s="139">
        <f ca="1">VLOOKUP($A107,'Orçamento Sintético'!$A:$H,8,0)</f>
        <v>220.32</v>
      </c>
      <c r="D108" s="139">
        <f>ROUND($C108*D107,2)</f>
        <v>220.32</v>
      </c>
      <c r="E108" s="139">
        <f>$C108-SUM(D108)</f>
        <v>0</v>
      </c>
    </row>
    <row r="109" spans="1:5">
      <c r="A109" s="203" t="s">
        <v>148</v>
      </c>
      <c r="B109" s="203" t="str">
        <f ca="1">VLOOKUP($A109,'Orçamento Sintético'!$A:$H,4,0)</f>
        <v>CABO ELETRÔNICO CATEGORIA 6, INSTALADO EM EDIFICAÇÃO RESIDENCIAL - FORNECIMENTO E INSTALAÇÃO. AF_11/2019</v>
      </c>
      <c r="C109" s="138">
        <f ca="1">ROUND(C110/$E$128,4)</f>
        <v>5.7999999999999996E-3</v>
      </c>
      <c r="D109" s="138">
        <v>1</v>
      </c>
      <c r="E109" s="138">
        <f t="shared" si="0"/>
        <v>0</v>
      </c>
    </row>
    <row r="110" spans="1:5">
      <c r="A110" s="204"/>
      <c r="B110" s="204"/>
      <c r="C110" s="139">
        <f ca="1">VLOOKUP($A109,'Orçamento Sintético'!$A:$H,8,0)</f>
        <v>239</v>
      </c>
      <c r="D110" s="139">
        <f>ROUND($C110*D109,2)</f>
        <v>239</v>
      </c>
      <c r="E110" s="139">
        <f>$C110-SUM(D110)</f>
        <v>0</v>
      </c>
    </row>
    <row r="111" spans="1:5">
      <c r="A111" s="206" t="s">
        <v>151</v>
      </c>
      <c r="B111" s="205" t="s">
        <v>152</v>
      </c>
      <c r="C111" s="132">
        <f ca="1">ROUND(C112/$E$128,4)</f>
        <v>8.8999999999999999E-3</v>
      </c>
      <c r="D111" s="134">
        <f>ROUND(D112/$C112,4)</f>
        <v>0</v>
      </c>
      <c r="E111" s="134">
        <f>ROUND(E112/$C112,4)</f>
        <v>1</v>
      </c>
    </row>
    <row r="112" spans="1:5">
      <c r="A112" s="206"/>
      <c r="B112" s="205"/>
      <c r="C112" s="133">
        <f ca="1">VLOOKUP($A111,'Orçamento Sintético'!$A:$H,8,0)</f>
        <v>364.94</v>
      </c>
      <c r="D112" s="135">
        <f>D114</f>
        <v>0</v>
      </c>
      <c r="E112" s="135">
        <f>E114</f>
        <v>364.94</v>
      </c>
    </row>
    <row r="113" spans="1:5">
      <c r="A113" s="207" t="s">
        <v>153</v>
      </c>
      <c r="B113" s="208" t="s">
        <v>154</v>
      </c>
      <c r="C113" s="136">
        <f ca="1">ROUND(C114/$E$128,4)</f>
        <v>8.8999999999999999E-3</v>
      </c>
      <c r="D113" s="136">
        <f>ROUND(D114/$C114,4)</f>
        <v>0</v>
      </c>
      <c r="E113" s="136">
        <f>ROUND(E114/$C114,4)</f>
        <v>1</v>
      </c>
    </row>
    <row r="114" spans="1:5">
      <c r="A114" s="207"/>
      <c r="B114" s="208"/>
      <c r="C114" s="137">
        <f ca="1">VLOOKUP($A113,'Orçamento Sintético'!$A:$H,8,0)</f>
        <v>364.94</v>
      </c>
      <c r="D114" s="137">
        <f>D116</f>
        <v>0</v>
      </c>
      <c r="E114" s="137">
        <f>E116</f>
        <v>364.94</v>
      </c>
    </row>
    <row r="115" spans="1:5">
      <c r="A115" s="203" t="s">
        <v>155</v>
      </c>
      <c r="B115" s="203" t="str">
        <f ca="1">VLOOKUP($A115,'Orçamento Sintético'!$A:$H,4,0)</f>
        <v>LIMPEZA DE PISO DE LADRILHO HIDRÁULICO COM PANO ÚMIDO. AF_04/2019</v>
      </c>
      <c r="C115" s="138">
        <f ca="1">ROUND(C116/$E$128,4)</f>
        <v>8.8999999999999999E-3</v>
      </c>
      <c r="D115" s="138"/>
      <c r="E115" s="138">
        <f>ROUND(E116/$C116,4)</f>
        <v>1</v>
      </c>
    </row>
    <row r="116" spans="1:5">
      <c r="A116" s="204"/>
      <c r="B116" s="204"/>
      <c r="C116" s="139">
        <f ca="1">VLOOKUP($A115,'Orçamento Sintético'!$A:$H,8,0)</f>
        <v>364.94</v>
      </c>
      <c r="D116" s="139">
        <f>ROUND($C116*D115,2)</f>
        <v>0</v>
      </c>
      <c r="E116" s="139">
        <f>$C116-SUM(D116)</f>
        <v>364.94</v>
      </c>
    </row>
    <row r="117" spans="1:5">
      <c r="A117" s="206" t="s">
        <v>158</v>
      </c>
      <c r="B117" s="205" t="s">
        <v>152</v>
      </c>
      <c r="C117" s="132">
        <f ca="1">ROUND(C118/$E$128,4)</f>
        <v>0.1764</v>
      </c>
      <c r="D117" s="134">
        <f>ROUND(D118/$C118,4)</f>
        <v>0.5</v>
      </c>
      <c r="E117" s="134">
        <f>ROUND(E118/$C118,4)</f>
        <v>0.5</v>
      </c>
    </row>
    <row r="118" spans="1:5">
      <c r="A118" s="206"/>
      <c r="B118" s="205"/>
      <c r="C118" s="133">
        <f ca="1">VLOOKUP($A117,'Orçamento Sintético'!$A:$H,8,0)</f>
        <v>7213.76</v>
      </c>
      <c r="D118" s="135">
        <f>D120</f>
        <v>3606.88</v>
      </c>
      <c r="E118" s="135">
        <f>E120</f>
        <v>3606.88</v>
      </c>
    </row>
    <row r="119" spans="1:5">
      <c r="A119" s="207" t="s">
        <v>160</v>
      </c>
      <c r="B119" s="208" t="s">
        <v>154</v>
      </c>
      <c r="C119" s="136">
        <f ca="1">ROUND(C120/$E$128,4)</f>
        <v>0.1764</v>
      </c>
      <c r="D119" s="136">
        <f>ROUND(D120/$C120,4)</f>
        <v>0.5</v>
      </c>
      <c r="E119" s="136">
        <f>ROUND(E120/$C120,4)</f>
        <v>0.5</v>
      </c>
    </row>
    <row r="120" spans="1:5">
      <c r="A120" s="207"/>
      <c r="B120" s="208"/>
      <c r="C120" s="137">
        <f ca="1">VLOOKUP($A119,'Orçamento Sintético'!$A:$H,8,0)</f>
        <v>7213.76</v>
      </c>
      <c r="D120" s="137">
        <f>D122</f>
        <v>3606.88</v>
      </c>
      <c r="E120" s="137">
        <f>E122</f>
        <v>3606.88</v>
      </c>
    </row>
    <row r="121" spans="1:5">
      <c r="A121" s="203" t="s">
        <v>162</v>
      </c>
      <c r="B121" s="203" t="str">
        <f ca="1">VLOOKUP($A121,'Orçamento Sintético'!$A:$H,4,0)</f>
        <v>ENCARREGADO GERAL DE OBRAS COM ENCARGOS COMPLEMENTARES</v>
      </c>
      <c r="C121" s="138">
        <f ca="1">ROUND(C122/$E$128,4)</f>
        <v>0.1764</v>
      </c>
      <c r="D121" s="138">
        <v>0.5</v>
      </c>
      <c r="E121" s="138">
        <f>ROUND(E122/$C122,4)</f>
        <v>0.5</v>
      </c>
    </row>
    <row r="122" spans="1:5">
      <c r="A122" s="204"/>
      <c r="B122" s="204"/>
      <c r="C122" s="139">
        <f ca="1">VLOOKUP($A121,'Orçamento Sintético'!$A:$H,8,0)</f>
        <v>7213.76</v>
      </c>
      <c r="D122" s="139">
        <f>ROUND($C122*D121,2)</f>
        <v>3606.88</v>
      </c>
      <c r="E122" s="139">
        <f>$C122-SUM(D122)</f>
        <v>3606.88</v>
      </c>
    </row>
    <row r="123" spans="1:5">
      <c r="A123" s="215" t="s">
        <v>256</v>
      </c>
      <c r="B123" s="215"/>
      <c r="C123" s="3"/>
      <c r="D123" s="144">
        <f>ROUND(D124/$E$128,4)</f>
        <v>0.36709999999999998</v>
      </c>
      <c r="E123" s="144">
        <f>ROUND(E124/$E$128,4)</f>
        <v>0.63290000000000002</v>
      </c>
    </row>
    <row r="124" spans="1:5">
      <c r="A124" s="216" t="s">
        <v>255</v>
      </c>
      <c r="B124" s="216"/>
      <c r="C124" s="3"/>
      <c r="D124" s="147">
        <f>D10+D16+D36+D76+D112+D118</f>
        <v>15010.800000000003</v>
      </c>
      <c r="E124" s="147">
        <f>E10+E16+E36+E76+E112+E118</f>
        <v>25876.789999999997</v>
      </c>
    </row>
    <row r="125" spans="1:5">
      <c r="A125" s="212" t="str">
        <f ca="1">"BDI ("&amp; ('Composição de BDI'!D23*100)&amp;")"</f>
        <v>BDI (22,12)</v>
      </c>
      <c r="B125" s="212"/>
      <c r="C125" s="3"/>
      <c r="D125" s="148">
        <f ca="1">TRUNC('Composição de BDI'!$D$23*D124,2)</f>
        <v>3320.38</v>
      </c>
      <c r="E125" s="148">
        <f ca="1">TRUNC('Composição de BDI'!$D$23*E124,2)</f>
        <v>5723.94</v>
      </c>
    </row>
    <row r="126" spans="1:5">
      <c r="A126" s="213" t="s">
        <v>261</v>
      </c>
      <c r="B126" s="214"/>
      <c r="C126" s="145"/>
      <c r="D126" s="146">
        <f>SUM(D124:D125)</f>
        <v>18331.180000000004</v>
      </c>
      <c r="E126" s="146">
        <f>SUM(E124:E125)</f>
        <v>31600.729999999996</v>
      </c>
    </row>
    <row r="127" spans="1:5" ht="14.25" customHeight="1">
      <c r="A127" s="216" t="s">
        <v>254</v>
      </c>
      <c r="B127" s="216"/>
      <c r="C127" s="3"/>
      <c r="D127" s="149">
        <f>D123</f>
        <v>0.36709999999999998</v>
      </c>
      <c r="E127" s="149">
        <f>D127+E123</f>
        <v>1</v>
      </c>
    </row>
    <row r="128" spans="1:5">
      <c r="A128" s="216" t="s">
        <v>253</v>
      </c>
      <c r="B128" s="216"/>
      <c r="D128" s="147">
        <f>D124</f>
        <v>15010.800000000003</v>
      </c>
      <c r="E128" s="147">
        <f>D128+E124</f>
        <v>40887.589999999997</v>
      </c>
    </row>
    <row r="129" spans="1:5">
      <c r="A129" s="213" t="s">
        <v>252</v>
      </c>
      <c r="B129" s="214"/>
      <c r="C129" s="145"/>
      <c r="D129" s="146">
        <f>D126</f>
        <v>18331.180000000004</v>
      </c>
      <c r="E129" s="146">
        <f>D129+E126</f>
        <v>49931.91</v>
      </c>
    </row>
  </sheetData>
  <sheetCalcPr fullCalcOnLoad="1"/>
  <mergeCells count="123">
    <mergeCell ref="A7:E7"/>
    <mergeCell ref="D1:D6"/>
    <mergeCell ref="A9:A10"/>
    <mergeCell ref="B9:B10"/>
    <mergeCell ref="A129:B129"/>
    <mergeCell ref="A123:B123"/>
    <mergeCell ref="A124:B124"/>
    <mergeCell ref="A127:B127"/>
    <mergeCell ref="A128:B128"/>
    <mergeCell ref="A11:A12"/>
    <mergeCell ref="B11:B12"/>
    <mergeCell ref="B13:B14"/>
    <mergeCell ref="A13:A14"/>
    <mergeCell ref="B21:B22"/>
    <mergeCell ref="A21:A22"/>
    <mergeCell ref="A23:A24"/>
    <mergeCell ref="B23:B24"/>
    <mergeCell ref="A125:B125"/>
    <mergeCell ref="A126:B126"/>
    <mergeCell ref="B15:B16"/>
    <mergeCell ref="B17:B18"/>
    <mergeCell ref="B19:B20"/>
    <mergeCell ref="A19:A20"/>
    <mergeCell ref="A15:A16"/>
    <mergeCell ref="A17:A18"/>
    <mergeCell ref="B45:B46"/>
    <mergeCell ref="B49:B50"/>
    <mergeCell ref="B53:B54"/>
    <mergeCell ref="B57:B58"/>
    <mergeCell ref="A25:A26"/>
    <mergeCell ref="B25:B26"/>
    <mergeCell ref="B27:B28"/>
    <mergeCell ref="A27:A28"/>
    <mergeCell ref="B33:B34"/>
    <mergeCell ref="B41:B42"/>
    <mergeCell ref="B43:B44"/>
    <mergeCell ref="A41:A42"/>
    <mergeCell ref="A43:A44"/>
    <mergeCell ref="B29:B30"/>
    <mergeCell ref="B99:B100"/>
    <mergeCell ref="B101:B102"/>
    <mergeCell ref="B103:B104"/>
    <mergeCell ref="B105:B106"/>
    <mergeCell ref="B107:B108"/>
    <mergeCell ref="B59:B60"/>
    <mergeCell ref="B75:B76"/>
    <mergeCell ref="B81:B82"/>
    <mergeCell ref="B83:B84"/>
    <mergeCell ref="B85:B86"/>
    <mergeCell ref="B87:B88"/>
    <mergeCell ref="B109:B110"/>
    <mergeCell ref="B91:B92"/>
    <mergeCell ref="B93:B94"/>
    <mergeCell ref="B95:B96"/>
    <mergeCell ref="B97:B98"/>
    <mergeCell ref="B31:B32"/>
    <mergeCell ref="A29:A30"/>
    <mergeCell ref="A31:A32"/>
    <mergeCell ref="A33:A34"/>
    <mergeCell ref="B89:B90"/>
    <mergeCell ref="B61:B62"/>
    <mergeCell ref="B63:B64"/>
    <mergeCell ref="B65:B66"/>
    <mergeCell ref="B71:B72"/>
    <mergeCell ref="B73:B74"/>
    <mergeCell ref="A71:A72"/>
    <mergeCell ref="A73:A74"/>
    <mergeCell ref="A35:A36"/>
    <mergeCell ref="B35:B36"/>
    <mergeCell ref="B37:B38"/>
    <mergeCell ref="B39:B40"/>
    <mergeCell ref="A37:A38"/>
    <mergeCell ref="A39:A40"/>
    <mergeCell ref="B69:B70"/>
    <mergeCell ref="A45:A46"/>
    <mergeCell ref="B47:B48"/>
    <mergeCell ref="B51:B52"/>
    <mergeCell ref="B55:B56"/>
    <mergeCell ref="A47:A48"/>
    <mergeCell ref="A51:A52"/>
    <mergeCell ref="A55:A56"/>
    <mergeCell ref="A49:A50"/>
    <mergeCell ref="A53:A54"/>
    <mergeCell ref="A85:A86"/>
    <mergeCell ref="A87:A88"/>
    <mergeCell ref="A57:A58"/>
    <mergeCell ref="A59:A60"/>
    <mergeCell ref="A61:A62"/>
    <mergeCell ref="B67:B68"/>
    <mergeCell ref="A63:A64"/>
    <mergeCell ref="A65:A66"/>
    <mergeCell ref="A67:A68"/>
    <mergeCell ref="A69:A70"/>
    <mergeCell ref="A105:A106"/>
    <mergeCell ref="A107:A108"/>
    <mergeCell ref="A89:A90"/>
    <mergeCell ref="B77:B78"/>
    <mergeCell ref="B79:B80"/>
    <mergeCell ref="A75:A76"/>
    <mergeCell ref="A77:A78"/>
    <mergeCell ref="A79:A80"/>
    <mergeCell ref="A81:A82"/>
    <mergeCell ref="A83:A84"/>
    <mergeCell ref="A119:A120"/>
    <mergeCell ref="A121:A122"/>
    <mergeCell ref="A109:A110"/>
    <mergeCell ref="A91:A92"/>
    <mergeCell ref="A93:A94"/>
    <mergeCell ref="A95:A96"/>
    <mergeCell ref="A97:A98"/>
    <mergeCell ref="A99:A100"/>
    <mergeCell ref="A101:A102"/>
    <mergeCell ref="A103:A104"/>
    <mergeCell ref="A115:A116"/>
    <mergeCell ref="B117:B118"/>
    <mergeCell ref="B115:B116"/>
    <mergeCell ref="B121:B122"/>
    <mergeCell ref="A111:A112"/>
    <mergeCell ref="B111:B112"/>
    <mergeCell ref="A113:A114"/>
    <mergeCell ref="B113:B114"/>
    <mergeCell ref="B119:B120"/>
    <mergeCell ref="A117:A118"/>
  </mergeCells>
  <phoneticPr fontId="17" type="noConversion"/>
  <conditionalFormatting sqref="D9:D10">
    <cfRule type="cellIs" dxfId="244" priority="297" operator="equal">
      <formula>0</formula>
    </cfRule>
  </conditionalFormatting>
  <conditionalFormatting sqref="C12">
    <cfRule type="cellIs" dxfId="243" priority="296" operator="equal">
      <formula>0</formula>
    </cfRule>
  </conditionalFormatting>
  <conditionalFormatting sqref="D13:D14">
    <cfRule type="cellIs" dxfId="242" priority="293" operator="equal">
      <formula>0</formula>
    </cfRule>
  </conditionalFormatting>
  <conditionalFormatting sqref="D13:D14">
    <cfRule type="cellIs" dxfId="241" priority="292" operator="notEqual">
      <formula>0</formula>
    </cfRule>
  </conditionalFormatting>
  <conditionalFormatting sqref="E14">
    <cfRule type="cellIs" dxfId="240" priority="291" operator="equal">
      <formula>0</formula>
    </cfRule>
  </conditionalFormatting>
  <conditionalFormatting sqref="E14">
    <cfRule type="cellIs" dxfId="239" priority="290" operator="notEqual">
      <formula>0</formula>
    </cfRule>
  </conditionalFormatting>
  <conditionalFormatting sqref="E13">
    <cfRule type="cellIs" dxfId="238" priority="289" operator="equal">
      <formula>0</formula>
    </cfRule>
  </conditionalFormatting>
  <conditionalFormatting sqref="E13">
    <cfRule type="cellIs" dxfId="237" priority="288" operator="notEqual">
      <formula>0</formula>
    </cfRule>
  </conditionalFormatting>
  <conditionalFormatting sqref="D11:E11">
    <cfRule type="cellIs" dxfId="236" priority="287" operator="equal">
      <formula>0</formula>
    </cfRule>
  </conditionalFormatting>
  <conditionalFormatting sqref="D12:E12">
    <cfRule type="cellIs" dxfId="235" priority="286" operator="equal">
      <formula>0</formula>
    </cfRule>
  </conditionalFormatting>
  <conditionalFormatting sqref="E9">
    <cfRule type="cellIs" dxfId="234" priority="285" operator="equal">
      <formula>0</formula>
    </cfRule>
  </conditionalFormatting>
  <conditionalFormatting sqref="E10">
    <cfRule type="cellIs" dxfId="233" priority="284" operator="equal">
      <formula>0</formula>
    </cfRule>
  </conditionalFormatting>
  <conditionalFormatting sqref="C18">
    <cfRule type="cellIs" dxfId="232" priority="283" operator="equal">
      <formula>0</formula>
    </cfRule>
  </conditionalFormatting>
  <conditionalFormatting sqref="D19:D20">
    <cfRule type="cellIs" dxfId="231" priority="280" operator="equal">
      <formula>0</formula>
    </cfRule>
  </conditionalFormatting>
  <conditionalFormatting sqref="E19">
    <cfRule type="cellIs" dxfId="230" priority="279" operator="equal">
      <formula>0</formula>
    </cfRule>
  </conditionalFormatting>
  <conditionalFormatting sqref="D21:D24">
    <cfRule type="cellIs" dxfId="229" priority="278" operator="equal">
      <formula>0</formula>
    </cfRule>
  </conditionalFormatting>
  <conditionalFormatting sqref="D21:D24">
    <cfRule type="cellIs" dxfId="228" priority="277" operator="notEqual">
      <formula>0</formula>
    </cfRule>
  </conditionalFormatting>
  <conditionalFormatting sqref="E22">
    <cfRule type="cellIs" dxfId="227" priority="276" operator="equal">
      <formula>0</formula>
    </cfRule>
  </conditionalFormatting>
  <conditionalFormatting sqref="E22">
    <cfRule type="cellIs" dxfId="226" priority="275" operator="notEqual">
      <formula>0</formula>
    </cfRule>
  </conditionalFormatting>
  <conditionalFormatting sqref="E21">
    <cfRule type="cellIs" dxfId="225" priority="274" operator="equal">
      <formula>0</formula>
    </cfRule>
  </conditionalFormatting>
  <conditionalFormatting sqref="E21">
    <cfRule type="cellIs" dxfId="224" priority="273" operator="notEqual">
      <formula>0</formula>
    </cfRule>
  </conditionalFormatting>
  <conditionalFormatting sqref="E24">
    <cfRule type="cellIs" dxfId="223" priority="272" operator="equal">
      <formula>0</formula>
    </cfRule>
  </conditionalFormatting>
  <conditionalFormatting sqref="E24">
    <cfRule type="cellIs" dxfId="222" priority="271" operator="notEqual">
      <formula>0</formula>
    </cfRule>
  </conditionalFormatting>
  <conditionalFormatting sqref="E23">
    <cfRule type="cellIs" dxfId="221" priority="270" operator="equal">
      <formula>0</formula>
    </cfRule>
  </conditionalFormatting>
  <conditionalFormatting sqref="E23">
    <cfRule type="cellIs" dxfId="220" priority="269" operator="notEqual">
      <formula>0</formula>
    </cfRule>
  </conditionalFormatting>
  <conditionalFormatting sqref="E20">
    <cfRule type="cellIs" dxfId="219" priority="268" operator="equal">
      <formula>0</formula>
    </cfRule>
  </conditionalFormatting>
  <conditionalFormatting sqref="D17:E17">
    <cfRule type="cellIs" dxfId="218" priority="267" operator="equal">
      <formula>0</formula>
    </cfRule>
  </conditionalFormatting>
  <conditionalFormatting sqref="D18:E18">
    <cfRule type="cellIs" dxfId="217" priority="266" operator="equal">
      <formula>0</formula>
    </cfRule>
  </conditionalFormatting>
  <conditionalFormatting sqref="D15:D16">
    <cfRule type="cellIs" dxfId="216" priority="265" operator="equal">
      <formula>0</formula>
    </cfRule>
  </conditionalFormatting>
  <conditionalFormatting sqref="E15">
    <cfRule type="cellIs" dxfId="215" priority="264" operator="equal">
      <formula>0</formula>
    </cfRule>
  </conditionalFormatting>
  <conditionalFormatting sqref="D25:D26">
    <cfRule type="cellIs" dxfId="214" priority="262" operator="equal">
      <formula>0</formula>
    </cfRule>
  </conditionalFormatting>
  <conditionalFormatting sqref="E25">
    <cfRule type="cellIs" dxfId="213" priority="261" operator="equal">
      <formula>0</formula>
    </cfRule>
  </conditionalFormatting>
  <conditionalFormatting sqref="D27:D28">
    <cfRule type="cellIs" dxfId="212" priority="259" operator="equal">
      <formula>0</formula>
    </cfRule>
  </conditionalFormatting>
  <conditionalFormatting sqref="D27:D28">
    <cfRule type="cellIs" dxfId="211" priority="258" operator="notEqual">
      <formula>0</formula>
    </cfRule>
  </conditionalFormatting>
  <conditionalFormatting sqref="E28">
    <cfRule type="cellIs" dxfId="210" priority="257" operator="equal">
      <formula>0</formula>
    </cfRule>
  </conditionalFormatting>
  <conditionalFormatting sqref="E28">
    <cfRule type="cellIs" dxfId="209" priority="256" operator="notEqual">
      <formula>0</formula>
    </cfRule>
  </conditionalFormatting>
  <conditionalFormatting sqref="E27">
    <cfRule type="cellIs" dxfId="208" priority="255" operator="equal">
      <formula>0</formula>
    </cfRule>
  </conditionalFormatting>
  <conditionalFormatting sqref="E27">
    <cfRule type="cellIs" dxfId="207" priority="254" operator="notEqual">
      <formula>0</formula>
    </cfRule>
  </conditionalFormatting>
  <conditionalFormatting sqref="E26">
    <cfRule type="cellIs" dxfId="206" priority="253" operator="equal">
      <formula>0</formula>
    </cfRule>
  </conditionalFormatting>
  <conditionalFormatting sqref="D33:D34">
    <cfRule type="cellIs" dxfId="205" priority="252" operator="equal">
      <formula>0</formula>
    </cfRule>
  </conditionalFormatting>
  <conditionalFormatting sqref="D33:D34">
    <cfRule type="cellIs" dxfId="204" priority="251" operator="notEqual">
      <formula>0</formula>
    </cfRule>
  </conditionalFormatting>
  <conditionalFormatting sqref="E34">
    <cfRule type="cellIs" dxfId="203" priority="250" operator="equal">
      <formula>0</formula>
    </cfRule>
  </conditionalFormatting>
  <conditionalFormatting sqref="E34">
    <cfRule type="cellIs" dxfId="202" priority="249" operator="notEqual">
      <formula>0</formula>
    </cfRule>
  </conditionalFormatting>
  <conditionalFormatting sqref="E33">
    <cfRule type="cellIs" dxfId="201" priority="248" operator="equal">
      <formula>0</formula>
    </cfRule>
  </conditionalFormatting>
  <conditionalFormatting sqref="E33">
    <cfRule type="cellIs" dxfId="200" priority="247" operator="notEqual">
      <formula>0</formula>
    </cfRule>
  </conditionalFormatting>
  <conditionalFormatting sqref="D49:D50">
    <cfRule type="cellIs" dxfId="199" priority="232" operator="equal">
      <formula>0</formula>
    </cfRule>
  </conditionalFormatting>
  <conditionalFormatting sqref="D49:D50">
    <cfRule type="cellIs" dxfId="198" priority="231" operator="notEqual">
      <formula>0</formula>
    </cfRule>
  </conditionalFormatting>
  <conditionalFormatting sqref="E50">
    <cfRule type="cellIs" dxfId="197" priority="230" operator="equal">
      <formula>0</formula>
    </cfRule>
  </conditionalFormatting>
  <conditionalFormatting sqref="E50">
    <cfRule type="cellIs" dxfId="196" priority="229" operator="notEqual">
      <formula>0</formula>
    </cfRule>
  </conditionalFormatting>
  <conditionalFormatting sqref="E49">
    <cfRule type="cellIs" dxfId="195" priority="228" operator="equal">
      <formula>0</formula>
    </cfRule>
  </conditionalFormatting>
  <conditionalFormatting sqref="E49">
    <cfRule type="cellIs" dxfId="194" priority="227" operator="notEqual">
      <formula>0</formula>
    </cfRule>
  </conditionalFormatting>
  <conditionalFormatting sqref="D53:D54">
    <cfRule type="cellIs" dxfId="193" priority="226" operator="equal">
      <formula>0</formula>
    </cfRule>
  </conditionalFormatting>
  <conditionalFormatting sqref="D53:D54">
    <cfRule type="cellIs" dxfId="192" priority="225" operator="notEqual">
      <formula>0</formula>
    </cfRule>
  </conditionalFormatting>
  <conditionalFormatting sqref="E54">
    <cfRule type="cellIs" dxfId="191" priority="224" operator="equal">
      <formula>0</formula>
    </cfRule>
  </conditionalFormatting>
  <conditionalFormatting sqref="E54">
    <cfRule type="cellIs" dxfId="190" priority="223" operator="notEqual">
      <formula>0</formula>
    </cfRule>
  </conditionalFormatting>
  <conditionalFormatting sqref="E53">
    <cfRule type="cellIs" dxfId="189" priority="222" operator="equal">
      <formula>0</formula>
    </cfRule>
  </conditionalFormatting>
  <conditionalFormatting sqref="E53">
    <cfRule type="cellIs" dxfId="188" priority="221" operator="notEqual">
      <formula>0</formula>
    </cfRule>
  </conditionalFormatting>
  <conditionalFormatting sqref="D57:D58">
    <cfRule type="cellIs" dxfId="187" priority="220" operator="equal">
      <formula>0</formula>
    </cfRule>
  </conditionalFormatting>
  <conditionalFormatting sqref="D57:D58">
    <cfRule type="cellIs" dxfId="186" priority="219" operator="notEqual">
      <formula>0</formula>
    </cfRule>
  </conditionalFormatting>
  <conditionalFormatting sqref="E58">
    <cfRule type="cellIs" dxfId="185" priority="218" operator="equal">
      <formula>0</formula>
    </cfRule>
  </conditionalFormatting>
  <conditionalFormatting sqref="E58">
    <cfRule type="cellIs" dxfId="184" priority="217" operator="notEqual">
      <formula>0</formula>
    </cfRule>
  </conditionalFormatting>
  <conditionalFormatting sqref="E57">
    <cfRule type="cellIs" dxfId="183" priority="216" operator="equal">
      <formula>0</formula>
    </cfRule>
  </conditionalFormatting>
  <conditionalFormatting sqref="E57">
    <cfRule type="cellIs" dxfId="182" priority="215" operator="notEqual">
      <formula>0</formula>
    </cfRule>
  </conditionalFormatting>
  <conditionalFormatting sqref="D59:D60">
    <cfRule type="cellIs" dxfId="181" priority="214" operator="equal">
      <formula>0</formula>
    </cfRule>
  </conditionalFormatting>
  <conditionalFormatting sqref="D59:D60">
    <cfRule type="cellIs" dxfId="180" priority="213" operator="notEqual">
      <formula>0</formula>
    </cfRule>
  </conditionalFormatting>
  <conditionalFormatting sqref="E60">
    <cfRule type="cellIs" dxfId="179" priority="212" operator="equal">
      <formula>0</formula>
    </cfRule>
  </conditionalFormatting>
  <conditionalFormatting sqref="E60">
    <cfRule type="cellIs" dxfId="178" priority="211" operator="notEqual">
      <formula>0</formula>
    </cfRule>
  </conditionalFormatting>
  <conditionalFormatting sqref="E59">
    <cfRule type="cellIs" dxfId="177" priority="210" operator="equal">
      <formula>0</formula>
    </cfRule>
  </conditionalFormatting>
  <conditionalFormatting sqref="E59">
    <cfRule type="cellIs" dxfId="176" priority="209" operator="notEqual">
      <formula>0</formula>
    </cfRule>
  </conditionalFormatting>
  <conditionalFormatting sqref="D61:D62">
    <cfRule type="cellIs" dxfId="175" priority="208" operator="equal">
      <formula>0</formula>
    </cfRule>
  </conditionalFormatting>
  <conditionalFormatting sqref="D61:D62">
    <cfRule type="cellIs" dxfId="174" priority="207" operator="notEqual">
      <formula>0</formula>
    </cfRule>
  </conditionalFormatting>
  <conditionalFormatting sqref="E62">
    <cfRule type="cellIs" dxfId="173" priority="206" operator="equal">
      <formula>0</formula>
    </cfRule>
  </conditionalFormatting>
  <conditionalFormatting sqref="E62">
    <cfRule type="cellIs" dxfId="172" priority="205" operator="notEqual">
      <formula>0</formula>
    </cfRule>
  </conditionalFormatting>
  <conditionalFormatting sqref="E61">
    <cfRule type="cellIs" dxfId="171" priority="204" operator="equal">
      <formula>0</formula>
    </cfRule>
  </conditionalFormatting>
  <conditionalFormatting sqref="E61">
    <cfRule type="cellIs" dxfId="170" priority="203" operator="notEqual">
      <formula>0</formula>
    </cfRule>
  </conditionalFormatting>
  <conditionalFormatting sqref="D63:D64">
    <cfRule type="cellIs" dxfId="169" priority="202" operator="equal">
      <formula>0</formula>
    </cfRule>
  </conditionalFormatting>
  <conditionalFormatting sqref="D63:D64">
    <cfRule type="cellIs" dxfId="168" priority="201" operator="notEqual">
      <formula>0</formula>
    </cfRule>
  </conditionalFormatting>
  <conditionalFormatting sqref="E64">
    <cfRule type="cellIs" dxfId="167" priority="200" operator="equal">
      <formula>0</formula>
    </cfRule>
  </conditionalFormatting>
  <conditionalFormatting sqref="E64">
    <cfRule type="cellIs" dxfId="166" priority="199" operator="notEqual">
      <formula>0</formula>
    </cfRule>
  </conditionalFormatting>
  <conditionalFormatting sqref="E63">
    <cfRule type="cellIs" dxfId="165" priority="198" operator="equal">
      <formula>0</formula>
    </cfRule>
  </conditionalFormatting>
  <conditionalFormatting sqref="E63">
    <cfRule type="cellIs" dxfId="164" priority="197" operator="notEqual">
      <formula>0</formula>
    </cfRule>
  </conditionalFormatting>
  <conditionalFormatting sqref="D65:D66">
    <cfRule type="cellIs" dxfId="163" priority="196" operator="equal">
      <formula>0</formula>
    </cfRule>
  </conditionalFormatting>
  <conditionalFormatting sqref="D65:D66">
    <cfRule type="cellIs" dxfId="162" priority="195" operator="notEqual">
      <formula>0</formula>
    </cfRule>
  </conditionalFormatting>
  <conditionalFormatting sqref="E66">
    <cfRule type="cellIs" dxfId="161" priority="194" operator="equal">
      <formula>0</formula>
    </cfRule>
  </conditionalFormatting>
  <conditionalFormatting sqref="E66">
    <cfRule type="cellIs" dxfId="160" priority="193" operator="notEqual">
      <formula>0</formula>
    </cfRule>
  </conditionalFormatting>
  <conditionalFormatting sqref="E65">
    <cfRule type="cellIs" dxfId="159" priority="192" operator="equal">
      <formula>0</formula>
    </cfRule>
  </conditionalFormatting>
  <conditionalFormatting sqref="E65">
    <cfRule type="cellIs" dxfId="158" priority="191" operator="notEqual">
      <formula>0</formula>
    </cfRule>
  </conditionalFormatting>
  <conditionalFormatting sqref="D71:D72">
    <cfRule type="cellIs" dxfId="157" priority="190" operator="equal">
      <formula>0</formula>
    </cfRule>
  </conditionalFormatting>
  <conditionalFormatting sqref="D71:D72">
    <cfRule type="cellIs" dxfId="156" priority="189" operator="notEqual">
      <formula>0</formula>
    </cfRule>
  </conditionalFormatting>
  <conditionalFormatting sqref="E72">
    <cfRule type="cellIs" dxfId="155" priority="188" operator="equal">
      <formula>0</formula>
    </cfRule>
  </conditionalFormatting>
  <conditionalFormatting sqref="E72">
    <cfRule type="cellIs" dxfId="154" priority="187" operator="notEqual">
      <formula>0</formula>
    </cfRule>
  </conditionalFormatting>
  <conditionalFormatting sqref="E71">
    <cfRule type="cellIs" dxfId="153" priority="186" operator="equal">
      <formula>0</formula>
    </cfRule>
  </conditionalFormatting>
  <conditionalFormatting sqref="E71">
    <cfRule type="cellIs" dxfId="152" priority="185" operator="notEqual">
      <formula>0</formula>
    </cfRule>
  </conditionalFormatting>
  <conditionalFormatting sqref="D73:D74">
    <cfRule type="cellIs" dxfId="151" priority="184" operator="equal">
      <formula>0</formula>
    </cfRule>
  </conditionalFormatting>
  <conditionalFormatting sqref="D73:D74">
    <cfRule type="cellIs" dxfId="150" priority="183" operator="notEqual">
      <formula>0</formula>
    </cfRule>
  </conditionalFormatting>
  <conditionalFormatting sqref="E74">
    <cfRule type="cellIs" dxfId="149" priority="182" operator="equal">
      <formula>0</formula>
    </cfRule>
  </conditionalFormatting>
  <conditionalFormatting sqref="E74">
    <cfRule type="cellIs" dxfId="148" priority="181" operator="notEqual">
      <formula>0</formula>
    </cfRule>
  </conditionalFormatting>
  <conditionalFormatting sqref="E73">
    <cfRule type="cellIs" dxfId="147" priority="180" operator="equal">
      <formula>0</formula>
    </cfRule>
  </conditionalFormatting>
  <conditionalFormatting sqref="E73">
    <cfRule type="cellIs" dxfId="146" priority="179" operator="notEqual">
      <formula>0</formula>
    </cfRule>
  </conditionalFormatting>
  <conditionalFormatting sqref="D69:D70">
    <cfRule type="cellIs" dxfId="145" priority="178" operator="equal">
      <formula>0</formula>
    </cfRule>
  </conditionalFormatting>
  <conditionalFormatting sqref="D69:D70">
    <cfRule type="cellIs" dxfId="144" priority="177" operator="notEqual">
      <formula>0</formula>
    </cfRule>
  </conditionalFormatting>
  <conditionalFormatting sqref="E70">
    <cfRule type="cellIs" dxfId="143" priority="176" operator="equal">
      <formula>0</formula>
    </cfRule>
  </conditionalFormatting>
  <conditionalFormatting sqref="E70">
    <cfRule type="cellIs" dxfId="142" priority="175" operator="notEqual">
      <formula>0</formula>
    </cfRule>
  </conditionalFormatting>
  <conditionalFormatting sqref="E69">
    <cfRule type="cellIs" dxfId="141" priority="174" operator="equal">
      <formula>0</formula>
    </cfRule>
  </conditionalFormatting>
  <conditionalFormatting sqref="E69">
    <cfRule type="cellIs" dxfId="140" priority="173" operator="notEqual">
      <formula>0</formula>
    </cfRule>
  </conditionalFormatting>
  <conditionalFormatting sqref="D83:D84">
    <cfRule type="cellIs" dxfId="139" priority="166" operator="equal">
      <formula>0</formula>
    </cfRule>
  </conditionalFormatting>
  <conditionalFormatting sqref="D83:D84">
    <cfRule type="cellIs" dxfId="138" priority="165" operator="notEqual">
      <formula>0</formula>
    </cfRule>
  </conditionalFormatting>
  <conditionalFormatting sqref="E84">
    <cfRule type="cellIs" dxfId="137" priority="164" operator="equal">
      <formula>0</formula>
    </cfRule>
  </conditionalFormatting>
  <conditionalFormatting sqref="E84">
    <cfRule type="cellIs" dxfId="136" priority="163" operator="notEqual">
      <formula>0</formula>
    </cfRule>
  </conditionalFormatting>
  <conditionalFormatting sqref="E83">
    <cfRule type="cellIs" dxfId="135" priority="162" operator="equal">
      <formula>0</formula>
    </cfRule>
  </conditionalFormatting>
  <conditionalFormatting sqref="E83">
    <cfRule type="cellIs" dxfId="134" priority="161" operator="notEqual">
      <formula>0</formula>
    </cfRule>
  </conditionalFormatting>
  <conditionalFormatting sqref="D85:D110">
    <cfRule type="cellIs" dxfId="133" priority="160" operator="equal">
      <formula>0</formula>
    </cfRule>
  </conditionalFormatting>
  <conditionalFormatting sqref="D85:D110">
    <cfRule type="cellIs" dxfId="132" priority="159" operator="notEqual">
      <formula>0</formula>
    </cfRule>
  </conditionalFormatting>
  <conditionalFormatting sqref="E86">
    <cfRule type="cellIs" dxfId="131" priority="158" operator="equal">
      <formula>0</formula>
    </cfRule>
  </conditionalFormatting>
  <conditionalFormatting sqref="E86">
    <cfRule type="cellIs" dxfId="130" priority="157" operator="notEqual">
      <formula>0</formula>
    </cfRule>
  </conditionalFormatting>
  <conditionalFormatting sqref="E85">
    <cfRule type="cellIs" dxfId="129" priority="156" operator="equal">
      <formula>0</formula>
    </cfRule>
  </conditionalFormatting>
  <conditionalFormatting sqref="E85">
    <cfRule type="cellIs" dxfId="128" priority="155" operator="notEqual">
      <formula>0</formula>
    </cfRule>
  </conditionalFormatting>
  <conditionalFormatting sqref="E88">
    <cfRule type="cellIs" dxfId="127" priority="154" operator="equal">
      <formula>0</formula>
    </cfRule>
  </conditionalFormatting>
  <conditionalFormatting sqref="E88">
    <cfRule type="cellIs" dxfId="126" priority="153" operator="notEqual">
      <formula>0</formula>
    </cfRule>
  </conditionalFormatting>
  <conditionalFormatting sqref="E87">
    <cfRule type="cellIs" dxfId="125" priority="152" operator="equal">
      <formula>0</formula>
    </cfRule>
  </conditionalFormatting>
  <conditionalFormatting sqref="E87">
    <cfRule type="cellIs" dxfId="124" priority="151" operator="notEqual">
      <formula>0</formula>
    </cfRule>
  </conditionalFormatting>
  <conditionalFormatting sqref="E90">
    <cfRule type="cellIs" dxfId="123" priority="150" operator="equal">
      <formula>0</formula>
    </cfRule>
  </conditionalFormatting>
  <conditionalFormatting sqref="E90">
    <cfRule type="cellIs" dxfId="122" priority="149" operator="notEqual">
      <formula>0</formula>
    </cfRule>
  </conditionalFormatting>
  <conditionalFormatting sqref="E89">
    <cfRule type="cellIs" dxfId="121" priority="148" operator="equal">
      <formula>0</formula>
    </cfRule>
  </conditionalFormatting>
  <conditionalFormatting sqref="E89">
    <cfRule type="cellIs" dxfId="120" priority="147" operator="notEqual">
      <formula>0</formula>
    </cfRule>
  </conditionalFormatting>
  <conditionalFormatting sqref="E92">
    <cfRule type="cellIs" dxfId="119" priority="146" operator="equal">
      <formula>0</formula>
    </cfRule>
  </conditionalFormatting>
  <conditionalFormatting sqref="E92">
    <cfRule type="cellIs" dxfId="118" priority="145" operator="notEqual">
      <formula>0</formula>
    </cfRule>
  </conditionalFormatting>
  <conditionalFormatting sqref="E91">
    <cfRule type="cellIs" dxfId="117" priority="144" operator="equal">
      <formula>0</formula>
    </cfRule>
  </conditionalFormatting>
  <conditionalFormatting sqref="E91">
    <cfRule type="cellIs" dxfId="116" priority="143" operator="notEqual">
      <formula>0</formula>
    </cfRule>
  </conditionalFormatting>
  <conditionalFormatting sqref="E94">
    <cfRule type="cellIs" dxfId="115" priority="142" operator="equal">
      <formula>0</formula>
    </cfRule>
  </conditionalFormatting>
  <conditionalFormatting sqref="E94">
    <cfRule type="cellIs" dxfId="114" priority="141" operator="notEqual">
      <formula>0</formula>
    </cfRule>
  </conditionalFormatting>
  <conditionalFormatting sqref="E93">
    <cfRule type="cellIs" dxfId="113" priority="140" operator="equal">
      <formula>0</formula>
    </cfRule>
  </conditionalFormatting>
  <conditionalFormatting sqref="E93">
    <cfRule type="cellIs" dxfId="112" priority="139" operator="notEqual">
      <formula>0</formula>
    </cfRule>
  </conditionalFormatting>
  <conditionalFormatting sqref="E96">
    <cfRule type="cellIs" dxfId="111" priority="138" operator="equal">
      <formula>0</formula>
    </cfRule>
  </conditionalFormatting>
  <conditionalFormatting sqref="E96">
    <cfRule type="cellIs" dxfId="110" priority="137" operator="notEqual">
      <formula>0</formula>
    </cfRule>
  </conditionalFormatting>
  <conditionalFormatting sqref="E95">
    <cfRule type="cellIs" dxfId="109" priority="136" operator="equal">
      <formula>0</formula>
    </cfRule>
  </conditionalFormatting>
  <conditionalFormatting sqref="E95">
    <cfRule type="cellIs" dxfId="108" priority="135" operator="notEqual">
      <formula>0</formula>
    </cfRule>
  </conditionalFormatting>
  <conditionalFormatting sqref="E98">
    <cfRule type="cellIs" dxfId="107" priority="134" operator="equal">
      <formula>0</formula>
    </cfRule>
  </conditionalFormatting>
  <conditionalFormatting sqref="E98">
    <cfRule type="cellIs" dxfId="106" priority="133" operator="notEqual">
      <formula>0</formula>
    </cfRule>
  </conditionalFormatting>
  <conditionalFormatting sqref="E97">
    <cfRule type="cellIs" dxfId="105" priority="132" operator="equal">
      <formula>0</formula>
    </cfRule>
  </conditionalFormatting>
  <conditionalFormatting sqref="E97">
    <cfRule type="cellIs" dxfId="104" priority="131" operator="notEqual">
      <formula>0</formula>
    </cfRule>
  </conditionalFormatting>
  <conditionalFormatting sqref="E100">
    <cfRule type="cellIs" dxfId="103" priority="130" operator="equal">
      <formula>0</formula>
    </cfRule>
  </conditionalFormatting>
  <conditionalFormatting sqref="E100">
    <cfRule type="cellIs" dxfId="102" priority="129" operator="notEqual">
      <formula>0</formula>
    </cfRule>
  </conditionalFormatting>
  <conditionalFormatting sqref="E99">
    <cfRule type="cellIs" dxfId="101" priority="128" operator="equal">
      <formula>0</formula>
    </cfRule>
  </conditionalFormatting>
  <conditionalFormatting sqref="E99">
    <cfRule type="cellIs" dxfId="100" priority="127" operator="notEqual">
      <formula>0</formula>
    </cfRule>
  </conditionalFormatting>
  <conditionalFormatting sqref="E102">
    <cfRule type="cellIs" dxfId="99" priority="126" operator="equal">
      <formula>0</formula>
    </cfRule>
  </conditionalFormatting>
  <conditionalFormatting sqref="E102">
    <cfRule type="cellIs" dxfId="98" priority="125" operator="notEqual">
      <formula>0</formula>
    </cfRule>
  </conditionalFormatting>
  <conditionalFormatting sqref="E101">
    <cfRule type="cellIs" dxfId="97" priority="124" operator="equal">
      <formula>0</formula>
    </cfRule>
  </conditionalFormatting>
  <conditionalFormatting sqref="E101">
    <cfRule type="cellIs" dxfId="96" priority="123" operator="notEqual">
      <formula>0</formula>
    </cfRule>
  </conditionalFormatting>
  <conditionalFormatting sqref="E104">
    <cfRule type="cellIs" dxfId="95" priority="122" operator="equal">
      <formula>0</formula>
    </cfRule>
  </conditionalFormatting>
  <conditionalFormatting sqref="E104">
    <cfRule type="cellIs" dxfId="94" priority="121" operator="notEqual">
      <formula>0</formula>
    </cfRule>
  </conditionalFormatting>
  <conditionalFormatting sqref="E103">
    <cfRule type="cellIs" dxfId="93" priority="120" operator="equal">
      <formula>0</formula>
    </cfRule>
  </conditionalFormatting>
  <conditionalFormatting sqref="E103">
    <cfRule type="cellIs" dxfId="92" priority="119" operator="notEqual">
      <formula>0</formula>
    </cfRule>
  </conditionalFormatting>
  <conditionalFormatting sqref="E106">
    <cfRule type="cellIs" dxfId="91" priority="118" operator="equal">
      <formula>0</formula>
    </cfRule>
  </conditionalFormatting>
  <conditionalFormatting sqref="E106">
    <cfRule type="cellIs" dxfId="90" priority="117" operator="notEqual">
      <formula>0</formula>
    </cfRule>
  </conditionalFormatting>
  <conditionalFormatting sqref="E105">
    <cfRule type="cellIs" dxfId="89" priority="116" operator="equal">
      <formula>0</formula>
    </cfRule>
  </conditionalFormatting>
  <conditionalFormatting sqref="E105">
    <cfRule type="cellIs" dxfId="88" priority="115" operator="notEqual">
      <formula>0</formula>
    </cfRule>
  </conditionalFormatting>
  <conditionalFormatting sqref="E108">
    <cfRule type="cellIs" dxfId="87" priority="114" operator="equal">
      <formula>0</formula>
    </cfRule>
  </conditionalFormatting>
  <conditionalFormatting sqref="E108">
    <cfRule type="cellIs" dxfId="86" priority="113" operator="notEqual">
      <formula>0</formula>
    </cfRule>
  </conditionalFormatting>
  <conditionalFormatting sqref="E107">
    <cfRule type="cellIs" dxfId="85" priority="112" operator="equal">
      <formula>0</formula>
    </cfRule>
  </conditionalFormatting>
  <conditionalFormatting sqref="E107">
    <cfRule type="cellIs" dxfId="84" priority="111" operator="notEqual">
      <formula>0</formula>
    </cfRule>
  </conditionalFormatting>
  <conditionalFormatting sqref="E110">
    <cfRule type="cellIs" dxfId="83" priority="110" operator="equal">
      <formula>0</formula>
    </cfRule>
  </conditionalFormatting>
  <conditionalFormatting sqref="E110">
    <cfRule type="cellIs" dxfId="82" priority="109" operator="notEqual">
      <formula>0</formula>
    </cfRule>
  </conditionalFormatting>
  <conditionalFormatting sqref="E109">
    <cfRule type="cellIs" dxfId="81" priority="108" operator="equal">
      <formula>0</formula>
    </cfRule>
  </conditionalFormatting>
  <conditionalFormatting sqref="E109">
    <cfRule type="cellIs" dxfId="80" priority="107" operator="notEqual">
      <formula>0</formula>
    </cfRule>
  </conditionalFormatting>
  <conditionalFormatting sqref="D115:D116">
    <cfRule type="cellIs" dxfId="79" priority="106" operator="equal">
      <formula>0</formula>
    </cfRule>
  </conditionalFormatting>
  <conditionalFormatting sqref="D115:D116">
    <cfRule type="cellIs" dxfId="78" priority="105" operator="notEqual">
      <formula>0</formula>
    </cfRule>
  </conditionalFormatting>
  <conditionalFormatting sqref="E116">
    <cfRule type="cellIs" dxfId="77" priority="104" operator="equal">
      <formula>0</formula>
    </cfRule>
  </conditionalFormatting>
  <conditionalFormatting sqref="E116">
    <cfRule type="cellIs" dxfId="76" priority="103" operator="notEqual">
      <formula>0</formula>
    </cfRule>
  </conditionalFormatting>
  <conditionalFormatting sqref="E115">
    <cfRule type="cellIs" dxfId="75" priority="102" operator="equal">
      <formula>0</formula>
    </cfRule>
  </conditionalFormatting>
  <conditionalFormatting sqref="E115">
    <cfRule type="cellIs" dxfId="74" priority="101" operator="notEqual">
      <formula>0</formula>
    </cfRule>
  </conditionalFormatting>
  <conditionalFormatting sqref="D121:D122">
    <cfRule type="cellIs" dxfId="73" priority="100" operator="equal">
      <formula>0</formula>
    </cfRule>
  </conditionalFormatting>
  <conditionalFormatting sqref="D121:D122">
    <cfRule type="cellIs" dxfId="72" priority="99" operator="notEqual">
      <formula>0</formula>
    </cfRule>
  </conditionalFormatting>
  <conditionalFormatting sqref="E122">
    <cfRule type="cellIs" dxfId="71" priority="98" operator="equal">
      <formula>0</formula>
    </cfRule>
  </conditionalFormatting>
  <conditionalFormatting sqref="E122">
    <cfRule type="cellIs" dxfId="70" priority="97" operator="notEqual">
      <formula>0</formula>
    </cfRule>
  </conditionalFormatting>
  <conditionalFormatting sqref="E121">
    <cfRule type="cellIs" dxfId="69" priority="96" operator="equal">
      <formula>0</formula>
    </cfRule>
  </conditionalFormatting>
  <conditionalFormatting sqref="E121">
    <cfRule type="cellIs" dxfId="68" priority="95" operator="notEqual">
      <formula>0</formula>
    </cfRule>
  </conditionalFormatting>
  <conditionalFormatting sqref="C30">
    <cfRule type="cellIs" dxfId="67" priority="94" operator="equal">
      <formula>0</formula>
    </cfRule>
  </conditionalFormatting>
  <conditionalFormatting sqref="D29:E29">
    <cfRule type="cellIs" dxfId="66" priority="93" operator="equal">
      <formula>0</formula>
    </cfRule>
  </conditionalFormatting>
  <conditionalFormatting sqref="D30:E30">
    <cfRule type="cellIs" dxfId="65" priority="92" operator="equal">
      <formula>0</formula>
    </cfRule>
  </conditionalFormatting>
  <conditionalFormatting sqref="D31:D32">
    <cfRule type="cellIs" dxfId="64" priority="91" operator="equal">
      <formula>0</formula>
    </cfRule>
  </conditionalFormatting>
  <conditionalFormatting sqref="E31">
    <cfRule type="cellIs" dxfId="63" priority="90" operator="equal">
      <formula>0</formula>
    </cfRule>
  </conditionalFormatting>
  <conditionalFormatting sqref="E32">
    <cfRule type="cellIs" dxfId="62" priority="88" operator="equal">
      <formula>0</formula>
    </cfRule>
  </conditionalFormatting>
  <conditionalFormatting sqref="D35:D36">
    <cfRule type="cellIs" dxfId="61" priority="87" operator="equal">
      <formula>0</formula>
    </cfRule>
  </conditionalFormatting>
  <conditionalFormatting sqref="E35">
    <cfRule type="cellIs" dxfId="60" priority="86" operator="equal">
      <formula>0</formula>
    </cfRule>
  </conditionalFormatting>
  <conditionalFormatting sqref="E36">
    <cfRule type="cellIs" dxfId="59" priority="85" operator="equal">
      <formula>0</formula>
    </cfRule>
  </conditionalFormatting>
  <conditionalFormatting sqref="E16">
    <cfRule type="cellIs" dxfId="58" priority="84" operator="equal">
      <formula>0</formula>
    </cfRule>
  </conditionalFormatting>
  <conditionalFormatting sqref="C38">
    <cfRule type="cellIs" dxfId="57" priority="83" operator="equal">
      <formula>0</formula>
    </cfRule>
  </conditionalFormatting>
  <conditionalFormatting sqref="D37:E37">
    <cfRule type="cellIs" dxfId="56" priority="82" operator="equal">
      <formula>0</formula>
    </cfRule>
  </conditionalFormatting>
  <conditionalFormatting sqref="D38:E38">
    <cfRule type="cellIs" dxfId="55" priority="81" operator="equal">
      <formula>0</formula>
    </cfRule>
  </conditionalFormatting>
  <conditionalFormatting sqref="D39:D40">
    <cfRule type="cellIs" dxfId="54" priority="80" operator="equal">
      <formula>0</formula>
    </cfRule>
  </conditionalFormatting>
  <conditionalFormatting sqref="D41:D46">
    <cfRule type="cellIs" dxfId="53" priority="77" operator="equal">
      <formula>0</formula>
    </cfRule>
  </conditionalFormatting>
  <conditionalFormatting sqref="D41:D46">
    <cfRule type="cellIs" dxfId="52" priority="76" operator="notEqual">
      <formula>0</formula>
    </cfRule>
  </conditionalFormatting>
  <conditionalFormatting sqref="E42">
    <cfRule type="cellIs" dxfId="51" priority="75" operator="equal">
      <formula>0</formula>
    </cfRule>
  </conditionalFormatting>
  <conditionalFormatting sqref="E42">
    <cfRule type="cellIs" dxfId="50" priority="74" operator="notEqual">
      <formula>0</formula>
    </cfRule>
  </conditionalFormatting>
  <conditionalFormatting sqref="E41">
    <cfRule type="cellIs" dxfId="49" priority="73" operator="equal">
      <formula>0</formula>
    </cfRule>
  </conditionalFormatting>
  <conditionalFormatting sqref="E41">
    <cfRule type="cellIs" dxfId="48" priority="72" operator="notEqual">
      <formula>0</formula>
    </cfRule>
  </conditionalFormatting>
  <conditionalFormatting sqref="E44">
    <cfRule type="cellIs" dxfId="47" priority="71" operator="equal">
      <formula>0</formula>
    </cfRule>
  </conditionalFormatting>
  <conditionalFormatting sqref="E44">
    <cfRule type="cellIs" dxfId="46" priority="70" operator="notEqual">
      <formula>0</formula>
    </cfRule>
  </conditionalFormatting>
  <conditionalFormatting sqref="E43">
    <cfRule type="cellIs" dxfId="45" priority="69" operator="equal">
      <formula>0</formula>
    </cfRule>
  </conditionalFormatting>
  <conditionalFormatting sqref="E43">
    <cfRule type="cellIs" dxfId="44" priority="68" operator="notEqual">
      <formula>0</formula>
    </cfRule>
  </conditionalFormatting>
  <conditionalFormatting sqref="E46">
    <cfRule type="cellIs" dxfId="43" priority="67" operator="equal">
      <formula>0</formula>
    </cfRule>
  </conditionalFormatting>
  <conditionalFormatting sqref="E46">
    <cfRule type="cellIs" dxfId="42" priority="66" operator="notEqual">
      <formula>0</formula>
    </cfRule>
  </conditionalFormatting>
  <conditionalFormatting sqref="E45">
    <cfRule type="cellIs" dxfId="41" priority="65" operator="equal">
      <formula>0</formula>
    </cfRule>
  </conditionalFormatting>
  <conditionalFormatting sqref="E45">
    <cfRule type="cellIs" dxfId="40" priority="64" operator="notEqual">
      <formula>0</formula>
    </cfRule>
  </conditionalFormatting>
  <conditionalFormatting sqref="D51:D52">
    <cfRule type="cellIs" dxfId="39" priority="47" operator="equal">
      <formula>0</formula>
    </cfRule>
  </conditionalFormatting>
  <conditionalFormatting sqref="E51">
    <cfRule type="cellIs" dxfId="38" priority="46" operator="equal">
      <formula>0</formula>
    </cfRule>
  </conditionalFormatting>
  <conditionalFormatting sqref="E52">
    <cfRule type="cellIs" dxfId="37" priority="45" operator="equal">
      <formula>0</formula>
    </cfRule>
  </conditionalFormatting>
  <conditionalFormatting sqref="D55:D56">
    <cfRule type="cellIs" dxfId="36" priority="44" operator="equal">
      <formula>0</formula>
    </cfRule>
  </conditionalFormatting>
  <conditionalFormatting sqref="E55">
    <cfRule type="cellIs" dxfId="35" priority="43" operator="equal">
      <formula>0</formula>
    </cfRule>
  </conditionalFormatting>
  <conditionalFormatting sqref="D67:D68">
    <cfRule type="cellIs" dxfId="34" priority="41" operator="equal">
      <formula>0</formula>
    </cfRule>
  </conditionalFormatting>
  <conditionalFormatting sqref="E67">
    <cfRule type="cellIs" dxfId="33" priority="40" operator="equal">
      <formula>0</formula>
    </cfRule>
  </conditionalFormatting>
  <conditionalFormatting sqref="E68">
    <cfRule type="cellIs" dxfId="32" priority="39" operator="equal">
      <formula>0</formula>
    </cfRule>
  </conditionalFormatting>
  <conditionalFormatting sqref="E56">
    <cfRule type="cellIs" dxfId="31" priority="38" operator="equal">
      <formula>0</formula>
    </cfRule>
  </conditionalFormatting>
  <conditionalFormatting sqref="D47:D48">
    <cfRule type="cellIs" dxfId="30" priority="37" operator="equal">
      <formula>0</formula>
    </cfRule>
  </conditionalFormatting>
  <conditionalFormatting sqref="E47">
    <cfRule type="cellIs" dxfId="29" priority="36" operator="equal">
      <formula>0</formula>
    </cfRule>
  </conditionalFormatting>
  <conditionalFormatting sqref="E48">
    <cfRule type="cellIs" dxfId="28" priority="35" operator="equal">
      <formula>0</formula>
    </cfRule>
  </conditionalFormatting>
  <conditionalFormatting sqref="E39:E40">
    <cfRule type="cellIs" dxfId="27" priority="34" operator="equal">
      <formula>0</formula>
    </cfRule>
  </conditionalFormatting>
  <conditionalFormatting sqref="D75:D76">
    <cfRule type="cellIs" dxfId="26" priority="33" operator="equal">
      <formula>0</formula>
    </cfRule>
  </conditionalFormatting>
  <conditionalFormatting sqref="E75">
    <cfRule type="cellIs" dxfId="25" priority="32" operator="equal">
      <formula>0</formula>
    </cfRule>
  </conditionalFormatting>
  <conditionalFormatting sqref="E76">
    <cfRule type="cellIs" dxfId="24" priority="31" operator="equal">
      <formula>0</formula>
    </cfRule>
  </conditionalFormatting>
  <conditionalFormatting sqref="C78">
    <cfRule type="cellIs" dxfId="23" priority="30" operator="equal">
      <formula>0</formula>
    </cfRule>
  </conditionalFormatting>
  <conditionalFormatting sqref="D77:E77">
    <cfRule type="cellIs" dxfId="22" priority="29" operator="equal">
      <formula>0</formula>
    </cfRule>
  </conditionalFormatting>
  <conditionalFormatting sqref="D78:E78">
    <cfRule type="cellIs" dxfId="21" priority="28" operator="equal">
      <formula>0</formula>
    </cfRule>
  </conditionalFormatting>
  <conditionalFormatting sqref="D79:D80">
    <cfRule type="cellIs" dxfId="20" priority="27" operator="equal">
      <formula>0</formula>
    </cfRule>
  </conditionalFormatting>
  <conditionalFormatting sqref="D81:D82">
    <cfRule type="cellIs" dxfId="19" priority="26" operator="equal">
      <formula>0</formula>
    </cfRule>
  </conditionalFormatting>
  <conditionalFormatting sqref="D81:D82">
    <cfRule type="cellIs" dxfId="18" priority="25" operator="notEqual">
      <formula>0</formula>
    </cfRule>
  </conditionalFormatting>
  <conditionalFormatting sqref="E82">
    <cfRule type="cellIs" dxfId="17" priority="24" operator="equal">
      <formula>0</formula>
    </cfRule>
  </conditionalFormatting>
  <conditionalFormatting sqref="E82">
    <cfRule type="cellIs" dxfId="16" priority="23" operator="notEqual">
      <formula>0</formula>
    </cfRule>
  </conditionalFormatting>
  <conditionalFormatting sqref="E81">
    <cfRule type="cellIs" dxfId="15" priority="22" operator="equal">
      <formula>0</formula>
    </cfRule>
  </conditionalFormatting>
  <conditionalFormatting sqref="E81">
    <cfRule type="cellIs" dxfId="14" priority="21" operator="notEqual">
      <formula>0</formula>
    </cfRule>
  </conditionalFormatting>
  <conditionalFormatting sqref="E79">
    <cfRule type="cellIs" dxfId="13" priority="20" operator="equal">
      <formula>0</formula>
    </cfRule>
  </conditionalFormatting>
  <conditionalFormatting sqref="E80">
    <cfRule type="cellIs" dxfId="12" priority="19" operator="equal">
      <formula>0</formula>
    </cfRule>
  </conditionalFormatting>
  <conditionalFormatting sqref="D111:D112">
    <cfRule type="cellIs" dxfId="11" priority="12" operator="equal">
      <formula>0</formula>
    </cfRule>
  </conditionalFormatting>
  <conditionalFormatting sqref="E111">
    <cfRule type="cellIs" dxfId="10" priority="11" operator="equal">
      <formula>0</formula>
    </cfRule>
  </conditionalFormatting>
  <conditionalFormatting sqref="E112">
    <cfRule type="cellIs" dxfId="9" priority="10" operator="equal">
      <formula>0</formula>
    </cfRule>
  </conditionalFormatting>
  <conditionalFormatting sqref="C114">
    <cfRule type="cellIs" dxfId="8" priority="9" operator="equal">
      <formula>0</formula>
    </cfRule>
  </conditionalFormatting>
  <conditionalFormatting sqref="D113:E113">
    <cfRule type="cellIs" dxfId="7" priority="8" operator="equal">
      <formula>0</formula>
    </cfRule>
  </conditionalFormatting>
  <conditionalFormatting sqref="D114:E114">
    <cfRule type="cellIs" dxfId="6" priority="7" operator="equal">
      <formula>0</formula>
    </cfRule>
  </conditionalFormatting>
  <conditionalFormatting sqref="D117:D118">
    <cfRule type="cellIs" dxfId="5" priority="6" operator="equal">
      <formula>0</formula>
    </cfRule>
  </conditionalFormatting>
  <conditionalFormatting sqref="E117">
    <cfRule type="cellIs" dxfId="4" priority="5" operator="equal">
      <formula>0</formula>
    </cfRule>
  </conditionalFormatting>
  <conditionalFormatting sqref="E118">
    <cfRule type="cellIs" dxfId="3" priority="4" operator="equal">
      <formula>0</formula>
    </cfRule>
  </conditionalFormatting>
  <conditionalFormatting sqref="C120">
    <cfRule type="cellIs" dxfId="2" priority="3" operator="equal">
      <formula>0</formula>
    </cfRule>
  </conditionalFormatting>
  <conditionalFormatting sqref="D119:E119">
    <cfRule type="cellIs" dxfId="1" priority="2" operator="equal">
      <formula>0</formula>
    </cfRule>
  </conditionalFormatting>
  <conditionalFormatting sqref="D120:E120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60" fitToHeight="0" orientation="portrait" r:id="rId1"/>
  <headerFooter>
    <oddHeader>&amp;L &amp;C &amp;R</oddHeader>
    <oddFooter>&amp;L &amp;C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14</vt:i4>
      </vt:variant>
    </vt:vector>
  </HeadingPairs>
  <TitlesOfParts>
    <vt:vector size="23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Referências Comerciais</vt:lpstr>
      <vt:lpstr>Composição de BDI</vt:lpstr>
      <vt:lpstr>Composição de Encargos Sociais</vt:lpstr>
      <vt:lpstr>Cronograma</vt:lpstr>
      <vt:lpstr>'Composição de BDI'!Area_de_impressao</vt:lpstr>
      <vt:lpstr>'Composição de Encargos Sociais'!Area_de_impressao</vt:lpstr>
      <vt:lpstr>Cronograma!Area_de_impressao</vt:lpstr>
      <vt:lpstr>'Insumos e Serviços'!Area_de_impressao</vt:lpstr>
      <vt:lpstr>'Orçamento Analítico'!Area_de_impressao</vt:lpstr>
      <vt:lpstr>'Orçamento Sintético'!Area_de_impressao</vt:lpstr>
      <vt:lpstr>'Referências Comerciais'!Area_de_impressao</vt:lpstr>
      <vt:lpstr>'Resumo do Orçamento'!Area_de_impressao</vt:lpstr>
      <vt:lpstr>'Composição de BDI'!Titulos_de_impressao</vt:lpstr>
      <vt:lpstr>Cronograma!Titulos_de_impressao</vt:lpstr>
      <vt:lpstr>'Insumos e Serviços'!Titulos_de_impressao</vt:lpstr>
      <vt:lpstr>'Orçamento Analítico'!Titulos_de_impressao</vt:lpstr>
      <vt:lpstr>'Orçamento Sintético'!Titulos_de_impressao</vt:lpstr>
      <vt:lpstr>'Referências Comerciais'!Titulos_de_impressao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anacz</cp:lastModifiedBy>
  <cp:revision>0</cp:revision>
  <cp:lastPrinted>2022-03-12T23:25:45Z</cp:lastPrinted>
  <dcterms:created xsi:type="dcterms:W3CDTF">2022-02-05T18:59:48Z</dcterms:created>
  <dcterms:modified xsi:type="dcterms:W3CDTF">2022-03-14T15:10:19Z</dcterms:modified>
</cp:coreProperties>
</file>