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er\Documents\Teletrabalho\2020\033_20 - Acess PJIJ\Planilhas 6_21\"/>
    </mc:Choice>
  </mc:AlternateContent>
  <xr:revisionPtr revIDLastSave="0" documentId="13_ncr:1_{A2CABA07-2474-4E61-8EE7-B11D24D7F57B}" xr6:coauthVersionLast="47" xr6:coauthVersionMax="47" xr10:uidLastSave="{00000000-0000-0000-0000-000000000000}"/>
  <bookViews>
    <workbookView xWindow="-120" yWindow="-120" windowWidth="29040" windowHeight="15840" tabRatio="810" activeTab="4" xr2:uid="{6940BCA8-AF64-4354-9515-2D51AF574B19}"/>
  </bookViews>
  <sheets>
    <sheet name="Instruções de Preenchimento" sheetId="10" r:id="rId1"/>
    <sheet name="Resumo do Orçamento" sheetId="2" r:id="rId2"/>
    <sheet name="Orçamento Sintético" sheetId="1" r:id="rId3"/>
    <sheet name="Orçamento Analítico" sheetId="3" r:id="rId4"/>
    <sheet name="Insumos e Serviços" sheetId="9" r:id="rId5"/>
    <sheet name="Composição de BDI" sheetId="4" r:id="rId6"/>
    <sheet name="Composição de Encargos Sociais" sheetId="5" r:id="rId7"/>
    <sheet name="Cronograma" sheetId="8" r:id="rId8"/>
  </sheets>
  <definedNames>
    <definedName name="_xlnm.Print_Area" localSheetId="5">'Composição de BDI'!$A$1:$D$23</definedName>
    <definedName name="_xlnm.Print_Area" localSheetId="7">Cronograma!$A$1:$G$425</definedName>
    <definedName name="_xlnm.Print_Area" localSheetId="4">'Insumos e Serviços'!$A$1:$H$274</definedName>
    <definedName name="_xlnm.Print_Area" localSheetId="3">'Orçamento Analítico'!$A$1:$H$647</definedName>
    <definedName name="_xlnm.Print_Area" localSheetId="2">'Orçamento Sintético'!$A$1:$H$217</definedName>
    <definedName name="_xlnm.Print_Area" localSheetId="1">'Resumo do Orçamento'!$A$1:$D$21</definedName>
    <definedName name="_xlnm.Print_Titles" localSheetId="7">Cronograma!$1:$8</definedName>
    <definedName name="_xlnm.Print_Titles" localSheetId="4">'Insumos e Serviços'!$1:$8</definedName>
    <definedName name="_xlnm.Print_Titles" localSheetId="3">'Orçamento Analítico'!$1:$8</definedName>
    <definedName name="_xlnm.Print_Titles" localSheetId="2">'Orçamento Sintético'!$1:$8</definedName>
  </definedNames>
  <calcPr calcId="191029"/>
</workbook>
</file>

<file path=xl/calcChain.xml><?xml version="1.0" encoding="utf-8"?>
<calcChain xmlns="http://schemas.openxmlformats.org/spreadsheetml/2006/main">
  <c r="B215" i="1" l="1"/>
  <c r="A647" i="3"/>
  <c r="A646" i="3"/>
  <c r="A641" i="3"/>
  <c r="A640" i="3"/>
  <c r="A639" i="3"/>
  <c r="A633" i="3"/>
  <c r="A632" i="3"/>
  <c r="A629" i="3"/>
  <c r="A628" i="3"/>
  <c r="A623" i="3"/>
  <c r="A622" i="3"/>
  <c r="A621" i="3"/>
  <c r="A618" i="3"/>
  <c r="A617" i="3"/>
  <c r="A616" i="3"/>
  <c r="A613" i="3"/>
  <c r="A612" i="3"/>
  <c r="A611" i="3"/>
  <c r="A608" i="3"/>
  <c r="A607" i="3"/>
  <c r="A606" i="3"/>
  <c r="A603" i="3"/>
  <c r="A602" i="3"/>
  <c r="A601" i="3"/>
  <c r="A598" i="3"/>
  <c r="A597" i="3"/>
  <c r="A596" i="3"/>
  <c r="A593" i="3"/>
  <c r="A592" i="3"/>
  <c r="A591" i="3"/>
  <c r="A588" i="3"/>
  <c r="A587" i="3"/>
  <c r="A586" i="3"/>
  <c r="A580" i="3"/>
  <c r="A579" i="3"/>
  <c r="A578" i="3"/>
  <c r="A577" i="3"/>
  <c r="A574" i="3"/>
  <c r="A573" i="3"/>
  <c r="A572" i="3"/>
  <c r="A569" i="3"/>
  <c r="A568" i="3"/>
  <c r="A567" i="3"/>
  <c r="A566" i="3"/>
  <c r="A565" i="3"/>
  <c r="A564" i="3"/>
  <c r="A563" i="3"/>
  <c r="A560" i="3"/>
  <c r="A559" i="3"/>
  <c r="A556" i="3"/>
  <c r="A555" i="3"/>
  <c r="A552" i="3"/>
  <c r="A551" i="3"/>
  <c r="A550" i="3"/>
  <c r="A549" i="3"/>
  <c r="A546" i="3"/>
  <c r="A545" i="3"/>
  <c r="A542" i="3"/>
  <c r="A541" i="3"/>
  <c r="A540" i="3"/>
  <c r="A539" i="3"/>
  <c r="A536" i="3"/>
  <c r="A535" i="3"/>
  <c r="A534" i="3"/>
  <c r="A528" i="3"/>
  <c r="A523" i="3"/>
  <c r="A522" i="3"/>
  <c r="A521" i="3"/>
  <c r="A520" i="3"/>
  <c r="A519" i="3"/>
  <c r="A518" i="3"/>
  <c r="A517" i="3"/>
  <c r="A514" i="3"/>
  <c r="A513" i="3"/>
  <c r="A512" i="3"/>
  <c r="A511" i="3"/>
  <c r="A510" i="3"/>
  <c r="A509" i="3"/>
  <c r="A508" i="3"/>
  <c r="A507" i="3"/>
  <c r="A506" i="3"/>
  <c r="A501" i="3"/>
  <c r="A500" i="3"/>
  <c r="A499" i="3"/>
  <c r="A498" i="3"/>
  <c r="A494" i="3"/>
  <c r="A493" i="3"/>
  <c r="A492" i="3"/>
  <c r="A491" i="3"/>
  <c r="A490" i="3"/>
  <c r="A487" i="3"/>
  <c r="A486" i="3"/>
  <c r="A485" i="3"/>
  <c r="A484" i="3"/>
  <c r="A483" i="3"/>
  <c r="A482" i="3"/>
  <c r="A479" i="3"/>
  <c r="A478" i="3"/>
  <c r="A477" i="3"/>
  <c r="A476" i="3"/>
  <c r="A475" i="3"/>
  <c r="A474" i="3"/>
  <c r="A471" i="3"/>
  <c r="A470" i="3"/>
  <c r="A469" i="3"/>
  <c r="A468" i="3"/>
  <c r="A467" i="3"/>
  <c r="A466" i="3"/>
  <c r="A465" i="3"/>
  <c r="A464" i="3"/>
  <c r="A463" i="3"/>
  <c r="A462" i="3"/>
  <c r="A461" i="3"/>
  <c r="A458" i="3"/>
  <c r="A457" i="3"/>
  <c r="A456" i="3"/>
  <c r="A455" i="3"/>
  <c r="A454" i="3"/>
  <c r="A453" i="3"/>
  <c r="A452" i="3"/>
  <c r="A451" i="3"/>
  <c r="A450" i="3"/>
  <c r="A449" i="3"/>
  <c r="A443" i="3"/>
  <c r="A442" i="3"/>
  <c r="A441" i="3"/>
  <c r="A440" i="3"/>
  <c r="A439" i="3"/>
  <c r="A438" i="3"/>
  <c r="A437" i="3"/>
  <c r="A436" i="3"/>
  <c r="A433" i="3"/>
  <c r="A432" i="3"/>
  <c r="A431" i="3"/>
  <c r="A430" i="3"/>
  <c r="A429" i="3"/>
  <c r="A428" i="3"/>
  <c r="A427" i="3"/>
  <c r="A426" i="3"/>
  <c r="A425" i="3"/>
  <c r="A422" i="3"/>
  <c r="A421" i="3"/>
  <c r="A420" i="3"/>
  <c r="A419" i="3"/>
  <c r="A418" i="3"/>
  <c r="A417" i="3"/>
  <c r="A416" i="3"/>
  <c r="A415" i="3"/>
  <c r="A412" i="3"/>
  <c r="A411" i="3"/>
  <c r="A410" i="3"/>
  <c r="A409" i="3"/>
  <c r="A408" i="3"/>
  <c r="A405" i="3"/>
  <c r="A404" i="3"/>
  <c r="A403" i="3"/>
  <c r="A402" i="3"/>
  <c r="A401" i="3"/>
  <c r="A400" i="3"/>
  <c r="A399" i="3"/>
  <c r="A398" i="3"/>
  <c r="A397" i="3"/>
  <c r="A396" i="3"/>
  <c r="A392" i="3"/>
  <c r="A391" i="3"/>
  <c r="A388" i="3"/>
  <c r="A387" i="3"/>
  <c r="A384" i="3"/>
  <c r="A383" i="3"/>
  <c r="A382" i="3"/>
  <c r="A379" i="3"/>
  <c r="A378" i="3"/>
  <c r="A377" i="3"/>
  <c r="A374" i="3"/>
  <c r="A373" i="3"/>
  <c r="A370" i="3"/>
  <c r="A369" i="3"/>
  <c r="A368" i="3"/>
  <c r="A365" i="3"/>
  <c r="A364" i="3"/>
  <c r="A363" i="3"/>
  <c r="A362" i="3"/>
  <c r="A361" i="3"/>
  <c r="A360" i="3"/>
  <c r="A359" i="3"/>
  <c r="A358" i="3"/>
  <c r="A355" i="3"/>
  <c r="A354" i="3"/>
  <c r="A353" i="3"/>
  <c r="A349" i="3"/>
  <c r="A348" i="3"/>
  <c r="A347" i="3"/>
  <c r="A344" i="3"/>
  <c r="A343" i="3"/>
  <c r="A342" i="3"/>
  <c r="A339" i="3"/>
  <c r="A338" i="3"/>
  <c r="A337" i="3"/>
  <c r="A334" i="3"/>
  <c r="A333" i="3"/>
  <c r="A332" i="3"/>
  <c r="A329" i="3"/>
  <c r="A328" i="3"/>
  <c r="A327" i="3"/>
  <c r="A324" i="3"/>
  <c r="A323" i="3"/>
  <c r="A322" i="3"/>
  <c r="A321" i="3"/>
  <c r="A318" i="3"/>
  <c r="A317" i="3"/>
  <c r="A316" i="3"/>
  <c r="A315" i="3"/>
  <c r="A314" i="3"/>
  <c r="A313" i="3"/>
  <c r="A312" i="3"/>
  <c r="A311" i="3"/>
  <c r="A308" i="3"/>
  <c r="A307" i="3"/>
  <c r="A306" i="3"/>
  <c r="A305" i="3"/>
  <c r="A304" i="3"/>
  <c r="A303" i="3"/>
  <c r="A300" i="3"/>
  <c r="A299" i="3"/>
  <c r="A298" i="3"/>
  <c r="A297" i="3"/>
  <c r="A296" i="3"/>
  <c r="A295" i="3"/>
  <c r="A294" i="3"/>
  <c r="A291" i="3"/>
  <c r="A290" i="3"/>
  <c r="A289" i="3"/>
  <c r="A288" i="3"/>
  <c r="A287" i="3"/>
  <c r="A284" i="3"/>
  <c r="A283" i="3"/>
  <c r="A282" i="3"/>
  <c r="A281" i="3"/>
  <c r="A280" i="3"/>
  <c r="A279" i="3"/>
  <c r="A276" i="3"/>
  <c r="A275" i="3"/>
  <c r="A274" i="3"/>
  <c r="A273" i="3"/>
  <c r="A272" i="3"/>
  <c r="A269" i="3"/>
  <c r="A268" i="3"/>
  <c r="A267" i="3"/>
  <c r="A266" i="3"/>
  <c r="A265" i="3"/>
  <c r="A264" i="3"/>
  <c r="A263" i="3"/>
  <c r="A262" i="3"/>
  <c r="A259" i="3"/>
  <c r="A258" i="3"/>
  <c r="A257" i="3"/>
  <c r="A256" i="3"/>
  <c r="A255" i="3"/>
  <c r="A254" i="3"/>
  <c r="A253" i="3"/>
  <c r="A252" i="3"/>
  <c r="A249" i="3"/>
  <c r="A248" i="3"/>
  <c r="A247" i="3"/>
  <c r="A246" i="3"/>
  <c r="A245" i="3"/>
  <c r="A244" i="3"/>
  <c r="A243" i="3"/>
  <c r="A242" i="3"/>
  <c r="A238" i="3"/>
  <c r="A237" i="3"/>
  <c r="A236" i="3"/>
  <c r="A233" i="3"/>
  <c r="A232" i="3"/>
  <c r="A231" i="3"/>
  <c r="A230" i="3"/>
  <c r="A229" i="3"/>
  <c r="A228" i="3"/>
  <c r="A227" i="3"/>
  <c r="A224" i="3"/>
  <c r="A223" i="3"/>
  <c r="A222" i="3"/>
  <c r="A221" i="3"/>
  <c r="A220" i="3"/>
  <c r="A219" i="3"/>
  <c r="A215" i="3"/>
  <c r="A214" i="3"/>
  <c r="A210" i="3"/>
  <c r="A209" i="3"/>
  <c r="A208" i="3"/>
  <c r="A204" i="3"/>
  <c r="A203" i="3"/>
  <c r="A202" i="3"/>
  <c r="A201" i="3"/>
  <c r="A200" i="3"/>
  <c r="A197" i="3"/>
  <c r="A196" i="3"/>
  <c r="A195" i="3"/>
  <c r="A191" i="3"/>
  <c r="A190" i="3"/>
  <c r="A189" i="3"/>
  <c r="A188" i="3"/>
  <c r="A185" i="3"/>
  <c r="A184" i="3"/>
  <c r="A183" i="3"/>
  <c r="A182" i="3"/>
  <c r="A181" i="3"/>
  <c r="A178" i="3"/>
  <c r="A177" i="3"/>
  <c r="A176" i="3"/>
  <c r="A175" i="3"/>
  <c r="A171" i="3"/>
  <c r="A170" i="3"/>
  <c r="A167" i="3"/>
  <c r="A166" i="3"/>
  <c r="A165" i="3"/>
  <c r="A164" i="3"/>
  <c r="A163" i="3"/>
  <c r="A162" i="3"/>
  <c r="A161" i="3"/>
  <c r="A160" i="3"/>
  <c r="A159" i="3"/>
  <c r="A158" i="3"/>
  <c r="A157" i="3"/>
  <c r="A154" i="3"/>
  <c r="A153" i="3"/>
  <c r="A152" i="3"/>
  <c r="A151" i="3"/>
  <c r="A150" i="3"/>
  <c r="A147" i="3"/>
  <c r="A146" i="3"/>
  <c r="A145" i="3"/>
  <c r="A144" i="3"/>
  <c r="A143" i="3"/>
  <c r="A140" i="3"/>
  <c r="A139" i="3"/>
  <c r="A138" i="3"/>
  <c r="A137" i="3"/>
  <c r="A136" i="3"/>
  <c r="A133" i="3"/>
  <c r="A132" i="3"/>
  <c r="A131" i="3"/>
  <c r="A130" i="3"/>
  <c r="A129" i="3"/>
  <c r="A126" i="3"/>
  <c r="A125" i="3"/>
  <c r="A124" i="3"/>
  <c r="A123" i="3"/>
  <c r="A122" i="3"/>
  <c r="A119" i="3"/>
  <c r="A118" i="3"/>
  <c r="A117" i="3"/>
  <c r="A116" i="3"/>
  <c r="A115" i="3"/>
  <c r="A111" i="3"/>
  <c r="A110" i="3"/>
  <c r="A109" i="3"/>
  <c r="A108" i="3"/>
  <c r="A104" i="3"/>
  <c r="A103" i="3"/>
  <c r="A102" i="3"/>
  <c r="A101" i="3"/>
  <c r="A100" i="3"/>
  <c r="A99" i="3"/>
  <c r="A98" i="3"/>
  <c r="A97" i="3"/>
  <c r="A96" i="3"/>
  <c r="A95" i="3"/>
  <c r="A92" i="3"/>
  <c r="A91" i="3"/>
  <c r="A90" i="3"/>
  <c r="A89" i="3"/>
  <c r="A88" i="3"/>
  <c r="A87" i="3"/>
  <c r="A86" i="3"/>
  <c r="A85" i="3"/>
  <c r="A84" i="3"/>
  <c r="A83" i="3"/>
  <c r="A82" i="3"/>
  <c r="A79" i="3"/>
  <c r="A78" i="3"/>
  <c r="A77" i="3"/>
  <c r="A76" i="3"/>
  <c r="A75" i="3"/>
  <c r="A74" i="3"/>
  <c r="A73" i="3"/>
  <c r="A72" i="3"/>
  <c r="A71" i="3"/>
  <c r="A70" i="3"/>
  <c r="A69" i="3"/>
  <c r="A68" i="3"/>
  <c r="A64" i="3"/>
  <c r="A63" i="3"/>
  <c r="A62" i="3"/>
  <c r="A61" i="3"/>
  <c r="A58" i="3"/>
  <c r="A52" i="3"/>
  <c r="A49" i="3"/>
  <c r="A48" i="3"/>
  <c r="A45" i="3"/>
  <c r="A44" i="3"/>
  <c r="A41" i="3"/>
  <c r="A40" i="3"/>
  <c r="A37" i="3"/>
  <c r="A36" i="3"/>
  <c r="A33" i="3"/>
  <c r="A32" i="3"/>
  <c r="A28" i="3"/>
  <c r="A27" i="3"/>
  <c r="A26" i="3"/>
  <c r="A25" i="3"/>
  <c r="A24" i="3"/>
  <c r="A19" i="3"/>
  <c r="A18" i="3"/>
  <c r="A12" i="3"/>
  <c r="E6" i="9" l="1"/>
  <c r="C6" i="9"/>
  <c r="A6" i="9"/>
  <c r="E5" i="9"/>
  <c r="C5" i="9"/>
  <c r="A5" i="9"/>
  <c r="E4" i="9"/>
  <c r="C4" i="9"/>
  <c r="A4" i="9"/>
  <c r="E3" i="9"/>
  <c r="C3" i="9"/>
  <c r="A3" i="9"/>
  <c r="E2" i="9"/>
  <c r="D2" i="9"/>
  <c r="C2" i="9"/>
  <c r="A2" i="9"/>
  <c r="E1" i="9"/>
  <c r="D1" i="9"/>
  <c r="C1" i="9"/>
  <c r="A1" i="9"/>
  <c r="C6" i="2"/>
  <c r="B6" i="2"/>
  <c r="A6" i="2"/>
  <c r="C5" i="2"/>
  <c r="B5" i="2"/>
  <c r="A5" i="2"/>
  <c r="C4" i="2"/>
  <c r="B4" i="2"/>
  <c r="A4" i="2"/>
  <c r="C3" i="2"/>
  <c r="B3" i="2"/>
  <c r="A3" i="2"/>
  <c r="C2" i="2"/>
  <c r="B2" i="2"/>
  <c r="A2" i="2"/>
  <c r="C1" i="2"/>
  <c r="B1" i="2"/>
  <c r="A1" i="2"/>
  <c r="B17" i="2"/>
  <c r="B16" i="2"/>
  <c r="B15" i="2"/>
  <c r="B14" i="2"/>
  <c r="B13" i="2"/>
  <c r="B12" i="2"/>
  <c r="B11" i="2"/>
  <c r="B10" i="2"/>
  <c r="B413" i="8" l="1"/>
  <c r="B411" i="8"/>
  <c r="B409" i="8"/>
  <c r="B401" i="8"/>
  <c r="B399" i="8"/>
  <c r="B397" i="8"/>
  <c r="B395" i="8"/>
  <c r="B393" i="8"/>
  <c r="B391" i="8"/>
  <c r="B389" i="8"/>
  <c r="B387" i="8"/>
  <c r="B385" i="8"/>
  <c r="B383" i="8"/>
  <c r="B381" i="8"/>
  <c r="B379" i="8"/>
  <c r="B377" i="8"/>
  <c r="B375" i="8"/>
  <c r="B373" i="8"/>
  <c r="B371" i="8"/>
  <c r="B369" i="8"/>
  <c r="B367" i="8"/>
  <c r="B365" i="8"/>
  <c r="B363" i="8"/>
  <c r="B361" i="8"/>
  <c r="B359" i="8"/>
  <c r="B353" i="8"/>
  <c r="B351" i="8"/>
  <c r="B343" i="8"/>
  <c r="B341" i="8"/>
  <c r="B339" i="8"/>
  <c r="B337" i="8"/>
  <c r="B335" i="8"/>
  <c r="B329" i="8"/>
  <c r="B323" i="8"/>
  <c r="B321" i="8"/>
  <c r="B319" i="8"/>
  <c r="B317" i="8"/>
  <c r="B315" i="8"/>
  <c r="B303" i="8"/>
  <c r="B307" i="8"/>
  <c r="B305" i="8"/>
  <c r="B301" i="8"/>
  <c r="B295" i="8"/>
  <c r="B291" i="8"/>
  <c r="B281" i="8"/>
  <c r="B279" i="8"/>
  <c r="B271" i="8" l="1"/>
  <c r="B265" i="8"/>
  <c r="B263" i="8"/>
  <c r="B261" i="8"/>
  <c r="B259" i="8"/>
  <c r="B237" i="8"/>
  <c r="B235" i="8"/>
  <c r="B229" i="8"/>
  <c r="B227" i="8"/>
  <c r="B225" i="8"/>
  <c r="B223" i="8"/>
  <c r="B221" i="8"/>
  <c r="B219" i="8"/>
  <c r="B217" i="8"/>
  <c r="B215" i="8"/>
  <c r="B213" i="8"/>
  <c r="B211" i="8"/>
  <c r="B209" i="8"/>
  <c r="B207" i="8"/>
  <c r="B205" i="8"/>
  <c r="B203" i="8"/>
  <c r="B201" i="8"/>
  <c r="B199" i="8"/>
  <c r="B197" i="8"/>
  <c r="B191" i="8"/>
  <c r="B189" i="8"/>
  <c r="B187" i="8"/>
  <c r="B185" i="8"/>
  <c r="B183" i="8"/>
  <c r="B181" i="8"/>
  <c r="B179" i="8"/>
  <c r="B177" i="8"/>
  <c r="B175" i="8"/>
  <c r="B173" i="8"/>
  <c r="B171" i="8"/>
  <c r="B169" i="8"/>
  <c r="B167" i="8"/>
  <c r="B165" i="8"/>
  <c r="B163" i="8"/>
  <c r="B161" i="8"/>
  <c r="B159" i="8"/>
  <c r="B157" i="8"/>
  <c r="B155" i="8"/>
  <c r="B153" i="8"/>
  <c r="B149" i="8"/>
  <c r="B147" i="8"/>
  <c r="B143" i="8"/>
  <c r="B139" i="8"/>
  <c r="B125" i="8"/>
  <c r="B123" i="8"/>
  <c r="B121" i="8"/>
  <c r="B119" i="8"/>
  <c r="B117" i="8"/>
  <c r="B115" i="8"/>
  <c r="B113" i="8"/>
  <c r="B107" i="8"/>
  <c r="B105" i="8"/>
  <c r="B103" i="8"/>
  <c r="B101" i="8"/>
  <c r="B99" i="8"/>
  <c r="B97" i="8"/>
  <c r="B95" i="8"/>
  <c r="B93" i="8"/>
  <c r="B91" i="8"/>
  <c r="B89" i="8"/>
  <c r="B87" i="8"/>
  <c r="B85" i="8"/>
  <c r="B83" i="8"/>
  <c r="B81" i="8"/>
  <c r="B79" i="8"/>
  <c r="B77" i="8"/>
  <c r="B75" i="8"/>
  <c r="B73" i="8"/>
  <c r="B67" i="8"/>
  <c r="B65" i="8"/>
  <c r="B63" i="8"/>
  <c r="B39" i="8"/>
  <c r="B27" i="8"/>
  <c r="B59" i="8"/>
  <c r="B57" i="8"/>
  <c r="B47" i="8"/>
  <c r="B41" i="8"/>
  <c r="B45" i="8"/>
  <c r="B43" i="8"/>
  <c r="B35" i="8"/>
  <c r="B25" i="8"/>
  <c r="B23" i="8"/>
  <c r="B19" i="8"/>
  <c r="B17" i="8"/>
  <c r="B15" i="8"/>
  <c r="B13" i="8"/>
  <c r="B11" i="8"/>
  <c r="B9" i="8"/>
  <c r="B6" i="8" l="1"/>
  <c r="B4" i="8"/>
  <c r="B3" i="8"/>
  <c r="E6" i="8"/>
  <c r="A6" i="8"/>
  <c r="E5" i="8"/>
  <c r="B5" i="8"/>
  <c r="A5" i="8"/>
  <c r="E4" i="8"/>
  <c r="A4" i="8"/>
  <c r="E3" i="8"/>
  <c r="A3" i="8"/>
  <c r="E2" i="8"/>
  <c r="B2" i="8"/>
  <c r="A2" i="8"/>
  <c r="E1" i="8"/>
  <c r="B1" i="8"/>
  <c r="A1" i="8"/>
  <c r="D6" i="5" l="1"/>
  <c r="C6" i="5"/>
  <c r="A6" i="5"/>
  <c r="D5" i="5"/>
  <c r="C5" i="5"/>
  <c r="A5" i="5"/>
  <c r="D4" i="5"/>
  <c r="C4" i="5"/>
  <c r="A4" i="5"/>
  <c r="D3" i="5"/>
  <c r="C3" i="5"/>
  <c r="A3" i="5"/>
  <c r="D2" i="5"/>
  <c r="C2" i="5"/>
  <c r="A2" i="5"/>
  <c r="D1" i="5"/>
  <c r="C1" i="5"/>
  <c r="A1" i="5"/>
  <c r="D4" i="4"/>
  <c r="D6" i="4"/>
  <c r="D5" i="4"/>
  <c r="D3" i="4"/>
  <c r="D2" i="4"/>
  <c r="D1" i="4"/>
  <c r="C6" i="4"/>
  <c r="C5" i="4"/>
  <c r="C4" i="4"/>
  <c r="C3" i="4"/>
  <c r="C2" i="4"/>
  <c r="C1" i="4"/>
  <c r="A6" i="4"/>
  <c r="A5" i="4"/>
  <c r="A4" i="4"/>
  <c r="A3" i="4"/>
  <c r="A2" i="4"/>
  <c r="A1" i="4"/>
  <c r="E6" i="3"/>
  <c r="E5" i="3"/>
  <c r="E4" i="3"/>
  <c r="E3" i="3"/>
  <c r="E2" i="3"/>
  <c r="E1" i="3"/>
  <c r="C6" i="3"/>
  <c r="C5" i="3"/>
  <c r="C4" i="3"/>
  <c r="C3" i="3"/>
  <c r="D2" i="3"/>
  <c r="D1" i="3"/>
  <c r="C2" i="3"/>
  <c r="C1" i="3"/>
  <c r="A6" i="3"/>
  <c r="A5" i="3"/>
  <c r="A4" i="3"/>
  <c r="A3" i="3"/>
  <c r="A2" i="3"/>
  <c r="A1" i="3"/>
  <c r="G276" i="3" l="1"/>
  <c r="H276" i="3" s="1"/>
  <c r="G272" i="3"/>
  <c r="H272" i="3" s="1"/>
  <c r="E151" i="3"/>
  <c r="D152" i="3"/>
  <c r="C154" i="3"/>
  <c r="C206" i="1"/>
  <c r="C182" i="1"/>
  <c r="C171" i="1"/>
  <c r="C166" i="1"/>
  <c r="C154" i="1"/>
  <c r="C151" i="3"/>
  <c r="C167" i="1"/>
  <c r="G275" i="3"/>
  <c r="H275" i="3" s="1"/>
  <c r="E154" i="3"/>
  <c r="E150" i="3"/>
  <c r="D151" i="3"/>
  <c r="C153" i="3"/>
  <c r="E166" i="1"/>
  <c r="C213" i="1"/>
  <c r="C179" i="1"/>
  <c r="C170" i="1"/>
  <c r="C161" i="1"/>
  <c r="C153" i="1"/>
  <c r="C150" i="3"/>
  <c r="C183" i="1"/>
  <c r="C159" i="1"/>
  <c r="G274" i="3"/>
  <c r="H274" i="3" s="1"/>
  <c r="E153" i="3"/>
  <c r="D154" i="3"/>
  <c r="D150" i="3"/>
  <c r="C152" i="3"/>
  <c r="C208" i="1"/>
  <c r="C212" i="1"/>
  <c r="C178" i="1"/>
  <c r="C168" i="1"/>
  <c r="C160" i="1"/>
  <c r="G273" i="3"/>
  <c r="H273" i="3" s="1"/>
  <c r="E152" i="3"/>
  <c r="D153" i="3"/>
  <c r="C207" i="1"/>
  <c r="C177" i="1"/>
  <c r="B9" i="2"/>
  <c r="H271" i="3" l="1"/>
  <c r="E576" i="3" l="1"/>
  <c r="D576" i="3"/>
  <c r="E533" i="3"/>
  <c r="D533" i="3"/>
  <c r="C533" i="3"/>
  <c r="B533" i="3"/>
  <c r="E645" i="3"/>
  <c r="D645" i="3"/>
  <c r="C645" i="3"/>
  <c r="B645" i="3"/>
  <c r="E631" i="3"/>
  <c r="D631" i="3"/>
  <c r="C631" i="3"/>
  <c r="B631" i="3"/>
  <c r="E627" i="3"/>
  <c r="D627" i="3"/>
  <c r="C627" i="3"/>
  <c r="B627" i="3"/>
  <c r="E620" i="3"/>
  <c r="D620" i="3"/>
  <c r="C620" i="3"/>
  <c r="B620" i="3"/>
  <c r="E615" i="3"/>
  <c r="D615" i="3"/>
  <c r="C615" i="3"/>
  <c r="B615" i="3"/>
  <c r="E610" i="3"/>
  <c r="D610" i="3"/>
  <c r="C610" i="3"/>
  <c r="B610" i="3"/>
  <c r="E605" i="3"/>
  <c r="D605" i="3"/>
  <c r="C605" i="3"/>
  <c r="B605" i="3"/>
  <c r="E600" i="3"/>
  <c r="D600" i="3"/>
  <c r="C600" i="3"/>
  <c r="B600" i="3"/>
  <c r="E595" i="3"/>
  <c r="D595" i="3"/>
  <c r="C595" i="3"/>
  <c r="B595" i="3"/>
  <c r="E590" i="3"/>
  <c r="D590" i="3"/>
  <c r="C590" i="3"/>
  <c r="B590" i="3"/>
  <c r="E585" i="3"/>
  <c r="D585" i="3"/>
  <c r="C585" i="3"/>
  <c r="B585" i="3"/>
  <c r="C576" i="3"/>
  <c r="B576" i="3"/>
  <c r="E571" i="3"/>
  <c r="D571" i="3"/>
  <c r="C571" i="3"/>
  <c r="B571" i="3"/>
  <c r="E562" i="3"/>
  <c r="D562" i="3"/>
  <c r="C562" i="3"/>
  <c r="B562" i="3"/>
  <c r="E558" i="3"/>
  <c r="D558" i="3"/>
  <c r="C558" i="3"/>
  <c r="B558" i="3"/>
  <c r="E554" i="3"/>
  <c r="D554" i="3"/>
  <c r="C554" i="3"/>
  <c r="B554" i="3"/>
  <c r="E548" i="3"/>
  <c r="D548" i="3"/>
  <c r="C548" i="3"/>
  <c r="B548" i="3"/>
  <c r="E544" i="3"/>
  <c r="D544" i="3"/>
  <c r="C544" i="3"/>
  <c r="B544" i="3"/>
  <c r="E538" i="3"/>
  <c r="D538" i="3"/>
  <c r="C538" i="3"/>
  <c r="B538" i="3"/>
  <c r="E527" i="3"/>
  <c r="D527" i="3"/>
  <c r="C527" i="3"/>
  <c r="B527" i="3"/>
  <c r="E516" i="3"/>
  <c r="D516" i="3"/>
  <c r="C516" i="3"/>
  <c r="B516" i="3"/>
  <c r="E505" i="3"/>
  <c r="D505" i="3"/>
  <c r="C505" i="3"/>
  <c r="B505" i="3"/>
  <c r="C497" i="3" l="1"/>
  <c r="E180" i="3"/>
  <c r="D180" i="3"/>
  <c r="C180" i="3"/>
  <c r="B180" i="3"/>
  <c r="E497" i="3"/>
  <c r="D497" i="3"/>
  <c r="B497" i="3"/>
  <c r="E489" i="3"/>
  <c r="D489" i="3"/>
  <c r="C489" i="3"/>
  <c r="B489" i="3"/>
  <c r="E481" i="3"/>
  <c r="D481" i="3"/>
  <c r="C481" i="3"/>
  <c r="B481" i="3"/>
  <c r="E473" i="3"/>
  <c r="D473" i="3"/>
  <c r="C473" i="3"/>
  <c r="B473" i="3"/>
  <c r="E460" i="3"/>
  <c r="D460" i="3"/>
  <c r="C460" i="3"/>
  <c r="B460" i="3"/>
  <c r="E448" i="3"/>
  <c r="D448" i="3"/>
  <c r="C448" i="3"/>
  <c r="B448" i="3"/>
  <c r="E435" i="3"/>
  <c r="D435" i="3"/>
  <c r="C435" i="3"/>
  <c r="B435" i="3"/>
  <c r="E424" i="3"/>
  <c r="D424" i="3"/>
  <c r="C424" i="3"/>
  <c r="B424" i="3"/>
  <c r="E414" i="3"/>
  <c r="D414" i="3"/>
  <c r="C414" i="3"/>
  <c r="B414" i="3"/>
  <c r="E407" i="3"/>
  <c r="D407" i="3"/>
  <c r="C407" i="3"/>
  <c r="B407" i="3"/>
  <c r="E395" i="3"/>
  <c r="D395" i="3"/>
  <c r="C395" i="3"/>
  <c r="B395" i="3"/>
  <c r="E390" i="3"/>
  <c r="D390" i="3"/>
  <c r="C390" i="3"/>
  <c r="B390" i="3"/>
  <c r="E386" i="3"/>
  <c r="D386" i="3"/>
  <c r="C386" i="3"/>
  <c r="B386" i="3"/>
  <c r="E381" i="3"/>
  <c r="D381" i="3"/>
  <c r="C381" i="3"/>
  <c r="B381" i="3"/>
  <c r="E376" i="3"/>
  <c r="D376" i="3"/>
  <c r="C376" i="3"/>
  <c r="B376" i="3"/>
  <c r="E372" i="3"/>
  <c r="D372" i="3"/>
  <c r="C372" i="3"/>
  <c r="B372" i="3"/>
  <c r="E367" i="3"/>
  <c r="D367" i="3"/>
  <c r="C367" i="3"/>
  <c r="B367" i="3"/>
  <c r="E357" i="3"/>
  <c r="D357" i="3"/>
  <c r="C357" i="3"/>
  <c r="B357" i="3"/>
  <c r="E352" i="3"/>
  <c r="D352" i="3"/>
  <c r="C352" i="3"/>
  <c r="B352" i="3"/>
  <c r="E346" i="3"/>
  <c r="D346" i="3"/>
  <c r="C346" i="3"/>
  <c r="B346" i="3"/>
  <c r="E341" i="3"/>
  <c r="D341" i="3"/>
  <c r="C341" i="3"/>
  <c r="B341" i="3"/>
  <c r="E336" i="3"/>
  <c r="D336" i="3"/>
  <c r="C336" i="3"/>
  <c r="B336" i="3"/>
  <c r="E331" i="3"/>
  <c r="D331" i="3"/>
  <c r="C331" i="3"/>
  <c r="B331" i="3"/>
  <c r="E326" i="3"/>
  <c r="D326" i="3"/>
  <c r="C326" i="3"/>
  <c r="B326" i="3"/>
  <c r="E320" i="3"/>
  <c r="D320" i="3"/>
  <c r="C320" i="3"/>
  <c r="B320" i="3"/>
  <c r="E310" i="3"/>
  <c r="D310" i="3"/>
  <c r="C310" i="3"/>
  <c r="B310" i="3"/>
  <c r="E302" i="3"/>
  <c r="D302" i="3"/>
  <c r="C302" i="3"/>
  <c r="B302" i="3"/>
  <c r="E293" i="3"/>
  <c r="D293" i="3"/>
  <c r="C293" i="3"/>
  <c r="B293" i="3"/>
  <c r="E286" i="3"/>
  <c r="D286" i="3"/>
  <c r="C286" i="3"/>
  <c r="B286" i="3"/>
  <c r="E278" i="3"/>
  <c r="D278" i="3"/>
  <c r="C278" i="3"/>
  <c r="B278" i="3"/>
  <c r="E271" i="3"/>
  <c r="D271" i="3"/>
  <c r="C271" i="3"/>
  <c r="B271" i="3"/>
  <c r="E261" i="3"/>
  <c r="D261" i="3"/>
  <c r="C261" i="3"/>
  <c r="B261" i="3"/>
  <c r="E251" i="3"/>
  <c r="D251" i="3"/>
  <c r="C251" i="3"/>
  <c r="B251" i="3"/>
  <c r="E241" i="3"/>
  <c r="D241" i="3"/>
  <c r="C241" i="3"/>
  <c r="B241" i="3"/>
  <c r="E235" i="3"/>
  <c r="D235" i="3"/>
  <c r="C235" i="3"/>
  <c r="B235" i="3"/>
  <c r="E226" i="3"/>
  <c r="D226" i="3"/>
  <c r="C226" i="3"/>
  <c r="B226" i="3"/>
  <c r="E218" i="3"/>
  <c r="D218" i="3"/>
  <c r="C218" i="3"/>
  <c r="B218" i="3"/>
  <c r="E213" i="3"/>
  <c r="D213" i="3"/>
  <c r="C213" i="3"/>
  <c r="B213" i="3"/>
  <c r="E207" i="3"/>
  <c r="D207" i="3"/>
  <c r="C207" i="3"/>
  <c r="B207" i="3"/>
  <c r="E199" i="3"/>
  <c r="D199" i="3"/>
  <c r="C199" i="3"/>
  <c r="B199" i="3"/>
  <c r="E194" i="3"/>
  <c r="D194" i="3"/>
  <c r="C194" i="3"/>
  <c r="B194" i="3"/>
  <c r="E187" i="3"/>
  <c r="D187" i="3"/>
  <c r="C187" i="3"/>
  <c r="B187" i="3"/>
  <c r="E174" i="3"/>
  <c r="D174" i="3"/>
  <c r="C174" i="3"/>
  <c r="B174" i="3"/>
  <c r="E169" i="3"/>
  <c r="D169" i="3"/>
  <c r="C169" i="3"/>
  <c r="B169" i="3"/>
  <c r="E156" i="3"/>
  <c r="D156" i="3"/>
  <c r="C156" i="3"/>
  <c r="B156" i="3"/>
  <c r="E149" i="3"/>
  <c r="D149" i="3"/>
  <c r="C149" i="3"/>
  <c r="B149" i="3"/>
  <c r="E142" i="3"/>
  <c r="D142" i="3"/>
  <c r="C142" i="3"/>
  <c r="B142" i="3"/>
  <c r="E135" i="3"/>
  <c r="D135" i="3"/>
  <c r="C135" i="3"/>
  <c r="B135" i="3"/>
  <c r="E128" i="3"/>
  <c r="D128" i="3"/>
  <c r="C128" i="3"/>
  <c r="B128" i="3"/>
  <c r="E121" i="3"/>
  <c r="D121" i="3"/>
  <c r="C121" i="3"/>
  <c r="B121" i="3"/>
  <c r="E114" i="3"/>
  <c r="D114" i="3"/>
  <c r="C114" i="3"/>
  <c r="B114" i="3"/>
  <c r="E107" i="3"/>
  <c r="D107" i="3"/>
  <c r="C107" i="3"/>
  <c r="B107" i="3"/>
  <c r="E94" i="3"/>
  <c r="D94" i="3"/>
  <c r="C94" i="3"/>
  <c r="B94" i="3"/>
  <c r="E81" i="3"/>
  <c r="D81" i="3"/>
  <c r="C81" i="3"/>
  <c r="B81" i="3"/>
  <c r="E67" i="3"/>
  <c r="D67" i="3"/>
  <c r="C67" i="3"/>
  <c r="B67" i="3"/>
  <c r="E60" i="3"/>
  <c r="D60" i="3"/>
  <c r="C60" i="3"/>
  <c r="B60" i="3"/>
  <c r="E57" i="3"/>
  <c r="D57" i="3"/>
  <c r="C57" i="3"/>
  <c r="B57" i="3"/>
  <c r="E51" i="3"/>
  <c r="D51" i="3"/>
  <c r="C51" i="3"/>
  <c r="B51" i="3"/>
  <c r="E47" i="3"/>
  <c r="D47" i="3"/>
  <c r="C47" i="3"/>
  <c r="B47" i="3"/>
  <c r="E43" i="3"/>
  <c r="D43" i="3"/>
  <c r="C43" i="3"/>
  <c r="B43" i="3"/>
  <c r="E39" i="3"/>
  <c r="D39" i="3"/>
  <c r="C39" i="3"/>
  <c r="B39" i="3"/>
  <c r="E35" i="3"/>
  <c r="D35" i="3"/>
  <c r="C35" i="3"/>
  <c r="B35" i="3"/>
  <c r="E31" i="3"/>
  <c r="D31" i="3"/>
  <c r="C31" i="3"/>
  <c r="B31" i="3"/>
  <c r="E23" i="3"/>
  <c r="D23" i="3"/>
  <c r="C23" i="3"/>
  <c r="B23" i="3"/>
  <c r="E17" i="3"/>
  <c r="D17" i="3"/>
  <c r="C17" i="3"/>
  <c r="B17" i="3"/>
  <c r="E11" i="3"/>
  <c r="D11" i="3"/>
  <c r="B11" i="3"/>
  <c r="C11" i="3"/>
  <c r="G68" i="1" l="1"/>
  <c r="G124" i="1"/>
  <c r="G101" i="1"/>
  <c r="H101" i="1" s="1"/>
  <c r="C194" i="8" s="1"/>
  <c r="G640" i="3"/>
  <c r="H640" i="3" s="1"/>
  <c r="G629" i="3"/>
  <c r="H629" i="3" s="1"/>
  <c r="G621" i="3"/>
  <c r="H621" i="3" s="1"/>
  <c r="G613" i="3"/>
  <c r="H613" i="3" s="1"/>
  <c r="G607" i="3"/>
  <c r="H607" i="3" s="1"/>
  <c r="G601" i="3"/>
  <c r="H601" i="3" s="1"/>
  <c r="G593" i="3"/>
  <c r="H593" i="3" s="1"/>
  <c r="G587" i="3"/>
  <c r="H587" i="3" s="1"/>
  <c r="G578" i="3"/>
  <c r="H578" i="3" s="1"/>
  <c r="G572" i="3"/>
  <c r="H572" i="3" s="1"/>
  <c r="G566" i="3"/>
  <c r="H566" i="3" s="1"/>
  <c r="G560" i="3"/>
  <c r="H560" i="3" s="1"/>
  <c r="G552" i="3"/>
  <c r="H552" i="3" s="1"/>
  <c r="G546" i="3"/>
  <c r="H546" i="3" s="1"/>
  <c r="G540" i="3"/>
  <c r="H540" i="3" s="1"/>
  <c r="G534" i="3"/>
  <c r="H534" i="3" s="1"/>
  <c r="G521" i="3"/>
  <c r="H521" i="3" s="1"/>
  <c r="G517" i="3"/>
  <c r="H517" i="3" s="1"/>
  <c r="G511" i="3"/>
  <c r="H511" i="3" s="1"/>
  <c r="G507" i="3"/>
  <c r="H507" i="3" s="1"/>
  <c r="G499" i="3"/>
  <c r="H499" i="3" s="1"/>
  <c r="G492" i="3"/>
  <c r="H492" i="3" s="1"/>
  <c r="G486" i="3"/>
  <c r="H486" i="3" s="1"/>
  <c r="G482" i="3"/>
  <c r="H482" i="3" s="1"/>
  <c r="G476" i="3"/>
  <c r="H476" i="3" s="1"/>
  <c r="G470" i="3"/>
  <c r="H470" i="3" s="1"/>
  <c r="G466" i="3"/>
  <c r="H466" i="3" s="1"/>
  <c r="G462" i="3"/>
  <c r="H462" i="3" s="1"/>
  <c r="G456" i="3"/>
  <c r="H456" i="3" s="1"/>
  <c r="G452" i="3"/>
  <c r="H452" i="3" s="1"/>
  <c r="G443" i="3"/>
  <c r="H443" i="3" s="1"/>
  <c r="G439" i="3"/>
  <c r="H439" i="3" s="1"/>
  <c r="G433" i="3"/>
  <c r="H433" i="3" s="1"/>
  <c r="G429" i="3"/>
  <c r="H429" i="3" s="1"/>
  <c r="G425" i="3"/>
  <c r="H425" i="3" s="1"/>
  <c r="G419" i="3"/>
  <c r="H419" i="3" s="1"/>
  <c r="G415" i="3"/>
  <c r="H415" i="3" s="1"/>
  <c r="G409" i="3"/>
  <c r="H409" i="3" s="1"/>
  <c r="G403" i="3"/>
  <c r="H403" i="3" s="1"/>
  <c r="G399" i="3"/>
  <c r="H399" i="3" s="1"/>
  <c r="G392" i="3"/>
  <c r="H392" i="3" s="1"/>
  <c r="G384" i="3"/>
  <c r="H384" i="3" s="1"/>
  <c r="G378" i="3"/>
  <c r="H378" i="3" s="1"/>
  <c r="G370" i="3"/>
  <c r="H370" i="3" s="1"/>
  <c r="G364" i="3"/>
  <c r="H364" i="3" s="1"/>
  <c r="G360" i="3"/>
  <c r="H360" i="3" s="1"/>
  <c r="G354" i="3"/>
  <c r="H354" i="3" s="1"/>
  <c r="G347" i="3"/>
  <c r="H347" i="3" s="1"/>
  <c r="G339" i="3"/>
  <c r="H339" i="3" s="1"/>
  <c r="G333" i="3"/>
  <c r="H333" i="3" s="1"/>
  <c r="G327" i="3"/>
  <c r="H327" i="3" s="1"/>
  <c r="G321" i="3"/>
  <c r="H321" i="3" s="1"/>
  <c r="G315" i="3"/>
  <c r="H315" i="3" s="1"/>
  <c r="G311" i="3"/>
  <c r="H311" i="3" s="1"/>
  <c r="G305" i="3"/>
  <c r="H305" i="3" s="1"/>
  <c r="G299" i="3"/>
  <c r="H299" i="3" s="1"/>
  <c r="G295" i="3"/>
  <c r="H295" i="3" s="1"/>
  <c r="G289" i="3"/>
  <c r="H289" i="3" s="1"/>
  <c r="G283" i="3"/>
  <c r="H283" i="3" s="1"/>
  <c r="G279" i="3"/>
  <c r="H279" i="3" s="1"/>
  <c r="G266" i="3"/>
  <c r="H266" i="3" s="1"/>
  <c r="G262" i="3"/>
  <c r="H262" i="3" s="1"/>
  <c r="G256" i="3"/>
  <c r="H256" i="3" s="1"/>
  <c r="G252" i="3"/>
  <c r="H252" i="3" s="1"/>
  <c r="G246" i="3"/>
  <c r="H246" i="3" s="1"/>
  <c r="G242" i="3"/>
  <c r="H242" i="3" s="1"/>
  <c r="G233" i="3"/>
  <c r="H233" i="3" s="1"/>
  <c r="G229" i="3"/>
  <c r="H229" i="3" s="1"/>
  <c r="G223" i="3"/>
  <c r="H223" i="3" s="1"/>
  <c r="G219" i="3"/>
  <c r="H219" i="3" s="1"/>
  <c r="G209" i="3"/>
  <c r="H209" i="3" s="1"/>
  <c r="G201" i="3"/>
  <c r="H201" i="3" s="1"/>
  <c r="G195" i="3"/>
  <c r="H195" i="3" s="1"/>
  <c r="G188" i="3"/>
  <c r="H188" i="3" s="1"/>
  <c r="G182" i="3"/>
  <c r="H182" i="3" s="1"/>
  <c r="G176" i="3"/>
  <c r="H176" i="3" s="1"/>
  <c r="G167" i="3"/>
  <c r="H167" i="3" s="1"/>
  <c r="G163" i="3"/>
  <c r="H163" i="3" s="1"/>
  <c r="G159" i="3"/>
  <c r="H159" i="3" s="1"/>
  <c r="G153" i="3"/>
  <c r="H153" i="3" s="1"/>
  <c r="G147" i="3"/>
  <c r="H147" i="3" s="1"/>
  <c r="G647" i="3"/>
  <c r="H647" i="3" s="1"/>
  <c r="G639" i="3"/>
  <c r="H639" i="3" s="1"/>
  <c r="G628" i="3"/>
  <c r="H628" i="3" s="1"/>
  <c r="G618" i="3"/>
  <c r="H618" i="3" s="1"/>
  <c r="G612" i="3"/>
  <c r="H612" i="3" s="1"/>
  <c r="G606" i="3"/>
  <c r="H606" i="3" s="1"/>
  <c r="G598" i="3"/>
  <c r="H598" i="3" s="1"/>
  <c r="G592" i="3"/>
  <c r="H592" i="3" s="1"/>
  <c r="G586" i="3"/>
  <c r="H586" i="3" s="1"/>
  <c r="G577" i="3"/>
  <c r="H577" i="3" s="1"/>
  <c r="G569" i="3"/>
  <c r="H569" i="3" s="1"/>
  <c r="G565" i="3"/>
  <c r="H565" i="3" s="1"/>
  <c r="G559" i="3"/>
  <c r="H559" i="3" s="1"/>
  <c r="G551" i="3"/>
  <c r="H551" i="3" s="1"/>
  <c r="G545" i="3"/>
  <c r="H545" i="3" s="1"/>
  <c r="G539" i="3"/>
  <c r="H539" i="3" s="1"/>
  <c r="G528" i="3"/>
  <c r="H528" i="3" s="1"/>
  <c r="H527" i="3" s="1"/>
  <c r="G520" i="3"/>
  <c r="H520" i="3" s="1"/>
  <c r="G514" i="3"/>
  <c r="H514" i="3" s="1"/>
  <c r="G510" i="3"/>
  <c r="H510" i="3" s="1"/>
  <c r="G506" i="3"/>
  <c r="H506" i="3" s="1"/>
  <c r="G498" i="3"/>
  <c r="H498" i="3" s="1"/>
  <c r="G491" i="3"/>
  <c r="H491" i="3" s="1"/>
  <c r="G485" i="3"/>
  <c r="H485" i="3" s="1"/>
  <c r="G479" i="3"/>
  <c r="H479" i="3" s="1"/>
  <c r="G475" i="3"/>
  <c r="H475" i="3" s="1"/>
  <c r="G469" i="3"/>
  <c r="H469" i="3" s="1"/>
  <c r="G465" i="3"/>
  <c r="H465" i="3" s="1"/>
  <c r="G461" i="3"/>
  <c r="H461" i="3" s="1"/>
  <c r="G455" i="3"/>
  <c r="H455" i="3" s="1"/>
  <c r="G451" i="3"/>
  <c r="H451" i="3" s="1"/>
  <c r="G442" i="3"/>
  <c r="H442" i="3" s="1"/>
  <c r="G438" i="3"/>
  <c r="H438" i="3" s="1"/>
  <c r="G432" i="3"/>
  <c r="H432" i="3" s="1"/>
  <c r="G428" i="3"/>
  <c r="H428" i="3" s="1"/>
  <c r="G422" i="3"/>
  <c r="H422" i="3" s="1"/>
  <c r="G418" i="3"/>
  <c r="H418" i="3" s="1"/>
  <c r="G412" i="3"/>
  <c r="H412" i="3" s="1"/>
  <c r="G408" i="3"/>
  <c r="H408" i="3" s="1"/>
  <c r="G402" i="3"/>
  <c r="H402" i="3" s="1"/>
  <c r="G398" i="3"/>
  <c r="H398" i="3" s="1"/>
  <c r="G391" i="3"/>
  <c r="H391" i="3" s="1"/>
  <c r="G383" i="3"/>
  <c r="H383" i="3" s="1"/>
  <c r="G377" i="3"/>
  <c r="H377" i="3" s="1"/>
  <c r="G369" i="3"/>
  <c r="H369" i="3" s="1"/>
  <c r="G363" i="3"/>
  <c r="H363" i="3" s="1"/>
  <c r="G359" i="3"/>
  <c r="H359" i="3" s="1"/>
  <c r="G353" i="3"/>
  <c r="H353" i="3" s="1"/>
  <c r="G344" i="3"/>
  <c r="H344" i="3" s="1"/>
  <c r="G338" i="3"/>
  <c r="H338" i="3" s="1"/>
  <c r="G332" i="3"/>
  <c r="H332" i="3" s="1"/>
  <c r="G324" i="3"/>
  <c r="H324" i="3" s="1"/>
  <c r="G318" i="3"/>
  <c r="H318" i="3" s="1"/>
  <c r="G314" i="3"/>
  <c r="H314" i="3" s="1"/>
  <c r="G308" i="3"/>
  <c r="H308" i="3" s="1"/>
  <c r="G304" i="3"/>
  <c r="H304" i="3" s="1"/>
  <c r="G298" i="3"/>
  <c r="H298" i="3" s="1"/>
  <c r="G294" i="3"/>
  <c r="H294" i="3" s="1"/>
  <c r="G288" i="3"/>
  <c r="H288" i="3" s="1"/>
  <c r="G282" i="3"/>
  <c r="H282" i="3" s="1"/>
  <c r="G269" i="3"/>
  <c r="H269" i="3" s="1"/>
  <c r="G265" i="3"/>
  <c r="H265" i="3" s="1"/>
  <c r="G259" i="3"/>
  <c r="H259" i="3" s="1"/>
  <c r="G255" i="3"/>
  <c r="H255" i="3" s="1"/>
  <c r="G249" i="3"/>
  <c r="H249" i="3" s="1"/>
  <c r="G245" i="3"/>
  <c r="H245" i="3" s="1"/>
  <c r="G238" i="3"/>
  <c r="H238" i="3" s="1"/>
  <c r="G232" i="3"/>
  <c r="H232" i="3" s="1"/>
  <c r="G228" i="3"/>
  <c r="H228" i="3" s="1"/>
  <c r="G222" i="3"/>
  <c r="H222" i="3" s="1"/>
  <c r="G214" i="3"/>
  <c r="H214" i="3" s="1"/>
  <c r="G208" i="3"/>
  <c r="H208" i="3" s="1"/>
  <c r="G204" i="3"/>
  <c r="H204" i="3" s="1"/>
  <c r="G200" i="3"/>
  <c r="H200" i="3" s="1"/>
  <c r="G191" i="3"/>
  <c r="H191" i="3" s="1"/>
  <c r="G185" i="3"/>
  <c r="H185" i="3" s="1"/>
  <c r="G181" i="3"/>
  <c r="H181" i="3" s="1"/>
  <c r="G175" i="3"/>
  <c r="H175" i="3" s="1"/>
  <c r="G166" i="3"/>
  <c r="H166" i="3" s="1"/>
  <c r="G162" i="3"/>
  <c r="H162" i="3" s="1"/>
  <c r="G158" i="3"/>
  <c r="H158" i="3" s="1"/>
  <c r="G152" i="3"/>
  <c r="H152" i="3" s="1"/>
  <c r="G646" i="3"/>
  <c r="H646" i="3" s="1"/>
  <c r="G633" i="3"/>
  <c r="H633" i="3" s="1"/>
  <c r="G623" i="3"/>
  <c r="H623" i="3" s="1"/>
  <c r="G617" i="3"/>
  <c r="H617" i="3" s="1"/>
  <c r="G611" i="3"/>
  <c r="H611" i="3" s="1"/>
  <c r="G603" i="3"/>
  <c r="H603" i="3" s="1"/>
  <c r="G597" i="3"/>
  <c r="H597" i="3" s="1"/>
  <c r="G591" i="3"/>
  <c r="H591" i="3" s="1"/>
  <c r="G580" i="3"/>
  <c r="H580" i="3" s="1"/>
  <c r="G574" i="3"/>
  <c r="H574" i="3" s="1"/>
  <c r="G568" i="3"/>
  <c r="H568" i="3" s="1"/>
  <c r="G564" i="3"/>
  <c r="H564" i="3" s="1"/>
  <c r="G556" i="3"/>
  <c r="H556" i="3" s="1"/>
  <c r="G550" i="3"/>
  <c r="H550" i="3" s="1"/>
  <c r="G542" i="3"/>
  <c r="H542" i="3" s="1"/>
  <c r="G536" i="3"/>
  <c r="H536" i="3" s="1"/>
  <c r="G523" i="3"/>
  <c r="H523" i="3" s="1"/>
  <c r="G519" i="3"/>
  <c r="H519" i="3" s="1"/>
  <c r="G513" i="3"/>
  <c r="H513" i="3" s="1"/>
  <c r="G509" i="3"/>
  <c r="H509" i="3" s="1"/>
  <c r="G501" i="3"/>
  <c r="H501" i="3" s="1"/>
  <c r="G494" i="3"/>
  <c r="H494" i="3" s="1"/>
  <c r="G490" i="3"/>
  <c r="H490" i="3" s="1"/>
  <c r="G484" i="3"/>
  <c r="H484" i="3" s="1"/>
  <c r="G478" i="3"/>
  <c r="H478" i="3" s="1"/>
  <c r="G474" i="3"/>
  <c r="H474" i="3" s="1"/>
  <c r="G468" i="3"/>
  <c r="H468" i="3" s="1"/>
  <c r="G464" i="3"/>
  <c r="H464" i="3" s="1"/>
  <c r="G458" i="3"/>
  <c r="H458" i="3" s="1"/>
  <c r="G454" i="3"/>
  <c r="H454" i="3" s="1"/>
  <c r="G450" i="3"/>
  <c r="H450" i="3" s="1"/>
  <c r="G441" i="3"/>
  <c r="H441" i="3" s="1"/>
  <c r="G437" i="3"/>
  <c r="H437" i="3" s="1"/>
  <c r="G431" i="3"/>
  <c r="H431" i="3" s="1"/>
  <c r="G427" i="3"/>
  <c r="H427" i="3" s="1"/>
  <c r="G421" i="3"/>
  <c r="H421" i="3" s="1"/>
  <c r="G417" i="3"/>
  <c r="H417" i="3" s="1"/>
  <c r="G411" i="3"/>
  <c r="H411" i="3" s="1"/>
  <c r="G405" i="3"/>
  <c r="H405" i="3" s="1"/>
  <c r="G401" i="3"/>
  <c r="H401" i="3" s="1"/>
  <c r="G397" i="3"/>
  <c r="H397" i="3" s="1"/>
  <c r="G388" i="3"/>
  <c r="H388" i="3" s="1"/>
  <c r="G382" i="3"/>
  <c r="H382" i="3" s="1"/>
  <c r="G374" i="3"/>
  <c r="H374" i="3" s="1"/>
  <c r="G368" i="3"/>
  <c r="H368" i="3" s="1"/>
  <c r="G362" i="3"/>
  <c r="H362" i="3" s="1"/>
  <c r="G358" i="3"/>
  <c r="H358" i="3" s="1"/>
  <c r="G349" i="3"/>
  <c r="H349" i="3" s="1"/>
  <c r="G343" i="3"/>
  <c r="H343" i="3" s="1"/>
  <c r="G337" i="3"/>
  <c r="H337" i="3" s="1"/>
  <c r="G329" i="3"/>
  <c r="H329" i="3" s="1"/>
  <c r="G323" i="3"/>
  <c r="H323" i="3" s="1"/>
  <c r="G317" i="3"/>
  <c r="H317" i="3" s="1"/>
  <c r="G313" i="3"/>
  <c r="H313" i="3" s="1"/>
  <c r="G307" i="3"/>
  <c r="H307" i="3" s="1"/>
  <c r="G303" i="3"/>
  <c r="H303" i="3" s="1"/>
  <c r="G297" i="3"/>
  <c r="H297" i="3" s="1"/>
  <c r="G291" i="3"/>
  <c r="H291" i="3" s="1"/>
  <c r="G287" i="3"/>
  <c r="H287" i="3" s="1"/>
  <c r="G281" i="3"/>
  <c r="H281" i="3" s="1"/>
  <c r="G268" i="3"/>
  <c r="H268" i="3" s="1"/>
  <c r="G264" i="3"/>
  <c r="H264" i="3" s="1"/>
  <c r="G258" i="3"/>
  <c r="H258" i="3" s="1"/>
  <c r="G254" i="3"/>
  <c r="H254" i="3" s="1"/>
  <c r="G248" i="3"/>
  <c r="H248" i="3" s="1"/>
  <c r="G244" i="3"/>
  <c r="H244" i="3" s="1"/>
  <c r="G237" i="3"/>
  <c r="H237" i="3" s="1"/>
  <c r="G231" i="3"/>
  <c r="H231" i="3" s="1"/>
  <c r="G227" i="3"/>
  <c r="H227" i="3" s="1"/>
  <c r="G221" i="3"/>
  <c r="H221" i="3" s="1"/>
  <c r="G215" i="3"/>
  <c r="H215" i="3" s="1"/>
  <c r="G203" i="3"/>
  <c r="H203" i="3" s="1"/>
  <c r="G197" i="3"/>
  <c r="H197" i="3" s="1"/>
  <c r="G190" i="3"/>
  <c r="H190" i="3" s="1"/>
  <c r="G184" i="3"/>
  <c r="H184" i="3" s="1"/>
  <c r="G178" i="3"/>
  <c r="H178" i="3" s="1"/>
  <c r="G171" i="3"/>
  <c r="H171" i="3" s="1"/>
  <c r="G165" i="3"/>
  <c r="H165" i="3" s="1"/>
  <c r="G161" i="3"/>
  <c r="H161" i="3" s="1"/>
  <c r="G157" i="3"/>
  <c r="H157" i="3" s="1"/>
  <c r="G151" i="3"/>
  <c r="H151" i="3" s="1"/>
  <c r="G616" i="3"/>
  <c r="H616" i="3" s="1"/>
  <c r="G588" i="3"/>
  <c r="H588" i="3" s="1"/>
  <c r="G563" i="3"/>
  <c r="H563" i="3" s="1"/>
  <c r="G535" i="3"/>
  <c r="H535" i="3" s="1"/>
  <c r="G508" i="3"/>
  <c r="H508" i="3" s="1"/>
  <c r="G483" i="3"/>
  <c r="H483" i="3" s="1"/>
  <c r="G463" i="3"/>
  <c r="H463" i="3" s="1"/>
  <c r="G440" i="3"/>
  <c r="H440" i="3" s="1"/>
  <c r="G420" i="3"/>
  <c r="H420" i="3" s="1"/>
  <c r="G400" i="3"/>
  <c r="H400" i="3" s="1"/>
  <c r="G373" i="3"/>
  <c r="H373" i="3" s="1"/>
  <c r="G348" i="3"/>
  <c r="H348" i="3" s="1"/>
  <c r="G322" i="3"/>
  <c r="H322" i="3" s="1"/>
  <c r="G300" i="3"/>
  <c r="H300" i="3" s="1"/>
  <c r="G280" i="3"/>
  <c r="H280" i="3" s="1"/>
  <c r="G253" i="3"/>
  <c r="H253" i="3" s="1"/>
  <c r="G230" i="3"/>
  <c r="H230" i="3" s="1"/>
  <c r="G210" i="3"/>
  <c r="H210" i="3" s="1"/>
  <c r="G202" i="3"/>
  <c r="H202" i="3" s="1"/>
  <c r="G177" i="3"/>
  <c r="H177" i="3" s="1"/>
  <c r="G154" i="3"/>
  <c r="H154" i="3" s="1"/>
  <c r="G144" i="3"/>
  <c r="H144" i="3" s="1"/>
  <c r="G138" i="3"/>
  <c r="H138" i="3" s="1"/>
  <c r="G132" i="3"/>
  <c r="H132" i="3" s="1"/>
  <c r="G126" i="3"/>
  <c r="H126" i="3" s="1"/>
  <c r="G122" i="3"/>
  <c r="H122" i="3" s="1"/>
  <c r="G116" i="3"/>
  <c r="H116" i="3" s="1"/>
  <c r="G109" i="3"/>
  <c r="H109" i="3" s="1"/>
  <c r="G102" i="3"/>
  <c r="H102" i="3" s="1"/>
  <c r="G98" i="3"/>
  <c r="H98" i="3" s="1"/>
  <c r="G92" i="3"/>
  <c r="H92" i="3" s="1"/>
  <c r="G88" i="3"/>
  <c r="H88" i="3" s="1"/>
  <c r="G84" i="3"/>
  <c r="H84" i="3" s="1"/>
  <c r="G78" i="3"/>
  <c r="H78" i="3" s="1"/>
  <c r="G74" i="3"/>
  <c r="H74" i="3" s="1"/>
  <c r="G70" i="3"/>
  <c r="H70" i="3" s="1"/>
  <c r="G63" i="3"/>
  <c r="H63" i="3" s="1"/>
  <c r="G52" i="3"/>
  <c r="H52" i="3" s="1"/>
  <c r="H51" i="3" s="1"/>
  <c r="G44" i="3"/>
  <c r="H44" i="3" s="1"/>
  <c r="G36" i="3"/>
  <c r="H36" i="3" s="1"/>
  <c r="G27" i="3"/>
  <c r="H27" i="3" s="1"/>
  <c r="G19" i="3"/>
  <c r="H19" i="3" s="1"/>
  <c r="C647" i="3"/>
  <c r="E641" i="3"/>
  <c r="D640" i="3"/>
  <c r="C639" i="3"/>
  <c r="E632" i="3"/>
  <c r="D629" i="3"/>
  <c r="C628" i="3"/>
  <c r="E622" i="3"/>
  <c r="D621" i="3"/>
  <c r="C618" i="3"/>
  <c r="E616" i="3"/>
  <c r="D613" i="3"/>
  <c r="C612" i="3"/>
  <c r="E608" i="3"/>
  <c r="D607" i="3"/>
  <c r="C606" i="3"/>
  <c r="E602" i="3"/>
  <c r="D601" i="3"/>
  <c r="C598" i="3"/>
  <c r="E596" i="3"/>
  <c r="D593" i="3"/>
  <c r="C592" i="3"/>
  <c r="E588" i="3"/>
  <c r="D587" i="3"/>
  <c r="C586" i="3"/>
  <c r="G355" i="3"/>
  <c r="H355" i="3" s="1"/>
  <c r="G145" i="3"/>
  <c r="H145" i="3" s="1"/>
  <c r="G133" i="3"/>
  <c r="H133" i="3" s="1"/>
  <c r="G117" i="3"/>
  <c r="H117" i="3" s="1"/>
  <c r="G641" i="3"/>
  <c r="H641" i="3" s="1"/>
  <c r="G608" i="3"/>
  <c r="H608" i="3" s="1"/>
  <c r="G579" i="3"/>
  <c r="H579" i="3" s="1"/>
  <c r="G555" i="3"/>
  <c r="H555" i="3" s="1"/>
  <c r="G522" i="3"/>
  <c r="H522" i="3" s="1"/>
  <c r="G500" i="3"/>
  <c r="H500" i="3" s="1"/>
  <c r="G477" i="3"/>
  <c r="H477" i="3" s="1"/>
  <c r="G457" i="3"/>
  <c r="H457" i="3" s="1"/>
  <c r="G436" i="3"/>
  <c r="H436" i="3" s="1"/>
  <c r="G416" i="3"/>
  <c r="H416" i="3" s="1"/>
  <c r="G396" i="3"/>
  <c r="H396" i="3" s="1"/>
  <c r="G365" i="3"/>
  <c r="H365" i="3" s="1"/>
  <c r="G342" i="3"/>
  <c r="H342" i="3" s="1"/>
  <c r="G316" i="3"/>
  <c r="H316" i="3" s="1"/>
  <c r="G296" i="3"/>
  <c r="H296" i="3" s="1"/>
  <c r="G267" i="3"/>
  <c r="H267" i="3" s="1"/>
  <c r="G247" i="3"/>
  <c r="H247" i="3" s="1"/>
  <c r="G224" i="3"/>
  <c r="H224" i="3" s="1"/>
  <c r="G196" i="3"/>
  <c r="H196" i="3" s="1"/>
  <c r="G170" i="3"/>
  <c r="H170" i="3" s="1"/>
  <c r="G150" i="3"/>
  <c r="H150" i="3" s="1"/>
  <c r="G143" i="3"/>
  <c r="H143" i="3" s="1"/>
  <c r="G137" i="3"/>
  <c r="H137" i="3" s="1"/>
  <c r="G131" i="3"/>
  <c r="H131" i="3" s="1"/>
  <c r="G125" i="3"/>
  <c r="H125" i="3" s="1"/>
  <c r="G119" i="3"/>
  <c r="H119" i="3" s="1"/>
  <c r="G115" i="3"/>
  <c r="H115" i="3" s="1"/>
  <c r="G108" i="3"/>
  <c r="H108" i="3" s="1"/>
  <c r="G101" i="3"/>
  <c r="H101" i="3" s="1"/>
  <c r="G97" i="3"/>
  <c r="H97" i="3" s="1"/>
  <c r="G91" i="3"/>
  <c r="H91" i="3" s="1"/>
  <c r="G87" i="3"/>
  <c r="H87" i="3" s="1"/>
  <c r="G83" i="3"/>
  <c r="H83" i="3" s="1"/>
  <c r="G77" i="3"/>
  <c r="H77" i="3" s="1"/>
  <c r="G73" i="3"/>
  <c r="H73" i="3" s="1"/>
  <c r="G69" i="3"/>
  <c r="H69" i="3" s="1"/>
  <c r="G62" i="3"/>
  <c r="H62" i="3" s="1"/>
  <c r="G49" i="3"/>
  <c r="H49" i="3" s="1"/>
  <c r="G41" i="3"/>
  <c r="H41" i="3" s="1"/>
  <c r="G33" i="3"/>
  <c r="H33" i="3" s="1"/>
  <c r="G26" i="3"/>
  <c r="H26" i="3" s="1"/>
  <c r="G18" i="3"/>
  <c r="H18" i="3" s="1"/>
  <c r="E646" i="3"/>
  <c r="D641" i="3"/>
  <c r="C640" i="3"/>
  <c r="E633" i="3"/>
  <c r="D632" i="3"/>
  <c r="C629" i="3"/>
  <c r="E623" i="3"/>
  <c r="D622" i="3"/>
  <c r="C621" i="3"/>
  <c r="E617" i="3"/>
  <c r="D616" i="3"/>
  <c r="C613" i="3"/>
  <c r="E611" i="3"/>
  <c r="D608" i="3"/>
  <c r="C607" i="3"/>
  <c r="E603" i="3"/>
  <c r="D602" i="3"/>
  <c r="C601" i="3"/>
  <c r="E597" i="3"/>
  <c r="D596" i="3"/>
  <c r="C593" i="3"/>
  <c r="E591" i="3"/>
  <c r="D588" i="3"/>
  <c r="C587" i="3"/>
  <c r="G306" i="3"/>
  <c r="H306" i="3" s="1"/>
  <c r="G160" i="3"/>
  <c r="H160" i="3" s="1"/>
  <c r="G129" i="3"/>
  <c r="H129" i="3" s="1"/>
  <c r="G632" i="3"/>
  <c r="H632" i="3" s="1"/>
  <c r="G602" i="3"/>
  <c r="H602" i="3" s="1"/>
  <c r="G573" i="3"/>
  <c r="H573" i="3" s="1"/>
  <c r="G549" i="3"/>
  <c r="H549" i="3" s="1"/>
  <c r="G518" i="3"/>
  <c r="H518" i="3" s="1"/>
  <c r="G493" i="3"/>
  <c r="H493" i="3" s="1"/>
  <c r="G471" i="3"/>
  <c r="H471" i="3" s="1"/>
  <c r="G453" i="3"/>
  <c r="H453" i="3" s="1"/>
  <c r="G430" i="3"/>
  <c r="H430" i="3" s="1"/>
  <c r="G410" i="3"/>
  <c r="H410" i="3" s="1"/>
  <c r="G387" i="3"/>
  <c r="H387" i="3" s="1"/>
  <c r="G361" i="3"/>
  <c r="H361" i="3" s="1"/>
  <c r="G334" i="3"/>
  <c r="H334" i="3" s="1"/>
  <c r="G312" i="3"/>
  <c r="H312" i="3" s="1"/>
  <c r="G290" i="3"/>
  <c r="H290" i="3" s="1"/>
  <c r="G263" i="3"/>
  <c r="H263" i="3" s="1"/>
  <c r="G243" i="3"/>
  <c r="H243" i="3" s="1"/>
  <c r="G220" i="3"/>
  <c r="H220" i="3" s="1"/>
  <c r="G189" i="3"/>
  <c r="H189" i="3" s="1"/>
  <c r="G164" i="3"/>
  <c r="H164" i="3" s="1"/>
  <c r="G146" i="3"/>
  <c r="H146" i="3" s="1"/>
  <c r="G140" i="3"/>
  <c r="H140" i="3" s="1"/>
  <c r="G136" i="3"/>
  <c r="H136" i="3" s="1"/>
  <c r="G130" i="3"/>
  <c r="H130" i="3" s="1"/>
  <c r="G124" i="3"/>
  <c r="H124" i="3" s="1"/>
  <c r="G118" i="3"/>
  <c r="H118" i="3" s="1"/>
  <c r="G111" i="3"/>
  <c r="H111" i="3" s="1"/>
  <c r="G104" i="3"/>
  <c r="H104" i="3" s="1"/>
  <c r="G100" i="3"/>
  <c r="H100" i="3" s="1"/>
  <c r="G96" i="3"/>
  <c r="H96" i="3" s="1"/>
  <c r="G90" i="3"/>
  <c r="H90" i="3" s="1"/>
  <c r="G86" i="3"/>
  <c r="H86" i="3" s="1"/>
  <c r="G82" i="3"/>
  <c r="H82" i="3" s="1"/>
  <c r="G76" i="3"/>
  <c r="H76" i="3" s="1"/>
  <c r="G72" i="3"/>
  <c r="H72" i="3" s="1"/>
  <c r="G68" i="3"/>
  <c r="H68" i="3" s="1"/>
  <c r="G61" i="3"/>
  <c r="H61" i="3" s="1"/>
  <c r="G48" i="3"/>
  <c r="H48" i="3" s="1"/>
  <c r="G40" i="3"/>
  <c r="H40" i="3" s="1"/>
  <c r="G32" i="3"/>
  <c r="H32" i="3" s="1"/>
  <c r="G25" i="3"/>
  <c r="H25" i="3" s="1"/>
  <c r="E647" i="3"/>
  <c r="D646" i="3"/>
  <c r="C641" i="3"/>
  <c r="E639" i="3"/>
  <c r="D633" i="3"/>
  <c r="C632" i="3"/>
  <c r="E628" i="3"/>
  <c r="D623" i="3"/>
  <c r="C622" i="3"/>
  <c r="E618" i="3"/>
  <c r="D617" i="3"/>
  <c r="C616" i="3"/>
  <c r="E612" i="3"/>
  <c r="D611" i="3"/>
  <c r="C608" i="3"/>
  <c r="E606" i="3"/>
  <c r="D603" i="3"/>
  <c r="C602" i="3"/>
  <c r="E598" i="3"/>
  <c r="D597" i="3"/>
  <c r="C596" i="3"/>
  <c r="E592" i="3"/>
  <c r="D591" i="3"/>
  <c r="C588" i="3"/>
  <c r="E586" i="3"/>
  <c r="G622" i="3"/>
  <c r="H622" i="3" s="1"/>
  <c r="G596" i="3"/>
  <c r="H596" i="3" s="1"/>
  <c r="G567" i="3"/>
  <c r="H567" i="3" s="1"/>
  <c r="G541" i="3"/>
  <c r="H541" i="3" s="1"/>
  <c r="G512" i="3"/>
  <c r="H512" i="3" s="1"/>
  <c r="G487" i="3"/>
  <c r="H487" i="3" s="1"/>
  <c r="G467" i="3"/>
  <c r="H467" i="3" s="1"/>
  <c r="G449" i="3"/>
  <c r="H449" i="3" s="1"/>
  <c r="G426" i="3"/>
  <c r="H426" i="3" s="1"/>
  <c r="G404" i="3"/>
  <c r="H404" i="3" s="1"/>
  <c r="G379" i="3"/>
  <c r="H379" i="3" s="1"/>
  <c r="G328" i="3"/>
  <c r="H328" i="3" s="1"/>
  <c r="G284" i="3"/>
  <c r="H284" i="3" s="1"/>
  <c r="G257" i="3"/>
  <c r="H257" i="3" s="1"/>
  <c r="G236" i="3"/>
  <c r="H236" i="3" s="1"/>
  <c r="G183" i="3"/>
  <c r="H183" i="3" s="1"/>
  <c r="G139" i="3"/>
  <c r="H139" i="3" s="1"/>
  <c r="G123" i="3"/>
  <c r="H123" i="3" s="1"/>
  <c r="G95" i="3"/>
  <c r="H95" i="3" s="1"/>
  <c r="G45" i="3"/>
  <c r="H45" i="3" s="1"/>
  <c r="C603" i="3"/>
  <c r="G71" i="3"/>
  <c r="H71" i="3" s="1"/>
  <c r="C646" i="3"/>
  <c r="D618" i="3"/>
  <c r="D592" i="3"/>
  <c r="G110" i="3"/>
  <c r="H110" i="3" s="1"/>
  <c r="E601" i="3"/>
  <c r="G103" i="3"/>
  <c r="H103" i="3" s="1"/>
  <c r="G85" i="3"/>
  <c r="H85" i="3" s="1"/>
  <c r="G64" i="3"/>
  <c r="H64" i="3" s="1"/>
  <c r="G28" i="3"/>
  <c r="H28" i="3" s="1"/>
  <c r="E640" i="3"/>
  <c r="D628" i="3"/>
  <c r="C617" i="3"/>
  <c r="E607" i="3"/>
  <c r="D598" i="3"/>
  <c r="C591" i="3"/>
  <c r="G99" i="3"/>
  <c r="H99" i="3" s="1"/>
  <c r="G79" i="3"/>
  <c r="H79" i="3" s="1"/>
  <c r="G58" i="3"/>
  <c r="H58" i="3" s="1"/>
  <c r="H57" i="3" s="1"/>
  <c r="G24" i="3"/>
  <c r="H24" i="3" s="1"/>
  <c r="D639" i="3"/>
  <c r="C623" i="3"/>
  <c r="E613" i="3"/>
  <c r="D606" i="3"/>
  <c r="C597" i="3"/>
  <c r="E587" i="3"/>
  <c r="G75" i="3"/>
  <c r="H75" i="3" s="1"/>
  <c r="D647" i="3"/>
  <c r="C633" i="3"/>
  <c r="E621" i="3"/>
  <c r="D612" i="3"/>
  <c r="E593" i="3"/>
  <c r="D586" i="3"/>
  <c r="G89" i="3"/>
  <c r="H89" i="3" s="1"/>
  <c r="G37" i="3"/>
  <c r="H37" i="3" s="1"/>
  <c r="E629" i="3"/>
  <c r="C611" i="3"/>
  <c r="C580" i="3"/>
  <c r="E578" i="3"/>
  <c r="D577" i="3"/>
  <c r="C574" i="3"/>
  <c r="E572" i="3"/>
  <c r="D569" i="3"/>
  <c r="C568" i="3"/>
  <c r="E566" i="3"/>
  <c r="D565" i="3"/>
  <c r="C564" i="3"/>
  <c r="E579" i="3"/>
  <c r="D578" i="3"/>
  <c r="C577" i="3"/>
  <c r="E573" i="3"/>
  <c r="D572" i="3"/>
  <c r="C569" i="3"/>
  <c r="E567" i="3"/>
  <c r="D566" i="3"/>
  <c r="C565" i="3"/>
  <c r="E563" i="3"/>
  <c r="E580" i="3"/>
  <c r="D579" i="3"/>
  <c r="C578" i="3"/>
  <c r="E574" i="3"/>
  <c r="D573" i="3"/>
  <c r="C572" i="3"/>
  <c r="E568" i="3"/>
  <c r="D567" i="3"/>
  <c r="C566" i="3"/>
  <c r="E564" i="3"/>
  <c r="D563" i="3"/>
  <c r="D580" i="3"/>
  <c r="C579" i="3"/>
  <c r="E577" i="3"/>
  <c r="D574" i="3"/>
  <c r="C573" i="3"/>
  <c r="E569" i="3"/>
  <c r="D568" i="3"/>
  <c r="C567" i="3"/>
  <c r="E565" i="3"/>
  <c r="D564" i="3"/>
  <c r="C563" i="3"/>
  <c r="E559" i="3"/>
  <c r="D556" i="3"/>
  <c r="C555" i="3"/>
  <c r="E551" i="3"/>
  <c r="D550" i="3"/>
  <c r="C549" i="3"/>
  <c r="E545" i="3"/>
  <c r="D542" i="3"/>
  <c r="C541" i="3"/>
  <c r="E539" i="3"/>
  <c r="D536" i="3"/>
  <c r="C535" i="3"/>
  <c r="E528" i="3"/>
  <c r="D523" i="3"/>
  <c r="C522" i="3"/>
  <c r="E520" i="3"/>
  <c r="D519" i="3"/>
  <c r="C518" i="3"/>
  <c r="E514" i="3"/>
  <c r="D513" i="3"/>
  <c r="C512" i="3"/>
  <c r="E510" i="3"/>
  <c r="D509" i="3"/>
  <c r="C508" i="3"/>
  <c r="E506" i="3"/>
  <c r="D501" i="3"/>
  <c r="C500" i="3"/>
  <c r="E498" i="3"/>
  <c r="D494" i="3"/>
  <c r="C493" i="3"/>
  <c r="E491" i="3"/>
  <c r="D490" i="3"/>
  <c r="C487" i="3"/>
  <c r="E485" i="3"/>
  <c r="D484" i="3"/>
  <c r="C483" i="3"/>
  <c r="E479" i="3"/>
  <c r="D478" i="3"/>
  <c r="C477" i="3"/>
  <c r="E475" i="3"/>
  <c r="D474" i="3"/>
  <c r="C471" i="3"/>
  <c r="E469" i="3"/>
  <c r="D468" i="3"/>
  <c r="C467" i="3"/>
  <c r="E465" i="3"/>
  <c r="D464" i="3"/>
  <c r="C463" i="3"/>
  <c r="E461" i="3"/>
  <c r="D458" i="3"/>
  <c r="C457" i="3"/>
  <c r="E455" i="3"/>
  <c r="D454" i="3"/>
  <c r="C453" i="3"/>
  <c r="E451" i="3"/>
  <c r="D450" i="3"/>
  <c r="C449" i="3"/>
  <c r="E442" i="3"/>
  <c r="D441" i="3"/>
  <c r="C440" i="3"/>
  <c r="E438" i="3"/>
  <c r="D437" i="3"/>
  <c r="C436" i="3"/>
  <c r="E432" i="3"/>
  <c r="D431" i="3"/>
  <c r="C430" i="3"/>
  <c r="E428" i="3"/>
  <c r="D427" i="3"/>
  <c r="C426" i="3"/>
  <c r="E422" i="3"/>
  <c r="D421" i="3"/>
  <c r="C420" i="3"/>
  <c r="E418" i="3"/>
  <c r="D417" i="3"/>
  <c r="C416" i="3"/>
  <c r="E412" i="3"/>
  <c r="D411" i="3"/>
  <c r="C410" i="3"/>
  <c r="E408" i="3"/>
  <c r="E560" i="3"/>
  <c r="D559" i="3"/>
  <c r="C556" i="3"/>
  <c r="E552" i="3"/>
  <c r="D551" i="3"/>
  <c r="C550" i="3"/>
  <c r="E546" i="3"/>
  <c r="D545" i="3"/>
  <c r="C542" i="3"/>
  <c r="E540" i="3"/>
  <c r="D539" i="3"/>
  <c r="C536" i="3"/>
  <c r="E534" i="3"/>
  <c r="D528" i="3"/>
  <c r="C523" i="3"/>
  <c r="E521" i="3"/>
  <c r="D520" i="3"/>
  <c r="C519" i="3"/>
  <c r="E517" i="3"/>
  <c r="D514" i="3"/>
  <c r="C513" i="3"/>
  <c r="E511" i="3"/>
  <c r="D510" i="3"/>
  <c r="C509" i="3"/>
  <c r="E507" i="3"/>
  <c r="D506" i="3"/>
  <c r="C501" i="3"/>
  <c r="E499" i="3"/>
  <c r="D498" i="3"/>
  <c r="C494" i="3"/>
  <c r="E492" i="3"/>
  <c r="D491" i="3"/>
  <c r="C490" i="3"/>
  <c r="E486" i="3"/>
  <c r="D485" i="3"/>
  <c r="C484" i="3"/>
  <c r="E482" i="3"/>
  <c r="D479" i="3"/>
  <c r="C478" i="3"/>
  <c r="E476" i="3"/>
  <c r="D475" i="3"/>
  <c r="C474" i="3"/>
  <c r="E470" i="3"/>
  <c r="D469" i="3"/>
  <c r="C468" i="3"/>
  <c r="E466" i="3"/>
  <c r="D465" i="3"/>
  <c r="C464" i="3"/>
  <c r="E462" i="3"/>
  <c r="D461" i="3"/>
  <c r="C458" i="3"/>
  <c r="E456" i="3"/>
  <c r="D455" i="3"/>
  <c r="C454" i="3"/>
  <c r="E452" i="3"/>
  <c r="D451" i="3"/>
  <c r="C450" i="3"/>
  <c r="E443" i="3"/>
  <c r="D442" i="3"/>
  <c r="C441" i="3"/>
  <c r="E439" i="3"/>
  <c r="D438" i="3"/>
  <c r="C437" i="3"/>
  <c r="E433" i="3"/>
  <c r="D432" i="3"/>
  <c r="C431" i="3"/>
  <c r="E429" i="3"/>
  <c r="D428" i="3"/>
  <c r="C427" i="3"/>
  <c r="E425" i="3"/>
  <c r="D422" i="3"/>
  <c r="C421" i="3"/>
  <c r="E419" i="3"/>
  <c r="D418" i="3"/>
  <c r="C417" i="3"/>
  <c r="E415" i="3"/>
  <c r="D412" i="3"/>
  <c r="C411" i="3"/>
  <c r="E409" i="3"/>
  <c r="D560" i="3"/>
  <c r="C559" i="3"/>
  <c r="E555" i="3"/>
  <c r="D552" i="3"/>
  <c r="C551" i="3"/>
  <c r="E549" i="3"/>
  <c r="D546" i="3"/>
  <c r="C545" i="3"/>
  <c r="E541" i="3"/>
  <c r="D540" i="3"/>
  <c r="C539" i="3"/>
  <c r="E535" i="3"/>
  <c r="D534" i="3"/>
  <c r="C528" i="3"/>
  <c r="E522" i="3"/>
  <c r="D521" i="3"/>
  <c r="C520" i="3"/>
  <c r="E518" i="3"/>
  <c r="D517" i="3"/>
  <c r="C514" i="3"/>
  <c r="E512" i="3"/>
  <c r="D511" i="3"/>
  <c r="C510" i="3"/>
  <c r="E508" i="3"/>
  <c r="D507" i="3"/>
  <c r="C506" i="3"/>
  <c r="E500" i="3"/>
  <c r="D499" i="3"/>
  <c r="C498" i="3"/>
  <c r="E493" i="3"/>
  <c r="D492" i="3"/>
  <c r="C491" i="3"/>
  <c r="E487" i="3"/>
  <c r="D486" i="3"/>
  <c r="C485" i="3"/>
  <c r="E483" i="3"/>
  <c r="D482" i="3"/>
  <c r="C479" i="3"/>
  <c r="E477" i="3"/>
  <c r="D476" i="3"/>
  <c r="C475" i="3"/>
  <c r="E471" i="3"/>
  <c r="D470" i="3"/>
  <c r="C469" i="3"/>
  <c r="E467" i="3"/>
  <c r="D466" i="3"/>
  <c r="C465" i="3"/>
  <c r="E463" i="3"/>
  <c r="D462" i="3"/>
  <c r="C461" i="3"/>
  <c r="E457" i="3"/>
  <c r="D456" i="3"/>
  <c r="C455" i="3"/>
  <c r="E453" i="3"/>
  <c r="D452" i="3"/>
  <c r="C451" i="3"/>
  <c r="E449" i="3"/>
  <c r="D443" i="3"/>
  <c r="C442" i="3"/>
  <c r="E440" i="3"/>
  <c r="D439" i="3"/>
  <c r="C438" i="3"/>
  <c r="E436" i="3"/>
  <c r="D433" i="3"/>
  <c r="C432" i="3"/>
  <c r="E430" i="3"/>
  <c r="D429" i="3"/>
  <c r="C428" i="3"/>
  <c r="E426" i="3"/>
  <c r="D425" i="3"/>
  <c r="C422" i="3"/>
  <c r="E420" i="3"/>
  <c r="D419" i="3"/>
  <c r="C418" i="3"/>
  <c r="E416" i="3"/>
  <c r="D415" i="3"/>
  <c r="C412" i="3"/>
  <c r="E410" i="3"/>
  <c r="D409" i="3"/>
  <c r="C552" i="3"/>
  <c r="E542" i="3"/>
  <c r="D535" i="3"/>
  <c r="C521" i="3"/>
  <c r="E513" i="3"/>
  <c r="D508" i="3"/>
  <c r="C499" i="3"/>
  <c r="E490" i="3"/>
  <c r="D483" i="3"/>
  <c r="C476" i="3"/>
  <c r="E468" i="3"/>
  <c r="D463" i="3"/>
  <c r="C456" i="3"/>
  <c r="E450" i="3"/>
  <c r="D440" i="3"/>
  <c r="C433" i="3"/>
  <c r="E427" i="3"/>
  <c r="D420" i="3"/>
  <c r="C415" i="3"/>
  <c r="D408" i="3"/>
  <c r="C405" i="3"/>
  <c r="E403" i="3"/>
  <c r="D402" i="3"/>
  <c r="C401" i="3"/>
  <c r="E399" i="3"/>
  <c r="D398" i="3"/>
  <c r="C397" i="3"/>
  <c r="E392" i="3"/>
  <c r="D391" i="3"/>
  <c r="C388" i="3"/>
  <c r="E384" i="3"/>
  <c r="D383" i="3"/>
  <c r="C382" i="3"/>
  <c r="E378" i="3"/>
  <c r="D377" i="3"/>
  <c r="C374" i="3"/>
  <c r="E370" i="3"/>
  <c r="D369" i="3"/>
  <c r="C368" i="3"/>
  <c r="E364" i="3"/>
  <c r="D363" i="3"/>
  <c r="C362" i="3"/>
  <c r="E360" i="3"/>
  <c r="D359" i="3"/>
  <c r="C358" i="3"/>
  <c r="E354" i="3"/>
  <c r="D353" i="3"/>
  <c r="C349" i="3"/>
  <c r="E347" i="3"/>
  <c r="D344" i="3"/>
  <c r="C343" i="3"/>
  <c r="E339" i="3"/>
  <c r="D338" i="3"/>
  <c r="C337" i="3"/>
  <c r="E333" i="3"/>
  <c r="D332" i="3"/>
  <c r="C329" i="3"/>
  <c r="E327" i="3"/>
  <c r="D324" i="3"/>
  <c r="C560" i="3"/>
  <c r="E550" i="3"/>
  <c r="D541" i="3"/>
  <c r="C534" i="3"/>
  <c r="E519" i="3"/>
  <c r="D512" i="3"/>
  <c r="C507" i="3"/>
  <c r="E494" i="3"/>
  <c r="D487" i="3"/>
  <c r="C482" i="3"/>
  <c r="E474" i="3"/>
  <c r="D467" i="3"/>
  <c r="C462" i="3"/>
  <c r="E454" i="3"/>
  <c r="D449" i="3"/>
  <c r="C439" i="3"/>
  <c r="E431" i="3"/>
  <c r="D426" i="3"/>
  <c r="C419" i="3"/>
  <c r="E411" i="3"/>
  <c r="C408" i="3"/>
  <c r="E404" i="3"/>
  <c r="D403" i="3"/>
  <c r="C402" i="3"/>
  <c r="E400" i="3"/>
  <c r="D399" i="3"/>
  <c r="C398" i="3"/>
  <c r="E396" i="3"/>
  <c r="D392" i="3"/>
  <c r="C391" i="3"/>
  <c r="E387" i="3"/>
  <c r="D384" i="3"/>
  <c r="C383" i="3"/>
  <c r="E379" i="3"/>
  <c r="D378" i="3"/>
  <c r="C377" i="3"/>
  <c r="E373" i="3"/>
  <c r="D370" i="3"/>
  <c r="C369" i="3"/>
  <c r="E365" i="3"/>
  <c r="D364" i="3"/>
  <c r="C363" i="3"/>
  <c r="E361" i="3"/>
  <c r="D360" i="3"/>
  <c r="C359" i="3"/>
  <c r="E355" i="3"/>
  <c r="D354" i="3"/>
  <c r="C353" i="3"/>
  <c r="E348" i="3"/>
  <c r="D347" i="3"/>
  <c r="C344" i="3"/>
  <c r="E342" i="3"/>
  <c r="D339" i="3"/>
  <c r="C338" i="3"/>
  <c r="E334" i="3"/>
  <c r="D333" i="3"/>
  <c r="C332" i="3"/>
  <c r="E328" i="3"/>
  <c r="D327" i="3"/>
  <c r="C324" i="3"/>
  <c r="E322" i="3"/>
  <c r="D321" i="3"/>
  <c r="C318" i="3"/>
  <c r="E316" i="3"/>
  <c r="D315" i="3"/>
  <c r="E556" i="3"/>
  <c r="D549" i="3"/>
  <c r="C540" i="3"/>
  <c r="E523" i="3"/>
  <c r="D518" i="3"/>
  <c r="C511" i="3"/>
  <c r="E501" i="3"/>
  <c r="D493" i="3"/>
  <c r="C486" i="3"/>
  <c r="E478" i="3"/>
  <c r="D471" i="3"/>
  <c r="C466" i="3"/>
  <c r="E458" i="3"/>
  <c r="D453" i="3"/>
  <c r="C443" i="3"/>
  <c r="E437" i="3"/>
  <c r="D430" i="3"/>
  <c r="C425" i="3"/>
  <c r="E417" i="3"/>
  <c r="D410" i="3"/>
  <c r="E405" i="3"/>
  <c r="D404" i="3"/>
  <c r="C403" i="3"/>
  <c r="E401" i="3"/>
  <c r="D400" i="3"/>
  <c r="C399" i="3"/>
  <c r="E397" i="3"/>
  <c r="D396" i="3"/>
  <c r="C392" i="3"/>
  <c r="E388" i="3"/>
  <c r="D387" i="3"/>
  <c r="C384" i="3"/>
  <c r="E382" i="3"/>
  <c r="D379" i="3"/>
  <c r="C378" i="3"/>
  <c r="E374" i="3"/>
  <c r="D373" i="3"/>
  <c r="C370" i="3"/>
  <c r="E368" i="3"/>
  <c r="D365" i="3"/>
  <c r="C364" i="3"/>
  <c r="E362" i="3"/>
  <c r="D361" i="3"/>
  <c r="C360" i="3"/>
  <c r="E358" i="3"/>
  <c r="D355" i="3"/>
  <c r="C354" i="3"/>
  <c r="E349" i="3"/>
  <c r="D348" i="3"/>
  <c r="C347" i="3"/>
  <c r="E343" i="3"/>
  <c r="D342" i="3"/>
  <c r="C339" i="3"/>
  <c r="E337" i="3"/>
  <c r="D334" i="3"/>
  <c r="C333" i="3"/>
  <c r="E329" i="3"/>
  <c r="D328" i="3"/>
  <c r="C327" i="3"/>
  <c r="E323" i="3"/>
  <c r="D322" i="3"/>
  <c r="D555" i="3"/>
  <c r="C546" i="3"/>
  <c r="E536" i="3"/>
  <c r="D522" i="3"/>
  <c r="C517" i="3"/>
  <c r="E509" i="3"/>
  <c r="D500" i="3"/>
  <c r="C492" i="3"/>
  <c r="E484" i="3"/>
  <c r="D477" i="3"/>
  <c r="C470" i="3"/>
  <c r="E464" i="3"/>
  <c r="D457" i="3"/>
  <c r="C452" i="3"/>
  <c r="E441" i="3"/>
  <c r="D436" i="3"/>
  <c r="C429" i="3"/>
  <c r="E421" i="3"/>
  <c r="D416" i="3"/>
  <c r="C409" i="3"/>
  <c r="D405" i="3"/>
  <c r="C404" i="3"/>
  <c r="E402" i="3"/>
  <c r="D401" i="3"/>
  <c r="C400" i="3"/>
  <c r="E398" i="3"/>
  <c r="D397" i="3"/>
  <c r="C396" i="3"/>
  <c r="E391" i="3"/>
  <c r="D388" i="3"/>
  <c r="C387" i="3"/>
  <c r="E383" i="3"/>
  <c r="D382" i="3"/>
  <c r="C379" i="3"/>
  <c r="E377" i="3"/>
  <c r="D374" i="3"/>
  <c r="C373" i="3"/>
  <c r="E369" i="3"/>
  <c r="D368" i="3"/>
  <c r="C365" i="3"/>
  <c r="E363" i="3"/>
  <c r="D362" i="3"/>
  <c r="C361" i="3"/>
  <c r="E359" i="3"/>
  <c r="D358" i="3"/>
  <c r="C355" i="3"/>
  <c r="E353" i="3"/>
  <c r="D349" i="3"/>
  <c r="C348" i="3"/>
  <c r="E344" i="3"/>
  <c r="D343" i="3"/>
  <c r="C342" i="3"/>
  <c r="E338" i="3"/>
  <c r="D337" i="3"/>
  <c r="C334" i="3"/>
  <c r="E332" i="3"/>
  <c r="D329" i="3"/>
  <c r="C328" i="3"/>
  <c r="E324" i="3"/>
  <c r="D323" i="3"/>
  <c r="C322" i="3"/>
  <c r="E318" i="3"/>
  <c r="D317" i="3"/>
  <c r="C316" i="3"/>
  <c r="E314" i="3"/>
  <c r="D313" i="3"/>
  <c r="C312" i="3"/>
  <c r="E308" i="3"/>
  <c r="D307" i="3"/>
  <c r="C306" i="3"/>
  <c r="E304" i="3"/>
  <c r="D303" i="3"/>
  <c r="C300" i="3"/>
  <c r="E298" i="3"/>
  <c r="D297" i="3"/>
  <c r="C296" i="3"/>
  <c r="E294" i="3"/>
  <c r="D291" i="3"/>
  <c r="C290" i="3"/>
  <c r="E288" i="3"/>
  <c r="D287" i="3"/>
  <c r="C284" i="3"/>
  <c r="E282" i="3"/>
  <c r="D281" i="3"/>
  <c r="C323" i="3"/>
  <c r="E317" i="3"/>
  <c r="C315" i="3"/>
  <c r="C313" i="3"/>
  <c r="D311" i="3"/>
  <c r="E307" i="3"/>
  <c r="E305" i="3"/>
  <c r="C304" i="3"/>
  <c r="D300" i="3"/>
  <c r="D298" i="3"/>
  <c r="E296" i="3"/>
  <c r="C295" i="3"/>
  <c r="C291" i="3"/>
  <c r="D289" i="3"/>
  <c r="E287" i="3"/>
  <c r="E283" i="3"/>
  <c r="C282" i="3"/>
  <c r="D280" i="3"/>
  <c r="C279" i="3"/>
  <c r="E275" i="3"/>
  <c r="D274" i="3"/>
  <c r="C273" i="3"/>
  <c r="E269" i="3"/>
  <c r="D268" i="3"/>
  <c r="C267" i="3"/>
  <c r="E265" i="3"/>
  <c r="D264" i="3"/>
  <c r="C263" i="3"/>
  <c r="E259" i="3"/>
  <c r="D258" i="3"/>
  <c r="C257" i="3"/>
  <c r="E255" i="3"/>
  <c r="D254" i="3"/>
  <c r="C253" i="3"/>
  <c r="E249" i="3"/>
  <c r="D248" i="3"/>
  <c r="C247" i="3"/>
  <c r="E245" i="3"/>
  <c r="D244" i="3"/>
  <c r="C243" i="3"/>
  <c r="E238" i="3"/>
  <c r="D237" i="3"/>
  <c r="C236" i="3"/>
  <c r="E232" i="3"/>
  <c r="D231" i="3"/>
  <c r="C230" i="3"/>
  <c r="E228" i="3"/>
  <c r="D227" i="3"/>
  <c r="C224" i="3"/>
  <c r="E222" i="3"/>
  <c r="D221" i="3"/>
  <c r="C220" i="3"/>
  <c r="E215" i="3"/>
  <c r="D214" i="3"/>
  <c r="C210" i="3"/>
  <c r="E208" i="3"/>
  <c r="E204" i="3"/>
  <c r="D203" i="3"/>
  <c r="C202" i="3"/>
  <c r="E200" i="3"/>
  <c r="D197" i="3"/>
  <c r="C196" i="3"/>
  <c r="E191" i="3"/>
  <c r="D190" i="3"/>
  <c r="C189" i="3"/>
  <c r="E185" i="3"/>
  <c r="D184" i="3"/>
  <c r="C183" i="3"/>
  <c r="E181" i="3"/>
  <c r="D178" i="3"/>
  <c r="C177" i="3"/>
  <c r="E175" i="3"/>
  <c r="E321" i="3"/>
  <c r="C317" i="3"/>
  <c r="D314" i="3"/>
  <c r="E312" i="3"/>
  <c r="C311" i="3"/>
  <c r="C307" i="3"/>
  <c r="D305" i="3"/>
  <c r="E303" i="3"/>
  <c r="E299" i="3"/>
  <c r="C298" i="3"/>
  <c r="D296" i="3"/>
  <c r="D294" i="3"/>
  <c r="E290" i="3"/>
  <c r="C289" i="3"/>
  <c r="C287" i="3"/>
  <c r="D283" i="3"/>
  <c r="E281" i="3"/>
  <c r="C280" i="3"/>
  <c r="E276" i="3"/>
  <c r="D275" i="3"/>
  <c r="C274" i="3"/>
  <c r="E272" i="3"/>
  <c r="D269" i="3"/>
  <c r="C268" i="3"/>
  <c r="E266" i="3"/>
  <c r="D265" i="3"/>
  <c r="C264" i="3"/>
  <c r="E262" i="3"/>
  <c r="D259" i="3"/>
  <c r="C258" i="3"/>
  <c r="E256" i="3"/>
  <c r="D255" i="3"/>
  <c r="C254" i="3"/>
  <c r="E252" i="3"/>
  <c r="D249" i="3"/>
  <c r="C248" i="3"/>
  <c r="E246" i="3"/>
  <c r="D245" i="3"/>
  <c r="C244" i="3"/>
  <c r="E242" i="3"/>
  <c r="D238" i="3"/>
  <c r="C237" i="3"/>
  <c r="E233" i="3"/>
  <c r="D232" i="3"/>
  <c r="C231" i="3"/>
  <c r="E229" i="3"/>
  <c r="D228" i="3"/>
  <c r="C227" i="3"/>
  <c r="E223" i="3"/>
  <c r="D222" i="3"/>
  <c r="C221" i="3"/>
  <c r="E219" i="3"/>
  <c r="D215" i="3"/>
  <c r="C214" i="3"/>
  <c r="E209" i="3"/>
  <c r="D208" i="3"/>
  <c r="D204" i="3"/>
  <c r="C203" i="3"/>
  <c r="E201" i="3"/>
  <c r="D200" i="3"/>
  <c r="C197" i="3"/>
  <c r="E195" i="3"/>
  <c r="D191" i="3"/>
  <c r="C190" i="3"/>
  <c r="E188" i="3"/>
  <c r="D185" i="3"/>
  <c r="C184" i="3"/>
  <c r="E182" i="3"/>
  <c r="D181" i="3"/>
  <c r="C178" i="3"/>
  <c r="E176" i="3"/>
  <c r="D175" i="3"/>
  <c r="C321" i="3"/>
  <c r="D316" i="3"/>
  <c r="C314" i="3"/>
  <c r="D312" i="3"/>
  <c r="D308" i="3"/>
  <c r="E306" i="3"/>
  <c r="C305" i="3"/>
  <c r="C303" i="3"/>
  <c r="D299" i="3"/>
  <c r="E297" i="3"/>
  <c r="E295" i="3"/>
  <c r="C294" i="3"/>
  <c r="D290" i="3"/>
  <c r="D288" i="3"/>
  <c r="E284" i="3"/>
  <c r="C283" i="3"/>
  <c r="C281" i="3"/>
  <c r="E279" i="3"/>
  <c r="D276" i="3"/>
  <c r="C275" i="3"/>
  <c r="E273" i="3"/>
  <c r="D272" i="3"/>
  <c r="C269" i="3"/>
  <c r="E267" i="3"/>
  <c r="D266" i="3"/>
  <c r="C265" i="3"/>
  <c r="E263" i="3"/>
  <c r="D262" i="3"/>
  <c r="C259" i="3"/>
  <c r="E257" i="3"/>
  <c r="D256" i="3"/>
  <c r="C255" i="3"/>
  <c r="E253" i="3"/>
  <c r="D252" i="3"/>
  <c r="C249" i="3"/>
  <c r="E247" i="3"/>
  <c r="D246" i="3"/>
  <c r="C245" i="3"/>
  <c r="E243" i="3"/>
  <c r="D242" i="3"/>
  <c r="C238" i="3"/>
  <c r="E236" i="3"/>
  <c r="D233" i="3"/>
  <c r="C232" i="3"/>
  <c r="E230" i="3"/>
  <c r="D229" i="3"/>
  <c r="C228" i="3"/>
  <c r="E224" i="3"/>
  <c r="D223" i="3"/>
  <c r="C222" i="3"/>
  <c r="E220" i="3"/>
  <c r="D219" i="3"/>
  <c r="C215" i="3"/>
  <c r="E210" i="3"/>
  <c r="D209" i="3"/>
  <c r="C208" i="3"/>
  <c r="C204" i="3"/>
  <c r="E202" i="3"/>
  <c r="D201" i="3"/>
  <c r="C200" i="3"/>
  <c r="E196" i="3"/>
  <c r="D195" i="3"/>
  <c r="C191" i="3"/>
  <c r="E189" i="3"/>
  <c r="D188" i="3"/>
  <c r="C185" i="3"/>
  <c r="E183" i="3"/>
  <c r="D182" i="3"/>
  <c r="C181" i="3"/>
  <c r="E177" i="3"/>
  <c r="D176" i="3"/>
  <c r="C175" i="3"/>
  <c r="D318" i="3"/>
  <c r="E315" i="3"/>
  <c r="E313" i="3"/>
  <c r="E311" i="3"/>
  <c r="C308" i="3"/>
  <c r="D306" i="3"/>
  <c r="D304" i="3"/>
  <c r="E300" i="3"/>
  <c r="C299" i="3"/>
  <c r="C297" i="3"/>
  <c r="D295" i="3"/>
  <c r="E291" i="3"/>
  <c r="E289" i="3"/>
  <c r="C288" i="3"/>
  <c r="D284" i="3"/>
  <c r="D282" i="3"/>
  <c r="E280" i="3"/>
  <c r="D279" i="3"/>
  <c r="C276" i="3"/>
  <c r="E274" i="3"/>
  <c r="D273" i="3"/>
  <c r="C272" i="3"/>
  <c r="E268" i="3"/>
  <c r="D267" i="3"/>
  <c r="C266" i="3"/>
  <c r="E264" i="3"/>
  <c r="D263" i="3"/>
  <c r="C262" i="3"/>
  <c r="E258" i="3"/>
  <c r="D257" i="3"/>
  <c r="C256" i="3"/>
  <c r="E254" i="3"/>
  <c r="D253" i="3"/>
  <c r="C252" i="3"/>
  <c r="E248" i="3"/>
  <c r="D247" i="3"/>
  <c r="C246" i="3"/>
  <c r="E244" i="3"/>
  <c r="D243" i="3"/>
  <c r="C242" i="3"/>
  <c r="E237" i="3"/>
  <c r="D236" i="3"/>
  <c r="C233" i="3"/>
  <c r="E231" i="3"/>
  <c r="D230" i="3"/>
  <c r="C229" i="3"/>
  <c r="E227" i="3"/>
  <c r="D224" i="3"/>
  <c r="C223" i="3"/>
  <c r="E221" i="3"/>
  <c r="D220" i="3"/>
  <c r="C219" i="3"/>
  <c r="E214" i="3"/>
  <c r="D210" i="3"/>
  <c r="C209" i="3"/>
  <c r="E203" i="3"/>
  <c r="D202" i="3"/>
  <c r="C201" i="3"/>
  <c r="E197" i="3"/>
  <c r="D196" i="3"/>
  <c r="C195" i="3"/>
  <c r="E190" i="3"/>
  <c r="D189" i="3"/>
  <c r="C188" i="3"/>
  <c r="E184" i="3"/>
  <c r="D183" i="3"/>
  <c r="C182" i="3"/>
  <c r="E178" i="3"/>
  <c r="D177" i="3"/>
  <c r="C176" i="3"/>
  <c r="E171" i="3"/>
  <c r="D170" i="3"/>
  <c r="C167" i="3"/>
  <c r="E165" i="3"/>
  <c r="D164" i="3"/>
  <c r="C163" i="3"/>
  <c r="E161" i="3"/>
  <c r="D160" i="3"/>
  <c r="C159" i="3"/>
  <c r="E157" i="3"/>
  <c r="D147" i="3"/>
  <c r="C146" i="3"/>
  <c r="E144" i="3"/>
  <c r="D143" i="3"/>
  <c r="C140" i="3"/>
  <c r="E138" i="3"/>
  <c r="D137" i="3"/>
  <c r="C136" i="3"/>
  <c r="E132" i="3"/>
  <c r="D131" i="3"/>
  <c r="C130" i="3"/>
  <c r="E126" i="3"/>
  <c r="D125" i="3"/>
  <c r="C124" i="3"/>
  <c r="E122" i="3"/>
  <c r="D119" i="3"/>
  <c r="C118" i="3"/>
  <c r="E116" i="3"/>
  <c r="D115" i="3"/>
  <c r="C111" i="3"/>
  <c r="E109" i="3"/>
  <c r="D108" i="3"/>
  <c r="C104" i="3"/>
  <c r="E102" i="3"/>
  <c r="D101" i="3"/>
  <c r="C100" i="3"/>
  <c r="E98" i="3"/>
  <c r="D97" i="3"/>
  <c r="C96" i="3"/>
  <c r="E92" i="3"/>
  <c r="D91" i="3"/>
  <c r="C90" i="3"/>
  <c r="E88" i="3"/>
  <c r="D87" i="3"/>
  <c r="C86" i="3"/>
  <c r="E84" i="3"/>
  <c r="D83" i="3"/>
  <c r="C82" i="3"/>
  <c r="E78" i="3"/>
  <c r="D77" i="3"/>
  <c r="C76" i="3"/>
  <c r="E74" i="3"/>
  <c r="D73" i="3"/>
  <c r="C72" i="3"/>
  <c r="E70" i="3"/>
  <c r="D69" i="3"/>
  <c r="C68" i="3"/>
  <c r="E63" i="3"/>
  <c r="D62" i="3"/>
  <c r="C61" i="3"/>
  <c r="E52" i="3"/>
  <c r="D49" i="3"/>
  <c r="C48" i="3"/>
  <c r="E44" i="3"/>
  <c r="D41" i="3"/>
  <c r="C40" i="3"/>
  <c r="E36" i="3"/>
  <c r="D33" i="3"/>
  <c r="C32" i="3"/>
  <c r="E27" i="3"/>
  <c r="D26" i="3"/>
  <c r="C25" i="3"/>
  <c r="E19" i="3"/>
  <c r="D18" i="3"/>
  <c r="E167" i="3"/>
  <c r="C165" i="3"/>
  <c r="D162" i="3"/>
  <c r="E159" i="3"/>
  <c r="C157" i="3"/>
  <c r="D145" i="3"/>
  <c r="E140" i="3"/>
  <c r="C138" i="3"/>
  <c r="D133" i="3"/>
  <c r="E130" i="3"/>
  <c r="C126" i="3"/>
  <c r="D171" i="3"/>
  <c r="C170" i="3"/>
  <c r="E166" i="3"/>
  <c r="D165" i="3"/>
  <c r="C164" i="3"/>
  <c r="E162" i="3"/>
  <c r="D161" i="3"/>
  <c r="C160" i="3"/>
  <c r="E158" i="3"/>
  <c r="D157" i="3"/>
  <c r="C147" i="3"/>
  <c r="E145" i="3"/>
  <c r="D144" i="3"/>
  <c r="C143" i="3"/>
  <c r="E139" i="3"/>
  <c r="D138" i="3"/>
  <c r="C137" i="3"/>
  <c r="E133" i="3"/>
  <c r="D132" i="3"/>
  <c r="C131" i="3"/>
  <c r="E129" i="3"/>
  <c r="D126" i="3"/>
  <c r="C125" i="3"/>
  <c r="E123" i="3"/>
  <c r="D122" i="3"/>
  <c r="C119" i="3"/>
  <c r="E117" i="3"/>
  <c r="D116" i="3"/>
  <c r="C115" i="3"/>
  <c r="E110" i="3"/>
  <c r="D109" i="3"/>
  <c r="C108" i="3"/>
  <c r="E103" i="3"/>
  <c r="D102" i="3"/>
  <c r="C101" i="3"/>
  <c r="E99" i="3"/>
  <c r="D98" i="3"/>
  <c r="C97" i="3"/>
  <c r="E95" i="3"/>
  <c r="D92" i="3"/>
  <c r="C91" i="3"/>
  <c r="E89" i="3"/>
  <c r="D88" i="3"/>
  <c r="C87" i="3"/>
  <c r="E85" i="3"/>
  <c r="D84" i="3"/>
  <c r="C83" i="3"/>
  <c r="E79" i="3"/>
  <c r="D78" i="3"/>
  <c r="C77" i="3"/>
  <c r="E75" i="3"/>
  <c r="D74" i="3"/>
  <c r="C73" i="3"/>
  <c r="E71" i="3"/>
  <c r="D70" i="3"/>
  <c r="C69" i="3"/>
  <c r="E64" i="3"/>
  <c r="D63" i="3"/>
  <c r="C62" i="3"/>
  <c r="E58" i="3"/>
  <c r="D52" i="3"/>
  <c r="C49" i="3"/>
  <c r="E45" i="3"/>
  <c r="D44" i="3"/>
  <c r="C41" i="3"/>
  <c r="E37" i="3"/>
  <c r="D36" i="3"/>
  <c r="C33" i="3"/>
  <c r="E28" i="3"/>
  <c r="D27" i="3"/>
  <c r="C26" i="3"/>
  <c r="E24" i="3"/>
  <c r="D19" i="3"/>
  <c r="C18" i="3"/>
  <c r="D166" i="3"/>
  <c r="E163" i="3"/>
  <c r="C161" i="3"/>
  <c r="D158" i="3"/>
  <c r="E146" i="3"/>
  <c r="C144" i="3"/>
  <c r="D139" i="3"/>
  <c r="E136" i="3"/>
  <c r="C132" i="3"/>
  <c r="D129" i="3"/>
  <c r="C171" i="3"/>
  <c r="E170" i="3"/>
  <c r="D167" i="3"/>
  <c r="C166" i="3"/>
  <c r="E164" i="3"/>
  <c r="D163" i="3"/>
  <c r="C162" i="3"/>
  <c r="E160" i="3"/>
  <c r="D159" i="3"/>
  <c r="C158" i="3"/>
  <c r="E147" i="3"/>
  <c r="D146" i="3"/>
  <c r="C145" i="3"/>
  <c r="E143" i="3"/>
  <c r="D140" i="3"/>
  <c r="C139" i="3"/>
  <c r="E137" i="3"/>
  <c r="D136" i="3"/>
  <c r="C133" i="3"/>
  <c r="E131" i="3"/>
  <c r="D130" i="3"/>
  <c r="C129" i="3"/>
  <c r="E125" i="3"/>
  <c r="D124" i="3"/>
  <c r="C123" i="3"/>
  <c r="E119" i="3"/>
  <c r="D118" i="3"/>
  <c r="C117" i="3"/>
  <c r="E115" i="3"/>
  <c r="D111" i="3"/>
  <c r="C110" i="3"/>
  <c r="E108" i="3"/>
  <c r="D104" i="3"/>
  <c r="C103" i="3"/>
  <c r="E101" i="3"/>
  <c r="D100" i="3"/>
  <c r="C99" i="3"/>
  <c r="E97" i="3"/>
  <c r="D96" i="3"/>
  <c r="C95" i="3"/>
  <c r="E91" i="3"/>
  <c r="D90" i="3"/>
  <c r="C89" i="3"/>
  <c r="E87" i="3"/>
  <c r="D86" i="3"/>
  <c r="C85" i="3"/>
  <c r="E83" i="3"/>
  <c r="D82" i="3"/>
  <c r="C79" i="3"/>
  <c r="E77" i="3"/>
  <c r="D76" i="3"/>
  <c r="C75" i="3"/>
  <c r="E73" i="3"/>
  <c r="D72" i="3"/>
  <c r="C71" i="3"/>
  <c r="E69" i="3"/>
  <c r="D68" i="3"/>
  <c r="C64" i="3"/>
  <c r="E62" i="3"/>
  <c r="D61" i="3"/>
  <c r="C58" i="3"/>
  <c r="E49" i="3"/>
  <c r="D48" i="3"/>
  <c r="C45" i="3"/>
  <c r="E41" i="3"/>
  <c r="D40" i="3"/>
  <c r="C37" i="3"/>
  <c r="E33" i="3"/>
  <c r="D32" i="3"/>
  <c r="C28" i="3"/>
  <c r="E26" i="3"/>
  <c r="D25" i="3"/>
  <c r="C24" i="3"/>
  <c r="E18" i="3"/>
  <c r="E124" i="3"/>
  <c r="D117" i="3"/>
  <c r="C109" i="3"/>
  <c r="E100" i="3"/>
  <c r="D95" i="3"/>
  <c r="C88" i="3"/>
  <c r="E82" i="3"/>
  <c r="D75" i="3"/>
  <c r="C70" i="3"/>
  <c r="E61" i="3"/>
  <c r="D45" i="3"/>
  <c r="C36" i="3"/>
  <c r="E25" i="3"/>
  <c r="E118" i="3"/>
  <c r="C102" i="3"/>
  <c r="E96" i="3"/>
  <c r="E76" i="3"/>
  <c r="C63" i="3"/>
  <c r="D37" i="3"/>
  <c r="D123" i="3"/>
  <c r="C116" i="3"/>
  <c r="E104" i="3"/>
  <c r="D99" i="3"/>
  <c r="C92" i="3"/>
  <c r="E86" i="3"/>
  <c r="D79" i="3"/>
  <c r="C74" i="3"/>
  <c r="E68" i="3"/>
  <c r="D58" i="3"/>
  <c r="C44" i="3"/>
  <c r="E32" i="3"/>
  <c r="D24" i="3"/>
  <c r="E111" i="3"/>
  <c r="D103" i="3"/>
  <c r="C98" i="3"/>
  <c r="E90" i="3"/>
  <c r="D85" i="3"/>
  <c r="C78" i="3"/>
  <c r="E72" i="3"/>
  <c r="D64" i="3"/>
  <c r="C52" i="3"/>
  <c r="E40" i="3"/>
  <c r="D28" i="3"/>
  <c r="C19" i="3"/>
  <c r="D110" i="3"/>
  <c r="D89" i="3"/>
  <c r="D71" i="3"/>
  <c r="E48" i="3"/>
  <c r="C27" i="3"/>
  <c r="C122" i="3"/>
  <c r="C84" i="3"/>
  <c r="C12" i="3"/>
  <c r="C151" i="1"/>
  <c r="C147" i="1"/>
  <c r="C141" i="1"/>
  <c r="C132" i="1"/>
  <c r="C128" i="1"/>
  <c r="C124" i="1"/>
  <c r="C101" i="1"/>
  <c r="C73" i="1"/>
  <c r="C69" i="1"/>
  <c r="C40" i="1"/>
  <c r="C31" i="1"/>
  <c r="C21" i="1"/>
  <c r="G208" i="1"/>
  <c r="H208" i="1" s="1"/>
  <c r="C408" i="8" s="1"/>
  <c r="G182" i="1"/>
  <c r="H182" i="1" s="1"/>
  <c r="C356" i="8" s="1"/>
  <c r="G171" i="1"/>
  <c r="H171" i="1" s="1"/>
  <c r="C334" i="8" s="1"/>
  <c r="G166" i="1"/>
  <c r="H166" i="1" s="1"/>
  <c r="C324" i="8" s="1"/>
  <c r="G154" i="1"/>
  <c r="H154" i="1" s="1"/>
  <c r="C300" i="8" s="1"/>
  <c r="G148" i="1"/>
  <c r="H148" i="1" s="1"/>
  <c r="C288" i="8" s="1"/>
  <c r="G142" i="1"/>
  <c r="H142" i="1" s="1"/>
  <c r="C276" i="8" s="1"/>
  <c r="G133" i="1"/>
  <c r="H133" i="1" s="1"/>
  <c r="C258" i="8" s="1"/>
  <c r="G129" i="1"/>
  <c r="H129" i="1" s="1"/>
  <c r="C250" i="8" s="1"/>
  <c r="G125" i="1"/>
  <c r="H125" i="1" s="1"/>
  <c r="C242" i="8" s="1"/>
  <c r="G102" i="1"/>
  <c r="H102" i="1" s="1"/>
  <c r="C196" i="8" s="1"/>
  <c r="G75" i="1"/>
  <c r="H75" i="1" s="1"/>
  <c r="C142" i="8" s="1"/>
  <c r="G70" i="1"/>
  <c r="H70" i="1" s="1"/>
  <c r="C132" i="8" s="1"/>
  <c r="G59" i="1"/>
  <c r="H59" i="1" s="1"/>
  <c r="C110" i="8" s="1"/>
  <c r="G32" i="1"/>
  <c r="H32" i="1" s="1"/>
  <c r="C56" i="8" s="1"/>
  <c r="G23" i="1"/>
  <c r="H23" i="1" s="1"/>
  <c r="C38" i="8" s="1"/>
  <c r="G207" i="1"/>
  <c r="H207" i="1" s="1"/>
  <c r="C406" i="8" s="1"/>
  <c r="G179" i="1"/>
  <c r="H179" i="1" s="1"/>
  <c r="C350" i="8" s="1"/>
  <c r="G170" i="1"/>
  <c r="H170" i="1" s="1"/>
  <c r="C332" i="8" s="1"/>
  <c r="G161" i="1"/>
  <c r="H161" i="1" s="1"/>
  <c r="C314" i="8" s="1"/>
  <c r="G153" i="1"/>
  <c r="H153" i="1" s="1"/>
  <c r="C298" i="8" s="1"/>
  <c r="G147" i="1"/>
  <c r="H147" i="1" s="1"/>
  <c r="C286" i="8" s="1"/>
  <c r="G141" i="1"/>
  <c r="H141" i="1" s="1"/>
  <c r="C274" i="8" s="1"/>
  <c r="G132" i="1"/>
  <c r="H132" i="1" s="1"/>
  <c r="C256" i="8" s="1"/>
  <c r="G128" i="1"/>
  <c r="H128" i="1" s="1"/>
  <c r="C248" i="8" s="1"/>
  <c r="H124" i="1"/>
  <c r="C240" i="8" s="1"/>
  <c r="G69" i="1"/>
  <c r="H69" i="1" s="1"/>
  <c r="C130" i="8" s="1"/>
  <c r="G40" i="1"/>
  <c r="H40" i="1" s="1"/>
  <c r="C72" i="8" s="1"/>
  <c r="G31" i="1"/>
  <c r="H31" i="1" s="1"/>
  <c r="C54" i="8" s="1"/>
  <c r="G21" i="1"/>
  <c r="H21" i="1" s="1"/>
  <c r="C34" i="8" s="1"/>
  <c r="C148" i="1"/>
  <c r="C129" i="1"/>
  <c r="C102" i="1"/>
  <c r="C70" i="1"/>
  <c r="C23" i="1"/>
  <c r="G183" i="1"/>
  <c r="H183" i="1" s="1"/>
  <c r="C358" i="8" s="1"/>
  <c r="G159" i="1"/>
  <c r="H159" i="1" s="1"/>
  <c r="C310" i="8" s="1"/>
  <c r="G138" i="1"/>
  <c r="H138" i="1" s="1"/>
  <c r="C268" i="8" s="1"/>
  <c r="G120" i="1"/>
  <c r="H120" i="1" s="1"/>
  <c r="C232" i="8" s="1"/>
  <c r="G60" i="1"/>
  <c r="H60" i="1" s="1"/>
  <c r="C112" i="8" s="1"/>
  <c r="G19" i="1"/>
  <c r="H19" i="1" s="1"/>
  <c r="C30" i="8" s="1"/>
  <c r="G12" i="3"/>
  <c r="H12" i="3" s="1"/>
  <c r="H11" i="3" s="1"/>
  <c r="C146" i="1"/>
  <c r="C139" i="1"/>
  <c r="C131" i="1"/>
  <c r="C127" i="1"/>
  <c r="C121" i="1"/>
  <c r="C80" i="1"/>
  <c r="C72" i="1"/>
  <c r="C68" i="1"/>
  <c r="C39" i="1"/>
  <c r="C30" i="1"/>
  <c r="C20" i="1"/>
  <c r="G73" i="1"/>
  <c r="H73" i="1" s="1"/>
  <c r="C138" i="8" s="1"/>
  <c r="C133" i="1"/>
  <c r="C59" i="1"/>
  <c r="G177" i="1"/>
  <c r="H177" i="1" s="1"/>
  <c r="C346" i="8" s="1"/>
  <c r="G149" i="1"/>
  <c r="H149" i="1" s="1"/>
  <c r="C290" i="8" s="1"/>
  <c r="G130" i="1"/>
  <c r="H130" i="1" s="1"/>
  <c r="C252" i="8" s="1"/>
  <c r="G77" i="1"/>
  <c r="H77" i="1" s="1"/>
  <c r="G35" i="1"/>
  <c r="H35" i="1" s="1"/>
  <c r="C62" i="8" s="1"/>
  <c r="E12" i="3"/>
  <c r="C149" i="1"/>
  <c r="C143" i="1"/>
  <c r="C138" i="1"/>
  <c r="C130" i="1"/>
  <c r="C126" i="1"/>
  <c r="C120" i="1"/>
  <c r="C77" i="1"/>
  <c r="C71" i="1"/>
  <c r="C60" i="1"/>
  <c r="C35" i="1"/>
  <c r="C29" i="1"/>
  <c r="C19" i="1"/>
  <c r="G213" i="1"/>
  <c r="H213" i="1" s="1"/>
  <c r="C418" i="8" s="1"/>
  <c r="G206" i="1"/>
  <c r="H206" i="1" s="1"/>
  <c r="C404" i="8" s="1"/>
  <c r="G178" i="1"/>
  <c r="H178" i="1" s="1"/>
  <c r="C348" i="8" s="1"/>
  <c r="G168" i="1"/>
  <c r="H168" i="1" s="1"/>
  <c r="C328" i="8" s="1"/>
  <c r="G160" i="1"/>
  <c r="H160" i="1" s="1"/>
  <c r="C312" i="8" s="1"/>
  <c r="G151" i="1"/>
  <c r="H151" i="1" s="1"/>
  <c r="C294" i="8" s="1"/>
  <c r="G146" i="1"/>
  <c r="H146" i="1" s="1"/>
  <c r="C284" i="8" s="1"/>
  <c r="G139" i="1"/>
  <c r="H139" i="1" s="1"/>
  <c r="C270" i="8" s="1"/>
  <c r="G131" i="1"/>
  <c r="H131" i="1" s="1"/>
  <c r="C254" i="8" s="1"/>
  <c r="G127" i="1"/>
  <c r="H127" i="1" s="1"/>
  <c r="C246" i="8" s="1"/>
  <c r="G121" i="1"/>
  <c r="H121" i="1" s="1"/>
  <c r="C234" i="8" s="1"/>
  <c r="G80" i="1"/>
  <c r="H80" i="1" s="1"/>
  <c r="C152" i="8" s="1"/>
  <c r="G72" i="1"/>
  <c r="H72" i="1" s="1"/>
  <c r="C136" i="8" s="1"/>
  <c r="H68" i="1"/>
  <c r="C128" i="8" s="1"/>
  <c r="G39" i="1"/>
  <c r="H39" i="1" s="1"/>
  <c r="C70" i="8" s="1"/>
  <c r="G30" i="1"/>
  <c r="H30" i="1" s="1"/>
  <c r="C52" i="8" s="1"/>
  <c r="G20" i="1"/>
  <c r="H20" i="1" s="1"/>
  <c r="C32" i="8" s="1"/>
  <c r="D12" i="3"/>
  <c r="C142" i="1"/>
  <c r="C125" i="1"/>
  <c r="C75" i="1"/>
  <c r="C32" i="1"/>
  <c r="C15" i="1"/>
  <c r="G212" i="1"/>
  <c r="H212" i="1" s="1"/>
  <c r="C416" i="8" s="1"/>
  <c r="G167" i="1"/>
  <c r="H167" i="1" s="1"/>
  <c r="C326" i="8" s="1"/>
  <c r="G143" i="1"/>
  <c r="H143" i="1" s="1"/>
  <c r="C278" i="8" s="1"/>
  <c r="G126" i="1"/>
  <c r="H126" i="1" s="1"/>
  <c r="C244" i="8" s="1"/>
  <c r="G71" i="1"/>
  <c r="H71" i="1" s="1"/>
  <c r="C134" i="8" s="1"/>
  <c r="G29" i="1"/>
  <c r="H29" i="1" s="1"/>
  <c r="C50" i="8" s="1"/>
  <c r="E213" i="1"/>
  <c r="E208" i="1"/>
  <c r="E206" i="1"/>
  <c r="E182" i="1"/>
  <c r="E179" i="1"/>
  <c r="E177" i="1"/>
  <c r="E170" i="1"/>
  <c r="E167" i="1"/>
  <c r="E160" i="1"/>
  <c r="E154" i="1"/>
  <c r="E151" i="1"/>
  <c r="E149" i="1"/>
  <c r="E147" i="1"/>
  <c r="E143" i="1"/>
  <c r="E141" i="1"/>
  <c r="E138" i="1"/>
  <c r="E132" i="1"/>
  <c r="E130" i="1"/>
  <c r="E128" i="1"/>
  <c r="E126" i="1"/>
  <c r="E124" i="1"/>
  <c r="E120" i="1"/>
  <c r="E101" i="1"/>
  <c r="E77" i="1"/>
  <c r="E73" i="1"/>
  <c r="E71" i="1"/>
  <c r="E69" i="1"/>
  <c r="E60" i="1"/>
  <c r="E40" i="1"/>
  <c r="E35" i="1"/>
  <c r="E31" i="1"/>
  <c r="E29" i="1"/>
  <c r="E21" i="1"/>
  <c r="E19" i="1"/>
  <c r="D208" i="1"/>
  <c r="B407" i="8" s="1"/>
  <c r="D179" i="1"/>
  <c r="B349" i="8" s="1"/>
  <c r="D170" i="1"/>
  <c r="B331" i="8" s="1"/>
  <c r="D167" i="1"/>
  <c r="B325" i="8" s="1"/>
  <c r="D154" i="1"/>
  <c r="B299" i="8" s="1"/>
  <c r="D149" i="1"/>
  <c r="B289" i="8" s="1"/>
  <c r="D143" i="1"/>
  <c r="B277" i="8" s="1"/>
  <c r="D138" i="1"/>
  <c r="B267" i="8" s="1"/>
  <c r="D130" i="1"/>
  <c r="B251" i="8" s="1"/>
  <c r="D120" i="1"/>
  <c r="B231" i="8" s="1"/>
  <c r="D77" i="1"/>
  <c r="B145" i="8" s="1"/>
  <c r="D71" i="1"/>
  <c r="B133" i="8" s="1"/>
  <c r="D60" i="1"/>
  <c r="B111" i="8" s="1"/>
  <c r="D35" i="1"/>
  <c r="B61" i="8" s="1"/>
  <c r="D29" i="1"/>
  <c r="B49" i="8" s="1"/>
  <c r="D19" i="1"/>
  <c r="B29" i="8" s="1"/>
  <c r="E178" i="1"/>
  <c r="E171" i="1"/>
  <c r="E168" i="1"/>
  <c r="E159" i="1"/>
  <c r="E142" i="1"/>
  <c r="E133" i="1"/>
  <c r="E129" i="1"/>
  <c r="E125" i="1"/>
  <c r="E121" i="1"/>
  <c r="E80" i="1"/>
  <c r="E72" i="1"/>
  <c r="E59" i="1"/>
  <c r="E32" i="1"/>
  <c r="E23" i="1"/>
  <c r="G15" i="1"/>
  <c r="H15" i="1" s="1"/>
  <c r="C22" i="8" s="1"/>
  <c r="D213" i="1"/>
  <c r="B417" i="8" s="1"/>
  <c r="E212" i="1"/>
  <c r="E207" i="1"/>
  <c r="E183" i="1"/>
  <c r="D212" i="1"/>
  <c r="B415" i="8" s="1"/>
  <c r="D207" i="1"/>
  <c r="B405" i="8" s="1"/>
  <c r="D183" i="1"/>
  <c r="B357" i="8" s="1"/>
  <c r="D178" i="1"/>
  <c r="B347" i="8" s="1"/>
  <c r="D171" i="1"/>
  <c r="B333" i="8" s="1"/>
  <c r="D168" i="1"/>
  <c r="B327" i="8" s="1"/>
  <c r="D161" i="1"/>
  <c r="B313" i="8" s="1"/>
  <c r="D159" i="1"/>
  <c r="B309" i="8" s="1"/>
  <c r="D153" i="1"/>
  <c r="B297" i="8" s="1"/>
  <c r="D148" i="1"/>
  <c r="B287" i="8" s="1"/>
  <c r="D146" i="1"/>
  <c r="B283" i="8" s="1"/>
  <c r="D142" i="1"/>
  <c r="B275" i="8" s="1"/>
  <c r="D139" i="1"/>
  <c r="B269" i="8" s="1"/>
  <c r="D133" i="1"/>
  <c r="B257" i="8" s="1"/>
  <c r="D131" i="1"/>
  <c r="B253" i="8" s="1"/>
  <c r="D129" i="1"/>
  <c r="B249" i="8" s="1"/>
  <c r="D127" i="1"/>
  <c r="B245" i="8" s="1"/>
  <c r="D125" i="1"/>
  <c r="B241" i="8" s="1"/>
  <c r="D121" i="1"/>
  <c r="B233" i="8" s="1"/>
  <c r="D102" i="1"/>
  <c r="B195" i="8" s="1"/>
  <c r="D80" i="1"/>
  <c r="D75" i="1"/>
  <c r="B141" i="8" s="1"/>
  <c r="D72" i="1"/>
  <c r="D70" i="1"/>
  <c r="B131" i="8" s="1"/>
  <c r="D68" i="1"/>
  <c r="D59" i="1"/>
  <c r="B109" i="8" s="1"/>
  <c r="D39" i="1"/>
  <c r="B69" i="8" s="1"/>
  <c r="D32" i="1"/>
  <c r="B55" i="8" s="1"/>
  <c r="D30" i="1"/>
  <c r="B51" i="8" s="1"/>
  <c r="D23" i="1"/>
  <c r="B37" i="8" s="1"/>
  <c r="D20" i="1"/>
  <c r="B31" i="8" s="1"/>
  <c r="E15" i="1"/>
  <c r="D206" i="1"/>
  <c r="B403" i="8" s="1"/>
  <c r="D182" i="1"/>
  <c r="B355" i="8" s="1"/>
  <c r="D177" i="1"/>
  <c r="B345" i="8" s="1"/>
  <c r="D160" i="1"/>
  <c r="B311" i="8" s="1"/>
  <c r="D151" i="1"/>
  <c r="B293" i="8" s="1"/>
  <c r="D147" i="1"/>
  <c r="B285" i="8" s="1"/>
  <c r="D141" i="1"/>
  <c r="B273" i="8" s="1"/>
  <c r="D132" i="1"/>
  <c r="B255" i="8" s="1"/>
  <c r="D128" i="1"/>
  <c r="B247" i="8" s="1"/>
  <c r="D126" i="1"/>
  <c r="B243" i="8" s="1"/>
  <c r="D124" i="1"/>
  <c r="B239" i="8" s="1"/>
  <c r="D101" i="1"/>
  <c r="B193" i="8" s="1"/>
  <c r="D73" i="1"/>
  <c r="D69" i="1"/>
  <c r="B129" i="8" s="1"/>
  <c r="D40" i="1"/>
  <c r="B71" i="8" s="1"/>
  <c r="D31" i="1"/>
  <c r="B53" i="8" s="1"/>
  <c r="D21" i="1"/>
  <c r="B33" i="8" s="1"/>
  <c r="E161" i="1"/>
  <c r="E153" i="1"/>
  <c r="E148" i="1"/>
  <c r="E146" i="1"/>
  <c r="E139" i="1"/>
  <c r="E131" i="1"/>
  <c r="E127" i="1"/>
  <c r="E102" i="1"/>
  <c r="E75" i="1"/>
  <c r="E70" i="1"/>
  <c r="E68" i="1"/>
  <c r="E39" i="1"/>
  <c r="E30" i="1"/>
  <c r="E20" i="1"/>
  <c r="D15" i="1"/>
  <c r="B21" i="8" s="1"/>
  <c r="D38" i="5"/>
  <c r="D31" i="5"/>
  <c r="D19" i="5"/>
  <c r="D41" i="5" s="1"/>
  <c r="D10" i="4"/>
  <c r="H554" i="3" l="1"/>
  <c r="H372" i="3"/>
  <c r="F246" i="8"/>
  <c r="E246" i="8"/>
  <c r="D246" i="8"/>
  <c r="F314" i="8"/>
  <c r="E314" i="8"/>
  <c r="D314" i="8"/>
  <c r="F142" i="8"/>
  <c r="D142" i="8"/>
  <c r="E142" i="8"/>
  <c r="F50" i="8"/>
  <c r="E50" i="8"/>
  <c r="D50" i="8"/>
  <c r="E326" i="8"/>
  <c r="D326" i="8"/>
  <c r="F326" i="8"/>
  <c r="F32" i="8"/>
  <c r="E32" i="8"/>
  <c r="D32" i="8"/>
  <c r="F136" i="8"/>
  <c r="D136" i="8"/>
  <c r="E136" i="8"/>
  <c r="F254" i="8"/>
  <c r="E254" i="8"/>
  <c r="D254" i="8"/>
  <c r="E312" i="8"/>
  <c r="D312" i="8"/>
  <c r="F312" i="8"/>
  <c r="E418" i="8"/>
  <c r="D418" i="8"/>
  <c r="F418" i="8"/>
  <c r="E252" i="8"/>
  <c r="D252" i="8"/>
  <c r="F252" i="8"/>
  <c r="F232" i="8"/>
  <c r="D232" i="8"/>
  <c r="E232" i="8"/>
  <c r="D130" i="8"/>
  <c r="F130" i="8"/>
  <c r="E130" i="8"/>
  <c r="F274" i="8"/>
  <c r="D274" i="8"/>
  <c r="E274" i="8"/>
  <c r="F332" i="8"/>
  <c r="D332" i="8"/>
  <c r="E332" i="8"/>
  <c r="E56" i="8"/>
  <c r="D56" i="8"/>
  <c r="F56" i="8"/>
  <c r="E196" i="8"/>
  <c r="D196" i="8"/>
  <c r="F196" i="8"/>
  <c r="D276" i="8"/>
  <c r="E276" i="8"/>
  <c r="F276" i="8"/>
  <c r="D334" i="8"/>
  <c r="E334" i="8"/>
  <c r="F334" i="8"/>
  <c r="D194" i="8"/>
  <c r="E194" i="8"/>
  <c r="F194" i="8"/>
  <c r="D128" i="8"/>
  <c r="F128" i="8"/>
  <c r="E128" i="8"/>
  <c r="D404" i="8"/>
  <c r="E404" i="8"/>
  <c r="F404" i="8"/>
  <c r="E112" i="8"/>
  <c r="F112" i="8"/>
  <c r="D112" i="8"/>
  <c r="F256" i="8"/>
  <c r="D256" i="8"/>
  <c r="E256" i="8"/>
  <c r="E38" i="8"/>
  <c r="F38" i="8"/>
  <c r="D38" i="8"/>
  <c r="D324" i="8"/>
  <c r="E324" i="8"/>
  <c r="F324" i="8"/>
  <c r="F134" i="8"/>
  <c r="E134" i="8"/>
  <c r="D134" i="8"/>
  <c r="D416" i="8"/>
  <c r="E416" i="8"/>
  <c r="F416" i="8"/>
  <c r="E52" i="8"/>
  <c r="F52" i="8"/>
  <c r="D52" i="8"/>
  <c r="E152" i="8"/>
  <c r="F152" i="8"/>
  <c r="D152" i="8"/>
  <c r="E270" i="8"/>
  <c r="D270" i="8"/>
  <c r="F270" i="8"/>
  <c r="F328" i="8"/>
  <c r="E328" i="8"/>
  <c r="D328" i="8"/>
  <c r="E290" i="8"/>
  <c r="D290" i="8"/>
  <c r="F290" i="8"/>
  <c r="D138" i="8"/>
  <c r="E138" i="8"/>
  <c r="F138" i="8"/>
  <c r="D268" i="8"/>
  <c r="E268" i="8"/>
  <c r="F268" i="8"/>
  <c r="F34" i="8"/>
  <c r="D34" i="8"/>
  <c r="E34" i="8"/>
  <c r="F240" i="8"/>
  <c r="D240" i="8"/>
  <c r="E240" i="8"/>
  <c r="F286" i="8"/>
  <c r="D286" i="8"/>
  <c r="E286" i="8"/>
  <c r="D350" i="8"/>
  <c r="E350" i="8"/>
  <c r="F350" i="8"/>
  <c r="D110" i="8"/>
  <c r="F110" i="8"/>
  <c r="E110" i="8"/>
  <c r="D242" i="8"/>
  <c r="E242" i="8"/>
  <c r="F242" i="8"/>
  <c r="D288" i="8"/>
  <c r="E288" i="8"/>
  <c r="F288" i="8"/>
  <c r="F356" i="8"/>
  <c r="D356" i="8"/>
  <c r="E356" i="8"/>
  <c r="D22" i="8"/>
  <c r="F22" i="8"/>
  <c r="E22" i="8"/>
  <c r="E278" i="8"/>
  <c r="D278" i="8"/>
  <c r="F278" i="8"/>
  <c r="F294" i="8"/>
  <c r="E294" i="8"/>
  <c r="D294" i="8"/>
  <c r="F358" i="8"/>
  <c r="D358" i="8"/>
  <c r="E358" i="8"/>
  <c r="F72" i="8"/>
  <c r="E72" i="8"/>
  <c r="D72" i="8"/>
  <c r="D258" i="8"/>
  <c r="E258" i="8"/>
  <c r="F258" i="8"/>
  <c r="E244" i="8"/>
  <c r="D244" i="8"/>
  <c r="F244" i="8"/>
  <c r="E70" i="8"/>
  <c r="D70" i="8"/>
  <c r="F70" i="8"/>
  <c r="D234" i="8"/>
  <c r="E234" i="8"/>
  <c r="F234" i="8"/>
  <c r="F284" i="8"/>
  <c r="E284" i="8"/>
  <c r="D284" i="8"/>
  <c r="F348" i="8"/>
  <c r="D348" i="8"/>
  <c r="E348" i="8"/>
  <c r="D62" i="8"/>
  <c r="F62" i="8"/>
  <c r="E62" i="8"/>
  <c r="F346" i="8"/>
  <c r="E346" i="8"/>
  <c r="D346" i="8"/>
  <c r="E30" i="8"/>
  <c r="D30" i="8"/>
  <c r="F30" i="8"/>
  <c r="D310" i="8"/>
  <c r="E310" i="8"/>
  <c r="F310" i="8"/>
  <c r="D54" i="8"/>
  <c r="E54" i="8"/>
  <c r="F54" i="8"/>
  <c r="F248" i="8"/>
  <c r="D248" i="8"/>
  <c r="E248" i="8"/>
  <c r="D298" i="8"/>
  <c r="E298" i="8"/>
  <c r="F298" i="8"/>
  <c r="E406" i="8"/>
  <c r="D406" i="8"/>
  <c r="F406" i="8"/>
  <c r="E132" i="8"/>
  <c r="F132" i="8"/>
  <c r="D132" i="8"/>
  <c r="D250" i="8"/>
  <c r="E250" i="8"/>
  <c r="F250" i="8"/>
  <c r="E300" i="8"/>
  <c r="D300" i="8"/>
  <c r="F300" i="8"/>
  <c r="F408" i="8"/>
  <c r="E408" i="8"/>
  <c r="D408" i="8"/>
  <c r="H76" i="1"/>
  <c r="C144" i="8" s="1"/>
  <c r="C146" i="8"/>
  <c r="B135" i="8"/>
  <c r="B137" i="8"/>
  <c r="B127" i="8"/>
  <c r="B151" i="8"/>
  <c r="H627" i="3"/>
  <c r="H544" i="3"/>
  <c r="G173" i="1" s="1"/>
  <c r="H173" i="1" s="1"/>
  <c r="C338" i="8" s="1"/>
  <c r="H645" i="3"/>
  <c r="H610" i="3"/>
  <c r="G193" i="1" s="1"/>
  <c r="H193" i="1" s="1"/>
  <c r="C378" i="8" s="1"/>
  <c r="H558" i="3"/>
  <c r="G176" i="1" s="1"/>
  <c r="H176" i="1" s="1"/>
  <c r="C344" i="8" s="1"/>
  <c r="H367" i="3"/>
  <c r="G105" i="1" s="1"/>
  <c r="H105" i="1" s="1"/>
  <c r="C202" i="8" s="1"/>
  <c r="H47" i="3"/>
  <c r="G33" i="1" s="1"/>
  <c r="H33" i="1" s="1"/>
  <c r="C58" i="8" s="1"/>
  <c r="H386" i="3"/>
  <c r="G109" i="1" s="1"/>
  <c r="H109" i="1" s="1"/>
  <c r="C210" i="8" s="1"/>
  <c r="H381" i="3"/>
  <c r="G108" i="1" s="1"/>
  <c r="H108" i="1" s="1"/>
  <c r="C208" i="8" s="1"/>
  <c r="H31" i="3"/>
  <c r="G25" i="1" s="1"/>
  <c r="H25" i="1" s="1"/>
  <c r="C42" i="8" s="1"/>
  <c r="H631" i="3"/>
  <c r="G199" i="1" s="1"/>
  <c r="H199" i="1" s="1"/>
  <c r="C390" i="8" s="1"/>
  <c r="H145" i="1"/>
  <c r="C282" i="8" s="1"/>
  <c r="D40" i="5"/>
  <c r="D42" i="5" s="1"/>
  <c r="D44" i="5" s="1"/>
  <c r="H448" i="3"/>
  <c r="G122" i="1" s="1"/>
  <c r="H122" i="1" s="1"/>
  <c r="C236" i="8" s="1"/>
  <c r="H149" i="3"/>
  <c r="G55" i="1" s="1"/>
  <c r="H55" i="1" s="1"/>
  <c r="C102" i="8" s="1"/>
  <c r="H341" i="3"/>
  <c r="G99" i="1" s="1"/>
  <c r="H99" i="1" s="1"/>
  <c r="C190" i="8" s="1"/>
  <c r="H235" i="3"/>
  <c r="G84" i="1" s="1"/>
  <c r="H84" i="1" s="1"/>
  <c r="C160" i="8" s="1"/>
  <c r="H169" i="3"/>
  <c r="G57" i="1" s="1"/>
  <c r="H57" i="1" s="1"/>
  <c r="C106" i="8" s="1"/>
  <c r="H435" i="3"/>
  <c r="G116" i="1" s="1"/>
  <c r="H116" i="1" s="1"/>
  <c r="C224" i="8" s="1"/>
  <c r="H615" i="3"/>
  <c r="G194" i="1" s="1"/>
  <c r="H194" i="1" s="1"/>
  <c r="C380" i="8" s="1"/>
  <c r="H336" i="3"/>
  <c r="G98" i="1" s="1"/>
  <c r="H98" i="1" s="1"/>
  <c r="C188" i="8" s="1"/>
  <c r="H595" i="3"/>
  <c r="G190" i="1" s="1"/>
  <c r="H190" i="1" s="1"/>
  <c r="C372" i="8" s="1"/>
  <c r="H390" i="3"/>
  <c r="G110" i="1" s="1"/>
  <c r="H110" i="1" s="1"/>
  <c r="C212" i="8" s="1"/>
  <c r="H548" i="3"/>
  <c r="G174" i="1" s="1"/>
  <c r="H174" i="1" s="1"/>
  <c r="C340" i="8" s="1"/>
  <c r="H17" i="3"/>
  <c r="G16" i="1" s="1"/>
  <c r="H16" i="1" s="1"/>
  <c r="H590" i="3"/>
  <c r="G189" i="1" s="1"/>
  <c r="H189" i="1" s="1"/>
  <c r="C370" i="8" s="1"/>
  <c r="H121" i="3"/>
  <c r="G51" i="1" s="1"/>
  <c r="H51" i="1" s="1"/>
  <c r="C94" i="8" s="1"/>
  <c r="H286" i="3"/>
  <c r="G91" i="1" s="1"/>
  <c r="H91" i="1" s="1"/>
  <c r="C174" i="8" s="1"/>
  <c r="H357" i="3"/>
  <c r="G104" i="1" s="1"/>
  <c r="H104" i="1" s="1"/>
  <c r="C200" i="8" s="1"/>
  <c r="H489" i="3"/>
  <c r="G136" i="1" s="1"/>
  <c r="H136" i="1" s="1"/>
  <c r="C264" i="8" s="1"/>
  <c r="H180" i="3"/>
  <c r="G62" i="1" s="1"/>
  <c r="H62" i="1" s="1"/>
  <c r="C116" i="8" s="1"/>
  <c r="H213" i="3"/>
  <c r="G79" i="1" s="1"/>
  <c r="H79" i="1" s="1"/>
  <c r="H352" i="3"/>
  <c r="G103" i="1" s="1"/>
  <c r="H103" i="1" s="1"/>
  <c r="C198" i="8" s="1"/>
  <c r="H376" i="3"/>
  <c r="G107" i="1" s="1"/>
  <c r="H107" i="1" s="1"/>
  <c r="C206" i="8" s="1"/>
  <c r="H538" i="3"/>
  <c r="G172" i="1" s="1"/>
  <c r="H172" i="1" s="1"/>
  <c r="C336" i="8" s="1"/>
  <c r="H194" i="3"/>
  <c r="G65" i="1" s="1"/>
  <c r="H65" i="1" s="1"/>
  <c r="C122" i="8" s="1"/>
  <c r="H414" i="3"/>
  <c r="G114" i="1" s="1"/>
  <c r="H114" i="1" s="1"/>
  <c r="C220" i="8" s="1"/>
  <c r="H211" i="1"/>
  <c r="H94" i="3"/>
  <c r="G46" i="1" s="1"/>
  <c r="H46" i="1" s="1"/>
  <c r="C84" i="8" s="1"/>
  <c r="H60" i="3"/>
  <c r="G42" i="1" s="1"/>
  <c r="H42" i="1" s="1"/>
  <c r="C76" i="8" s="1"/>
  <c r="H81" i="3"/>
  <c r="G45" i="1" s="1"/>
  <c r="H45" i="1" s="1"/>
  <c r="C82" i="8" s="1"/>
  <c r="H107" i="3"/>
  <c r="G48" i="1" s="1"/>
  <c r="H48" i="1" s="1"/>
  <c r="H473" i="3"/>
  <c r="G134" i="1" s="1"/>
  <c r="H134" i="1" s="1"/>
  <c r="C260" i="8" s="1"/>
  <c r="H331" i="3"/>
  <c r="G97" i="1" s="1"/>
  <c r="H97" i="1" s="1"/>
  <c r="C186" i="8" s="1"/>
  <c r="H407" i="3"/>
  <c r="G113" i="1" s="1"/>
  <c r="H113" i="1" s="1"/>
  <c r="C218" i="8" s="1"/>
  <c r="H251" i="3"/>
  <c r="G87" i="1" s="1"/>
  <c r="H87" i="1" s="1"/>
  <c r="C166" i="8" s="1"/>
  <c r="H278" i="3"/>
  <c r="G90" i="1" s="1"/>
  <c r="H90" i="1" s="1"/>
  <c r="C172" i="8" s="1"/>
  <c r="H320" i="3"/>
  <c r="G95" i="1" s="1"/>
  <c r="H95" i="1" s="1"/>
  <c r="C182" i="8" s="1"/>
  <c r="H346" i="3"/>
  <c r="G100" i="1" s="1"/>
  <c r="H100" i="1" s="1"/>
  <c r="C192" i="8" s="1"/>
  <c r="H481" i="3"/>
  <c r="G135" i="1" s="1"/>
  <c r="H135" i="1" s="1"/>
  <c r="C262" i="8" s="1"/>
  <c r="H533" i="3"/>
  <c r="G165" i="1" s="1"/>
  <c r="H165" i="1" s="1"/>
  <c r="H67" i="3"/>
  <c r="H114" i="3"/>
  <c r="G50" i="1" s="1"/>
  <c r="H50" i="1" s="1"/>
  <c r="C92" i="8" s="1"/>
  <c r="H35" i="3"/>
  <c r="G26" i="1" s="1"/>
  <c r="H26" i="1" s="1"/>
  <c r="C44" i="8" s="1"/>
  <c r="H226" i="3"/>
  <c r="G83" i="1" s="1"/>
  <c r="H83" i="1" s="1"/>
  <c r="C158" i="8" s="1"/>
  <c r="H293" i="3"/>
  <c r="G92" i="1" s="1"/>
  <c r="H92" i="1" s="1"/>
  <c r="C176" i="8" s="1"/>
  <c r="H497" i="3"/>
  <c r="G140" i="1" s="1"/>
  <c r="H140" i="1" s="1"/>
  <c r="H576" i="3"/>
  <c r="G184" i="1" s="1"/>
  <c r="H184" i="1" s="1"/>
  <c r="C360" i="8" s="1"/>
  <c r="H605" i="3"/>
  <c r="H638" i="3"/>
  <c r="H326" i="3"/>
  <c r="G96" i="1" s="1"/>
  <c r="H96" i="1" s="1"/>
  <c r="C184" i="8" s="1"/>
  <c r="H424" i="3"/>
  <c r="G115" i="1" s="1"/>
  <c r="H115" i="1" s="1"/>
  <c r="C222" i="8" s="1"/>
  <c r="H620" i="3"/>
  <c r="G195" i="1" s="1"/>
  <c r="H195" i="1" s="1"/>
  <c r="C382" i="8" s="1"/>
  <c r="H23" i="3"/>
  <c r="G22" i="1" s="1"/>
  <c r="H22" i="1" s="1"/>
  <c r="H39" i="3"/>
  <c r="G27" i="1" s="1"/>
  <c r="H27" i="1" s="1"/>
  <c r="C46" i="8" s="1"/>
  <c r="H135" i="3"/>
  <c r="G53" i="1" s="1"/>
  <c r="H53" i="1" s="1"/>
  <c r="C98" i="8" s="1"/>
  <c r="H128" i="3"/>
  <c r="G52" i="1" s="1"/>
  <c r="H52" i="1" s="1"/>
  <c r="C96" i="8" s="1"/>
  <c r="H142" i="3"/>
  <c r="G54" i="1" s="1"/>
  <c r="H54" i="1" s="1"/>
  <c r="C100" i="8" s="1"/>
  <c r="H395" i="3"/>
  <c r="G112" i="1" s="1"/>
  <c r="H112" i="1" s="1"/>
  <c r="C216" i="8" s="1"/>
  <c r="H43" i="3"/>
  <c r="G28" i="1" s="1"/>
  <c r="H28" i="1" s="1"/>
  <c r="C48" i="8" s="1"/>
  <c r="H562" i="3"/>
  <c r="G180" i="1" s="1"/>
  <c r="H180" i="1" s="1"/>
  <c r="C352" i="8" s="1"/>
  <c r="H156" i="3"/>
  <c r="G56" i="1" s="1"/>
  <c r="H56" i="1" s="1"/>
  <c r="C104" i="8" s="1"/>
  <c r="H302" i="3"/>
  <c r="G93" i="1" s="1"/>
  <c r="H93" i="1" s="1"/>
  <c r="C178" i="8" s="1"/>
  <c r="H174" i="3"/>
  <c r="G61" i="1" s="1"/>
  <c r="H61" i="1" s="1"/>
  <c r="C114" i="8" s="1"/>
  <c r="H199" i="3"/>
  <c r="G66" i="1" s="1"/>
  <c r="H66" i="1" s="1"/>
  <c r="C124" i="8" s="1"/>
  <c r="H207" i="3"/>
  <c r="G74" i="1" s="1"/>
  <c r="H74" i="1" s="1"/>
  <c r="H460" i="3"/>
  <c r="G123" i="1" s="1"/>
  <c r="H123" i="1" s="1"/>
  <c r="C238" i="8" s="1"/>
  <c r="H505" i="3"/>
  <c r="G152" i="1" s="1"/>
  <c r="H152" i="1" s="1"/>
  <c r="C296" i="8" s="1"/>
  <c r="H585" i="3"/>
  <c r="G188" i="1" s="1"/>
  <c r="H188" i="1" s="1"/>
  <c r="C368" i="8" s="1"/>
  <c r="H187" i="3"/>
  <c r="G63" i="1" s="1"/>
  <c r="H63" i="1" s="1"/>
  <c r="C118" i="8" s="1"/>
  <c r="H218" i="3"/>
  <c r="G82" i="1" s="1"/>
  <c r="H82" i="1" s="1"/>
  <c r="C156" i="8" s="1"/>
  <c r="H241" i="3"/>
  <c r="G86" i="1" s="1"/>
  <c r="H86" i="1" s="1"/>
  <c r="C164" i="8" s="1"/>
  <c r="H261" i="3"/>
  <c r="G88" i="1" s="1"/>
  <c r="H88" i="1" s="1"/>
  <c r="C168" i="8" s="1"/>
  <c r="H310" i="3"/>
  <c r="G94" i="1" s="1"/>
  <c r="H94" i="1" s="1"/>
  <c r="C180" i="8" s="1"/>
  <c r="H516" i="3"/>
  <c r="G155" i="1" s="1"/>
  <c r="H155" i="1" s="1"/>
  <c r="C302" i="8" s="1"/>
  <c r="H571" i="3"/>
  <c r="G181" i="1" s="1"/>
  <c r="H181" i="1" s="1"/>
  <c r="C354" i="8" s="1"/>
  <c r="H600" i="3"/>
  <c r="G191" i="1" s="1"/>
  <c r="H191" i="1" s="1"/>
  <c r="C374" i="8" s="1"/>
  <c r="G11" i="1"/>
  <c r="H11" i="1" s="1"/>
  <c r="G89" i="1"/>
  <c r="H89" i="1" s="1"/>
  <c r="C170" i="8" s="1"/>
  <c r="G158" i="1"/>
  <c r="H158" i="1" s="1"/>
  <c r="G192" i="1"/>
  <c r="H192" i="1" s="1"/>
  <c r="C376" i="8" s="1"/>
  <c r="G34" i="1"/>
  <c r="H34" i="1" s="1"/>
  <c r="C60" i="8" s="1"/>
  <c r="G41" i="1"/>
  <c r="H41" i="1" s="1"/>
  <c r="C74" i="8" s="1"/>
  <c r="G198" i="1"/>
  <c r="H198" i="1" s="1"/>
  <c r="C388" i="8" s="1"/>
  <c r="G44" i="1"/>
  <c r="H44" i="1" s="1"/>
  <c r="C80" i="8" s="1"/>
  <c r="G175" i="1"/>
  <c r="H175" i="1" s="1"/>
  <c r="C342" i="8" s="1"/>
  <c r="G106" i="1"/>
  <c r="H106" i="1" s="1"/>
  <c r="C204" i="8" s="1"/>
  <c r="D21" i="4"/>
  <c r="D18" i="4" s="1"/>
  <c r="D23" i="4" s="1"/>
  <c r="F216" i="1" l="1"/>
  <c r="C20" i="2"/>
  <c r="F414" i="8"/>
  <c r="F412" i="8" s="1"/>
  <c r="E414" i="8"/>
  <c r="E412" i="8" s="1"/>
  <c r="D282" i="8"/>
  <c r="D281" i="8" s="1"/>
  <c r="G326" i="8"/>
  <c r="G325" i="8" s="1"/>
  <c r="G246" i="8"/>
  <c r="G245" i="8" s="1"/>
  <c r="G328" i="8"/>
  <c r="G327" i="8" s="1"/>
  <c r="G32" i="8"/>
  <c r="G31" i="8" s="1"/>
  <c r="E282" i="8"/>
  <c r="E281" i="8" s="1"/>
  <c r="D414" i="8"/>
  <c r="D412" i="8" s="1"/>
  <c r="G70" i="8"/>
  <c r="G69" i="8" s="1"/>
  <c r="G356" i="8"/>
  <c r="G355" i="8" s="1"/>
  <c r="G270" i="8"/>
  <c r="G269" i="8" s="1"/>
  <c r="G332" i="8"/>
  <c r="G331" i="8" s="1"/>
  <c r="G278" i="8"/>
  <c r="G277" i="8" s="1"/>
  <c r="G290" i="8"/>
  <c r="G289" i="8" s="1"/>
  <c r="G312" i="8"/>
  <c r="G311" i="8" s="1"/>
  <c r="G50" i="8"/>
  <c r="G49" i="8" s="1"/>
  <c r="G406" i="8"/>
  <c r="G405" i="8" s="1"/>
  <c r="G404" i="8"/>
  <c r="G276" i="8"/>
  <c r="G275" i="8" s="1"/>
  <c r="G110" i="8"/>
  <c r="G109" i="8" s="1"/>
  <c r="G34" i="8"/>
  <c r="G33" i="8" s="1"/>
  <c r="G250" i="8"/>
  <c r="G249" i="8" s="1"/>
  <c r="G22" i="8"/>
  <c r="G21" i="8" s="1"/>
  <c r="G408" i="8"/>
  <c r="G407" i="8" s="1"/>
  <c r="G286" i="8"/>
  <c r="G285" i="8" s="1"/>
  <c r="G274" i="8"/>
  <c r="G273" i="8" s="1"/>
  <c r="G142" i="8"/>
  <c r="G141" i="8" s="1"/>
  <c r="G244" i="8"/>
  <c r="G243" i="8" s="1"/>
  <c r="G258" i="8"/>
  <c r="G257" i="8" s="1"/>
  <c r="F282" i="8"/>
  <c r="F281" i="8" s="1"/>
  <c r="G256" i="8"/>
  <c r="G255" i="8" s="1"/>
  <c r="G56" i="8"/>
  <c r="G55" i="8" s="1"/>
  <c r="G418" i="8"/>
  <c r="G417" i="8" s="1"/>
  <c r="G346" i="8"/>
  <c r="G345" i="8" s="1"/>
  <c r="G288" i="8"/>
  <c r="G287" i="8" s="1"/>
  <c r="G152" i="8"/>
  <c r="G151" i="8" s="1"/>
  <c r="G416" i="8"/>
  <c r="G252" i="8"/>
  <c r="G251" i="8" s="1"/>
  <c r="G136" i="8"/>
  <c r="G135" i="8" s="1"/>
  <c r="G300" i="8"/>
  <c r="G299" i="8" s="1"/>
  <c r="G248" i="8"/>
  <c r="G247" i="8" s="1"/>
  <c r="G54" i="8"/>
  <c r="G53" i="8" s="1"/>
  <c r="G38" i="8"/>
  <c r="G37" i="8" s="1"/>
  <c r="G196" i="8"/>
  <c r="G195" i="8" s="1"/>
  <c r="G232" i="8"/>
  <c r="G231" i="8" s="1"/>
  <c r="E180" i="8"/>
  <c r="D180" i="8"/>
  <c r="F180" i="8"/>
  <c r="D178" i="8"/>
  <c r="E178" i="8"/>
  <c r="F178" i="8"/>
  <c r="F184" i="8"/>
  <c r="D184" i="8"/>
  <c r="E184" i="8"/>
  <c r="E260" i="8"/>
  <c r="D260" i="8"/>
  <c r="F260" i="8"/>
  <c r="F380" i="8"/>
  <c r="D380" i="8"/>
  <c r="E380" i="8"/>
  <c r="D210" i="8"/>
  <c r="E210" i="8"/>
  <c r="F210" i="8"/>
  <c r="E204" i="8"/>
  <c r="D204" i="8"/>
  <c r="F204" i="8"/>
  <c r="D374" i="8"/>
  <c r="E374" i="8"/>
  <c r="F374" i="8"/>
  <c r="F168" i="8"/>
  <c r="D168" i="8"/>
  <c r="E168" i="8"/>
  <c r="D118" i="8"/>
  <c r="F118" i="8"/>
  <c r="E118" i="8"/>
  <c r="D104" i="8"/>
  <c r="F104" i="8"/>
  <c r="E104" i="8"/>
  <c r="E100" i="8"/>
  <c r="D100" i="8"/>
  <c r="F100" i="8"/>
  <c r="D360" i="8"/>
  <c r="E360" i="8"/>
  <c r="F360" i="8"/>
  <c r="F44" i="8"/>
  <c r="D44" i="8"/>
  <c r="E44" i="8"/>
  <c r="F262" i="8"/>
  <c r="E262" i="8"/>
  <c r="D262" i="8"/>
  <c r="F166" i="8"/>
  <c r="E166" i="8"/>
  <c r="D166" i="8"/>
  <c r="E336" i="8"/>
  <c r="D336" i="8"/>
  <c r="F336" i="8"/>
  <c r="E116" i="8"/>
  <c r="D116" i="8"/>
  <c r="F116" i="8"/>
  <c r="F94" i="8"/>
  <c r="D94" i="8"/>
  <c r="E94" i="8"/>
  <c r="E212" i="8"/>
  <c r="D212" i="8"/>
  <c r="F212" i="8"/>
  <c r="F224" i="8"/>
  <c r="E224" i="8"/>
  <c r="D224" i="8"/>
  <c r="F102" i="8"/>
  <c r="E102" i="8"/>
  <c r="D102" i="8"/>
  <c r="F58" i="8"/>
  <c r="D58" i="8"/>
  <c r="E58" i="8"/>
  <c r="G132" i="8"/>
  <c r="G131" i="8" s="1"/>
  <c r="G62" i="8"/>
  <c r="G61" i="8" s="1"/>
  <c r="G284" i="8"/>
  <c r="G283" i="8" s="1"/>
  <c r="G72" i="8"/>
  <c r="G71" i="8" s="1"/>
  <c r="G358" i="8"/>
  <c r="G357" i="8" s="1"/>
  <c r="G134" i="8"/>
  <c r="G133" i="8" s="1"/>
  <c r="G334" i="8"/>
  <c r="G333" i="8" s="1"/>
  <c r="E388" i="8"/>
  <c r="D388" i="8"/>
  <c r="F388" i="8"/>
  <c r="F216" i="8"/>
  <c r="E216" i="8"/>
  <c r="D216" i="8"/>
  <c r="F158" i="8"/>
  <c r="E158" i="8"/>
  <c r="D158" i="8"/>
  <c r="E122" i="8"/>
  <c r="D122" i="8"/>
  <c r="F122" i="8"/>
  <c r="F174" i="8"/>
  <c r="E174" i="8"/>
  <c r="D174" i="8"/>
  <c r="F190" i="8"/>
  <c r="E190" i="8"/>
  <c r="D190" i="8"/>
  <c r="D342" i="8"/>
  <c r="E342" i="8"/>
  <c r="F342" i="8"/>
  <c r="D74" i="8"/>
  <c r="F74" i="8"/>
  <c r="E74" i="8"/>
  <c r="F354" i="8"/>
  <c r="E354" i="8"/>
  <c r="D354" i="8"/>
  <c r="E368" i="8"/>
  <c r="D368" i="8"/>
  <c r="F368" i="8"/>
  <c r="F124" i="8"/>
  <c r="E124" i="8"/>
  <c r="D124" i="8"/>
  <c r="E352" i="8"/>
  <c r="D352" i="8"/>
  <c r="F352" i="8"/>
  <c r="E96" i="8"/>
  <c r="F96" i="8"/>
  <c r="D96" i="8"/>
  <c r="D382" i="8"/>
  <c r="E382" i="8"/>
  <c r="F382" i="8"/>
  <c r="E92" i="8"/>
  <c r="F92" i="8"/>
  <c r="D92" i="8"/>
  <c r="F192" i="8"/>
  <c r="E192" i="8"/>
  <c r="D192" i="8"/>
  <c r="F218" i="8"/>
  <c r="D218" i="8"/>
  <c r="E218" i="8"/>
  <c r="F82" i="8"/>
  <c r="D82" i="8"/>
  <c r="E82" i="8"/>
  <c r="D220" i="8"/>
  <c r="F220" i="8"/>
  <c r="E220" i="8"/>
  <c r="F206" i="8"/>
  <c r="E206" i="8"/>
  <c r="D206" i="8"/>
  <c r="F264" i="8"/>
  <c r="D264" i="8"/>
  <c r="E264" i="8"/>
  <c r="F370" i="8"/>
  <c r="E370" i="8"/>
  <c r="D370" i="8"/>
  <c r="F372" i="8"/>
  <c r="D372" i="8"/>
  <c r="E372" i="8"/>
  <c r="E236" i="8"/>
  <c r="D236" i="8"/>
  <c r="F236" i="8"/>
  <c r="F42" i="8"/>
  <c r="D42" i="8"/>
  <c r="E42" i="8"/>
  <c r="D202" i="8"/>
  <c r="F202" i="8"/>
  <c r="E202" i="8"/>
  <c r="F338" i="8"/>
  <c r="E338" i="8"/>
  <c r="D338" i="8"/>
  <c r="F146" i="8"/>
  <c r="F144" i="8" s="1"/>
  <c r="F143" i="8" s="1"/>
  <c r="E146" i="8"/>
  <c r="E144" i="8" s="1"/>
  <c r="E143" i="8" s="1"/>
  <c r="D146" i="8"/>
  <c r="D144" i="8" s="1"/>
  <c r="D143" i="8" s="1"/>
  <c r="G298" i="8"/>
  <c r="G297" i="8" s="1"/>
  <c r="G30" i="8"/>
  <c r="G234" i="8"/>
  <c r="G233" i="8" s="1"/>
  <c r="G350" i="8"/>
  <c r="G349" i="8" s="1"/>
  <c r="G138" i="8"/>
  <c r="G137" i="8" s="1"/>
  <c r="G324" i="8"/>
  <c r="G194" i="8"/>
  <c r="G193" i="8" s="1"/>
  <c r="G130" i="8"/>
  <c r="G129" i="8" s="1"/>
  <c r="G254" i="8"/>
  <c r="G253" i="8" s="1"/>
  <c r="G314" i="8"/>
  <c r="G313" i="8" s="1"/>
  <c r="E376" i="8"/>
  <c r="D376" i="8"/>
  <c r="F376" i="8"/>
  <c r="F238" i="8"/>
  <c r="E238" i="8"/>
  <c r="D238" i="8"/>
  <c r="D46" i="8"/>
  <c r="F46" i="8"/>
  <c r="E46" i="8"/>
  <c r="E172" i="8"/>
  <c r="D172" i="8"/>
  <c r="F172" i="8"/>
  <c r="F84" i="8"/>
  <c r="E84" i="8"/>
  <c r="D84" i="8"/>
  <c r="F340" i="8"/>
  <c r="D340" i="8"/>
  <c r="E340" i="8"/>
  <c r="F378" i="8"/>
  <c r="E378" i="8"/>
  <c r="D378" i="8"/>
  <c r="F390" i="8"/>
  <c r="E390" i="8"/>
  <c r="D390" i="8"/>
  <c r="E164" i="8"/>
  <c r="D164" i="8"/>
  <c r="F164" i="8"/>
  <c r="E80" i="8"/>
  <c r="D80" i="8"/>
  <c r="F80" i="8"/>
  <c r="D60" i="8"/>
  <c r="E60" i="8"/>
  <c r="F60" i="8"/>
  <c r="D170" i="8"/>
  <c r="F170" i="8"/>
  <c r="E170" i="8"/>
  <c r="F302" i="8"/>
  <c r="E302" i="8"/>
  <c r="D302" i="8"/>
  <c r="F156" i="8"/>
  <c r="E156" i="8"/>
  <c r="D156" i="8"/>
  <c r="F296" i="8"/>
  <c r="D296" i="8"/>
  <c r="E296" i="8"/>
  <c r="F114" i="8"/>
  <c r="E114" i="8"/>
  <c r="D114" i="8"/>
  <c r="E48" i="8"/>
  <c r="F48" i="8"/>
  <c r="D48" i="8"/>
  <c r="D98" i="8"/>
  <c r="E98" i="8"/>
  <c r="F98" i="8"/>
  <c r="E222" i="8"/>
  <c r="D222" i="8"/>
  <c r="F222" i="8"/>
  <c r="F176" i="8"/>
  <c r="E176" i="8"/>
  <c r="D176" i="8"/>
  <c r="F182" i="8"/>
  <c r="E182" i="8"/>
  <c r="D182" i="8"/>
  <c r="D186" i="8"/>
  <c r="E186" i="8"/>
  <c r="F186" i="8"/>
  <c r="D76" i="8"/>
  <c r="E76" i="8"/>
  <c r="F76" i="8"/>
  <c r="F198" i="8"/>
  <c r="E198" i="8"/>
  <c r="D198" i="8"/>
  <c r="F200" i="8"/>
  <c r="D200" i="8"/>
  <c r="E200" i="8"/>
  <c r="E188" i="8"/>
  <c r="D188" i="8"/>
  <c r="F188" i="8"/>
  <c r="D160" i="8"/>
  <c r="E160" i="8"/>
  <c r="F160" i="8"/>
  <c r="F208" i="8"/>
  <c r="D208" i="8"/>
  <c r="E208" i="8"/>
  <c r="E344" i="8"/>
  <c r="D344" i="8"/>
  <c r="F344" i="8"/>
  <c r="G310" i="8"/>
  <c r="G309" i="8" s="1"/>
  <c r="G348" i="8"/>
  <c r="G347" i="8" s="1"/>
  <c r="G294" i="8"/>
  <c r="G293" i="8" s="1"/>
  <c r="G242" i="8"/>
  <c r="G241" i="8" s="1"/>
  <c r="G240" i="8"/>
  <c r="G239" i="8" s="1"/>
  <c r="G268" i="8"/>
  <c r="G267" i="8" s="1"/>
  <c r="G52" i="8"/>
  <c r="G51" i="8" s="1"/>
  <c r="G112" i="8"/>
  <c r="G111" i="8" s="1"/>
  <c r="G128" i="8"/>
  <c r="G127" i="8" s="1"/>
  <c r="H164" i="1"/>
  <c r="C320" i="8" s="1"/>
  <c r="C322" i="8"/>
  <c r="H78" i="1"/>
  <c r="C148" i="8" s="1"/>
  <c r="C150" i="8"/>
  <c r="H10" i="1"/>
  <c r="C14" i="8"/>
  <c r="H157" i="1"/>
  <c r="C308" i="8"/>
  <c r="H67" i="1"/>
  <c r="C126" i="8" s="1"/>
  <c r="C140" i="8"/>
  <c r="H18" i="1"/>
  <c r="C28" i="8" s="1"/>
  <c r="C36" i="8"/>
  <c r="H47" i="1"/>
  <c r="C86" i="8" s="1"/>
  <c r="C88" i="8"/>
  <c r="H210" i="1"/>
  <c r="C17" i="2" s="1"/>
  <c r="C414" i="8"/>
  <c r="H137" i="1"/>
  <c r="C266" i="8" s="1"/>
  <c r="C272" i="8"/>
  <c r="F106" i="8"/>
  <c r="E106" i="8"/>
  <c r="D106" i="8"/>
  <c r="H14" i="1"/>
  <c r="C24" i="8"/>
  <c r="H150" i="1"/>
  <c r="H58" i="1"/>
  <c r="C108" i="8" s="1"/>
  <c r="H169" i="1"/>
  <c r="H197" i="1"/>
  <c r="H119" i="1"/>
  <c r="H24" i="1"/>
  <c r="H38" i="1"/>
  <c r="C68" i="8" s="1"/>
  <c r="H85" i="1"/>
  <c r="C162" i="8" s="1"/>
  <c r="H49" i="1"/>
  <c r="C90" i="8" s="1"/>
  <c r="H43" i="1"/>
  <c r="C78" i="8" s="1"/>
  <c r="H111" i="1"/>
  <c r="C214" i="8" s="1"/>
  <c r="H64" i="1"/>
  <c r="C120" i="8" s="1"/>
  <c r="H187" i="1"/>
  <c r="H81" i="1"/>
  <c r="C154" i="8" s="1"/>
  <c r="F330" i="8" l="1"/>
  <c r="E330" i="8"/>
  <c r="D108" i="8"/>
  <c r="D107" i="8" s="1"/>
  <c r="D292" i="8"/>
  <c r="D68" i="8"/>
  <c r="D67" i="8" s="1"/>
  <c r="D413" i="8"/>
  <c r="F108" i="8"/>
  <c r="F107" i="8" s="1"/>
  <c r="G188" i="8"/>
  <c r="G187" i="8" s="1"/>
  <c r="G236" i="8"/>
  <c r="G235" i="8" s="1"/>
  <c r="G262" i="8"/>
  <c r="G261" i="8" s="1"/>
  <c r="G260" i="8"/>
  <c r="G259" i="8" s="1"/>
  <c r="F68" i="8"/>
  <c r="F67" i="8" s="1"/>
  <c r="G42" i="8"/>
  <c r="G41" i="8" s="1"/>
  <c r="G222" i="8"/>
  <c r="G221" i="8" s="1"/>
  <c r="F292" i="8"/>
  <c r="G82" i="8"/>
  <c r="G81" i="8" s="1"/>
  <c r="G368" i="8"/>
  <c r="G367" i="8" s="1"/>
  <c r="G216" i="8"/>
  <c r="G215" i="8" s="1"/>
  <c r="G200" i="8"/>
  <c r="G199" i="8" s="1"/>
  <c r="G156" i="8"/>
  <c r="G155" i="8" s="1"/>
  <c r="F78" i="8"/>
  <c r="F77" i="8" s="1"/>
  <c r="G164" i="8"/>
  <c r="G212" i="8"/>
  <c r="G211" i="8" s="1"/>
  <c r="G336" i="8"/>
  <c r="G335" i="8" s="1"/>
  <c r="D230" i="8"/>
  <c r="E230" i="8"/>
  <c r="G378" i="8"/>
  <c r="G377" i="8" s="1"/>
  <c r="G46" i="8"/>
  <c r="G45" i="8" s="1"/>
  <c r="F120" i="8"/>
  <c r="F119" i="8" s="1"/>
  <c r="F230" i="8"/>
  <c r="G184" i="8"/>
  <c r="G183" i="8" s="1"/>
  <c r="G208" i="8"/>
  <c r="G207" i="8" s="1"/>
  <c r="E292" i="8"/>
  <c r="G80" i="8"/>
  <c r="G172" i="8"/>
  <c r="G171" i="8" s="1"/>
  <c r="E68" i="8"/>
  <c r="E67" i="8" s="1"/>
  <c r="G168" i="8"/>
  <c r="G167" i="8" s="1"/>
  <c r="G374" i="8"/>
  <c r="G373" i="8" s="1"/>
  <c r="G380" i="8"/>
  <c r="G379" i="8" s="1"/>
  <c r="G282" i="8"/>
  <c r="G281" i="8" s="1"/>
  <c r="G344" i="8"/>
  <c r="G343" i="8" s="1"/>
  <c r="G186" i="8"/>
  <c r="G185" i="8" s="1"/>
  <c r="G176" i="8"/>
  <c r="G175" i="8" s="1"/>
  <c r="E78" i="8"/>
  <c r="E77" i="8" s="1"/>
  <c r="G338" i="8"/>
  <c r="G337" i="8" s="1"/>
  <c r="G202" i="8"/>
  <c r="G201" i="8" s="1"/>
  <c r="D330" i="8"/>
  <c r="G94" i="8"/>
  <c r="G93" i="8" s="1"/>
  <c r="E108" i="8"/>
  <c r="E107" i="8" s="1"/>
  <c r="G302" i="8"/>
  <c r="G301" i="8" s="1"/>
  <c r="G60" i="8"/>
  <c r="G59" i="8" s="1"/>
  <c r="G390" i="8"/>
  <c r="G389" i="8" s="1"/>
  <c r="G376" i="8"/>
  <c r="G375" i="8" s="1"/>
  <c r="G146" i="8"/>
  <c r="G145" i="8" s="1"/>
  <c r="G218" i="8"/>
  <c r="G217" i="8" s="1"/>
  <c r="F366" i="8"/>
  <c r="F364" i="8" s="1"/>
  <c r="G388" i="8"/>
  <c r="G387" i="8" s="1"/>
  <c r="G224" i="8"/>
  <c r="G223" i="8" s="1"/>
  <c r="G204" i="8"/>
  <c r="G203" i="8" s="1"/>
  <c r="G210" i="8"/>
  <c r="G209" i="8" s="1"/>
  <c r="G180" i="8"/>
  <c r="G179" i="8" s="1"/>
  <c r="D36" i="8"/>
  <c r="E36" i="8"/>
  <c r="E28" i="8" s="1"/>
  <c r="F36" i="8"/>
  <c r="F28" i="8" s="1"/>
  <c r="E140" i="8"/>
  <c r="E126" i="8" s="1"/>
  <c r="E125" i="8" s="1"/>
  <c r="F140" i="8"/>
  <c r="F126" i="8" s="1"/>
  <c r="F125" i="8" s="1"/>
  <c r="D140" i="8"/>
  <c r="D78" i="8"/>
  <c r="G76" i="8"/>
  <c r="G75" i="8" s="1"/>
  <c r="G182" i="8"/>
  <c r="G181" i="8" s="1"/>
  <c r="G98" i="8"/>
  <c r="G97" i="8" s="1"/>
  <c r="G114" i="8"/>
  <c r="G113" i="8" s="1"/>
  <c r="G296" i="8"/>
  <c r="G295" i="8" s="1"/>
  <c r="G170" i="8"/>
  <c r="G169" i="8" s="1"/>
  <c r="G340" i="8"/>
  <c r="G339" i="8" s="1"/>
  <c r="E40" i="8"/>
  <c r="G372" i="8"/>
  <c r="G371" i="8" s="1"/>
  <c r="G92" i="8"/>
  <c r="G91" i="8" s="1"/>
  <c r="G354" i="8"/>
  <c r="G353" i="8" s="1"/>
  <c r="G342" i="8"/>
  <c r="G341" i="8" s="1"/>
  <c r="G174" i="8"/>
  <c r="G173" i="8" s="1"/>
  <c r="G122" i="8"/>
  <c r="G121" i="8" s="1"/>
  <c r="G102" i="8"/>
  <c r="G101" i="8" s="1"/>
  <c r="G166" i="8"/>
  <c r="G165" i="8" s="1"/>
  <c r="G44" i="8"/>
  <c r="G43" i="8" s="1"/>
  <c r="G360" i="8"/>
  <c r="G359" i="8" s="1"/>
  <c r="F308" i="8"/>
  <c r="D308" i="8"/>
  <c r="E308" i="8"/>
  <c r="G144" i="8"/>
  <c r="G143" i="8" s="1"/>
  <c r="D88" i="8"/>
  <c r="D86" i="8" s="1"/>
  <c r="F88" i="8"/>
  <c r="F86" i="8" s="1"/>
  <c r="E88" i="8"/>
  <c r="E86" i="8" s="1"/>
  <c r="D14" i="8"/>
  <c r="F14" i="8"/>
  <c r="F12" i="8" s="1"/>
  <c r="E14" i="8"/>
  <c r="E12" i="8" s="1"/>
  <c r="D150" i="8"/>
  <c r="D148" i="8" s="1"/>
  <c r="D147" i="8" s="1"/>
  <c r="F150" i="8"/>
  <c r="F148" i="8" s="1"/>
  <c r="F147" i="8" s="1"/>
  <c r="E150" i="8"/>
  <c r="E148" i="8" s="1"/>
  <c r="E147" i="8" s="1"/>
  <c r="G198" i="8"/>
  <c r="G197" i="8" s="1"/>
  <c r="G48" i="8"/>
  <c r="G47" i="8" s="1"/>
  <c r="G238" i="8"/>
  <c r="G237" i="8" s="1"/>
  <c r="G220" i="8"/>
  <c r="G219" i="8" s="1"/>
  <c r="G192" i="8"/>
  <c r="G191" i="8" s="1"/>
  <c r="G382" i="8"/>
  <c r="G381" i="8" s="1"/>
  <c r="G352" i="8"/>
  <c r="G351" i="8" s="1"/>
  <c r="G124" i="8"/>
  <c r="G123" i="8" s="1"/>
  <c r="G74" i="8"/>
  <c r="G73" i="8" s="1"/>
  <c r="G190" i="8"/>
  <c r="G189" i="8" s="1"/>
  <c r="G118" i="8"/>
  <c r="G117" i="8" s="1"/>
  <c r="G178" i="8"/>
  <c r="G177" i="8" s="1"/>
  <c r="F322" i="8"/>
  <c r="F320" i="8" s="1"/>
  <c r="D322" i="8"/>
  <c r="D320" i="8" s="1"/>
  <c r="E322" i="8"/>
  <c r="E320" i="8" s="1"/>
  <c r="D24" i="8"/>
  <c r="F24" i="8"/>
  <c r="F20" i="8" s="1"/>
  <c r="E24" i="8"/>
  <c r="E20" i="8" s="1"/>
  <c r="E413" i="8"/>
  <c r="G106" i="8"/>
  <c r="G105" i="8" s="1"/>
  <c r="F272" i="8"/>
  <c r="F266" i="8" s="1"/>
  <c r="F265" i="8" s="1"/>
  <c r="E272" i="8"/>
  <c r="E266" i="8" s="1"/>
  <c r="E265" i="8" s="1"/>
  <c r="D272" i="8"/>
  <c r="G160" i="8"/>
  <c r="G159" i="8" s="1"/>
  <c r="G84" i="8"/>
  <c r="G83" i="8" s="1"/>
  <c r="F40" i="8"/>
  <c r="G370" i="8"/>
  <c r="G369" i="8" s="1"/>
  <c r="G264" i="8"/>
  <c r="G263" i="8" s="1"/>
  <c r="G206" i="8"/>
  <c r="G205" i="8" s="1"/>
  <c r="G96" i="8"/>
  <c r="G95" i="8" s="1"/>
  <c r="G158" i="8"/>
  <c r="G157" i="8" s="1"/>
  <c r="G58" i="8"/>
  <c r="G57" i="8" s="1"/>
  <c r="G116" i="8"/>
  <c r="G115" i="8" s="1"/>
  <c r="G100" i="8"/>
  <c r="G99" i="8" s="1"/>
  <c r="G104" i="8"/>
  <c r="G103" i="8" s="1"/>
  <c r="H186" i="1"/>
  <c r="C364" i="8" s="1"/>
  <c r="C366" i="8"/>
  <c r="H118" i="1"/>
  <c r="C228" i="8" s="1"/>
  <c r="C230" i="8"/>
  <c r="H144" i="1"/>
  <c r="C280" i="8" s="1"/>
  <c r="C292" i="8"/>
  <c r="G415" i="8"/>
  <c r="G414" i="8"/>
  <c r="F154" i="8"/>
  <c r="F153" i="8" s="1"/>
  <c r="D162" i="8"/>
  <c r="D161" i="8" s="1"/>
  <c r="D40" i="8"/>
  <c r="E90" i="8"/>
  <c r="E89" i="8" s="1"/>
  <c r="D366" i="8"/>
  <c r="F413" i="8"/>
  <c r="E120" i="8"/>
  <c r="E119" i="8" s="1"/>
  <c r="F214" i="8"/>
  <c r="F213" i="8" s="1"/>
  <c r="E386" i="8"/>
  <c r="H196" i="1"/>
  <c r="C384" i="8" s="1"/>
  <c r="C386" i="8"/>
  <c r="H163" i="1"/>
  <c r="C330" i="8"/>
  <c r="H13" i="1"/>
  <c r="C18" i="8" s="1"/>
  <c r="C20" i="8"/>
  <c r="D154" i="8"/>
  <c r="D153" i="8" s="1"/>
  <c r="E162" i="8"/>
  <c r="E161" i="8" s="1"/>
  <c r="D90" i="8"/>
  <c r="D89" i="8" s="1"/>
  <c r="E366" i="8"/>
  <c r="C412" i="8"/>
  <c r="D411" i="8" s="1"/>
  <c r="H156" i="1"/>
  <c r="C304" i="8" s="1"/>
  <c r="C306" i="8"/>
  <c r="D214" i="8"/>
  <c r="D213" i="8" s="1"/>
  <c r="F386" i="8"/>
  <c r="H17" i="1"/>
  <c r="C40" i="8"/>
  <c r="E154" i="8"/>
  <c r="E153" i="8" s="1"/>
  <c r="F162" i="8"/>
  <c r="F161" i="8" s="1"/>
  <c r="F90" i="8"/>
  <c r="F89" i="8" s="1"/>
  <c r="H9" i="1"/>
  <c r="C9" i="2" s="1"/>
  <c r="C12" i="8"/>
  <c r="D120" i="8"/>
  <c r="D119" i="8" s="1"/>
  <c r="E214" i="8"/>
  <c r="E213" i="8" s="1"/>
  <c r="D386" i="8"/>
  <c r="H37" i="1"/>
  <c r="G292" i="8" l="1"/>
  <c r="G78" i="8"/>
  <c r="G77" i="8" s="1"/>
  <c r="G68" i="8"/>
  <c r="G67" i="8" s="1"/>
  <c r="F365" i="8"/>
  <c r="D77" i="8"/>
  <c r="G330" i="8"/>
  <c r="G329" i="8" s="1"/>
  <c r="G230" i="8"/>
  <c r="G229" i="8" s="1"/>
  <c r="G14" i="8"/>
  <c r="G108" i="8"/>
  <c r="G107" i="8" s="1"/>
  <c r="F39" i="8"/>
  <c r="H185" i="1"/>
  <c r="C14" i="2" s="1"/>
  <c r="F228" i="8"/>
  <c r="F227" i="8" s="1"/>
  <c r="D229" i="8"/>
  <c r="E229" i="8"/>
  <c r="G140" i="8"/>
  <c r="H117" i="1"/>
  <c r="C12" i="2" s="1"/>
  <c r="D12" i="8"/>
  <c r="D11" i="8" s="1"/>
  <c r="F229" i="8"/>
  <c r="G24" i="8"/>
  <c r="G20" i="8" s="1"/>
  <c r="D20" i="8"/>
  <c r="D18" i="8" s="1"/>
  <c r="G88" i="8"/>
  <c r="G87" i="8" s="1"/>
  <c r="G308" i="8"/>
  <c r="G36" i="8"/>
  <c r="G28" i="8" s="1"/>
  <c r="G322" i="8"/>
  <c r="G321" i="8" s="1"/>
  <c r="G150" i="8"/>
  <c r="G149" i="8" s="1"/>
  <c r="E329" i="8"/>
  <c r="G272" i="8"/>
  <c r="G271" i="8" s="1"/>
  <c r="G40" i="8"/>
  <c r="G39" i="8" s="1"/>
  <c r="G86" i="8"/>
  <c r="G85" i="8" s="1"/>
  <c r="E228" i="8"/>
  <c r="E227" i="8" s="1"/>
  <c r="G148" i="8"/>
  <c r="G147" i="8" s="1"/>
  <c r="E66" i="8"/>
  <c r="E64" i="8" s="1"/>
  <c r="F66" i="8"/>
  <c r="F64" i="8" s="1"/>
  <c r="E319" i="8"/>
  <c r="E318" i="8"/>
  <c r="E316" i="8" s="1"/>
  <c r="G386" i="8"/>
  <c r="G366" i="8"/>
  <c r="D329" i="8"/>
  <c r="G320" i="8"/>
  <c r="F411" i="8"/>
  <c r="E39" i="8"/>
  <c r="H162" i="1"/>
  <c r="C318" i="8"/>
  <c r="F18" i="8"/>
  <c r="F19" i="8"/>
  <c r="D266" i="8"/>
  <c r="G120" i="8"/>
  <c r="G119" i="8" s="1"/>
  <c r="D365" i="8"/>
  <c r="D364" i="8"/>
  <c r="G412" i="8"/>
  <c r="G411" i="8" s="1"/>
  <c r="G413" i="8"/>
  <c r="F329" i="8"/>
  <c r="H36" i="1"/>
  <c r="C11" i="2" s="1"/>
  <c r="C66" i="8"/>
  <c r="D126" i="8"/>
  <c r="E411" i="8"/>
  <c r="G162" i="8"/>
  <c r="G161" i="8" s="1"/>
  <c r="D319" i="8"/>
  <c r="D318" i="8"/>
  <c r="D316" i="8" s="1"/>
  <c r="F11" i="8"/>
  <c r="F10" i="8"/>
  <c r="E364" i="8"/>
  <c r="E365" i="8"/>
  <c r="E385" i="8"/>
  <c r="E384" i="8"/>
  <c r="E383" i="8" s="1"/>
  <c r="C10" i="8"/>
  <c r="D384" i="8"/>
  <c r="D383" i="8" s="1"/>
  <c r="D385" i="8"/>
  <c r="H12" i="1"/>
  <c r="C10" i="2" s="1"/>
  <c r="C26" i="8"/>
  <c r="F384" i="8"/>
  <c r="F383" i="8" s="1"/>
  <c r="F385" i="8"/>
  <c r="F319" i="8"/>
  <c r="F318" i="8"/>
  <c r="F316" i="8" s="1"/>
  <c r="E11" i="8"/>
  <c r="E10" i="8"/>
  <c r="G214" i="8"/>
  <c r="G213" i="8" s="1"/>
  <c r="E18" i="8"/>
  <c r="E19" i="8"/>
  <c r="F363" i="8"/>
  <c r="D39" i="8"/>
  <c r="G90" i="8"/>
  <c r="G89" i="8" s="1"/>
  <c r="G154" i="8"/>
  <c r="G153" i="8" s="1"/>
  <c r="C226" i="8" l="1"/>
  <c r="D19" i="8"/>
  <c r="C362" i="8"/>
  <c r="F9" i="8"/>
  <c r="D10" i="8"/>
  <c r="D9" i="8" s="1"/>
  <c r="F362" i="8"/>
  <c r="E9" i="8"/>
  <c r="G35" i="8"/>
  <c r="C13" i="2"/>
  <c r="G18" i="8"/>
  <c r="G17" i="8" s="1"/>
  <c r="G19" i="8"/>
  <c r="G23" i="8"/>
  <c r="F65" i="8"/>
  <c r="D317" i="8"/>
  <c r="D362" i="8"/>
  <c r="D363" i="8"/>
  <c r="C316" i="8"/>
  <c r="E317" i="8"/>
  <c r="F317" i="8"/>
  <c r="E363" i="8"/>
  <c r="E362" i="8"/>
  <c r="C64" i="8"/>
  <c r="E63" i="8" s="1"/>
  <c r="G385" i="8"/>
  <c r="G384" i="8"/>
  <c r="G383" i="8" s="1"/>
  <c r="E65" i="8"/>
  <c r="C16" i="8"/>
  <c r="D125" i="8"/>
  <c r="G126" i="8"/>
  <c r="G125" i="8" s="1"/>
  <c r="D66" i="8"/>
  <c r="F17" i="8"/>
  <c r="G365" i="8"/>
  <c r="G364" i="8"/>
  <c r="E17" i="8"/>
  <c r="D17" i="8"/>
  <c r="D265" i="8"/>
  <c r="G266" i="8"/>
  <c r="D228" i="8"/>
  <c r="G319" i="8"/>
  <c r="G318" i="8"/>
  <c r="G316" i="8" s="1"/>
  <c r="G79" i="8"/>
  <c r="G163" i="8"/>
  <c r="G139" i="8"/>
  <c r="E361" i="8" l="1"/>
  <c r="D361" i="8"/>
  <c r="F361" i="8"/>
  <c r="F63" i="8"/>
  <c r="E315" i="8"/>
  <c r="F315" i="8"/>
  <c r="G265" i="8"/>
  <c r="G228" i="8"/>
  <c r="D65" i="8"/>
  <c r="D64" i="8"/>
  <c r="G66" i="8"/>
  <c r="G317" i="8"/>
  <c r="G315" i="8"/>
  <c r="D227" i="8"/>
  <c r="G362" i="8"/>
  <c r="G361" i="8" s="1"/>
  <c r="G363" i="8"/>
  <c r="D315" i="8"/>
  <c r="D63" i="8" l="1"/>
  <c r="G64" i="8"/>
  <c r="G63" i="8" s="1"/>
  <c r="G65" i="8"/>
  <c r="G227" i="8"/>
  <c r="G403" i="8"/>
  <c r="G13" i="8" l="1"/>
  <c r="G12" i="8"/>
  <c r="G10" i="8" s="1"/>
  <c r="G9" i="8" l="1"/>
  <c r="G11" i="8"/>
  <c r="E27" i="8"/>
  <c r="D28" i="8"/>
  <c r="D27" i="8" l="1"/>
  <c r="D26" i="8"/>
  <c r="G29" i="8"/>
  <c r="E26" i="8"/>
  <c r="E16" i="8" s="1"/>
  <c r="F27" i="8"/>
  <c r="F26" i="8"/>
  <c r="F16" i="8" s="1"/>
  <c r="F25" i="8" l="1"/>
  <c r="D16" i="8"/>
  <c r="D25" i="8"/>
  <c r="E25" i="8"/>
  <c r="G26" i="8"/>
  <c r="G16" i="8" s="1"/>
  <c r="G27" i="8"/>
  <c r="E15" i="8" l="1"/>
  <c r="G25" i="8"/>
  <c r="D15" i="8"/>
  <c r="F15" i="8"/>
  <c r="G15" i="8" l="1"/>
  <c r="G280" i="8"/>
  <c r="G279" i="8" s="1"/>
  <c r="G291" i="8"/>
  <c r="F291" i="8"/>
  <c r="F280" i="8"/>
  <c r="F279" i="8" s="1"/>
  <c r="D291" i="8"/>
  <c r="D280" i="8"/>
  <c r="E291" i="8"/>
  <c r="E280" i="8"/>
  <c r="E279" i="8" s="1"/>
  <c r="D279" i="8" l="1"/>
  <c r="E306" i="8"/>
  <c r="F306" i="8"/>
  <c r="D306" i="8"/>
  <c r="G306" i="8" l="1"/>
  <c r="D304" i="8"/>
  <c r="D305" i="8"/>
  <c r="F304" i="8"/>
  <c r="F305" i="8"/>
  <c r="E305" i="8"/>
  <c r="E304" i="8"/>
  <c r="G307" i="8"/>
  <c r="F303" i="8" l="1"/>
  <c r="F226" i="8"/>
  <c r="E226" i="8"/>
  <c r="E303" i="8"/>
  <c r="D303" i="8"/>
  <c r="D226" i="8"/>
  <c r="G305" i="8"/>
  <c r="G304" i="8"/>
  <c r="E225" i="8" l="1"/>
  <c r="D225" i="8"/>
  <c r="F225" i="8"/>
  <c r="G303" i="8"/>
  <c r="G226" i="8"/>
  <c r="G225" i="8" l="1"/>
  <c r="G209" i="1"/>
  <c r="H209" i="1" s="1"/>
  <c r="G203" i="1"/>
  <c r="H203" i="1" s="1"/>
  <c r="H202" i="1" s="1"/>
  <c r="D638" i="3"/>
  <c r="E638" i="3"/>
  <c r="B638" i="3"/>
  <c r="C638" i="3"/>
  <c r="C396" i="8" l="1"/>
  <c r="H201" i="1"/>
  <c r="H205" i="1"/>
  <c r="C410" i="8"/>
  <c r="C398" i="8"/>
  <c r="D410" i="8" l="1"/>
  <c r="D402" i="8" s="1"/>
  <c r="F410" i="8"/>
  <c r="F402" i="8" s="1"/>
  <c r="E410" i="8"/>
  <c r="E402" i="8" s="1"/>
  <c r="E398" i="8"/>
  <c r="E396" i="8" s="1"/>
  <c r="D398" i="8"/>
  <c r="D396" i="8" s="1"/>
  <c r="F398" i="8"/>
  <c r="F396" i="8" s="1"/>
  <c r="C402" i="8"/>
  <c r="H204" i="1"/>
  <c r="H200" i="1"/>
  <c r="C394" i="8"/>
  <c r="D394" i="8" l="1"/>
  <c r="D395" i="8"/>
  <c r="C400" i="8"/>
  <c r="C16" i="2"/>
  <c r="G396" i="8"/>
  <c r="F401" i="8"/>
  <c r="F400" i="8"/>
  <c r="E394" i="8"/>
  <c r="E395" i="8"/>
  <c r="G410" i="8"/>
  <c r="G398" i="8"/>
  <c r="G397" i="8" s="1"/>
  <c r="H215" i="1"/>
  <c r="C392" i="8"/>
  <c r="C15" i="2"/>
  <c r="F395" i="8"/>
  <c r="F394" i="8"/>
  <c r="E401" i="8"/>
  <c r="E400" i="8"/>
  <c r="D401" i="8"/>
  <c r="D400" i="8"/>
  <c r="E399" i="8" l="1"/>
  <c r="D19" i="2"/>
  <c r="D15" i="2" s="1"/>
  <c r="G402" i="8"/>
  <c r="G409" i="8"/>
  <c r="D399" i="8"/>
  <c r="F392" i="8"/>
  <c r="F393" i="8"/>
  <c r="H216" i="1"/>
  <c r="H217" i="1" s="1"/>
  <c r="F399" i="8"/>
  <c r="E392" i="8"/>
  <c r="E393" i="8"/>
  <c r="G395" i="8"/>
  <c r="G394" i="8"/>
  <c r="D393" i="8"/>
  <c r="D392" i="8"/>
  <c r="D420" i="8" l="1"/>
  <c r="D391" i="8"/>
  <c r="F420" i="8"/>
  <c r="F391" i="8"/>
  <c r="D11" i="2"/>
  <c r="D12" i="2"/>
  <c r="D13" i="2"/>
  <c r="D20" i="2"/>
  <c r="D21" i="2" s="1"/>
  <c r="D10" i="2"/>
  <c r="D9" i="2"/>
  <c r="D14" i="2"/>
  <c r="D17" i="2"/>
  <c r="E420" i="8"/>
  <c r="E391" i="8"/>
  <c r="G393" i="8"/>
  <c r="G392" i="8"/>
  <c r="G400" i="8"/>
  <c r="G399" i="8" s="1"/>
  <c r="G401" i="8"/>
  <c r="D16" i="2"/>
  <c r="F421" i="8" l="1"/>
  <c r="F422" i="8" s="1"/>
  <c r="E421" i="8"/>
  <c r="E422" i="8" s="1"/>
  <c r="G420" i="8"/>
  <c r="G391" i="8"/>
  <c r="D424" i="8"/>
  <c r="E424" i="8" s="1"/>
  <c r="F424" i="8" s="1"/>
  <c r="D421" i="8"/>
  <c r="D422" i="8" s="1"/>
  <c r="D425" i="8" s="1"/>
  <c r="E425" i="8" l="1"/>
  <c r="F425" i="8" s="1"/>
  <c r="G424" i="8"/>
  <c r="F419" i="8" s="1"/>
  <c r="G421" i="8"/>
  <c r="G422" i="8" s="1"/>
  <c r="G425" i="8" l="1"/>
  <c r="C51" i="8" s="1"/>
  <c r="G419" i="8"/>
  <c r="D419" i="8"/>
  <c r="D423" i="8" s="1"/>
  <c r="E419" i="8"/>
  <c r="C329" i="8" l="1"/>
  <c r="C271" i="8"/>
  <c r="C203" i="8"/>
  <c r="C139" i="8"/>
  <c r="C179" i="8"/>
  <c r="C261" i="8"/>
  <c r="C397" i="8"/>
  <c r="C353" i="8"/>
  <c r="C257" i="8"/>
  <c r="C245" i="8"/>
  <c r="C233" i="8"/>
  <c r="C221" i="8"/>
  <c r="C193" i="8"/>
  <c r="C29" i="8"/>
  <c r="C133" i="8"/>
  <c r="C145" i="8"/>
  <c r="C13" i="8"/>
  <c r="C185" i="8"/>
  <c r="C371" i="8"/>
  <c r="C215" i="8"/>
  <c r="C35" i="8"/>
  <c r="C73" i="8"/>
  <c r="C283" i="8"/>
  <c r="C303" i="8"/>
  <c r="C375" i="8"/>
  <c r="C137" i="8"/>
  <c r="C205" i="8"/>
  <c r="C127" i="8"/>
  <c r="C251" i="8"/>
  <c r="C153" i="8"/>
  <c r="C67" i="8"/>
  <c r="C385" i="8"/>
  <c r="C401" i="8"/>
  <c r="C91" i="8"/>
  <c r="C237" i="8"/>
  <c r="C243" i="8"/>
  <c r="C107" i="8"/>
  <c r="C357" i="8"/>
  <c r="C169" i="8"/>
  <c r="C339" i="8"/>
  <c r="C25" i="8"/>
  <c r="C97" i="8"/>
  <c r="C209" i="8"/>
  <c r="C219" i="8"/>
  <c r="C323" i="8"/>
  <c r="C103" i="8"/>
  <c r="C195" i="8"/>
  <c r="C263" i="8"/>
  <c r="C345" i="8"/>
  <c r="C223" i="8"/>
  <c r="C187" i="8"/>
  <c r="C393" i="8"/>
  <c r="C191" i="8"/>
  <c r="C207" i="8"/>
  <c r="C111" i="8"/>
  <c r="C23" i="8"/>
  <c r="C75" i="8"/>
  <c r="C79" i="8"/>
  <c r="C109" i="8"/>
  <c r="C135" i="8"/>
  <c r="C265" i="8"/>
  <c r="C117" i="8"/>
  <c r="C317" i="8"/>
  <c r="C297" i="8"/>
  <c r="C37" i="8"/>
  <c r="C253" i="8"/>
  <c r="C387" i="8"/>
  <c r="C83" i="8"/>
  <c r="C347" i="8"/>
  <c r="C227" i="8"/>
  <c r="C217" i="8"/>
  <c r="C183" i="8"/>
  <c r="C367" i="8"/>
  <c r="C15" i="8"/>
  <c r="C69" i="8"/>
  <c r="C99" i="8"/>
  <c r="C231" i="8"/>
  <c r="C131" i="8"/>
  <c r="C81" i="8"/>
  <c r="C249" i="8"/>
  <c r="C19" i="8"/>
  <c r="C369" i="8"/>
  <c r="C365" i="8"/>
  <c r="C71" i="8"/>
  <c r="C363" i="8"/>
  <c r="C327" i="8"/>
  <c r="C415" i="8"/>
  <c r="C129" i="8"/>
  <c r="C373" i="8"/>
  <c r="C163" i="8"/>
  <c r="C119" i="8"/>
  <c r="C225" i="8"/>
  <c r="C319" i="8"/>
  <c r="C241" i="8"/>
  <c r="C9" i="8"/>
  <c r="C181" i="8"/>
  <c r="C93" i="8"/>
  <c r="C175" i="8"/>
  <c r="C315" i="8"/>
  <c r="C307" i="8"/>
  <c r="C171" i="8"/>
  <c r="C391" i="8"/>
  <c r="C395" i="8"/>
  <c r="C33" i="8"/>
  <c r="C349" i="8"/>
  <c r="C53" i="8"/>
  <c r="C341" i="8"/>
  <c r="C87" i="8"/>
  <c r="C407" i="8"/>
  <c r="C77" i="8"/>
  <c r="C235" i="8"/>
  <c r="C309" i="8"/>
  <c r="C381" i="8"/>
  <c r="C277" i="8"/>
  <c r="C141" i="8"/>
  <c r="C89" i="8"/>
  <c r="C115" i="8"/>
  <c r="C113" i="8"/>
  <c r="C305" i="8"/>
  <c r="C155" i="8"/>
  <c r="C211" i="8"/>
  <c r="C239" i="8"/>
  <c r="C247" i="8"/>
  <c r="C285" i="8"/>
  <c r="C31" i="8"/>
  <c r="C343" i="8"/>
  <c r="C85" i="8"/>
  <c r="C47" i="8"/>
  <c r="C201" i="8"/>
  <c r="C189" i="8"/>
  <c r="C289" i="8"/>
  <c r="C325" i="8"/>
  <c r="C173" i="8"/>
  <c r="C377" i="8"/>
  <c r="C125" i="8"/>
  <c r="C331" i="8"/>
  <c r="C57" i="8"/>
  <c r="C279" i="8"/>
  <c r="C337" i="8"/>
  <c r="C417" i="8"/>
  <c r="C161" i="8"/>
  <c r="C383" i="8"/>
  <c r="C45" i="8"/>
  <c r="C299" i="8"/>
  <c r="C165" i="8"/>
  <c r="C59" i="8"/>
  <c r="C167" i="8"/>
  <c r="C95" i="8"/>
  <c r="C105" i="8"/>
  <c r="C61" i="8"/>
  <c r="C147" i="8"/>
  <c r="C259" i="8"/>
  <c r="C101" i="8"/>
  <c r="C399" i="8"/>
  <c r="C409" i="8"/>
  <c r="C267" i="8"/>
  <c r="C359" i="8"/>
  <c r="C351" i="8"/>
  <c r="C361" i="8"/>
  <c r="C313" i="8"/>
  <c r="C403" i="8"/>
  <c r="C405" i="8"/>
  <c r="C121" i="8"/>
  <c r="C213" i="8"/>
  <c r="C321" i="8"/>
  <c r="C197" i="8"/>
  <c r="C199" i="8"/>
  <c r="C281" i="8"/>
  <c r="C123" i="8"/>
  <c r="C335" i="8"/>
  <c r="C157" i="8"/>
  <c r="C301" i="8"/>
  <c r="C149" i="8"/>
  <c r="C143" i="8"/>
  <c r="C287" i="8"/>
  <c r="C273" i="8"/>
  <c r="C255" i="8"/>
  <c r="C293" i="8"/>
  <c r="C355" i="8"/>
  <c r="C39" i="8"/>
  <c r="C63" i="8"/>
  <c r="C413" i="8"/>
  <c r="C55" i="8"/>
  <c r="C291" i="8"/>
  <c r="C177" i="8"/>
  <c r="C229" i="8"/>
  <c r="C389" i="8"/>
  <c r="C159" i="8"/>
  <c r="C41" i="8"/>
  <c r="C43" i="8"/>
  <c r="C311" i="8"/>
  <c r="C295" i="8"/>
  <c r="C379" i="8"/>
  <c r="C49" i="8"/>
  <c r="C11" i="8"/>
  <c r="C269" i="8"/>
  <c r="C21" i="8"/>
  <c r="C411" i="8"/>
  <c r="C151" i="8"/>
  <c r="C17" i="8"/>
  <c r="C65" i="8"/>
  <c r="C333" i="8"/>
  <c r="C275" i="8"/>
  <c r="C27" i="8"/>
  <c r="E423" i="8"/>
  <c r="F423" i="8" s="1"/>
  <c r="G423" i="8" s="1"/>
</calcChain>
</file>

<file path=xl/sharedStrings.xml><?xml version="1.0" encoding="utf-8"?>
<sst xmlns="http://schemas.openxmlformats.org/spreadsheetml/2006/main" count="3315" uniqueCount="1212">
  <si>
    <t>Orçamento Sintética</t>
  </si>
  <si>
    <t>Item</t>
  </si>
  <si>
    <t>Código</t>
  </si>
  <si>
    <t>Banco</t>
  </si>
  <si>
    <t>Descrição</t>
  </si>
  <si>
    <t>Und</t>
  </si>
  <si>
    <t>Quant.</t>
  </si>
  <si>
    <t>Valor Unit</t>
  </si>
  <si>
    <t>Total</t>
  </si>
  <si>
    <t>Peso (%)</t>
  </si>
  <si>
    <t xml:space="preserve"> 01 </t>
  </si>
  <si>
    <t>SERVIÇOS TÉCNICOS-PROFISSIONAIS</t>
  </si>
  <si>
    <t xml:space="preserve"> 01.08 </t>
  </si>
  <si>
    <t>TAXAS E EMOLUMENTOS</t>
  </si>
  <si>
    <t xml:space="preserve"> 01.08.1 </t>
  </si>
  <si>
    <t xml:space="preserve"> MPDFT0009 </t>
  </si>
  <si>
    <t>Próprio</t>
  </si>
  <si>
    <t>Registro do contrato junto ao conselho de classe (ART)</t>
  </si>
  <si>
    <t>vb</t>
  </si>
  <si>
    <t xml:space="preserve"> 02 </t>
  </si>
  <si>
    <t>SERVIÇOS PRELIMINARES</t>
  </si>
  <si>
    <t xml:space="preserve"> 02.01 </t>
  </si>
  <si>
    <t>CANTEIRO DE OBRAS</t>
  </si>
  <si>
    <t xml:space="preserve"> 02.01.400 </t>
  </si>
  <si>
    <t>Proteção e Sinalização</t>
  </si>
  <si>
    <t xml:space="preserve"> 02.01.400.1 </t>
  </si>
  <si>
    <t>SINAPI</t>
  </si>
  <si>
    <t>SINALIZAÇÃO COM FITA FIXADA NA ESTRUTURA. AF_11/2017</t>
  </si>
  <si>
    <t>M</t>
  </si>
  <si>
    <t xml:space="preserve"> 02.01.400.2 </t>
  </si>
  <si>
    <t xml:space="preserve"> MPDFT0714 </t>
  </si>
  <si>
    <t>Copia da ORSE (3642) - Lona plástica preta para camada separadora de lastros ou proteção</t>
  </si>
  <si>
    <t>m²</t>
  </si>
  <si>
    <t xml:space="preserve"> 02.02 </t>
  </si>
  <si>
    <t>DEMOLIÇÃO</t>
  </si>
  <si>
    <t xml:space="preserve"> 02.02.100 </t>
  </si>
  <si>
    <t>Demolição Convencional</t>
  </si>
  <si>
    <t xml:space="preserve"> 02.02.100.1 </t>
  </si>
  <si>
    <t>DEMOLIÇÃO DE ALVENARIA DE BLOCO FURADO, DE FORMA MANUAL, SEM REAPROVEITAMENTO. AF_12/2017</t>
  </si>
  <si>
    <t>m³</t>
  </si>
  <si>
    <t xml:space="preserve"> 02.02.100.2 </t>
  </si>
  <si>
    <t>DEMOLIÇÃO DE RODAPÉ CERÂMICO, DE FORMA MANUAL, SEM REAPROVEITAMENTO. AF_12/2017</t>
  </si>
  <si>
    <t xml:space="preserve"> 02.02.100.3 </t>
  </si>
  <si>
    <t>DEMOLIÇÃO DE REVESTIMENTO CERÂMICO, DE FORMA MECANIZADA COM MARTELETE, SEM REAPROVEITAMENTO. AF_12/2017</t>
  </si>
  <si>
    <t xml:space="preserve"> 02.02.100.4 </t>
  </si>
  <si>
    <t xml:space="preserve"> MPDFT0747 </t>
  </si>
  <si>
    <t>Copia da SIURB (175023) - DEMOLIÇÃO MECANIZADA DE CONCRETO ARMADO</t>
  </si>
  <si>
    <t xml:space="preserve"> 02.02.100.5 </t>
  </si>
  <si>
    <t xml:space="preserve"> 90443 </t>
  </si>
  <si>
    <t>RASGO EM ALVENARIA PARA RAMAIS/ DISTRIBUIÇÃO COM DIAMETROS MENORES OU IGUAIS A 40 MM. AF_05/2015</t>
  </si>
  <si>
    <t xml:space="preserve"> 02.02.300 </t>
  </si>
  <si>
    <t>Remoções</t>
  </si>
  <si>
    <t xml:space="preserve"> 02.02.300.1 </t>
  </si>
  <si>
    <t xml:space="preserve"> MPDFT0903 </t>
  </si>
  <si>
    <t>Copia da SBC (022441) - REMOÇÃO DE DIVISÓRIAS SANITÁRIA DE MADEIRA</t>
  </si>
  <si>
    <t xml:space="preserve"> 02.02.300.2 </t>
  </si>
  <si>
    <t xml:space="preserve"> MPDFT0784 </t>
  </si>
  <si>
    <t>Copia da SINAPI (100717) - Retirada de laminado melamínico e lixamento manual de superfície</t>
  </si>
  <si>
    <t xml:space="preserve"> 02.02.300.3 </t>
  </si>
  <si>
    <t xml:space="preserve"> MPDFT0636 </t>
  </si>
  <si>
    <t>Copia da SINAPI (85412) - REMOCAO DE RODAPE DE MARMORE OU GRANITO</t>
  </si>
  <si>
    <t xml:space="preserve"> 02.02.300.4 </t>
  </si>
  <si>
    <t xml:space="preserve"> MPDFT0906 </t>
  </si>
  <si>
    <t>Copia da SBC (022904) - REMOÇÃO ARMÁRIOS EMBUTIDOS</t>
  </si>
  <si>
    <t xml:space="preserve"> 02.02.300.5 </t>
  </si>
  <si>
    <t xml:space="preserve"> 97663 </t>
  </si>
  <si>
    <t>REMOÇÃO DE LOUÇAS, DE FORMA MANUAL, SEM REAPROVEITAMENTO. AF_12/2017</t>
  </si>
  <si>
    <t>UN</t>
  </si>
  <si>
    <t xml:space="preserve"> 02.02.300.6 </t>
  </si>
  <si>
    <t xml:space="preserve"> 97666 </t>
  </si>
  <si>
    <t>REMOÇÃO DE METAIS SANITÁRIOS, DE FORMA MANUAL, SEM REAPROVEITAMENTO. AF_12/2017</t>
  </si>
  <si>
    <t xml:space="preserve"> 02.02.300.7 </t>
  </si>
  <si>
    <t xml:space="preserve"> 97665 </t>
  </si>
  <si>
    <t>REMOÇÃO DE LUMINÁRIAS, DE FORMA MANUAL, SEM REAPROVEITAMENTO. AF_12/2017</t>
  </si>
  <si>
    <t xml:space="preserve"> 02.02.300.8 </t>
  </si>
  <si>
    <t xml:space="preserve"> 97644 </t>
  </si>
  <si>
    <t>REMOÇÃO DE PORTAS, DE FORMA MANUAL, SEM REAPROVEITAMENTO. AF_12/2017</t>
  </si>
  <si>
    <t xml:space="preserve"> 02.02.300.9 </t>
  </si>
  <si>
    <t xml:space="preserve"> MPDFT0888 </t>
  </si>
  <si>
    <t>Cópia da Iopes (010225) - Retirada de peças de granito - bancada, banca, balcão, prateleira</t>
  </si>
  <si>
    <t xml:space="preserve"> 02.02.300.10 </t>
  </si>
  <si>
    <t xml:space="preserve"> MPDFT0105 </t>
  </si>
  <si>
    <t>Copia da ORSE (227) - Remoção de estrutura metálica chumbada em concreto (alambrado, guarda-corpo)</t>
  </si>
  <si>
    <t xml:space="preserve"> 02.02.300.11 </t>
  </si>
  <si>
    <t xml:space="preserve"> 97641 </t>
  </si>
  <si>
    <t>REMOÇÃO DE FORRO DE GESSO, DE FORMA MANUAL, SEM REAPROVEITAMENTO. AF_12/2017</t>
  </si>
  <si>
    <t xml:space="preserve"> 04 </t>
  </si>
  <si>
    <t>ARQUITETURA E ELEMENTOS DE URBANISMO</t>
  </si>
  <si>
    <t xml:space="preserve"> 04.01 </t>
  </si>
  <si>
    <t>ARQUITETURA</t>
  </si>
  <si>
    <t xml:space="preserve"> 04.01.100 </t>
  </si>
  <si>
    <t>Paredes</t>
  </si>
  <si>
    <t xml:space="preserve"> 04.01.100.1 </t>
  </si>
  <si>
    <t xml:space="preserve"> 87515 </t>
  </si>
  <si>
    <t>ALVENARIA DE VEDAÇÃO DE BLOCOS CERÂMICOS FURADOS NA HORIZONTAL DE 9X14X19CM (ESPESSURA 9CM) DE PAREDES COM ÁREA LÍQUIDA MENOR QUE 6M² COM VÃOS E ARGAMASSA DE ASSENTAMENTO COM PREPARO EM BETONEIRA. AF_06/2014</t>
  </si>
  <si>
    <t xml:space="preserve"> 04.01.100.2 </t>
  </si>
  <si>
    <t xml:space="preserve"> 93202 </t>
  </si>
  <si>
    <t>FIXAÇÃO (ENCUNHAMENTO) DE ALVENARIA DE VEDAÇÃO COM TIJOLO MACIÇO. AF_03/2016</t>
  </si>
  <si>
    <t xml:space="preserve"> 04.01.100.3 </t>
  </si>
  <si>
    <t xml:space="preserve"> MPDFT0119 </t>
  </si>
  <si>
    <t>Divisória sanitários e vestiários em laminado estrutural TS (maciço), branco, com e = 10 mm, dupla face decorativa texturizada, modelo Alcoplac Normatizado, fab. Neocom incluindo portas e conjunto de ferragens</t>
  </si>
  <si>
    <t xml:space="preserve"> 04.01.100.4 </t>
  </si>
  <si>
    <t xml:space="preserve"> MPDFT0140 </t>
  </si>
  <si>
    <t>Sóculo sob bancadas das copas, sanitários e lixo, altura de 15 cm e profundidade de 60 cm</t>
  </si>
  <si>
    <t>m</t>
  </si>
  <si>
    <t xml:space="preserve"> 04.01.230 </t>
  </si>
  <si>
    <t>Esquadria de madeira</t>
  </si>
  <si>
    <t xml:space="preserve"> 04.01.230.1 </t>
  </si>
  <si>
    <t xml:space="preserve"> MPDFT0891 </t>
  </si>
  <si>
    <t>Porta de madeira (PM), DM 0,90 x 2,10 m, acabamento em laminado melamínico texturizado, inclusive dobradiça, fechadura, barra de apoio e grelha</t>
  </si>
  <si>
    <t>un</t>
  </si>
  <si>
    <t xml:space="preserve"> 04.01.230.2 </t>
  </si>
  <si>
    <t xml:space="preserve"> MPDFT0892 </t>
  </si>
  <si>
    <t>Porta de madeira (PM), DM 0,80 x 2,10 m, acabamento em laminado melamínico texturizado, inclusive dobradiça, fechadura e grelha</t>
  </si>
  <si>
    <t xml:space="preserve"> 04.01.230.3 </t>
  </si>
  <si>
    <t xml:space="preserve"> MPDFT0048 </t>
  </si>
  <si>
    <t>Porta de madeira (PM1), DM 0,80 x 2,10 m, acabamento em laminado melamínico texturizado, inclusive batente em chapa de aço dobrada, dobradiça e fechadura</t>
  </si>
  <si>
    <t xml:space="preserve"> 04.01.300 </t>
  </si>
  <si>
    <t>Vidros e Plásticos</t>
  </si>
  <si>
    <t xml:space="preserve"> 04.01.300.1 </t>
  </si>
  <si>
    <t xml:space="preserve"> MPDFT1128 </t>
  </si>
  <si>
    <t>Cópia da Agesul (1801000120) - Espelho cristal 4mm, sem moldura fixado com parafuso e bucha</t>
  </si>
  <si>
    <t xml:space="preserve"> 04.01.510 </t>
  </si>
  <si>
    <t>Revestimentos de pisos</t>
  </si>
  <si>
    <t xml:space="preserve"> 04.01.510.1 </t>
  </si>
  <si>
    <t xml:space="preserve"> MPDFT0029 </t>
  </si>
  <si>
    <t>Copia da SINAPI (87640) - Regularização / preparação de superfície horizontal com argamassa, traço 1:3 (cimento e areia), preparo mecânico, espessura média 4cm</t>
  </si>
  <si>
    <t xml:space="preserve"> 04.01.510.2 </t>
  </si>
  <si>
    <t xml:space="preserve"> MPDFT1042 </t>
  </si>
  <si>
    <t>Copia da SINAPI (87263) - Porcelanato 60x60cm, linha Mineral (cod. 22285E), cor Argento, acabamento natural, fab. Portobello</t>
  </si>
  <si>
    <t xml:space="preserve"> 04.01.510.3 </t>
  </si>
  <si>
    <t xml:space="preserve"> MPDFT1041 </t>
  </si>
  <si>
    <t>Copia da SINAPI (87263) - Porcelanato 60x60cm, linha Mineral (cod. 22281E), cor Portland, acabamento natural, fab. Portobello</t>
  </si>
  <si>
    <t xml:space="preserve"> 04.01.510.4 </t>
  </si>
  <si>
    <t xml:space="preserve"> MPDFT0907 </t>
  </si>
  <si>
    <t>Copia da SINAPI (87263) - Porcelanato para escada 32 x 60 cm com friso, linha Mineral Técnica (cód. 21757E), cor Argento, acabamento natural Fab. Portobello</t>
  </si>
  <si>
    <t xml:space="preserve"> 04.01.510.5 </t>
  </si>
  <si>
    <t xml:space="preserve"> MPDFT0890 </t>
  </si>
  <si>
    <t>Copia da SINAPI (88650) - Rodapé em porcelanato cinza escuro, DM 20x90cm, linha Mineral, cor Argento, acabamento natural, ref. 21447E, fab. Portobello</t>
  </si>
  <si>
    <t xml:space="preserve"> 04.01.510.6 </t>
  </si>
  <si>
    <t xml:space="preserve"> MPDFT0889 </t>
  </si>
  <si>
    <t>Copia da SINAPI (88650) - Rodapé cinza claro acabamento natural, dimensões 20x90cm, Portobello - Linha Mineral, cor Portland - cód 21445E</t>
  </si>
  <si>
    <t xml:space="preserve"> 04.01.510.7 </t>
  </si>
  <si>
    <t xml:space="preserve"> MPDFT0850 </t>
  </si>
  <si>
    <t>Cóipa SINAPI (72183+72137) - Piso em concreto estrutural de 25MPa, acabamento desempenado, espessura de 10cm, armado com tela soldada Q196 barra 5mm</t>
  </si>
  <si>
    <t xml:space="preserve"> 04.01.510.8 </t>
  </si>
  <si>
    <t xml:space="preserve"> MPDFT0170 </t>
  </si>
  <si>
    <t>Lastro de brita nº 1, espessura de 5cm, incluindo lona plástica para isolar o lastro do solo</t>
  </si>
  <si>
    <t xml:space="preserve"> 04.01.530 </t>
  </si>
  <si>
    <t>Revestimentos de paredes</t>
  </si>
  <si>
    <t xml:space="preserve"> 04.01.530.1 </t>
  </si>
  <si>
    <t xml:space="preserve"> 87879 </t>
  </si>
  <si>
    <t>CHAPISCO APLICADO EM ALVENARIAS E ESTRUTURAS DE CONCRETO INTERNAS, COM COLHER DE PEDREIRO.  ARGAMASSA TRAÇO 1:3 COM PREPARO EM BETONEIRA 400L. AF_06/2014</t>
  </si>
  <si>
    <t xml:space="preserve"> 04.01.530.2 </t>
  </si>
  <si>
    <t xml:space="preserve"> 89173 </t>
  </si>
  <si>
    <t>(COMPOSIÇÃO REPRESENTATIVA) DO SERVIÇO DE EMBOÇO/MASSA ÚNICA, APLICADO MANUALMENTE, TRAÇO 1:2:8, EM BETONEIRA DE 400L, PAREDES INTERNAS, COM EXECUÇÃO DE TALISCAS, EDIFICAÇÃO HABITACIONAL UNIFAMILIAR (CASAS) E EDIFICAÇÃO PÚBLICA PADRÃO. AF_12/2014</t>
  </si>
  <si>
    <t xml:space="preserve"> 04.01.530.3 </t>
  </si>
  <si>
    <t xml:space="preserve"> MPDFT1045 </t>
  </si>
  <si>
    <t>Cópia SINAPI (87242) - Pastilha de porcelana 5,0x5,0cm, linha Engenharia, cor Boráx, fab. Atlas (ref.SG8414), assentada com argamassa pré-fabricada, incluindo rejuntamento</t>
  </si>
  <si>
    <t xml:space="preserve"> 04.01.530.4 </t>
  </si>
  <si>
    <t xml:space="preserve"> MPDFT0625 </t>
  </si>
  <si>
    <t>Copia da SINAPI (87269) - Cerâmica grês 30x60cm, assentada com argamassa pré-fabricada, incluindo rejuntamento</t>
  </si>
  <si>
    <t xml:space="preserve"> 04.01.530.5 </t>
  </si>
  <si>
    <t xml:space="preserve"> MPDFT1049 </t>
  </si>
  <si>
    <t>Cópia SINAPI (72200) - Laminado melamínico, acabamento texturizado, Polar, espessura 1,3mm, referência L190, fab. Fórmica</t>
  </si>
  <si>
    <t xml:space="preserve"> 04.01.550 </t>
  </si>
  <si>
    <t>Revestimentos de forro</t>
  </si>
  <si>
    <t xml:space="preserve"> 04.01.550.1 </t>
  </si>
  <si>
    <t xml:space="preserve"> MPDFT0866 </t>
  </si>
  <si>
    <t>Forro estruturado em placas de gesso acartonado, modelo D-112 unidirecional - 1ST 12,5/BR</t>
  </si>
  <si>
    <t xml:space="preserve"> 04.01.550.2 </t>
  </si>
  <si>
    <t xml:space="preserve"> MPDFT0015 </t>
  </si>
  <si>
    <t>Copia da SINAPI (96121) - Perfil tabica fechada, lisa, formato z, em aço galvanizado natural, largura total na horizontal 40mm, para estrutura forro drywall</t>
  </si>
  <si>
    <t xml:space="preserve"> 04.01.560 </t>
  </si>
  <si>
    <t>Pinturas</t>
  </si>
  <si>
    <t xml:space="preserve"> 04.01.560.1 </t>
  </si>
  <si>
    <t xml:space="preserve"> 88488 </t>
  </si>
  <si>
    <t>APLICAÇÃO MANUAL DE PINTURA COM TINTA LÁTEX ACRÍLICA EM TETO, DUAS DEMÃOS. AF_06/2014</t>
  </si>
  <si>
    <t xml:space="preserve"> 04.01.560.2 </t>
  </si>
  <si>
    <t xml:space="preserve"> 88496 </t>
  </si>
  <si>
    <t>APLICAÇÃO E LIXAMENTO DE MASSA LÁTEX EM TETO, DUAS DEMÃOS. AF_06/2014</t>
  </si>
  <si>
    <t xml:space="preserve"> 04.01.560.3 </t>
  </si>
  <si>
    <t xml:space="preserve"> 88489 </t>
  </si>
  <si>
    <t>APLICAÇÃO MANUAL DE PINTURA COM TINTA LÁTEX ACRÍLICA EM PAREDES, DUAS DEMÃOS. AF_06/2014</t>
  </si>
  <si>
    <t xml:space="preserve"> 04.01.560.4 </t>
  </si>
  <si>
    <t xml:space="preserve"> 88497 </t>
  </si>
  <si>
    <t>APLICAÇÃO E LIXAMENTO DE MASSA LÁTEX EM PAREDES, DUAS DEMÃOS. AF_06/2014</t>
  </si>
  <si>
    <t xml:space="preserve"> 04.01.560.5 </t>
  </si>
  <si>
    <t xml:space="preserve"> 100758 </t>
  </si>
  <si>
    <t>PINTURA COM TINTA ALQUÍDICA DE ACABAMENTO (ESMALTE SINTÉTICO ACETINADO) APLICADA A ROLO OU PINCEL SOBRE SUPERFÍCIES METÁLICAS (EXCETO PERFIL) EXECUTADO EM OBRA (02 DEMÃOS). AF_01/2020</t>
  </si>
  <si>
    <t xml:space="preserve"> 04.01.560.6 </t>
  </si>
  <si>
    <t xml:space="preserve"> 100722 </t>
  </si>
  <si>
    <t>PINTURA COM TINTA ALQUÍDICA DE FUNDO (TIPO ZARCÃO) APLICADA A ROLO OU PINCEL SOBRE SUPERFÍCIES METÁLICAS (EXCETO PERFIL) EXECUTADO EM OBRA (POR DEMÃO). AF_01/2020</t>
  </si>
  <si>
    <t xml:space="preserve"> 04.01.560.7 </t>
  </si>
  <si>
    <t xml:space="preserve"> MPDFT0022 </t>
  </si>
  <si>
    <t>Copia da SINAPI (84665) - Pintura de sinalização vertical em faixas amarelo e preto</t>
  </si>
  <si>
    <t xml:space="preserve"> 04.01.560.8 </t>
  </si>
  <si>
    <t xml:space="preserve"> 74245/001 </t>
  </si>
  <si>
    <t>PINTURA ACRILICA EM PISO CIMENTADO DUAS DEMAOS</t>
  </si>
  <si>
    <t xml:space="preserve"> 04.01.600 </t>
  </si>
  <si>
    <t>Impermeabilizações</t>
  </si>
  <si>
    <t xml:space="preserve"> 04.01.600.1 </t>
  </si>
  <si>
    <t xml:space="preserve"> 98555 </t>
  </si>
  <si>
    <t>IMPERMEABILIZAÇÃO DE SUPERFÍCIE COM ARGAMASSA POLIMÉRICA / MEMBRANA ACRÍLICA, 3 DEMÃOS. AF_06/2018</t>
  </si>
  <si>
    <t xml:space="preserve"> 04.01.700 </t>
  </si>
  <si>
    <t>Acabamentos e Arremates</t>
  </si>
  <si>
    <t xml:space="preserve"> 04.01.700.1 </t>
  </si>
  <si>
    <t xml:space="preserve"> MPDFT0905 </t>
  </si>
  <si>
    <t>Copia da SETOP (PIS-FAI-005) - Fita antiderrapante 3M Safety Walk,  linha Conformable.</t>
  </si>
  <si>
    <t xml:space="preserve"> 04.01.700.2 </t>
  </si>
  <si>
    <t xml:space="preserve"> 98689 </t>
  </si>
  <si>
    <t>SOLEIRA EM GRANITO, LARGURA 15 CM, ESPESSURA 2,0 CM. AF_06/2018</t>
  </si>
  <si>
    <t xml:space="preserve"> 04.01.800 </t>
  </si>
  <si>
    <t>Equipamentos e Acessórios</t>
  </si>
  <si>
    <t xml:space="preserve"> 04.01.800.1 </t>
  </si>
  <si>
    <t xml:space="preserve"> MPDFT1075 </t>
  </si>
  <si>
    <t>Cópia SINAPI 99855 -Corrimão duplo de Ø 1.1/2" (38,1mm) em tubo de aço industrial, para pintura esmalte. Instalado em alvenaria</t>
  </si>
  <si>
    <t xml:space="preserve"> 04.01.800.2 </t>
  </si>
  <si>
    <t xml:space="preserve"> MPDFT0918 </t>
  </si>
  <si>
    <t>Complemento de corrimão simples para duplo 1 1/2", de aço galvanizado para pintura, fixado em alvenaria ou guarda corpo</t>
  </si>
  <si>
    <t xml:space="preserve"> 04.01.800.3 </t>
  </si>
  <si>
    <t xml:space="preserve"> MPDFT0607 </t>
  </si>
  <si>
    <t>Plaquetas de sinalização em braile em placas de alumínio, escrita em alfabeto braile, identificando o pavimento em que o usuário se encontra, referência: Andaluz</t>
  </si>
  <si>
    <t xml:space="preserve"> 04.01.810 </t>
  </si>
  <si>
    <t>Sanitários e Vestiários</t>
  </si>
  <si>
    <t xml:space="preserve"> 04.01.810.1 </t>
  </si>
  <si>
    <t xml:space="preserve"> MPDFT0148 </t>
  </si>
  <si>
    <t>Copia - Copia da SINAPI (95470) - Bacia sanitária, cor branco gelo, Linha Monte Carlo cód. P.8.17, fab. Deca com assento PLÁSTICO</t>
  </si>
  <si>
    <t xml:space="preserve"> 04.01.810.2 </t>
  </si>
  <si>
    <t xml:space="preserve"> MPDFT0895 </t>
  </si>
  <si>
    <t>Copia da SINAPI (95470) - Bacia sanitária, Linha Studio Kids, cor branco gelo, código PI.16.17, fabricação Deca</t>
  </si>
  <si>
    <t xml:space="preserve"> 04.01.810.3 </t>
  </si>
  <si>
    <t xml:space="preserve"> MPDFT0149 </t>
  </si>
  <si>
    <t>Copia da SINAPI (95471) - Bacia sanitária, Linha Vogue Plus Conforto, cor branco gelo, código P. 510, fabricação Deca com assento PLÁSTICO</t>
  </si>
  <si>
    <t xml:space="preserve"> 04.01.810.4 </t>
  </si>
  <si>
    <t xml:space="preserve"> MPDFT0259 </t>
  </si>
  <si>
    <t>Copia da (SINAPI 99635+SBC 190802) - Válvula de descarga com acabamento cromado duplo acionamento, antivandalismo, Linha Hidra Duo 1 1/2”, cód. 2545.C.112PRO e 4900.C.DUO.PRO, fab. Deca ou similar equivalente</t>
  </si>
  <si>
    <t xml:space="preserve"> 04.01.810.5 </t>
  </si>
  <si>
    <t xml:space="preserve"> MPDFT0261 </t>
  </si>
  <si>
    <t>Copia da Sinapi (100858) - Mictório branco com sifão integrado, cód. M 715.17, fab. Deca - completo</t>
  </si>
  <si>
    <t xml:space="preserve"> 04.01.810.6 </t>
  </si>
  <si>
    <t xml:space="preserve"> MPDFT0304 </t>
  </si>
  <si>
    <t>Copia da SINAPI (86904) - Lavatório de semi-encaixe (padrão), branco, fixado sobre a bancada. Linha Monte Carlo, cód.:L82.17, fab. Deca ou similar equivalante</t>
  </si>
  <si>
    <t xml:space="preserve"> 04.01.810.7 </t>
  </si>
  <si>
    <t xml:space="preserve"> MPDFT0270 </t>
  </si>
  <si>
    <t>Conjunto de metais para lavatório em bancada de granito</t>
  </si>
  <si>
    <t>cj</t>
  </si>
  <si>
    <t xml:space="preserve"> 04.01.810.8 </t>
  </si>
  <si>
    <t xml:space="preserve"> MPDFT0303 </t>
  </si>
  <si>
    <t>Copia da SINAPI (86903) - Lavatório com coluna suspensa (PCD), branco. Linha Vogue Plus, cód.:L51.17 (lavatório) e cód.: CS1.17 (coluna suspensa), fab. Deca</t>
  </si>
  <si>
    <t xml:space="preserve"> 04.01.810.9 </t>
  </si>
  <si>
    <t xml:space="preserve"> MPDFT0260 </t>
  </si>
  <si>
    <t>Conjunto de metais para lavatório com coluna suspensa (PCD) ou semi-encaixe, inclusive torneira de mesa com alavanca</t>
  </si>
  <si>
    <t xml:space="preserve"> 04.01.810.10 </t>
  </si>
  <si>
    <t xml:space="preserve"> MPDFT0138 </t>
  </si>
  <si>
    <t>Copia da SINAPI (86914) - Torneira de parede uso geral com arejador, metálica com acabamento cromado, Linha Standard, cód. 1154.C39, fab. Deca ou similar</t>
  </si>
  <si>
    <t xml:space="preserve"> 04.01.810.11 </t>
  </si>
  <si>
    <t xml:space="preserve"> MPDFT0274 </t>
  </si>
  <si>
    <t>Copia da SBC (190832) -Barra de apoio tubular reta 80cm, Ø31,75mm e=2mm, em alumínio, acabamento com pintura epóxi branca, Linha Acessibilidade, fab. Leve Vida</t>
  </si>
  <si>
    <t xml:space="preserve"> 04.01.810.12 </t>
  </si>
  <si>
    <t xml:space="preserve"> MPDFT0275 </t>
  </si>
  <si>
    <t>Copia da ORSE (12133) - Barra de apoio tubular reta 70cm, Ø31,75mm e=2mm, em alumínio, acabamento com pintura epóxi branca, Linha Acessibilidade, fab. Leve Vida</t>
  </si>
  <si>
    <t xml:space="preserve"> 04.01.810.13 </t>
  </si>
  <si>
    <t xml:space="preserve"> MPDFT0276 </t>
  </si>
  <si>
    <t>Copia da ORSE (12122) - Barra de apoio tubular reta 40cm, Ø31,75mm e=2mm, em alumínio, acabamento com pintura epóxi branca, Linha Acessibilidade, fab. Leve Vida</t>
  </si>
  <si>
    <t xml:space="preserve"> 04.01.810.14 </t>
  </si>
  <si>
    <t xml:space="preserve"> MPDFT0277 </t>
  </si>
  <si>
    <t>Copia - Copia da ORSE (12123) - Barra de apoio tubular curva de 30cm para lavatório, Ø31,75mm e=2mm, em alumínio, acabamento com pintura epóxi branca, Linha Acessibilidade, fab. Leve Vida ou similar equivalente</t>
  </si>
  <si>
    <t xml:space="preserve"> 04.01.810.15 </t>
  </si>
  <si>
    <t xml:space="preserve"> MPDFT0279 </t>
  </si>
  <si>
    <t>Copia da SEINFRA (C4642) - Banco articulado para banho, DM 70x45cm, assento em polipropileno com espessura de 30mm, articulações em aço inoxidável e sistema de travamento vertical, cor branco, Linha Acessibilidade, fab. Leve Vida</t>
  </si>
  <si>
    <t xml:space="preserve"> 04.01.810.16 </t>
  </si>
  <si>
    <t xml:space="preserve"> 100864 </t>
  </si>
  <si>
    <t>BARRA DE APOIO EM "L", EM ACO INOX POLIDO 80 X 80 CM, FIXADA NA PAREDE - FORNECIMENTO E INSTALACAO. AF_01/2020</t>
  </si>
  <si>
    <t xml:space="preserve"> 04.01.810.17 </t>
  </si>
  <si>
    <t xml:space="preserve"> 100860 </t>
  </si>
  <si>
    <t>CHUVEIRO ELÉTRICO COMUM CORPO PLÁSTICO, TIPO DUCHA  FORNECIMENTO E INSTALAÇÃO. AF_01/2020</t>
  </si>
  <si>
    <t xml:space="preserve"> 04.01.810.18 </t>
  </si>
  <si>
    <t xml:space="preserve"> MPDFT0904 </t>
  </si>
  <si>
    <t>Cópia da CPOS (49.11.140) - Ralo linear em alumínio com grelha, dimensões 46x900mm, com saída central vertical, anodizado fosco, fab. Sekabox / Sekapiso</t>
  </si>
  <si>
    <t xml:space="preserve"> 04.01.810.19 </t>
  </si>
  <si>
    <t xml:space="preserve"> MPDFT0908 </t>
  </si>
  <si>
    <t>Copia da SINAPI (86895) - Bancada para lavatório em granito Branco Itaúnas, largura 0,30m, com saia e rodabanca, inclusive mão francesa</t>
  </si>
  <si>
    <t xml:space="preserve"> 04.01.810.20 </t>
  </si>
  <si>
    <t xml:space="preserve"> MPDFT0911 </t>
  </si>
  <si>
    <t>Copia da ORSE (2425) - Porta objetos em laminado melamínico (0,15 x 0,4 cm), cor Polar L190, linha Alcoplac Normatizado, Fab. Neocom</t>
  </si>
  <si>
    <t xml:space="preserve"> 04.01.810.21 </t>
  </si>
  <si>
    <t xml:space="preserve"> MPDFT0912 </t>
  </si>
  <si>
    <t>Copia da SBC (190085) - Cabide para divisória, em inox escovado, linha Alcoplac Normatizado, Fab. Neocom</t>
  </si>
  <si>
    <t xml:space="preserve"> 04.01.810.22 </t>
  </si>
  <si>
    <t xml:space="preserve"> MPDFT0900 </t>
  </si>
  <si>
    <t>Copia da SEINFRA (C4642) - Trocador de fraldas horizontal, retrátil, dimensões: 85x55x10cm, linha Clean Horizontal, marca Ampliando o Espaço</t>
  </si>
  <si>
    <t xml:space="preserve"> 04.01.810.23 </t>
  </si>
  <si>
    <t xml:space="preserve"> MPDFT0901 </t>
  </si>
  <si>
    <t>Copia da SEINFRA (C4642) - Trocador de fraldas vertical, retrátil, dimensões: 53x69x10cm, linha Ultra Clean, marca Ampliando Espaço</t>
  </si>
  <si>
    <t xml:space="preserve"> 04.01.810.24 </t>
  </si>
  <si>
    <t xml:space="preserve"> MPDFT0919 </t>
  </si>
  <si>
    <t>Cópia da CAERN (1070222) - Grelha para ralo quadrado em aço inox AISI 304, fab. Tramontina, código 94535002, dimensões (comprimento x largura x altura) 100 x 100 x 4 mm</t>
  </si>
  <si>
    <t xml:space="preserve"> 04.01.810.25 </t>
  </si>
  <si>
    <t xml:space="preserve"> MPDFT0920 </t>
  </si>
  <si>
    <t>Cópia da CAERN (1070207) - Grelha quadrada para ralo 15x15cm, em aço inox AISI 304, ref. 94535103, fab. Tramontina</t>
  </si>
  <si>
    <t xml:space="preserve"> 04.01.830 </t>
  </si>
  <si>
    <t>de cozinha, copa e lavanderia</t>
  </si>
  <si>
    <t xml:space="preserve"> 04.01.830.1 </t>
  </si>
  <si>
    <t xml:space="preserve"> MPDFT0263 </t>
  </si>
  <si>
    <t>Copia da SINAPI (86872 + 86914 + 86883 + 86877) - Tanque de louça 40 litros com coluna e acessórios de metal, cor branco gelo GE17, cód. TQ.03 (tanque) e CT25 (coluna), fab. Deca</t>
  </si>
  <si>
    <t xml:space="preserve"> 04.01.830.2 </t>
  </si>
  <si>
    <t xml:space="preserve"> MPDFT0356 </t>
  </si>
  <si>
    <t>Copia da SINAPI (86900) - Cuba de aço inox, DM 34x56x17 cm, linha Prime, mod. Retangular BL, ref. 94024206, fab. Tramontina, inclusive furo e colagem</t>
  </si>
  <si>
    <t xml:space="preserve"> 04.01.830.3 </t>
  </si>
  <si>
    <t xml:space="preserve"> MPDFT0357 </t>
  </si>
  <si>
    <t>Copia da SINAPI (86909 + 86887 + 86877 + 86881) - Conjunto de metais para pia com cuba inox</t>
  </si>
  <si>
    <t xml:space="preserve"> 04.01.830.4 </t>
  </si>
  <si>
    <t xml:space="preserve"> MPDFT0272 </t>
  </si>
  <si>
    <t>Copia da SINAPI (86895) - Prateleira em granito, incluindo mão francesa</t>
  </si>
  <si>
    <t xml:space="preserve"> 04.01.830.5 </t>
  </si>
  <si>
    <t xml:space="preserve"> MPDFT0909 </t>
  </si>
  <si>
    <t>Copia da SINAPI (86889) -  Bancada para copa/ refeitório em granito Preto São Gabriel, largura 0,55m, com saia e rodabanca, inclusive mão francesa</t>
  </si>
  <si>
    <t xml:space="preserve"> 05 </t>
  </si>
  <si>
    <t>INSTALAÇÕES HIDRÁULICAS E SANITÁRIAS</t>
  </si>
  <si>
    <t xml:space="preserve"> 05.01 </t>
  </si>
  <si>
    <t>ÁGUA FRIA</t>
  </si>
  <si>
    <t xml:space="preserve"> 05.01.200 </t>
  </si>
  <si>
    <t>Tubulações e Conexões de PVC Rígido</t>
  </si>
  <si>
    <t xml:space="preserve"> 05.01.200.1 </t>
  </si>
  <si>
    <t xml:space="preserve"> 94655 </t>
  </si>
  <si>
    <t>TUBO, PVC, SOLDÁVEL, DN 110 MM, INSTALADO EM RESERVAÇÃO DE ÁGUA DE EDIFICAÇÃO QUE POSSUA RESERVATÓRIO DE FIBRA/FIBROCIMENTO   FORNECIMENTO E INSTALAÇÃO. AF_06/2016</t>
  </si>
  <si>
    <t xml:space="preserve"> 05.01.200.2 </t>
  </si>
  <si>
    <t xml:space="preserve"> 89452 </t>
  </si>
  <si>
    <t>TUBO, PVC, SOLDÁVEL, DN 85MM, INSTALADO EM PRUMADA DE ÁGUA - FORNECIMENTO E INSTALAÇÃO. AF_12/2014</t>
  </si>
  <si>
    <t xml:space="preserve"> 05.01.200.3 </t>
  </si>
  <si>
    <t xml:space="preserve"> MPDFT0924 </t>
  </si>
  <si>
    <t>Copia da SINAPI (91788) - (Composição representativa) do serviço de instalação de tubos de PVC, soldável, água fria, DO 75 mm, inclusive conexões, cortes e fixações</t>
  </si>
  <si>
    <t xml:space="preserve"> 05.01.200.4 </t>
  </si>
  <si>
    <t xml:space="preserve"> MPDFT0513 </t>
  </si>
  <si>
    <t>Cópia da Sinapi (91794) - (Composição representativa) do serviço de instalação de tubos de PVC, soldável, água fria, DN 60mm (instalado em prumada), inclusive conexões, cortes e fixações, para prédios.</t>
  </si>
  <si>
    <t xml:space="preserve"> 05.01.200.5 </t>
  </si>
  <si>
    <t xml:space="preserve"> 91788 </t>
  </si>
  <si>
    <t>(COMPOSIÇÃO REPRESENTATIVA) DO SERVIÇO DE INSTALAÇÃO DE TUBOS DE PVC, SOLDÁVEL, ÁGUA FRIA, DN 50 MM (INSTALADO EM PRUMADA), INCLUSIVE CONEXÕES, CORTES E FIXAÇÕES, PARA PRÉDIOS. AF_10/2015</t>
  </si>
  <si>
    <t xml:space="preserve"> 05.01.200.6 </t>
  </si>
  <si>
    <t xml:space="preserve"> 91786 </t>
  </si>
  <si>
    <t>(COMPOSIÇÃO REPRESENTATIVA) DO SERVIÇO DE INSTALAÇÃO TUBOS DE PVC, SOLDÁVEL, ÁGUA FRIA, DN 32 MM (INSTALADO EM RAMAL, SUB-RAMAL, RAMAL DE DISTRIBUIÇÃO OU PRUMADA), INCLUSIVE CONEXÕES, CORTES E FIXAÇÕES, PARA PRÉDIOS. AF_10/2015</t>
  </si>
  <si>
    <t xml:space="preserve"> 05.01.200.7 </t>
  </si>
  <si>
    <t xml:space="preserve"> 91785 </t>
  </si>
  <si>
    <t>(COMPOSIÇÃO REPRESENTATIVA) DO SERVIÇO DE INSTALAÇÃO DE TUBOS DE PVC, SOLDÁVEL, ÁGUA FRIA, DN 25 MM (INSTALADO EM RAMAL, SUB-RAMAL, RAMAL DE DISTRIBUIÇÃO OU PRUMADA), INCLUSIVE CONEXÕES, CORTES E FIXAÇÕES, PARA PRÉDIOS. AF_10/2015</t>
  </si>
  <si>
    <t xml:space="preserve"> 05.01.200.8 </t>
  </si>
  <si>
    <t xml:space="preserve"> 94699 </t>
  </si>
  <si>
    <t>TÊ, PVC, SOLDÁVEL, DN 85 MM INSTALADO EM RESERVAÇÃO DE ÁGUA DE EDIFICAÇÃO QUE POSSUA RESERVATÓRIO DE FIBRA/FIBROCIMENTO   FORNECIMENTO E INSTALAÇÃO. AF_06/2016</t>
  </si>
  <si>
    <t xml:space="preserve"> 05.01.200.9 </t>
  </si>
  <si>
    <t xml:space="preserve"> 89629 </t>
  </si>
  <si>
    <t>TE, PVC, SOLDÁVEL, DN 75MM, INSTALADO EM PRUMADA DE ÁGUA - FORNECIMENTO E INSTALAÇÃO. AF_12/2014</t>
  </si>
  <si>
    <t xml:space="preserve"> 05.01.200.10 </t>
  </si>
  <si>
    <t xml:space="preserve"> 94686 </t>
  </si>
  <si>
    <t>JOELHO 90 GRAUS, PVC, SOLDÁVEL, DN 110 MM INSTALADO EM RESERVAÇÃO DE ÁGUA DE EDIFICAÇÃO QUE POSSUA RESERVATÓRIO DE FIBRA/FIBROCIMENTO   FORNECIMENTO E INSTALAÇÃO. AF_06/2016</t>
  </si>
  <si>
    <t xml:space="preserve"> 05.01.200.11 </t>
  </si>
  <si>
    <t xml:space="preserve"> 89521 </t>
  </si>
  <si>
    <t>JOELHO 90 GRAUS, PVC, SOLDÁVEL, DN 85MM, INSTALADO EM PRUMADA DE ÁGUA - FORNECIMENTO E INSTALAÇÃO. AF_12/2014</t>
  </si>
  <si>
    <t xml:space="preserve"> 05.01.200.12 </t>
  </si>
  <si>
    <t xml:space="preserve"> 89513 </t>
  </si>
  <si>
    <t>JOELHO 90 GRAUS, PVC, SOLDÁVEL, DN 75MM, INSTALADO EM PRUMADA DE ÁGUA - FORNECIMENTO E INSTALAÇÃO. AF_12/2014</t>
  </si>
  <si>
    <t xml:space="preserve"> 05.01.200.13 </t>
  </si>
  <si>
    <t xml:space="preserve"> 89523 </t>
  </si>
  <si>
    <t>JOELHO 45 GRAUS, PVC, SOLDÁVEL, DN 85MM, INSTALADO EM PRUMADA DE ÁGUA - FORNECIMENTO E INSTALAÇÃO. AF_12/2014</t>
  </si>
  <si>
    <t xml:space="preserve"> 05.01.200.14 </t>
  </si>
  <si>
    <t xml:space="preserve"> 89515 </t>
  </si>
  <si>
    <t>JOELHO 45 GRAUS, PVC, SOLDÁVEL, DN 75MM, INSTALADO EM PRUMADA DE ÁGUA - FORNECIMENTO E INSTALAÇÃO. AF_12/2014</t>
  </si>
  <si>
    <t xml:space="preserve"> 05.01.200.15 </t>
  </si>
  <si>
    <t xml:space="preserve"> MPDFT0875 </t>
  </si>
  <si>
    <t>Copia da SBC (052598) - BUCHA REDUCAO PVC SOLDAVEL DIAM. 110x85mm</t>
  </si>
  <si>
    <t xml:space="preserve"> 05.01.200.16 </t>
  </si>
  <si>
    <t xml:space="preserve"> MPDFT0876 </t>
  </si>
  <si>
    <t>Copia da SBC (055125) - BUCHA DE REDUCAO PVC SOLDAVEL 85X75MM</t>
  </si>
  <si>
    <t xml:space="preserve"> 05.01.200.17 </t>
  </si>
  <si>
    <t xml:space="preserve"> MPDFT0877 </t>
  </si>
  <si>
    <t>Copia da SBC (052237) - BUCHA REDUCAO SOLDAVEL PVC 75x60mm</t>
  </si>
  <si>
    <t xml:space="preserve"> 05.01.500 </t>
  </si>
  <si>
    <t>Metais e Acessórios Sanitários</t>
  </si>
  <si>
    <t xml:space="preserve"> 05.01.500.1 </t>
  </si>
  <si>
    <t xml:space="preserve"> 94794 </t>
  </si>
  <si>
    <t>REGISTRO DE GAVETA BRUTO, LATÃO, ROSCÁVEL, 1 1/2, COM ACABAMENTO E CANOPLA CROMADOS, INSTALADO EM RESERVAÇÃO DE ÁGUA DE EDIFICAÇÃO QUE POSSUA RESERVATÓRIO DE FIBRA/FIBROCIMENTO  FORNECIMENTO E INSTALAÇÃO. AF_06/2016</t>
  </si>
  <si>
    <t xml:space="preserve"> 05.01.500.2 </t>
  </si>
  <si>
    <t xml:space="preserve"> 94500 </t>
  </si>
  <si>
    <t>REGISTRO DE GAVETA BRUTO, LATÃO, ROSCÁVEL, 3, INSTALADO EM RESERVAÇÃO DE ÁGUA DE EDIFICAÇÃO QUE POSSUA RESERVATÓRIO DE FIBRA/FIBROCIMENTO  FORNECIMENTO E INSTALAÇÃO. AF_06/2016</t>
  </si>
  <si>
    <t xml:space="preserve"> 05.01.500.3 </t>
  </si>
  <si>
    <t xml:space="preserve"> MPDFT0887 </t>
  </si>
  <si>
    <t>Copia da SINAPI (89987) - REGISTRO DE GAVETA BRUTO, LATÃO, ROSCÁVEL, 1", COM ACABAMENTO E CANOPLA CROMADOS. FORNECIDO E INSTALADO EM RAMAL DE ÁGUA.</t>
  </si>
  <si>
    <t xml:space="preserve"> 05.01.500.4 </t>
  </si>
  <si>
    <t xml:space="preserve"> 94501 </t>
  </si>
  <si>
    <t>REGISTRO DE GAVETA BRUTO, LATÃO, ROSCÁVEL, 4, INSTALADO EM RESERVAÇÃO DE ÁGUA DE EDIFICAÇÃO QUE POSSUA RESERVATÓRIO DE FIBRA/FIBROCIMENTO  FORNECIMENTO E INSTALAÇÃO. AF_06/2016</t>
  </si>
  <si>
    <t xml:space="preserve"> 05.01.500.5 </t>
  </si>
  <si>
    <t xml:space="preserve"> 89987 </t>
  </si>
  <si>
    <t>REGISTRO DE GAVETA BRUTO, LATÃO, ROSCÁVEL, 3/4", COM ACABAMENTO E CANOPLA CROMADOS. FORNECIDO E INSTALADO EM RAMAL DE ÁGUA. AF_12/2014</t>
  </si>
  <si>
    <t xml:space="preserve"> 05.01.500.6 </t>
  </si>
  <si>
    <t xml:space="preserve"> 89985 </t>
  </si>
  <si>
    <t>REGISTRO DE PRESSÃO BRUTO, LATÃO, ROSCÁVEL, 3/4", COM ACABAMENTO E CANOPLA CROMADOS. FORNECIDO E INSTALADO EM RAMAL DE ÁGUA. AF_12/2014</t>
  </si>
  <si>
    <t xml:space="preserve"> 05.04 </t>
  </si>
  <si>
    <t>ESGOTOS SANITÁRIOS</t>
  </si>
  <si>
    <t xml:space="preserve"> 05.04.300 </t>
  </si>
  <si>
    <t>Tubulações e Conexões de PVC</t>
  </si>
  <si>
    <t xml:space="preserve"> 05.04.300.1 </t>
  </si>
  <si>
    <t xml:space="preserve"> 91795 </t>
  </si>
  <si>
    <t>(COMPOSIÇÃO REPRESENTATIVA) DO SERVIÇO DE INST. TUBO PVC, SÉRIE N, ESGOTO PREDIAL, 100 MM (INST. RAMAL DESCARGA, RAMAL DE ESG. SANIT., PRUMADA ESG. SANIT., VENTILAÇÃO OU SUB-COLETOR AÉREO), INCL. CONEXÕES E CORTES, FIXAÇÕES, P/ PRÉDIOS. AF_10/2015</t>
  </si>
  <si>
    <t xml:space="preserve"> 05.04.300.2 </t>
  </si>
  <si>
    <t xml:space="preserve"> 91794 </t>
  </si>
  <si>
    <t>(COMPOSIÇÃO REPRESENTATIVA) DO SERVIÇO DE INST. TUBO PVC, SÉRIE N, ESGOTO PREDIAL, DN 75 MM, (INST. EM RAMAL DE DESCARGA, RAMAL DE ESG. SANITÁRIO, PRUMADA DE ESG. SANITÁRIO OU VENTILAÇÃO), INCL. CONEXÕES, CORTES E FIXAÇÕES, P/ PRÉDIOS. AF_10/2015</t>
  </si>
  <si>
    <t xml:space="preserve"> 05.04.300.3 </t>
  </si>
  <si>
    <t xml:space="preserve"> 91793 </t>
  </si>
  <si>
    <t>(COMPOSIÇÃO REPRESENTATIVA) DO SERVIÇO DE INSTALAÇÃO DE TUBO DE PVC, SÉRIE NORMAL, ESGOTO PREDIAL, DN 50 MM (INSTALADO EM RAMAL DE DESCARGA OU RAMAL DE ESGOTO SANITÁRIO), INCLUSIVE CONEXÕES, CORTES E FIXAÇÕES PARA, PRÉDIOS. AF_10/2015</t>
  </si>
  <si>
    <t xml:space="preserve"> 05.04.300.4 </t>
  </si>
  <si>
    <t xml:space="preserve"> 91792 </t>
  </si>
  <si>
    <t>(COMPOSIÇÃO REPRESENTATIVA) DO SERVIÇO DE INSTALAÇÃO DE TUBO DE PVC, SÉRIE NORMAL, ESGOTO PREDIAL, DN 40 MM (INSTALADO EM RAMAL DE DESCARGA OU RAMAL DE ESGOTO SANITÁRIO), INCLUSIVE CONEXÕES, CORTES E FIXAÇÕES, PARA PRÉDIOS. AF_10/2015</t>
  </si>
  <si>
    <t xml:space="preserve"> 05.04.800 </t>
  </si>
  <si>
    <t>Acessórios</t>
  </si>
  <si>
    <t xml:space="preserve"> 05.04.800.1 </t>
  </si>
  <si>
    <t xml:space="preserve"> 89707 </t>
  </si>
  <si>
    <t>CAIXA SIFONADA, PVC, DN 100 X 100 X 50 MM, JUNTA ELÁSTICA, FORNECIDA E INSTALADA EM RAMAL DE DESCARGA OU EM RAMAL DE ESGOTO SANITÁRIO. AF_12/2014</t>
  </si>
  <si>
    <t xml:space="preserve"> 05.04.800.2 </t>
  </si>
  <si>
    <t xml:space="preserve"> MPDFT0238 </t>
  </si>
  <si>
    <t>Copia da SINAPI (89708) - Caixa sifonada, PVC, DN 150x185x75mm, incluindo tampa hermética em aço inox - fornecimento e instalação</t>
  </si>
  <si>
    <t xml:space="preserve"> 05.04.800.3 </t>
  </si>
  <si>
    <t xml:space="preserve"> 89708 </t>
  </si>
  <si>
    <t>CAIXA SIFONADA, PVC, DN 150 X 185 X 75 MM, JUNTA ELÁSTICA, FORNECIDA E INSTALADA EM RAMAL DE DESCARGA OU EM RAMAL DE ESGOTO SANITÁRIO. AF_12/2014</t>
  </si>
  <si>
    <t xml:space="preserve"> 05.04.800.4 </t>
  </si>
  <si>
    <t xml:space="preserve"> 98110 </t>
  </si>
  <si>
    <t>CAIXA DE GORDURA PEQUENA (CAPACIDADE: 19 L), CIRCULAR, EM PVC, DIÂMETRO INTERNO= 0,3 M. AF_05/2018</t>
  </si>
  <si>
    <t xml:space="preserve"> 05.04.800.5 </t>
  </si>
  <si>
    <t xml:space="preserve"> MPDFT0878 </t>
  </si>
  <si>
    <t>Caixa de inspeção em alvenaria 60x60 com tampa em ferro fundido T33, fundo e laje em concreto.</t>
  </si>
  <si>
    <t xml:space="preserve"> 05.06 </t>
  </si>
  <si>
    <t>SERVIÇOS DIVERSOS</t>
  </si>
  <si>
    <t xml:space="preserve"> 05.06.900 </t>
  </si>
  <si>
    <t>Serviços diversos</t>
  </si>
  <si>
    <t xml:space="preserve"> 05.06.900.1 </t>
  </si>
  <si>
    <t xml:space="preserve"> MPDFT0109 </t>
  </si>
  <si>
    <t>Copia da CPOS (04.30.060) - Remoção de tubulação hidráulica em geral, incluindo conexões, caixas e ralos</t>
  </si>
  <si>
    <t xml:space="preserve"> 05.06.900.2 </t>
  </si>
  <si>
    <t xml:space="preserve"> 91183 </t>
  </si>
  <si>
    <t>FIXAÇÃO DE TUBOS HORIZONTAIS DE PPR DIÂMETROS MAIORES QUE 40 MM E MENORES OU IGUAIS A 75 MM COM ABRAÇADEIRA METÁLICA FLEXÍVEL 18 MM, FIXADA DIRETAMENTE NA LAJE. AF_05/2015</t>
  </si>
  <si>
    <t xml:space="preserve"> 05.06.900.3 </t>
  </si>
  <si>
    <t xml:space="preserve"> 93358 </t>
  </si>
  <si>
    <t>ESCAVAÇÃO MANUAL DE VALA COM PROFUNDIDADE MENOR OU IGUAL A 1,30 M. AF_03/2016</t>
  </si>
  <si>
    <t xml:space="preserve"> 05.06.900.4 </t>
  </si>
  <si>
    <t xml:space="preserve"> 93382 </t>
  </si>
  <si>
    <t>REATERRO MANUAL DE VALAS COM COMPACTAÇÃO MECANIZADA. AF_04/2016</t>
  </si>
  <si>
    <t xml:space="preserve"> 06 </t>
  </si>
  <si>
    <t>INSTALAÇÕES ELÉTRICAS E ELETRÔNICAS</t>
  </si>
  <si>
    <t xml:space="preserve"> 06.01 </t>
  </si>
  <si>
    <t>INSTALAÇÕES ELÉTRICAS</t>
  </si>
  <si>
    <t xml:space="preserve"> 06.01.300 </t>
  </si>
  <si>
    <t>Rede Elétrica Primária</t>
  </si>
  <si>
    <t xml:space="preserve"> 06.01.300.1 </t>
  </si>
  <si>
    <t xml:space="preserve"> MPDFT0927 </t>
  </si>
  <si>
    <t>Quadro QT-N-SS - PJDIJ e PJSA</t>
  </si>
  <si>
    <t xml:space="preserve"> 06.01.300.2 </t>
  </si>
  <si>
    <t xml:space="preserve"> 92980 </t>
  </si>
  <si>
    <t>CABO DE COBRE FLEXÍVEL ISOLADO, 10 MM², ANTI-CHAMA 0,6/1,0 KV, PARA DISTRIBUIÇÃO - FORNECIMENTO E INSTALAÇÃO. AF_12/2015</t>
  </si>
  <si>
    <t xml:space="preserve"> 06.01.300.3 </t>
  </si>
  <si>
    <t xml:space="preserve"> 95731 </t>
  </si>
  <si>
    <t>ELETRODUTO RÍGIDO SOLDÁVEL, PVC, DN 32 MM (1), APARENTE, INSTALADO EM PAREDE - FORNECIMENTO E INSTALAÇÃO. AF_11/2016_P</t>
  </si>
  <si>
    <t xml:space="preserve"> 06.01.300.4 </t>
  </si>
  <si>
    <t xml:space="preserve"> 95809 </t>
  </si>
  <si>
    <t>CONDULETE DE PVC, TIPO LL, PARA ELETRODUTO DE PVC SOLDÁVEL DN 32 MM (1''), APARENTE - FORNECIMENTO E INSTALAÇÃO. AF_11/2016</t>
  </si>
  <si>
    <t xml:space="preserve"> 06.01.400 </t>
  </si>
  <si>
    <t>Rede Elétrica Secundária</t>
  </si>
  <si>
    <t xml:space="preserve"> 06.01.400.1 </t>
  </si>
  <si>
    <t xml:space="preserve"> 91926 </t>
  </si>
  <si>
    <t>CABO DE COBRE FLEXÍVEL ISOLADO, 2,5 MM², ANTI-CHAMA 450/750 V, PARA CIRCUITOS TERMINAIS - FORNECIMENTO E INSTALAÇÃO. AF_12/2015</t>
  </si>
  <si>
    <t xml:space="preserve"> 06.01.400.2 </t>
  </si>
  <si>
    <t xml:space="preserve"> 91930 </t>
  </si>
  <si>
    <t>CABO DE COBRE FLEXÍVEL ISOLADO, 6 MM², ANTI-CHAMA 450/750 V, PARA CIRCUITOS TERMINAIS - FORNECIMENTO E INSTALAÇÃO. AF_12/2015</t>
  </si>
  <si>
    <t xml:space="preserve"> 06.01.400.3 </t>
  </si>
  <si>
    <t xml:space="preserve"> MPDFT0352 </t>
  </si>
  <si>
    <t>Copia da SINAPI (95727) - Eletroduto rígido soldável, PVC cor cinza, dn 25mm (3/4”), aparente, instalado em teto – fornecimento e instalação</t>
  </si>
  <si>
    <t xml:space="preserve"> 06.01.400.4 </t>
  </si>
  <si>
    <t xml:space="preserve"> MPDFT0362 </t>
  </si>
  <si>
    <t>Ponto de tomada simples (PTS) média</t>
  </si>
  <si>
    <t xml:space="preserve"> 06.01.400.5 </t>
  </si>
  <si>
    <t xml:space="preserve"> MPDFT0402 </t>
  </si>
  <si>
    <t>Copia da SINAPI (95728) - Eletroduto rígido soldável, PVC cor cinza, dn 32mm (1”), aparente, instalado em teto – fornecimento e instalação</t>
  </si>
  <si>
    <t xml:space="preserve"> 06.01.400.6 </t>
  </si>
  <si>
    <t xml:space="preserve"> MPDFT0366 </t>
  </si>
  <si>
    <t>Ponto de tomada de potência (PTP) alta</t>
  </si>
  <si>
    <t xml:space="preserve"> 06.01.400.7 </t>
  </si>
  <si>
    <t xml:space="preserve"> MPDFT0915 </t>
  </si>
  <si>
    <t>Ponto de tomada dupla média</t>
  </si>
  <si>
    <t xml:space="preserve"> 06.01.400.8 </t>
  </si>
  <si>
    <t xml:space="preserve"> 92023 </t>
  </si>
  <si>
    <t>INTERRUPTOR SIMPLES (1 MÓDULO) COM 1 TOMADA DE EMBUTIR 2P+T 10 A,  INCLUINDO SUPORTE E PLACA - FORNECIMENTO E INSTALAÇÃO. AF_12/2015</t>
  </si>
  <si>
    <t xml:space="preserve"> 06.01.400.9 </t>
  </si>
  <si>
    <t xml:space="preserve"> 91953 </t>
  </si>
  <si>
    <t>INTERRUPTOR SIMPLES (1 MÓDULO), 10A/250V, INCLUINDO SUPORTE E PLACA - FORNECIMENTO E INSTALAÇÃO. AF_12/2015</t>
  </si>
  <si>
    <t xml:space="preserve"> 06.01.400.10 </t>
  </si>
  <si>
    <t xml:space="preserve"> 91940 </t>
  </si>
  <si>
    <t>CAIXA RETANGULAR 4" X 2" MÉDIA (1,30 M DO PISO), PVC, INSTALADA EM PAREDE - FORNECIMENTO E INSTALAÇÃO. AF_12/2015</t>
  </si>
  <si>
    <t xml:space="preserve"> 06.01.400.11 </t>
  </si>
  <si>
    <t xml:space="preserve"> MPDFT0873 </t>
  </si>
  <si>
    <t>Luminária circular de embutir, com difusor translúcido recuado, refletor multifacetado em alumínio anodizado  alto brilho LED EF45-E12000840, cor alumínio - Lumicenter LED Solution</t>
  </si>
  <si>
    <t xml:space="preserve"> 06.01.400.12 </t>
  </si>
  <si>
    <t xml:space="preserve"> MPDFT0874 </t>
  </si>
  <si>
    <t>Cópia da SBC (061790) - Campainha de sinalização de emergência com acionador e sinaleira de porta para PCD - GRA branco.</t>
  </si>
  <si>
    <t xml:space="preserve"> 06.01.400.13 </t>
  </si>
  <si>
    <t xml:space="preserve"> 95811 </t>
  </si>
  <si>
    <t>CONDULETE DE PVC, TIPO LB, PARA ELETRODUTO DE PVC SOLDÁVEL DN 25 MM (3/4''), APARENTE - FORNECIMENTO E INSTALAÇÃO. AF_11/2016</t>
  </si>
  <si>
    <t xml:space="preserve"> 06.01.400.14 </t>
  </si>
  <si>
    <t xml:space="preserve"> 95812 </t>
  </si>
  <si>
    <t>CONDULETE DE PVC, TIPO LB, PARA ELETRODUTO DE PVC SOLDÁVEL DN 32 MM (1</t>
  </si>
  <si>
    <t xml:space="preserve"> 06.01.400.15 </t>
  </si>
  <si>
    <t xml:space="preserve"> MPDFT0925 </t>
  </si>
  <si>
    <t>Cópia da CPOS (37.25.090) - Disjuntor tripolar caixa moldada 63A 50kA/380V Schneider LV429006+LV429032</t>
  </si>
  <si>
    <t xml:space="preserve"> 07 </t>
  </si>
  <si>
    <t>INSTALAÇÕES MECÂNICAS E DE UTILIDADES</t>
  </si>
  <si>
    <t xml:space="preserve"> 07.02 </t>
  </si>
  <si>
    <t>Ar Condicionado Central</t>
  </si>
  <si>
    <t xml:space="preserve"> 07.02.300 </t>
  </si>
  <si>
    <t>Redes de Dutos</t>
  </si>
  <si>
    <t xml:space="preserve"> 07.02.300.1 </t>
  </si>
  <si>
    <t xml:space="preserve"> MPDFT0879 </t>
  </si>
  <si>
    <t>Cópia da CPOS (61.10.574) - G2 - Grelha de exaustão, dimensões 225x225mm,  aletas fixas e horizontais, fabricada com perfis de alumínio extrudado, anodizado, na cor natural, incluindo registro de lâminas opostas e dupla deflexão. Modelo de referência: TROX AR/AG</t>
  </si>
  <si>
    <t xml:space="preserve"> 07.02.300.2 </t>
  </si>
  <si>
    <t xml:space="preserve"> MPDFT0881 </t>
  </si>
  <si>
    <t>Cópia da SBC (073893) - G3 - Grelha de exaustão de plástico para duto flexível diâmetro 100mm, com lâminas inclinadas. Modelo de referência: Soler&amp;Palau OTAM GR-100 ou similar equivalente.</t>
  </si>
  <si>
    <t xml:space="preserve"> 07.02.300.3 </t>
  </si>
  <si>
    <t xml:space="preserve"> MPDFT0060 </t>
  </si>
  <si>
    <t>Dutos de ar condicionado (ar exterior, retorno e exaustão) em espuma rígida de poliuretano com revestimento em alumínio nas superfícies internas e externas, nas dimensões internas indicadas em projeto, painéis com densidade de 42kg/m³, espessura 20mm, construído conforme orientação do fabricante, incluindo visitas pré-fabricadas (portas de inspeção) a cada 7 metros de trecho reto ou após curvas, perfis de união, baioneta, canto de reforço, canto de acabamento, perfis, barras de reforço, colarinhos, cola adesiva, massa de vedação, etc., com utilização das ferramentas bancada, facas especiais, punhos, marcadores de fita, caneta de nylon, aplicador de fita, alicate de bico, esquadro, estilete, martela de borracha, esquadros, vincadeira, compasso, cortador de colarinho, régua, etc. Modelo de referência:  Multivac MPU ou similar equivalente.</t>
  </si>
  <si>
    <t xml:space="preserve"> 07.02.300.4 </t>
  </si>
  <si>
    <t xml:space="preserve"> MPDFT0885 </t>
  </si>
  <si>
    <t>Cópia da SBC (070473) - Duto flexível #250 para ventilação ou exaustão, fabricado em alumínio e poliéster com espiral de arame de aço bronzeado, anticorrosivo e indeformável.  Modelo de referência: Multivac Aludec 60 CO2</t>
  </si>
  <si>
    <t xml:space="preserve"> 07.02.300.5 </t>
  </si>
  <si>
    <t xml:space="preserve"> MPDFT0440 </t>
  </si>
  <si>
    <t>Ventilador helicocentrífugo com isolamento fono-absorvente, construído em material plástico, desmontável, motor regulável 60 Hz, 220V, potência 245W, rotação 2775rpm, vazão em descarga livre 1060m³/h, nível de pressão sonora 31 dB(A), diâmetro do duto 250mm, peso 20kg, incluindo comporta anti-retorno, acoplamento para duto retangular, damper regulador de vazão, flanges e juntas de borrachas (admissão e saída) e suporte para instalação no entreforro. Modelo de referência: Soler&amp;Palau OTAM TD-1300/250 Silent + MCA+MAR ou similar equivalente.</t>
  </si>
  <si>
    <t xml:space="preserve"> 07.02.300.6 </t>
  </si>
  <si>
    <t xml:space="preserve"> MPDFT0886 </t>
  </si>
  <si>
    <t>Cópia da SBC (070473) - Duto flexível #100 para ventilação ou exaustão, fabricado em alumínio e poliéster com espiral de arame de aço bronzeado, anticorrosivo e indeformável.  Modelo de referência: Multivac Aludec 60 CO2</t>
  </si>
  <si>
    <t xml:space="preserve"> 07.02.300.7 </t>
  </si>
  <si>
    <t xml:space="preserve"> MPDFT0880 </t>
  </si>
  <si>
    <t>Cópia da CPOS (61.10.574) - G1 - Grelha de exaustão, dimensões 225x125mm,  aletas fixas e horizontais, fabricada com perfis de alumínio extrudado, anodizado, na cor natural, incluindo registro de lâminas opostas e dupla deflexão. Modelo de referência: TROX AR/AG</t>
  </si>
  <si>
    <t xml:space="preserve"> 07.02.300.8 </t>
  </si>
  <si>
    <t xml:space="preserve"> MPDFT0286 </t>
  </si>
  <si>
    <t>Ventilador helicocentrífugo com isolamento fono-absorvente, construído em material plástico, desmontável, motor regulável 60 Hz, 220V, potência 43W, rotação 2570rpm, vazão em descarga livre 395m³/h, nível de pressão sonora 23 dB(A), diâmetro do duto 125mm, peso 5kg, incluindo comporta anti-retorno, acoplamento para duto retangular, damper regulador de vazão, flanges e juntas de borrachas (admissão e saída) e suporte para instalação no entreforro. Modelo de referência: Soler&amp;Palau OTAM TD-350/125 Silent + MCA+MAR ou similar equivalente.</t>
  </si>
  <si>
    <t xml:space="preserve"> 07.04 </t>
  </si>
  <si>
    <t>Ventilação Mecânica</t>
  </si>
  <si>
    <t xml:space="preserve"> 07.04.400 </t>
  </si>
  <si>
    <t>Serviços Diversos</t>
  </si>
  <si>
    <t xml:space="preserve"> 07.04.400.1 </t>
  </si>
  <si>
    <t xml:space="preserve"> MPDFT0893 </t>
  </si>
  <si>
    <t>Copia da ORSE (8857) - Remoção de Difusor de Ar-Condicionado</t>
  </si>
  <si>
    <t xml:space="preserve"> 07.04.400.2 </t>
  </si>
  <si>
    <t xml:space="preserve"> MPDFT0894 </t>
  </si>
  <si>
    <t>Copia da SIURB (176093) - RETIRADA DE DUTO DE EXAUSTÃO</t>
  </si>
  <si>
    <t xml:space="preserve"> 08 </t>
  </si>
  <si>
    <t>INSTALAÇÕES DE PREVENÇÃO E COMBATE A INCÊNDIO</t>
  </si>
  <si>
    <t xml:space="preserve"> 08.01 </t>
  </si>
  <si>
    <t>PREVENÇÃO E COMBATE A INCÊNDIO</t>
  </si>
  <si>
    <t xml:space="preserve"> 08.01.600 </t>
  </si>
  <si>
    <t>Sinalização de rota e fuga</t>
  </si>
  <si>
    <t xml:space="preserve"> 08.01.600.1 </t>
  </si>
  <si>
    <t xml:space="preserve"> MPDFT0462 </t>
  </si>
  <si>
    <t>19a - Placa de Identificação de Pavimento (PIP), 150x150mm, fixada nas superfícies por meio de fita dupla-face, fundo em chapa de acrílico opaca, espessura 3mm, acabamento pintura esmalte automotivo sobre  primer surfacer, referência cromática Verde C60, M0, Y40, K30, símbolo em vinil fotoluminescente, texto em Braile em alto relevo 1mm de PVC conforme NBR 9050.</t>
  </si>
  <si>
    <t xml:space="preserve"> 09 </t>
  </si>
  <si>
    <t>SERVIÇOS COMPLEMENTARES</t>
  </si>
  <si>
    <t xml:space="preserve"> 09.02 </t>
  </si>
  <si>
    <t>Limpeza de obra</t>
  </si>
  <si>
    <t xml:space="preserve"> 09.02.1 </t>
  </si>
  <si>
    <t>LIMPEZA DE CONTRAPISO COM VASSOURA A SECO. AF_04/2019</t>
  </si>
  <si>
    <t xml:space="preserve"> 09.02.2 </t>
  </si>
  <si>
    <t xml:space="preserve"> 99806 </t>
  </si>
  <si>
    <t>LIMPEZA DE REVESTIMENTO CERÂMICO EM PAREDE COM PANO ÚMIDO AF_04/2019</t>
  </si>
  <si>
    <t xml:space="preserve"> 09.02.3 </t>
  </si>
  <si>
    <t xml:space="preserve"> 99805 </t>
  </si>
  <si>
    <t>LIMPEZA DE PISO CERÂMICO OU COM PEDRAS RÚSTICAS UTILIZANDO ÁCIDO MURIÁTICO. AF_04/2019</t>
  </si>
  <si>
    <t xml:space="preserve"> 09.02.4 </t>
  </si>
  <si>
    <t xml:space="preserve"> MPDFT0825 </t>
  </si>
  <si>
    <t>Transporte de material – bota-fora, D.M.T = 80,0 km</t>
  </si>
  <si>
    <t xml:space="preserve"> 10 </t>
  </si>
  <si>
    <t>SERVIÇOS AUXILIARES E ADMINISTRATIVOS</t>
  </si>
  <si>
    <t xml:space="preserve"> 10.01 </t>
  </si>
  <si>
    <t>Pessoal</t>
  </si>
  <si>
    <t xml:space="preserve"> 10.01.1 </t>
  </si>
  <si>
    <t xml:space="preserve"> 93572 </t>
  </si>
  <si>
    <t>ENCARREGADO GERAL DE OBRAS COM ENCARGOS COMPLEMENTARES</t>
  </si>
  <si>
    <t>MES</t>
  </si>
  <si>
    <t xml:space="preserve"> 10.01.2 </t>
  </si>
  <si>
    <t xml:space="preserve"> 90778 </t>
  </si>
  <si>
    <t>ENGENHEIRO CIVIL DE OBRA PLENO COM ENCARGOS COMPLEMENTARES</t>
  </si>
  <si>
    <t>H</t>
  </si>
  <si>
    <t>Total sem BDI</t>
  </si>
  <si>
    <t>Total do BDI</t>
  </si>
  <si>
    <t>Total Geral</t>
  </si>
  <si>
    <t>Data:</t>
  </si>
  <si>
    <t>Material</t>
  </si>
  <si>
    <t>Mão de Obra</t>
  </si>
  <si>
    <t>Planilha Orçamentária Resumida</t>
  </si>
  <si>
    <t>Planilha Orçamentária Analítica</t>
  </si>
  <si>
    <t>Composição</t>
  </si>
  <si>
    <t>Insumo</t>
  </si>
  <si>
    <t xml:space="preserve"> CM0645 </t>
  </si>
  <si>
    <t>Anotação de Resposanbilidade Técnica (Faixa 3 - Tabela A - CONFEA)</t>
  </si>
  <si>
    <t xml:space="preserve"> 88316 </t>
  </si>
  <si>
    <t>SERVENTE COM ENCARGOS COMPLEMENTARES</t>
  </si>
  <si>
    <t xml:space="preserve"> 88309 </t>
  </si>
  <si>
    <t>PEDREIRO COM ENCARGOS COMPLEMENTARES</t>
  </si>
  <si>
    <t xml:space="preserve"> 88315 </t>
  </si>
  <si>
    <t>SERRALHEIRO COM ENCARGOS COMPLEMENTARES</t>
  </si>
  <si>
    <t xml:space="preserve"> 88251 </t>
  </si>
  <si>
    <t>AUXILIAR DE SERRALHEIRO COM ENCARGOS COMPLEMENTARES</t>
  </si>
  <si>
    <t xml:space="preserve"> 88269 </t>
  </si>
  <si>
    <t>GESSEIRO COM ENCARGOS COMPLEMENTARES</t>
  </si>
  <si>
    <t>KG</t>
  </si>
  <si>
    <t xml:space="preserve"> 00011002 </t>
  </si>
  <si>
    <t>ELETRODO REVESTIDO AWS - E6013, DIAMETRO IGUAL A 2,50 MM</t>
  </si>
  <si>
    <t xml:space="preserve"> 88278 </t>
  </si>
  <si>
    <t>MONTADOR DE ESTRUTURA METÁLICA COM ENCARGOS COMPLEMENTARES</t>
  </si>
  <si>
    <t xml:space="preserve"> 00039443 </t>
  </si>
  <si>
    <t>PARAFUSO DRY WALL, EM ACO ZINCADO, CABECA LENTILHA E PONTA BROCA (LB), LARGURA 4,2 MM, COMPRIMENTO 13 MM</t>
  </si>
  <si>
    <t>CENTO</t>
  </si>
  <si>
    <t>CHP</t>
  </si>
  <si>
    <t>CHI</t>
  </si>
  <si>
    <t>SELANTE ELASTICO MONOCOMPONENTE A BASE DE POLIURETANO (PU) PARA JUNTAS DIVERSAS</t>
  </si>
  <si>
    <t>310ML</t>
  </si>
  <si>
    <t xml:space="preserve"> 88264 </t>
  </si>
  <si>
    <t>ELETRICISTA COM ENCARGOS COMPLEMENTARES</t>
  </si>
  <si>
    <t xml:space="preserve"> 88247 </t>
  </si>
  <si>
    <t>AUXILIAR DE ELETRICISTA COM ENCARGOS COMPLEMENTARES</t>
  </si>
  <si>
    <t xml:space="preserve"> 91186 </t>
  </si>
  <si>
    <t>FIXAÇÃO DE TUBOS HORIZONTAIS DE PVC, CPVC OU COBRE DIÂMETROS MAIORES QUE 40 MM E MENORES OU IGUAIS A 75 MM COM ABRAÇADEIRA METÁLICA FLEXÍVEL 18 MM, FIXADA DIRETAMENTE NA LAJE. AF_05/2015</t>
  </si>
  <si>
    <t xml:space="preserve"> 88267 </t>
  </si>
  <si>
    <t>ENCANADOR OU BOMBEIRO HIDRÁULICO COM ENCARGOS COMPLEMENTARES</t>
  </si>
  <si>
    <t xml:space="preserve"> 88248 </t>
  </si>
  <si>
    <t>AUXILIAR DE ENCANADOR OU BOMBEIRO HIDRÁULICO COM ENCARGOS COMPLEMENTARES</t>
  </si>
  <si>
    <t xml:space="preserve"> 88277 </t>
  </si>
  <si>
    <t>MONTADOR (TUBO AÇO/EQUIPAMENTOS) COM ENCARGOS COMPLEMENTARES</t>
  </si>
  <si>
    <t xml:space="preserve"> 88243 </t>
  </si>
  <si>
    <t>AJUDANTE ESPECIALIZADO COM ENCARGOS COMPLEMENTARES</t>
  </si>
  <si>
    <t xml:space="preserve"> CM0433 </t>
  </si>
  <si>
    <t>Painel  MPU, pré-isolado de poli-isocianurato, revestido com duas lâminas de alumínio gofrado, (esp. 20mm) – ref. Multivac (inclusive perdas, acessórios de conexão, de vedação e de reforço)</t>
  </si>
  <si>
    <t>Composição de BDI</t>
  </si>
  <si>
    <t>%</t>
  </si>
  <si>
    <t>Grupo A</t>
  </si>
  <si>
    <t>% em relação ao custo direto CD</t>
  </si>
  <si>
    <t>A1</t>
  </si>
  <si>
    <t>Despesas Indiretas</t>
  </si>
  <si>
    <t>a1</t>
  </si>
  <si>
    <t>Administração Central</t>
  </si>
  <si>
    <t>a2</t>
  </si>
  <si>
    <t>Seguro + garantia</t>
  </si>
  <si>
    <t>a3</t>
  </si>
  <si>
    <t>Risco</t>
  </si>
  <si>
    <t>a4</t>
  </si>
  <si>
    <t>Despesa Financeira</t>
  </si>
  <si>
    <t>a5</t>
  </si>
  <si>
    <t>Lucro</t>
  </si>
  <si>
    <t>Grupo B</t>
  </si>
  <si>
    <t>% em relação ao valor total VT</t>
  </si>
  <si>
    <t>B1</t>
  </si>
  <si>
    <t>Tributos</t>
  </si>
  <si>
    <t>Pis</t>
  </si>
  <si>
    <t>Cofins</t>
  </si>
  <si>
    <t>BDI</t>
  </si>
  <si>
    <t>BDI = [(((1+(a1+a2+a3))*(1+a4)*(1+a5)))/(1-B1)-1]</t>
  </si>
  <si>
    <t>GRUPO A</t>
  </si>
  <si>
    <t>INSS</t>
  </si>
  <si>
    <t>A2</t>
  </si>
  <si>
    <t>SESI</t>
  </si>
  <si>
    <t>A3</t>
  </si>
  <si>
    <t>SENAI</t>
  </si>
  <si>
    <t>A4</t>
  </si>
  <si>
    <t>INCRA</t>
  </si>
  <si>
    <t>A5</t>
  </si>
  <si>
    <t>SEBRAE</t>
  </si>
  <si>
    <t>A6</t>
  </si>
  <si>
    <t>Salário-Educação</t>
  </si>
  <si>
    <t>A7</t>
  </si>
  <si>
    <t>Seguro Contra Acidentes Trabalho</t>
  </si>
  <si>
    <t>A8</t>
  </si>
  <si>
    <t>Fundo de Garantia por Tempo de Serviços</t>
  </si>
  <si>
    <t>A9</t>
  </si>
  <si>
    <t>SECONCI</t>
  </si>
  <si>
    <t>A</t>
  </si>
  <si>
    <t xml:space="preserve"> Total dos Encargos Sociais Básicos</t>
  </si>
  <si>
    <t>GRUPO B</t>
  </si>
  <si>
    <t>Repouso Semanal Remunerado</t>
  </si>
  <si>
    <t>B2</t>
  </si>
  <si>
    <t>Feriados</t>
  </si>
  <si>
    <t>B3</t>
  </si>
  <si>
    <t>Auxílio-enfermidade</t>
  </si>
  <si>
    <t>B4</t>
  </si>
  <si>
    <t>13º Salário</t>
  </si>
  <si>
    <t>B5</t>
  </si>
  <si>
    <t>Licença-paternidade</t>
  </si>
  <si>
    <t>B6</t>
  </si>
  <si>
    <t>Faltas justificadas</t>
  </si>
  <si>
    <t>B7</t>
  </si>
  <si>
    <t>Dias de chuva</t>
  </si>
  <si>
    <t>B8</t>
  </si>
  <si>
    <t>Auxílio acidente de trabalho</t>
  </si>
  <si>
    <t>B9</t>
  </si>
  <si>
    <t>Férias gozadas</t>
  </si>
  <si>
    <t>B10</t>
  </si>
  <si>
    <t>Salário maternidade</t>
  </si>
  <si>
    <t>B</t>
  </si>
  <si>
    <t>Total de Encargos Sociais que recebem incidências de A</t>
  </si>
  <si>
    <t>GRUPO C</t>
  </si>
  <si>
    <t>C1</t>
  </si>
  <si>
    <t>Aviso prévio indenizado</t>
  </si>
  <si>
    <t>C2</t>
  </si>
  <si>
    <t>Aviso prévio trabalhado</t>
  </si>
  <si>
    <t>C3</t>
  </si>
  <si>
    <t>Férias indenizadas (inclusive 1/3)</t>
  </si>
  <si>
    <t>C4</t>
  </si>
  <si>
    <t>Depósito rescisão sem justa causa</t>
  </si>
  <si>
    <t>C5</t>
  </si>
  <si>
    <t>Indenização adicional</t>
  </si>
  <si>
    <t>C</t>
  </si>
  <si>
    <t>GRUPO D</t>
  </si>
  <si>
    <t>D1</t>
  </si>
  <si>
    <t>Reincidência de A sobre B</t>
  </si>
  <si>
    <t>D2</t>
  </si>
  <si>
    <t>Reincidência do FGTS sobre API e Grupo A sobre APT</t>
  </si>
  <si>
    <t xml:space="preserve">D </t>
  </si>
  <si>
    <t>Total das Taxas incidências e reincidências</t>
  </si>
  <si>
    <t>Total das taxas incidências e reincidências</t>
  </si>
  <si>
    <t>Valor Acumulado</t>
  </si>
  <si>
    <t>Serviços</t>
  </si>
  <si>
    <t xml:space="preserve"> 233,94</t>
  </si>
  <si>
    <t xml:space="preserve"> 00001379 </t>
  </si>
  <si>
    <t>CIMENTO PORTLAND COMPOSTO CP II-32</t>
  </si>
  <si>
    <t>ADESIVO PLASTICO PARA PVC, FRASCO COM 850 GR</t>
  </si>
  <si>
    <t xml:space="preserve"> 79,49</t>
  </si>
  <si>
    <t xml:space="preserve"> 00020083 </t>
  </si>
  <si>
    <t>SOLUCAO LIMPADORA PARA PVC, FRASCO COM 1000 CM3</t>
  </si>
  <si>
    <t xml:space="preserve"> 0,12</t>
  </si>
  <si>
    <t xml:space="preserve"> 00038383 </t>
  </si>
  <si>
    <t>LIXA D'AGUA EM FOLHA, GRAO 100</t>
  </si>
  <si>
    <t xml:space="preserve"> 2,05</t>
  </si>
  <si>
    <t xml:space="preserve"> 5,01</t>
  </si>
  <si>
    <t xml:space="preserve"> 88262 </t>
  </si>
  <si>
    <t>CARPINTEIRO DE FORMAS COM ENCARGOS COMPLEMENTARES</t>
  </si>
  <si>
    <t xml:space="preserve"> 88239 </t>
  </si>
  <si>
    <t>AJUDANTE DE CARPINTEIRO COM ENCARGOS COMPLEMENTARES</t>
  </si>
  <si>
    <t xml:space="preserve"> 00003777 </t>
  </si>
  <si>
    <t>LONA PLASTICA PRETA, E= 150 MICRA</t>
  </si>
  <si>
    <t xml:space="preserve"> 88256 </t>
  </si>
  <si>
    <t>AZULEJISTA OU LADRILHISTA COM ENCARGOS COMPLEMENTARES</t>
  </si>
  <si>
    <t xml:space="preserve"> 5795 </t>
  </si>
  <si>
    <t>MARTELETE OU ROMPEDOR PNEUMÁTICO MANUAL, 28 KG, COM SILENCIADOR - CHP DIURNO. AF_07/2016</t>
  </si>
  <si>
    <t xml:space="preserve"> 5952 </t>
  </si>
  <si>
    <t>MARTELETE OU ROMPEDOR PNEUMÁTICO MANUAL, 28 KG, COM SILENCIADOR - CHI DIURNO. AF_07/2016</t>
  </si>
  <si>
    <t xml:space="preserve"> 90973 </t>
  </si>
  <si>
    <t>COMPRESSOR DE AR REBOCAVEL, VAZÃO 250 PCM, PRESSAO DE TRABALHO 102 PSI, MOTOR A DIESEL POTÊNCIA 81 CV - CHI DIURNO. AF_06/2015</t>
  </si>
  <si>
    <t xml:space="preserve"> 90972 </t>
  </si>
  <si>
    <t>COMPRESSOR DE AR REBOCAVEL, VAZÃO 250 PCM, PRESSAO DE TRABALHO 102 PSI, MOTOR A DIESEL POTÊNCIA 81 CV - CHP DIURNO. AF_06/2015</t>
  </si>
  <si>
    <t xml:space="preserve"> 88310 </t>
  </si>
  <si>
    <t>PINTOR COM ENCARGOS COMPLEMENTARES</t>
  </si>
  <si>
    <t xml:space="preserve"> 00003768 </t>
  </si>
  <si>
    <t>LIXA EM FOLHA PARA FERRO, NUMERO 150</t>
  </si>
  <si>
    <t xml:space="preserve"> 88261 </t>
  </si>
  <si>
    <t>CARPINTEIRO DE ESQUADRIA COM ENCARGOS COMPLEMENTARES</t>
  </si>
  <si>
    <t xml:space="preserve"> CM0174 </t>
  </si>
  <si>
    <t>Divisória sanitários e vestiários em laminado estrutural TS (maciço), branco, com e=10 mm, dupla face decorativa texturizada, modelo Alcoplac Normatizado, fab. Neocom, incluindo portas e conjunto de ferragens</t>
  </si>
  <si>
    <t xml:space="preserve"> 72132 </t>
  </si>
  <si>
    <t>ALVENARIA EM TIJOLO CERAMICO MACICO 5X10X20CM 1/2 VEZ (ESPESSURA 10CM), ASSENTADO COM ARGAMASSA TRACO 1:2:8 (CIMENTO, CAL E AREIA)</t>
  </si>
  <si>
    <t xml:space="preserve"> 96620 </t>
  </si>
  <si>
    <t>LASTRO DE CONCRETO MAGRO, APLICADO EM PISOS OU RADIERS. AF_08/2017</t>
  </si>
  <si>
    <t xml:space="preserve"> 91012 </t>
  </si>
  <si>
    <t>PORTA DE MADEIRA PARA VERNIZ, SEMI-OCA (LEVE OU MÉDIA), 90X210CM, ESPESSURA DE 3,5CM, INCLUSO DOBRADIÇAS - FORNECIMENTO E INSTALAÇÃO. AF_12/2019</t>
  </si>
  <si>
    <t xml:space="preserve"> 100721 </t>
  </si>
  <si>
    <t>PINTURA COM TINTA ALQUÍDICA DE FUNDO (TIPO ZARCÃO) PULVERIZADA SOBRE SUPERFÍCIES METÁLICAS (EXCETO PERFIL) EXECUTADO EM OBRA (POR DEMÃO). AF_01/2020</t>
  </si>
  <si>
    <t xml:space="preserve"> 100757 </t>
  </si>
  <si>
    <t>PINTURA COM TINTA ALQUÍDICA DE ACABAMENTO (ESMALTE SINTÉTICO ACETINADO) PULVERIZADA SOBRE SUPERFÍCIES METÁLICAS (EXCETO PERFIL) EXECUTADO EM OBRA (02 DEMÃOS). AF_01/2020</t>
  </si>
  <si>
    <t xml:space="preserve"> 00038124 </t>
  </si>
  <si>
    <t>ESPUMA EXPANSIVA DE POLIURETANO, APLICACAO MANUAL - 500 ML</t>
  </si>
  <si>
    <t xml:space="preserve"> 00038152 </t>
  </si>
  <si>
    <t>FECHADURA DE EMBUTIR PARA PORTA EXTERNA, MAQUINA 55 MM, COM CILINDRO, MACANETA ALAVANCA E ROSETA REDONDA EM METAL CROMADO - NIVEL DE SEGURANCA MEDIO - COMPLETA</t>
  </si>
  <si>
    <t>CJ</t>
  </si>
  <si>
    <t xml:space="preserve"> CM0190 </t>
  </si>
  <si>
    <t>Laminado melamínico, acabamento texturizado, cor branca, espessura 1,3mm, referência L190, fab. Fórmica</t>
  </si>
  <si>
    <t xml:space="preserve"> 00001339 </t>
  </si>
  <si>
    <t>COLA A BASE DE RESINA SINTETICA PARA CHAPA DE LAMINADO MELAMINICO</t>
  </si>
  <si>
    <t xml:space="preserve"> CM0856 </t>
  </si>
  <si>
    <t>Grelha em alumínio 325 x 525 mm, ref. Grelha de Retorno AGS-T (com contra-moldura), Trox do Brasil</t>
  </si>
  <si>
    <t xml:space="preserve"> CM0126 </t>
  </si>
  <si>
    <t>Barra de apoio tubular reta 45cm, Ø31,75mm e=2mm, em alumínio, acabamento com pintura epóxi branca, Linha Acessibilidade, fab. Leve Vida</t>
  </si>
  <si>
    <t xml:space="preserve"> 00001322 </t>
  </si>
  <si>
    <t>CHAPA DE ACO FINA A QUENTE BITOLA MSG 16, E = 1,50 MM (12,00 KG/M2)</t>
  </si>
  <si>
    <t xml:space="preserve"> 91011 </t>
  </si>
  <si>
    <t>PORTA DE MADEIRA PARA VERNIZ, SEMI-OCA (LEVE OU MÉDIA), 80X210CM, ESPESSURA DE 3,5CM, INCLUSO DOBRADIÇAS - FORNECIMENTO E INSTALAÇÃO. AF_12/2019</t>
  </si>
  <si>
    <t xml:space="preserve"> 88325 </t>
  </si>
  <si>
    <t>VIDRACEIRO COM ENCARGOS COMPLEMENTARES</t>
  </si>
  <si>
    <t xml:space="preserve"> 00011186 </t>
  </si>
  <si>
    <t>ESPELHO CRISTAL E = 4 MM</t>
  </si>
  <si>
    <t xml:space="preserve"> 00000442 </t>
  </si>
  <si>
    <t>PARAFUSO FRANCES M16 EM ACO GALVANIZADO, COMPRIMENTO = 45 MM, DIAMETRO = 16 MM, CABECA ABAULADA</t>
  </si>
  <si>
    <t xml:space="preserve"> 87298 </t>
  </si>
  <si>
    <t>ARGAMASSA TRAÇO 1:3 (EM VOLUME DE CIMENTO E AREIA MÉDIA ÚMIDA) PARA CONTRAPISO, PREPARO MECÂNICO COM BETONEIRA 400 L. AF_08/2019</t>
  </si>
  <si>
    <t xml:space="preserve"> 00007334 </t>
  </si>
  <si>
    <t>ADITIVO ADESIVO LIQUIDO PARA ARGAMASSAS DE REVESTIMENTOS CIMENTICIOS</t>
  </si>
  <si>
    <t>L</t>
  </si>
  <si>
    <t xml:space="preserve"> 00034357 </t>
  </si>
  <si>
    <t>REJUNTE CIMENTICIO, QUALQUER COR</t>
  </si>
  <si>
    <t xml:space="preserve"> CM1277 </t>
  </si>
  <si>
    <t>Porcelanato 90x90cm, linha Mineral (cod. 28504E), cor Argento, acabamento natural, fab. Portobello</t>
  </si>
  <si>
    <t xml:space="preserve"> 00034353 </t>
  </si>
  <si>
    <t>ARGAMASSA COLANTE AC II</t>
  </si>
  <si>
    <t xml:space="preserve"> CM1278 </t>
  </si>
  <si>
    <t>Porcelanato 60x60cm, linha Mineral (cod. 22281E), cor Portland, acabamento natural, fab. Portobello</t>
  </si>
  <si>
    <t xml:space="preserve"> CM1680 </t>
  </si>
  <si>
    <t>Porcelanato para escada 32 x 60 cm com friso, linha Mineral Técnica (cód. 21757E), cor Argento, acabamento natural Fab. Portobello</t>
  </si>
  <si>
    <t xml:space="preserve"> CM1671 </t>
  </si>
  <si>
    <t>Rodapé em porcelanato cinza escuro, DM 20x90cm, linha Mineral, cor Argento, acabamento natural, ref. 21447E, fab. Portobello</t>
  </si>
  <si>
    <t xml:space="preserve"> CM1670 </t>
  </si>
  <si>
    <t>Rodapé cinza claro acabamento natural, dimensões 20x90cm, Portobello - Linha Mineral, cor Portland - cód 21445E</t>
  </si>
  <si>
    <t xml:space="preserve"> 90586 </t>
  </si>
  <si>
    <t>VIBRADOR DE IMERSÃO, DIÂMETRO DE PONTEIRA 45MM, MOTOR ELÉTRICO TRIFÁSICO POTÊNCIA DE 2 CV - CHP DIURNO. AF_06/2015</t>
  </si>
  <si>
    <t xml:space="preserve"> 90587 </t>
  </si>
  <si>
    <t>VIBRADOR DE IMERSÃO, DIÂMETRO DE PONTEIRA 45MM, MOTOR ELÉTRICO TRIFÁSICO POTÊNCIA DE 2 CV - CHI DIURNO. AF_06/2015</t>
  </si>
  <si>
    <t xml:space="preserve"> 88245 </t>
  </si>
  <si>
    <t>ARMADOR COM ENCARGOS COMPLEMENTARES</t>
  </si>
  <si>
    <t xml:space="preserve"> 97114 </t>
  </si>
  <si>
    <t>EXECUÇÃO DE JUNTAS DE CONTRAÇÃO PARA PAVIMENTOS DE CONCRETO. AF_11/2017</t>
  </si>
  <si>
    <t xml:space="preserve"> 97115 </t>
  </si>
  <si>
    <t>APLICAÇÃO DE GRAXA EM BARRAS DE TRANSFERÊNCIA PARA EXECUÇÃO DE PAVIMENTO DE CONCRETO. AF_11/2017</t>
  </si>
  <si>
    <t xml:space="preserve"> 00007156 </t>
  </si>
  <si>
    <t>TELA DE ACO SOLDADA NERVURADA, CA-60, Q-196, (3,11 KG/M2), DIAMETRO DO FIO = 5,0 MM, LARGURA = 2,45 M, ESPACAMENTO DA MALHA = 10 X 10 CM</t>
  </si>
  <si>
    <t xml:space="preserve"> CM1285 </t>
  </si>
  <si>
    <t>Barra de transferência aço CA-60, diâmetro 16mm, fab. Gerdau</t>
  </si>
  <si>
    <t xml:space="preserve"> 00001527 </t>
  </si>
  <si>
    <t>CONCRETO USINADO BOMBEAVEL, CLASSE DE RESISTENCIA C25, COM BRITA 0 E 1, SLUMP = 100 +/- 20 MM, INCLUI SERVICO DE BOMBEAMENTO (NBR 8953)</t>
  </si>
  <si>
    <t xml:space="preserve"> 96622 </t>
  </si>
  <si>
    <t>LASTRO COM MATERIAL GRANULAR, APLICAÇÃO EM PISOS OU RADIERS, ESPESSURA DE *5 CM*. AF_08/2017</t>
  </si>
  <si>
    <t xml:space="preserve"> CM0070 </t>
  </si>
  <si>
    <t>Pastilha de porcelana 5,0x5,0cm, linha Engenharia, cor Boráx, fab. Atlas (ref.SG8414)</t>
  </si>
  <si>
    <t xml:space="preserve"> 00037595 </t>
  </si>
  <si>
    <t>ARGAMASSA COLANTE TIPO AC III</t>
  </si>
  <si>
    <t xml:space="preserve"> 00000536 </t>
  </si>
  <si>
    <t>REVESTIMENTO EM CERAMICA ESMALTADA EXTRA, PEI MENOR OU IGUAL A 3, FORMATO MENOR OU IGUAL A 2025 CM2</t>
  </si>
  <si>
    <t xml:space="preserve"> 00001381 </t>
  </si>
  <si>
    <t>ARGAMASSA COLANTE AC I PARA CERAMICAS</t>
  </si>
  <si>
    <t xml:space="preserve"> 00004791 </t>
  </si>
  <si>
    <t>ADESIVO ACRILICO/COLA DE CONTATO</t>
  </si>
  <si>
    <t xml:space="preserve"> CM0614 </t>
  </si>
  <si>
    <t>Forro estruturado em placas de gesso acartonado, modelo D-112 uniderecional - 1ST 12,5/BR</t>
  </si>
  <si>
    <t xml:space="preserve"> 00040552 </t>
  </si>
  <si>
    <t>PARAFUSO, AUTO ATARRACHANTE, CABECA CHATA, FENDA SIMPLES, 1/4 (6,35 MM) X 25 MM</t>
  </si>
  <si>
    <t xml:space="preserve"> 00039428 </t>
  </si>
  <si>
    <t>PERFIL TABICA FECHADA, LISA, FORMATO Z, EM ACO GALVANIZADO NATURAL, LARGURA TOTAL NA HORIZONTAL *40* MM, PARA ESTRUTURA FORRO DRYWALL</t>
  </si>
  <si>
    <t xml:space="preserve"> 00007343 </t>
  </si>
  <si>
    <t>TINTA A BASE DE RESINA ACRILICA, PARA SINALIZACAO HORIZONTAL VIARIA (NBR 11862)</t>
  </si>
  <si>
    <t xml:space="preserve"> 88270 </t>
  </si>
  <si>
    <t>IMPERMEABILIZADOR COM ENCARGOS COMPLEMENTARES</t>
  </si>
  <si>
    <t xml:space="preserve"> CM1679 </t>
  </si>
  <si>
    <t>Fita antiderrapante, largura 50mm, ref. Safety Walk, linha Conformable fab. 3M</t>
  </si>
  <si>
    <t xml:space="preserve"> 88274 </t>
  </si>
  <si>
    <t>MARMORISTA/GRANITEIRO COM ENCARGOS COMPLEMENTARES</t>
  </si>
  <si>
    <t xml:space="preserve"> 00007568 </t>
  </si>
  <si>
    <t>BUCHA DE NYLON SEM ABA S10, COM PARAFUSO DE 6,10 X 65 MM EM ACO ZINCADO COM ROSCA SOBERBA, CABECA CHATA E FENDA PHILLIPS</t>
  </si>
  <si>
    <t xml:space="preserve"> 00011033 </t>
  </si>
  <si>
    <t>SUPORTE PARA CALHA DE 150 MM EM FERRO GALVANIZADO</t>
  </si>
  <si>
    <t xml:space="preserve"> 00021012 </t>
  </si>
  <si>
    <t>TUBO ACO GALVANIZADO COM COSTURA, CLASSE LEVE, DN 40 MM ( 1 1/2"),  E = 3,00 MM,  *3,48* KG/M (NBR 5580)</t>
  </si>
  <si>
    <t xml:space="preserve"> CM1687 </t>
  </si>
  <si>
    <t>Suporte para corrimão, redondo com pino 1/2" P/ tubo 2" - com parafusos e buchas</t>
  </si>
  <si>
    <t xml:space="preserve"> CM1688 </t>
  </si>
  <si>
    <t>Curva de aço galvanizado 1 1/2"</t>
  </si>
  <si>
    <t xml:space="preserve"> CM0988 </t>
  </si>
  <si>
    <t xml:space="preserve"> 00006138 </t>
  </si>
  <si>
    <t>VEDACAO PVC, 100 MM, PARA SAIDA VASO SANITARIO</t>
  </si>
  <si>
    <t xml:space="preserve"> 00004384 </t>
  </si>
  <si>
    <t>PARAFUSO NIQUELADO COM ACABAMENTO CROMADO PARA FIXAR PECA SANITARIA, INCLUI PORCA CEGA, ARRUELA E BUCHA DE NYLON TAMANHO S-10</t>
  </si>
  <si>
    <t xml:space="preserve"> 00037329 </t>
  </si>
  <si>
    <t>REJUNTE EPOXI, QUALQUER COR</t>
  </si>
  <si>
    <t xml:space="preserve"> CM0139 </t>
  </si>
  <si>
    <t>Bacia sanitária, cor branco gelo, linha Monte Carlo, código P.8.17, fab. Deca</t>
  </si>
  <si>
    <t xml:space="preserve"> CM0765 </t>
  </si>
  <si>
    <t>Tubo de ligação para vaso sanitário, cromado, código 1968C, fabricação Deca</t>
  </si>
  <si>
    <t xml:space="preserve"> CM0045 </t>
  </si>
  <si>
    <t>Assento plástico Monte Carlo AP.80.17 Deca</t>
  </si>
  <si>
    <t xml:space="preserve"> 00011686 </t>
  </si>
  <si>
    <t>CONJUNTO DE LIGACAO PARA BACIA SANITARIA EM PLASTICO BRANCO COM TUBO, CANOPLA E ANEL DE EXPANSAO (TUBO 1.1/2 '' X 20 CM)</t>
  </si>
  <si>
    <t xml:space="preserve"> CM1672 </t>
  </si>
  <si>
    <t>Bacia sanitária, Linha Studio Kids, cor branco gelo, código PI.16.17, fabricação Deca</t>
  </si>
  <si>
    <t xml:space="preserve"> CM1673 </t>
  </si>
  <si>
    <t>Assento para bacia sanitária infantil, linha Studio Kids PI.166.17, Deca</t>
  </si>
  <si>
    <t xml:space="preserve"> CM0129 </t>
  </si>
  <si>
    <t>Bacia sanitária, Linha Vogue Plus Conforto, cor branco gelo, código P. 510, fab. Deca</t>
  </si>
  <si>
    <t xml:space="preserve"> CM1533 </t>
  </si>
  <si>
    <t>Assento plástico Vogue Plus AP.50.17 Deca</t>
  </si>
  <si>
    <t xml:space="preserve"> 00003148 </t>
  </si>
  <si>
    <t>FITA VEDA ROSCA EM ROLOS DE 18 MM X 50 M (L X C)</t>
  </si>
  <si>
    <t xml:space="preserve"> CM1457 </t>
  </si>
  <si>
    <t>Válvula de descarga antivandalismo 1 1/2", 4900.C.DUO.PRO, fabricação Deca</t>
  </si>
  <si>
    <t xml:space="preserve"> 00012613 </t>
  </si>
  <si>
    <t>TUBO DE DESCARGA PVC, PARA LIGACAO CAIXA DE DESCARGA - EMBUTIR, 40 MM X 150 CM</t>
  </si>
  <si>
    <t xml:space="preserve"> 100858 </t>
  </si>
  <si>
    <t>MICTÓRIO SIFONADO LOUÇA BRANCA  PADRÃO MÉDIO  FORNECIMENTO E INSTALAÇÃO. AF_01/2020</t>
  </si>
  <si>
    <t xml:space="preserve"> CM0184 </t>
  </si>
  <si>
    <t>Válvula para mictório de fechamento automático, fab. Deca, Linha Decamatic, código 2570 C, acabamento cromado</t>
  </si>
  <si>
    <t xml:space="preserve"> 00003146 </t>
  </si>
  <si>
    <t>FITA VEDA ROSCA EM ROLOS DE 18 MM X 10 M (L X C)</t>
  </si>
  <si>
    <t xml:space="preserve"> 00004351 </t>
  </si>
  <si>
    <t>PARAFUSO NIQUELADO 3 1/2" COM ACABAMENTO CROMADO PARA FIXAR PECA SANITARIA, INCLUI PORCA CEGA, ARRUELA E BUCHA DE NYLON TAMANHO S-8</t>
  </si>
  <si>
    <t xml:space="preserve"> CM0147 </t>
  </si>
  <si>
    <t>Lavatório de semi-encaixe de louça, linha Monte Carlo, cor branco gelo, código L82, fab. Deca</t>
  </si>
  <si>
    <t xml:space="preserve"> CM0135 </t>
  </si>
  <si>
    <t>Válvula de escoamento, cromada, cod.1601C, fab. Deca</t>
  </si>
  <si>
    <t xml:space="preserve"> CM0137 </t>
  </si>
  <si>
    <t>Ligação flexível de malha de aço 50cm, ref. 4607C 050, fab. Deca</t>
  </si>
  <si>
    <t xml:space="preserve"> CM0134 </t>
  </si>
  <si>
    <t>Torneira para lavatório de mesa, cromada, fechamento automático, Decamatic Eco, Código 1173.C, fab. Deca</t>
  </si>
  <si>
    <t xml:space="preserve"> CM1674 </t>
  </si>
  <si>
    <t>Sifão regulável com tubo de saída corrugável 1x1.1/2", VSM 182, fabricação Esteves</t>
  </si>
  <si>
    <t xml:space="preserve"> CM1048 </t>
  </si>
  <si>
    <t>Lavatório com coluna suspensa, marca Deca, Modelo Vogue Plus, código L.51.17, cor branco</t>
  </si>
  <si>
    <t xml:space="preserve"> CM1459 </t>
  </si>
  <si>
    <t>Coluna para lavatório Monte Carlo/Village/Vogue Plus C1 Deca</t>
  </si>
  <si>
    <t xml:space="preserve"> CM0143 </t>
  </si>
  <si>
    <t>Torneira para lavatório de mesa com alavanca, cromada, fechamento automático, Linha Pressmatic Benefit, Código 00490706, fab. Docol</t>
  </si>
  <si>
    <t xml:space="preserve"> CM1675 </t>
  </si>
  <si>
    <t>Sifão com tubo extensivo cromado 1x1/2", fabricação Astra</t>
  </si>
  <si>
    <t xml:space="preserve"> 00038633 </t>
  </si>
  <si>
    <t>FURO PARA TORNEIRA OU OUTROS ACESSORIOS  EM BANCADA DE MARMORE/ GRANITO OU OUTRO TIPO DE PEDRA NATURAL</t>
  </si>
  <si>
    <t xml:space="preserve"> CM0163 </t>
  </si>
  <si>
    <t>Torneira de parede uso geral com arejador, metálica com acabamento cromado, fab. Deca, Linha Standard, código 1154.C39</t>
  </si>
  <si>
    <t xml:space="preserve"> 00036080 </t>
  </si>
  <si>
    <t>BARRA DE APOIO RETA, EM ALUMINIO, COMPRIMENTO 80 CM, DIAMETRO MINIMO 3 CM</t>
  </si>
  <si>
    <t xml:space="preserve"> 00036220 </t>
  </si>
  <si>
    <t>BARRA DE APOIO RETA, EM ALUMINIO, COMPRIMENTO 70CM, DIAMETRO MINIMO 3 CM</t>
  </si>
  <si>
    <t xml:space="preserve"> CM0598 </t>
  </si>
  <si>
    <t>Barra de apoio reta 40cm, em tubo de alumínio e=2mm, Ø31,75mm, tratamento de superfície e pintura epóxi, na cor branca, fab. Leve Vida</t>
  </si>
  <si>
    <t xml:space="preserve"> CM0597 </t>
  </si>
  <si>
    <t>Barra de apoio curva lateral para lavatório 30cm, em tubo de alumínio e=2mm, Ø31,75mm, tratamento de superfície e pintura epóxi, na cor branca, fab. Leve Vida</t>
  </si>
  <si>
    <t xml:space="preserve"> 00036215 </t>
  </si>
  <si>
    <t>BANCO ARTICULADO PARA BANHO, EM ACO INOX POLIDO, 70* CM X 45* CM</t>
  </si>
  <si>
    <t xml:space="preserve"> CM1363 </t>
  </si>
  <si>
    <t>Ralo linear em alumínio com grelha, dimensões 46x900mm, com saída central vertical, anodizado fosco, fab. Sekabox / Sekapiso</t>
  </si>
  <si>
    <t xml:space="preserve"> 00004823 </t>
  </si>
  <si>
    <t>MASSA PLASTICA PARA MARMORE/GRANITO</t>
  </si>
  <si>
    <t xml:space="preserve"> 00011795 </t>
  </si>
  <si>
    <t>GRANITO PARA BANCADA, POLIDO, TIPO ANDORINHA/ QUARTZ/ CASTELO/ CORUMBA OU OUTROS EQUIVALENTES DA REGIAO, E=  *2,5* CM</t>
  </si>
  <si>
    <t xml:space="preserve"> 00037590 </t>
  </si>
  <si>
    <t>SUPORTE MAO-FRANCESA EM ACO, ABAS IGUAIS 30 CM, CAPACIDADE MINIMA 60 KG, BRANCO</t>
  </si>
  <si>
    <t xml:space="preserve"> CM0169 </t>
  </si>
  <si>
    <t>Solução hidrofugante à base de silano-siloxano Nitoprimer 40, fab. Anchortec Quartzolit</t>
  </si>
  <si>
    <t>l</t>
  </si>
  <si>
    <t xml:space="preserve"> CM1681 </t>
  </si>
  <si>
    <t>Porta objetos em laminado melamínico (0,15 x 0,4 cm), cor Polar L190, linha Alcoplac Normatizado, Fab. Neocom</t>
  </si>
  <si>
    <t xml:space="preserve"> CM1682 </t>
  </si>
  <si>
    <t>Cabide para divisória, em inox escovado, linha Alcoplac Normatizado, Fab. Neocom</t>
  </si>
  <si>
    <t xml:space="preserve"> CM1678 </t>
  </si>
  <si>
    <t>Trocador de fraldas horizontal, retrátil, dimensões: 85x55x10cm, linha Clean Horizontal, marca Ampliando Espaço</t>
  </si>
  <si>
    <t xml:space="preserve"> CM1677 </t>
  </si>
  <si>
    <t>Trocador de fraldas vertical, retrátil, dimensões: 53x69x10cm, linha Ultra Clean, marca Ampliando Espaço</t>
  </si>
  <si>
    <t xml:space="preserve"> CM0121 </t>
  </si>
  <si>
    <t>Grelha para ralo quadrado em aço inox AISI 304, fab. Tramontina, código 94535002, dimensões (comprimento x largura x altura) 100 x 100 x 4 mm</t>
  </si>
  <si>
    <t xml:space="preserve"> CM1311 </t>
  </si>
  <si>
    <t>Grelha quadrada para ralo 15x15cm, em aço inox AISI 304, ref. 94535103, fab. Tramontina</t>
  </si>
  <si>
    <t xml:space="preserve"> CM0161 </t>
  </si>
  <si>
    <t>Coluna de louça para tanque TQ 03 fab. Deca, código CT25</t>
  </si>
  <si>
    <t xml:space="preserve"> CM0162 </t>
  </si>
  <si>
    <t>Válvula de escoamento (sem ladrão), 1 ½”, ref. 1606 C, cromada, fab. Deca</t>
  </si>
  <si>
    <t xml:space="preserve"> 00020262 </t>
  </si>
  <si>
    <t>SIFAO PLASTICO EXTENSIVEL UNIVERSAL, TIPO COPO</t>
  </si>
  <si>
    <t xml:space="preserve"> CM0160 </t>
  </si>
  <si>
    <t>Tanque de louça 40 litros para coluna, cor branco; fabricação Deca, código TQ.03 (tanque) cor branco gelo GE17</t>
  </si>
  <si>
    <t xml:space="preserve"> CM0156 </t>
  </si>
  <si>
    <t>Cuba de aço inox, DM 34x56x17 cm, linha Prime, mod. Retangular BL, ref. 94024206, fab. Tramontina</t>
  </si>
  <si>
    <t xml:space="preserve"> 00038605 </t>
  </si>
  <si>
    <t>ABERTURA PARA ENCAIXE DE CUBA OU LAVATORIO EM BANCADA DE MARMORE/ GRANITO OU OUTRO TIPO DE PEDRA NATURAL</t>
  </si>
  <si>
    <t xml:space="preserve"> CM0841 </t>
  </si>
  <si>
    <t>Torneira para cozinha de mesa, bica móvel com arejador, cromada, altura total 289 mm, linha Fast, cód. 1167.C59, fab. Deca</t>
  </si>
  <si>
    <t xml:space="preserve"> CM0157 </t>
  </si>
  <si>
    <t>Sifão simples com polipropileno com fecho hídrico, ref. 94525100, fab. Tramontina</t>
  </si>
  <si>
    <t xml:space="preserve"> 00006157 </t>
  </si>
  <si>
    <t>VALVULA EM METAL CROMADO PARA PIA AMERICANA 3.1/2 X 1.1/2 "</t>
  </si>
  <si>
    <t xml:space="preserve"> 00037591 </t>
  </si>
  <si>
    <t>SUPORTE MAO-FRANCESA EM ACO, ABAS IGUAIS 40 CM, CAPACIDADE MINIMA 70 KG, BRANCO</t>
  </si>
  <si>
    <t xml:space="preserve"> 90437 </t>
  </si>
  <si>
    <t>FURO EM ALVENARIA PARA DIÂMETROS MAIORES QUE 40 MM E MENORES OU IGUAIS A 75 MM. AF_05/2015</t>
  </si>
  <si>
    <t xml:space="preserve"> 90454 </t>
  </si>
  <si>
    <t>PASSANTE TIPO TUBO DE DIÂMETRO MAIORES QUE 40 MM E MENORES OU IGUAIS A 75 MM, FIXADO EM LAJE. AF_05/2015</t>
  </si>
  <si>
    <t xml:space="preserve"> 91191 </t>
  </si>
  <si>
    <t>CHUMBAMENTO PONTUAL EM PASSAGEM DE TUBO COM DIÂMETROS ENTRE 40 MM E 75 MM. AF_05/2015</t>
  </si>
  <si>
    <t xml:space="preserve"> 89451 </t>
  </si>
  <si>
    <t>TUBO, PVC, SOLDÁVEL, DN 75MM, INSTALADO EM PRUMADA DE ÁGUA - FORNECIMENTO E INSTALAÇÃO. AF_12/2014</t>
  </si>
  <si>
    <t xml:space="preserve"> 89611 </t>
  </si>
  <si>
    <t>LUVA, PVC, SOLDÁVEL, DN 75MM, INSTALADO EM PRUMADA DE ÁGUA - FORNECIMENTO E INSTALAÇÃO. AF_12/2014</t>
  </si>
  <si>
    <t xml:space="preserve"> 89612 </t>
  </si>
  <si>
    <t>UNIÃO, PVC, SOLDÁVEL, DN 75MM, INSTALADO EM PRUMADA DE ÁGUA - FORNECIMENTO E INSTALAÇÃO. AF_12/2014</t>
  </si>
  <si>
    <t xml:space="preserve"> 89613 </t>
  </si>
  <si>
    <t>ADAPTADOR CURTO COM BOLSA E ROSCA PARA REGISTRO, PVC, SOLDÁVEL, DN 75MM X 2.1/2, INSTALADO EM PRUMADA DE ÁGUA - FORNECIMENTO E INSTALAÇÃO. AF_12/2014</t>
  </si>
  <si>
    <t xml:space="preserve"> 89450 </t>
  </si>
  <si>
    <t>TUBO, PVC, SOLDÁVEL, DN 60MM, INSTALADO EM PRUMADA DE ÁGUA - FORNECIMENTO E INSTALAÇÃO. AF_12/2014</t>
  </si>
  <si>
    <t xml:space="preserve"> 89505 </t>
  </si>
  <si>
    <t>JOELHO 90 GRAUS, PVC, SOLDÁVEL, DN 60MM, INSTALADO EM PRUMADA DE ÁGUA - FORNECIMENTO E INSTALAÇÃO. AF_12/2014</t>
  </si>
  <si>
    <t xml:space="preserve"> 89506 </t>
  </si>
  <si>
    <t>JOELHO 45 GRAUS, PVC, SOLDÁVEL, DN 60MM, INSTALADO EM PRUMADA DE ÁGUA - FORNECIMENTO E INSTALAÇÃO. AF_12/2014</t>
  </si>
  <si>
    <t xml:space="preserve"> 89597 </t>
  </si>
  <si>
    <t>LUVA, PVC, SOLDÁVEL, DN 60MM, INSTALADO EM PRUMADA DE ÁGUA - FORNECIMENTO E INSTALAÇÃO. AF_12/2014</t>
  </si>
  <si>
    <t xml:space="preserve"> 89609 </t>
  </si>
  <si>
    <t>UNIÃO, PVC, SOLDÁVEL, DN 60MM, INSTALADO EM PRUMADA DE ÁGUA - FORNECIMENTO E INSTALAÇÃO. AF_12/2014</t>
  </si>
  <si>
    <t xml:space="preserve"> 89610 </t>
  </si>
  <si>
    <t>ADAPTADOR CURTO COM BOLSA E ROSCA PARA REGISTRO, PVC, SOLDÁVEL, DN 60MM X 2, INSTALADO EM PRUMADA DE ÁGUA - FORNECIMENTO E INSTALAÇÃO. AF_12/2014</t>
  </si>
  <si>
    <t xml:space="preserve"> 89628 </t>
  </si>
  <si>
    <t>TE, PVC, SOLDÁVEL, DN 60MM, INSTALADO EM PRUMADA DE ÁGUA - FORNECIMENTO E INSTALAÇÃO. AF_12/2014</t>
  </si>
  <si>
    <t>ADESIVO PLASTICO PARA PVC, BISNAGA COM 75 GR</t>
  </si>
  <si>
    <t xml:space="preserve"> 00000831 </t>
  </si>
  <si>
    <t>BUCHA DE REDUCAO DE PVC, SOLDAVEL, CURTA, COM 110 X 85 MM, PARA AGUA FRIA PREDIAL</t>
  </si>
  <si>
    <t xml:space="preserve"> 00000830 </t>
  </si>
  <si>
    <t>BUCHA DE REDUCAO DE PVC, SOLDAVEL, CURTA, COM 85 X 75 MM, PARA AGUA FRIA PREDIAL</t>
  </si>
  <si>
    <t xml:space="preserve"> 00000823 </t>
  </si>
  <si>
    <t>BUCHA DE REDUCAO DE PVC, SOLDAVEL, CURTA, COM 75 X 60 MM, PARA AGUA FRIA PREDIAL</t>
  </si>
  <si>
    <t xml:space="preserve"> 00006013 </t>
  </si>
  <si>
    <t>REGISTRO GAVETA COM ACABAMENTO E CANOPLA CROMADOS, SIMPLES, BITOLA 1 " (REF 1509)</t>
  </si>
  <si>
    <t xml:space="preserve"> 00020078 </t>
  </si>
  <si>
    <t>PASTA LUBRIFICANTE PARA TUBOS E CONEXOES COM JUNTA ELASTICA (USO EM PVC, ACO, POLIETILENO E OUTROS) ( DE *400* G)</t>
  </si>
  <si>
    <t>ANEL BORRACHA PARA TUBO ESGOTO PREDIAL DN 75 MM (NBR 5688)</t>
  </si>
  <si>
    <t xml:space="preserve"> CM0880 </t>
  </si>
  <si>
    <t>Tampa hermética em aço inox, DN 150mm, para fechamento de caixa sifonada</t>
  </si>
  <si>
    <t xml:space="preserve"> 00011714 </t>
  </si>
  <si>
    <t>CAIXA SIFONADA PVC, 150 X 185 X 75 MM, COM GRELHA QUADRADA BRANCA</t>
  </si>
  <si>
    <t xml:space="preserve"> 101159 </t>
  </si>
  <si>
    <t>ALVENARIA DE VEDAÇÃO DE BLOCOS CERÂMICOS MACIÇOS DE 5X10X20CM (ESPESSURA 10CM) E ARGAMASSA DE ASSENTAMENTO COM PREPARO EM BETONEIRA. AF_05/2020</t>
  </si>
  <si>
    <t xml:space="preserve"> 87905 </t>
  </si>
  <si>
    <t>CHAPISCO APLICADO EM ALVENARIA (COM PRESENÇA DE VÃOS) E ESTRUTURAS DE CONCRETO DE FACHADA, COM COLHER DE PEDREIRO.  ARGAMASSA TRAÇO 1:3 COM PREPARO EM BETONEIRA 400L. AF_06/2014</t>
  </si>
  <si>
    <t xml:space="preserve"> 95957 </t>
  </si>
  <si>
    <t>(COMPOSIÇÃO REPRESENTATIVA) EXECUÇÃO DE ESTRUTURAS DE CONCRETO ARMADO, PARA EDIFICAÇÃO INSTITUCIONAL TÉRREA, FCK = 25 MPA. AF_01/2017</t>
  </si>
  <si>
    <t xml:space="preserve"> 89048 </t>
  </si>
  <si>
    <t>(COMPOSIÇÃO REPRESENTATIVA) DO SERVIÇO DE EMBOÇO/MASSA ÚNICA, TRAÇO 1:2:8, PREPARO MECÂNICO, COM BETONEIRA DE 400L, EM PAREDES DE AMBIENTES INTERNOS, COM EXECUÇÃO DE TALISCAS, PARA EDIFICAÇÃO HABITACIONAL MULTIFAMILIAR (PRÉDIO). AF_11/2014</t>
  </si>
  <si>
    <t xml:space="preserve"> CM1669 </t>
  </si>
  <si>
    <t>Tampão Esgoto Simples T33 Ferro Fundido 52x42cm</t>
  </si>
  <si>
    <t xml:space="preserve"> CM1691 </t>
  </si>
  <si>
    <t xml:space="preserve"> 91170 </t>
  </si>
  <si>
    <t>FIXAÇÃO DE TUBOS HORIZONTAIS DE PVC, CPVC OU COBRE DIÂMETROS MENORES OU IGUAIS A 40 MM OU ELETROCALHAS ATÉ 150MM DE LARGURA, COM ABRAÇADEIRA METÁLICA RÍGIDA TIPO D 1/2, FIXADA EM PERFILADO EM LAJE. AF_05/2015</t>
  </si>
  <si>
    <t xml:space="preserve"> 00039253 </t>
  </si>
  <si>
    <t>ELETRODUTO/CONDULETE DE PVC RIGIDO, LISO, COR CINZA, DE 3/4", PARA INSTALACOES APARENTES (NBR 5410)</t>
  </si>
  <si>
    <t xml:space="preserve"> 91996 </t>
  </si>
  <si>
    <t>TOMADA MÉDIA DE EMBUTIR (1 MÓDULO), 2P+T 10 A, INCLUINDO SUPORTE E PLACA - FORNECIMENTO E INSTALAÇÃO. AF_12/2015</t>
  </si>
  <si>
    <t xml:space="preserve"> 00039255 </t>
  </si>
  <si>
    <t>ELETRODUTO/CONDULETE DE PVC RIGIDO, LISO, COR CINZA, DE 1", PARA INSTALACOES APARENTES (NBR 5410)</t>
  </si>
  <si>
    <t xml:space="preserve"> 91993 </t>
  </si>
  <si>
    <t>TOMADA ALTA DE EMBUTIR (1 MÓDULO), 2P+T 20 A, INCLUINDO SUPORTE E PLACA - FORNECIMENTO E INSTALAÇÃO. AF_12/2015</t>
  </si>
  <si>
    <t xml:space="preserve"> 91939 </t>
  </si>
  <si>
    <t>CAIXA RETANGULAR 4" X 2" ALTA (2,00 M DO PISO), PVC, INSTALADA EM PAREDE - FORNECIMENTO E INSTALAÇÃO. AF_12/2015</t>
  </si>
  <si>
    <t xml:space="preserve"> 92004 </t>
  </si>
  <si>
    <t>TOMADA MÉDIA DE EMBUTIR (2 MÓDULOS), 2P+T 10 A, INCLUINDO SUPORTE E PLACA - FORNECIMENTO E INSTALAÇÃO. AF_12/2015</t>
  </si>
  <si>
    <t xml:space="preserve"> 95807 </t>
  </si>
  <si>
    <t>CONDULETE DE PVC, TIPO LL, PARA ELETRODUTO DE PVC SOLDÁVEL DN 20 MM (1/2''), APARENTE - FORNECIMENTO E INSTALAÇÃO. AF_11/2016</t>
  </si>
  <si>
    <t xml:space="preserve"> 91992 </t>
  </si>
  <si>
    <t>TOMADA ALTA DE EMBUTIR (1 MÓDULO), 2P+T 10 A, INCLUINDO SUPORTE E PLACA - FORNECIMENTO E INSTALAÇÃO. AF_12/2015</t>
  </si>
  <si>
    <t xml:space="preserve"> 00034618 </t>
  </si>
  <si>
    <t>CABO FLEXIVEL PVC 750 V, 3 CONDUTORES DE 1,5 MM2</t>
  </si>
  <si>
    <t xml:space="preserve"> CM0261 </t>
  </si>
  <si>
    <t>Plug macho 2P+T para tomada</t>
  </si>
  <si>
    <t xml:space="preserve"> CM1661 </t>
  </si>
  <si>
    <t xml:space="preserve"> CM1662 </t>
  </si>
  <si>
    <t>Campainha de sinalização de emergência com acionador e sinaleira de porta para PCD - GRA branco.</t>
  </si>
  <si>
    <t xml:space="preserve"> 100307 </t>
  </si>
  <si>
    <t>MONTADOR DE ELETROELETRÔNICOS COM ENCARGOS COMPLEMENTARES</t>
  </si>
  <si>
    <t xml:space="preserve"> CM1689 </t>
  </si>
  <si>
    <t>Disjunto tripolar caixa moldada 63A 50kA/380V Schneider, inclusive disparador, LV429006+LV429032</t>
  </si>
  <si>
    <t xml:space="preserve"> 88241 </t>
  </si>
  <si>
    <t>AJUDANTE DE OPERAÇÃO EM GERAL COM ENCARGOS COMPLEMENTARES</t>
  </si>
  <si>
    <t xml:space="preserve"> CM1664 </t>
  </si>
  <si>
    <t>Grelha de exaustão, dimensões 225x225mm, aletas fixas e horizontais, fabricada com perfis de alumínio extrudado, anodizado, na cor natural, incluindo registro de lâminas opostas e dupla deflexão. Modelo de referência: TROX AR/AG</t>
  </si>
  <si>
    <t xml:space="preserve"> CM0046 </t>
  </si>
  <si>
    <t>Grelha de exaustão de plástico para duto flexível diâmetro 100mm, com lâminas inclinadas. Modelo de referência: Soler&amp;Palau OTAM GR-100</t>
  </si>
  <si>
    <t xml:space="preserve"> 88423 </t>
  </si>
  <si>
    <t>APLICAÇÃO MANUAL DE PINTURA COM TINTA TEXTURIZADA ACRÍLICA EM PAREDES EXTERNAS DE CASAS, UMA COR. AF_06/2014</t>
  </si>
  <si>
    <t xml:space="preserve"> CM1667 </t>
  </si>
  <si>
    <t>Duto flexível #250 para ventilação ou exaustão, fabricado em alumínio e poliéster com espiral de arame de aço bronzeado, anticorrosivo e indeformável.  Modelo de referência: Multivac Aludec 60 CO2</t>
  </si>
  <si>
    <t xml:space="preserve"> CM1163 </t>
  </si>
  <si>
    <t>Ventilador helicocentrífugo com isolamento fono-absorvente, construído em material plástico, desmontável, motor regulável 60 Hz, 220V, potência 245W, rotação 2775rpm, vazão em descarga livre 1060m³/h, nível de pressão sonora 31 dB(A), diâmetro do duto 250mm, peso 20kg, incluindo comporta anti-retorno, acoplamento para duto retangular, damper regulador de vazão, flanges e juntas de borrachas (admissão e saída) e suporte para instalação no entreforro. Modelo de referência: Soler&amp;Palau OTAM TD-1300/250 Silent + MCA+MAR</t>
  </si>
  <si>
    <t xml:space="preserve"> CM1668 </t>
  </si>
  <si>
    <t>Duto flexível #100 para ventilação ou exaustão, fabricado em alumínio e poliéster com espiral de arame de aço bronzeado, anticorrosivo e indeformável.  Modelo de referência: Multivac Aludec 60 CO2</t>
  </si>
  <si>
    <t xml:space="preserve"> CM1663 </t>
  </si>
  <si>
    <t>G1 - Grelha de exaustão, dimensões 225x125mm,  aletas fixas e horizontais, fabricada com perfis de alumínio extrudado, anodizado, na cor natural, incluindo registro de lâminas opostas e dupla deflexão. Modelo de referência: TROX AR/A</t>
  </si>
  <si>
    <t xml:space="preserve"> CM1162 </t>
  </si>
  <si>
    <t>Ventilador helicocentrífugo com isolamento fono-absorvente, construído em material plástico, desmontável, motor regulável 60 Hz, 220V, potência 43W, rotação 2570rpm, vazão em descarga livre 395m³/h, nível de pressão sonora 23 dB(A), diâmetro do duto 125mm, peso 5kg, incluindo comporta anti-retorno, acoplamento para duto retangular, damper regulador de vazão, flanges e juntas de borrachas (admissão e saída) e suporte para instalação no entreforro. Modelo de referência: Soler&amp;Palau OTAM TD-350/125 Silent + MCA+MAR</t>
  </si>
  <si>
    <t xml:space="preserve"> 88279 </t>
  </si>
  <si>
    <t>MONTADOR ELETROMECÃNICO COM ENCARGOS COMPLEMENTARES</t>
  </si>
  <si>
    <t xml:space="preserve"> 00037539 </t>
  </si>
  <si>
    <t>PLACA DE SINALIZACAO DE SEGURANCA CONTRA INCENDIO, FOTOLUMINESCENTE, RETANGULAR, *13 X 26* CM, EM PVC *2* MM ANTI-CHAMAS (SIMBOLOS, CORES E PICTOGRAMAS CONFORME NBR 13434)</t>
  </si>
  <si>
    <t xml:space="preserve"> 97915 </t>
  </si>
  <si>
    <t>TRANSPORTE COM CAMINHÃO BASCULANTE DE 6 M³, EM VIA URBANA PAVIMENTADA, ADICIONAL PARA DMT EXCEDENTE A 30 KM (UNIDADE: M3XKM). AF_07/2020</t>
  </si>
  <si>
    <t>M3XKM</t>
  </si>
  <si>
    <t xml:space="preserve"> 72897 </t>
  </si>
  <si>
    <t>CARGA MANUAL DE ENTULHO EM CAMINHAO BASCULANTE 6 M3</t>
  </si>
  <si>
    <t xml:space="preserve"> 103,35</t>
  </si>
  <si>
    <t xml:space="preserve"> 395,16</t>
  </si>
  <si>
    <t xml:space="preserve"> 30,69</t>
  </si>
  <si>
    <t xml:space="preserve"> 231,94</t>
  </si>
  <si>
    <t xml:space="preserve"> 7.914,20</t>
  </si>
  <si>
    <t xml:space="preserve"> 320,55</t>
  </si>
  <si>
    <t xml:space="preserve"> 306,86</t>
  </si>
  <si>
    <t xml:space="preserve"> 723,00</t>
  </si>
  <si>
    <t xml:space="preserve"> 317,41</t>
  </si>
  <si>
    <t xml:space="preserve"> 35,34</t>
  </si>
  <si>
    <t xml:space="preserve"> 118,65</t>
  </si>
  <si>
    <t xml:space="preserve"> 81,48</t>
  </si>
  <si>
    <t xml:space="preserve"> 588,70</t>
  </si>
  <si>
    <t xml:space="preserve"> 35,65</t>
  </si>
  <si>
    <t xml:space="preserve"> 137,70</t>
  </si>
  <si>
    <t xml:space="preserve"> 735,00</t>
  </si>
  <si>
    <t xml:space="preserve"> 57,70</t>
  </si>
  <si>
    <t xml:space="preserve"> 134,42</t>
  </si>
  <si>
    <t xml:space="preserve"> 193,32</t>
  </si>
  <si>
    <t xml:space="preserve"> 11,53</t>
  </si>
  <si>
    <t xml:space="preserve"> 52,33</t>
  </si>
  <si>
    <t xml:space="preserve"> 27,82</t>
  </si>
  <si>
    <t xml:space="preserve"> 605,31</t>
  </si>
  <si>
    <t xml:space="preserve"> 2,64</t>
  </si>
  <si>
    <t xml:space="preserve"> 41,07</t>
  </si>
  <si>
    <t xml:space="preserve"> 116,40</t>
  </si>
  <si>
    <t xml:space="preserve"> 16,37</t>
  </si>
  <si>
    <t xml:space="preserve"> 11,98</t>
  </si>
  <si>
    <t xml:space="preserve"> 101,01</t>
  </si>
  <si>
    <t xml:space="preserve"> 2,75</t>
  </si>
  <si>
    <t xml:space="preserve"> 4,15</t>
  </si>
  <si>
    <t xml:space="preserve"> 28,09</t>
  </si>
  <si>
    <t xml:space="preserve"> 21,85</t>
  </si>
  <si>
    <t xml:space="preserve"> 34,61</t>
  </si>
  <si>
    <t xml:space="preserve"> 2,71</t>
  </si>
  <si>
    <t xml:space="preserve"> 5,23</t>
  </si>
  <si>
    <t xml:space="preserve"> 40,64</t>
  </si>
  <si>
    <t xml:space="preserve"> 15,24</t>
  </si>
  <si>
    <t xml:space="preserve"> 9,08</t>
  </si>
  <si>
    <t xml:space="preserve"> 91,81</t>
  </si>
  <si>
    <t xml:space="preserve"> 17,80</t>
  </si>
  <si>
    <t xml:space="preserve"> 81,95</t>
  </si>
  <si>
    <t xml:space="preserve"> 81,38</t>
  </si>
  <si>
    <t xml:space="preserve"> 29,15</t>
  </si>
  <si>
    <t xml:space="preserve"> 14,33</t>
  </si>
  <si>
    <t xml:space="preserve"> 56,42</t>
  </si>
  <si>
    <t xml:space="preserve"> 00003863 </t>
  </si>
  <si>
    <t>LUVA PVC SOLDAVEL, 50 MM, PARA AGUA FRIA PREDIAL</t>
  </si>
  <si>
    <t xml:space="preserve"> 17,20</t>
  </si>
  <si>
    <t xml:space="preserve"> 0,45</t>
  </si>
  <si>
    <t xml:space="preserve"> 14,38</t>
  </si>
  <si>
    <t xml:space="preserve"> 8,11</t>
  </si>
  <si>
    <t>Cronograma Físico e Financeiro</t>
  </si>
  <si>
    <t>Total Por Etapa</t>
  </si>
  <si>
    <t>30 DIAS</t>
  </si>
  <si>
    <t>60 DIAS</t>
  </si>
  <si>
    <t>90 DIAS</t>
  </si>
  <si>
    <t>120 DIAS</t>
  </si>
  <si>
    <t>Porcentagem</t>
  </si>
  <si>
    <t>Custo</t>
  </si>
  <si>
    <t>Porcentagem Acumulado</t>
  </si>
  <si>
    <t>Instruções de Preenchimento do Modelo de Proposta</t>
  </si>
  <si>
    <t>CONSIDERAÇÕES GERAIS</t>
  </si>
  <si>
    <r>
      <t xml:space="preserve">O cabeçalho deverá ser preenchido somente na </t>
    </r>
    <r>
      <rPr>
        <b/>
        <sz val="8"/>
        <color indexed="10"/>
        <rFont val="Arial"/>
        <family val="2"/>
      </rPr>
      <t>PLANILHA DE ORÇAMENTO SINTÉTICO</t>
    </r>
    <r>
      <rPr>
        <sz val="8"/>
        <rFont val="Arial"/>
        <family val="2"/>
      </rPr>
      <t>, pois será repetido automaticamente nas demais planilhas. Para isso, o mouse deverá ser posicionado sobre a célula que contem a informação, e posteriormente pressionado F2</t>
    </r>
  </si>
  <si>
    <t>Sugerimos a seguinte sequência de preenchimento de planilhas:</t>
  </si>
  <si>
    <t>2.1</t>
  </si>
  <si>
    <r>
      <t xml:space="preserve">Valide os valores constantes na </t>
    </r>
    <r>
      <rPr>
        <b/>
        <sz val="8"/>
        <rFont val="Arial"/>
        <family val="2"/>
      </rPr>
      <t>Planilha de Insumos</t>
    </r>
    <r>
      <rPr>
        <sz val="8"/>
        <rFont val="Arial"/>
        <family val="2"/>
      </rPr>
      <t xml:space="preserve"> </t>
    </r>
    <r>
      <rPr>
        <b/>
        <sz val="8"/>
        <rFont val="Arial"/>
        <family val="2"/>
      </rPr>
      <t>e Serviços</t>
    </r>
    <r>
      <rPr>
        <sz val="8"/>
        <rFont val="Arial"/>
        <family val="2"/>
      </rPr>
      <t>, observando as orientações contidas no edital no tocante aos valores máximos.</t>
    </r>
  </si>
  <si>
    <t>2.2</t>
  </si>
  <si>
    <r>
      <t xml:space="preserve">Valide os coeficientes de participação dos insumos, constantes na </t>
    </r>
    <r>
      <rPr>
        <b/>
        <sz val="8"/>
        <rFont val="Arial"/>
        <family val="2"/>
      </rPr>
      <t>Planilha de Orçamento Analítico</t>
    </r>
    <r>
      <rPr>
        <sz val="8"/>
        <rFont val="Arial"/>
        <family val="2"/>
      </rPr>
      <t>.</t>
    </r>
  </si>
  <si>
    <t>2.3</t>
  </si>
  <si>
    <r>
      <t xml:space="preserve">Preencha os coeficientes relativo à cada item da </t>
    </r>
    <r>
      <rPr>
        <b/>
        <sz val="8"/>
        <rFont val="Arial"/>
        <family val="2"/>
      </rPr>
      <t xml:space="preserve">Planilha de Composição do BDI, </t>
    </r>
    <r>
      <rPr>
        <sz val="8"/>
        <rFont val="Arial"/>
        <family val="2"/>
      </rPr>
      <t>realizando os ajustes que julgar necessário, observando as orientações sobre esta planilha, que estão descritas abaixo;</t>
    </r>
  </si>
  <si>
    <t>2.4</t>
  </si>
  <si>
    <t>2.5</t>
  </si>
  <si>
    <r>
      <t xml:space="preserve">Neste momento o valor final da proposta já será conhecido. Preencha a </t>
    </r>
    <r>
      <rPr>
        <b/>
        <sz val="8"/>
        <rFont val="Arial"/>
        <family val="2"/>
      </rPr>
      <t>Planilha de Composição de Encargos Sociais</t>
    </r>
    <r>
      <rPr>
        <sz val="8"/>
        <rFont val="Arial"/>
        <family val="2"/>
      </rPr>
      <t xml:space="preserve"> com os percentuais de cada item que a compoe.</t>
    </r>
  </si>
  <si>
    <t>SOBRE A PLANILHA DE ORÇAMENTO SINTÉTICO</t>
  </si>
  <si>
    <r>
      <t xml:space="preserve">A Planilha Orçamentária </t>
    </r>
    <r>
      <rPr>
        <b/>
        <u/>
        <sz val="8"/>
        <color indexed="10"/>
        <rFont val="Arial"/>
        <family val="2"/>
      </rPr>
      <t>não</t>
    </r>
    <r>
      <rPr>
        <sz val="8"/>
        <rFont val="Arial"/>
        <family val="2"/>
      </rPr>
      <t xml:space="preserve"> poderá sofrer alterações em sua estrutura (adição ou subtração de serviços, ou mesmo alteração na quantidade dos itens);</t>
    </r>
  </si>
  <si>
    <r>
      <t xml:space="preserve">Os preços unitários desta planilha estão vinculados, por dependência, às demais planilhas (Orçamento Analítico, Insumos e Serviços). Desta forma </t>
    </r>
    <r>
      <rPr>
        <b/>
        <u/>
        <sz val="8"/>
        <color indexed="10"/>
        <rFont val="Arial"/>
        <family val="2"/>
      </rPr>
      <t>NENHUM</t>
    </r>
    <r>
      <rPr>
        <sz val="8"/>
        <rFont val="Arial"/>
        <family val="2"/>
      </rPr>
      <t xml:space="preserve"> valor unitário deverá ser preenchido diretamente nesta planilha;</t>
    </r>
  </si>
  <si>
    <t>SOBRE A PLANILHA DE ORÇAMENTO ANALÍTICO</t>
  </si>
  <si>
    <r>
      <t xml:space="preserve">Esta planilha é referencial, portanto os </t>
    </r>
    <r>
      <rPr>
        <b/>
        <sz val="8"/>
        <rFont val="Arial"/>
        <family val="2"/>
      </rPr>
      <t xml:space="preserve">coeficientes </t>
    </r>
    <r>
      <rPr>
        <sz val="8"/>
        <rFont val="Arial"/>
        <family val="2"/>
      </rPr>
      <t>de participação dos insumos poderão sofrer alterações;</t>
    </r>
  </si>
  <si>
    <t>Esta planilha contem vínculos. Tornando-se dependente dos preços, descrições e unidades constantes tanto na Planilha de Insumos e Serviços quanto na Planilha de Orçamento Sintético;</t>
  </si>
  <si>
    <t>Os valores unitários de serviços compostos nesta planilha, são transportados automaticamente para a Planilha de Orçamento Sintético;</t>
  </si>
  <si>
    <t>SOBRE A PLANILHA DE INSUMOS E SERVIÇOS</t>
  </si>
  <si>
    <t>Esta planilha constitui a base para estruturação dos preços unitários e totais.</t>
  </si>
  <si>
    <t>Valide os valores constantes nesta planilha, observando as orientações contidas no edital no tocante aos valores máximos.</t>
  </si>
  <si>
    <r>
      <t>Os valores unitários deverão ser preenchidos com</t>
    </r>
    <r>
      <rPr>
        <b/>
        <u/>
        <sz val="8"/>
        <color rgb="FFFF0000"/>
        <rFont val="Arial"/>
        <family val="2"/>
      </rPr>
      <t xml:space="preserve"> no máximo duas casas decimais</t>
    </r>
    <r>
      <rPr>
        <sz val="8"/>
        <rFont val="Arial"/>
        <family val="2"/>
      </rPr>
      <t>. Caso opte por aplicar um percentual lde desconto, certifique-se de utilizar fórmula de arredondamento ou truncamento respeitando este limite.</t>
    </r>
  </si>
  <si>
    <r>
      <t xml:space="preserve">Indique a marca e modelo dos itens (quando aplicável). </t>
    </r>
    <r>
      <rPr>
        <b/>
        <u/>
        <sz val="8"/>
        <color indexed="10"/>
        <rFont val="Arial"/>
        <family val="2"/>
      </rPr>
      <t>A não indicação  de marca e ou modelo de referência constitui afronta ao edital, sob pena de desclassificação da proposta.</t>
    </r>
  </si>
  <si>
    <t>D</t>
  </si>
  <si>
    <t>SOBRE A PLANILHA DE COMPOSIÇÃO DE BDI</t>
  </si>
  <si>
    <t>Os itens constantes nesta planilha foram adotados por este Órgão com base no decreto 7.983 de 8 de abril de 2013. Os percentuais são referenciais e foram baseados no Acórdão TCU 2622/2013-Plenário. É de responsabilidade da licitante o preenchimento dos percetuais desta planilha, em conformidade com sua realidade;</t>
  </si>
  <si>
    <t>O percentual aplicável do ISS está vinculado ao percentual de mão de obra informado na Planilha de Composição de Custo Total, e será automaticamente ajustado quando executado a orientação contida em 2.4;</t>
  </si>
  <si>
    <t>D3</t>
  </si>
  <si>
    <t>O valor final da composição do BDI está vinculado, por precedência, à Planilha de Orçamento Sintético.</t>
  </si>
  <si>
    <t>E</t>
  </si>
  <si>
    <t>SOBRE A PLANILHA DE COMPOSIÇÃO DE ENCARGOS SOCIAIS</t>
  </si>
  <si>
    <t>E1</t>
  </si>
  <si>
    <t>Esta planilha é meramente demonstrativa (não influi sobre o valor final do orçamento).</t>
  </si>
  <si>
    <t>F</t>
  </si>
  <si>
    <t>SOBRE O CRONOGRAMA FÍSICO-FINANCEIRO</t>
  </si>
  <si>
    <t>F.1</t>
  </si>
  <si>
    <t>Os itens e valores desta planiha são provenientes da Planilha de Orçamento Sintético;</t>
  </si>
  <si>
    <t>F.2</t>
  </si>
  <si>
    <r>
      <t xml:space="preserve">Os </t>
    </r>
    <r>
      <rPr>
        <b/>
        <sz val="8"/>
        <color rgb="FFFF0000"/>
        <rFont val="Arial"/>
        <family val="2"/>
      </rPr>
      <t>serviços</t>
    </r>
    <r>
      <rPr>
        <sz val="8"/>
        <rFont val="Arial"/>
        <family val="2"/>
      </rPr>
      <t xml:space="preserve"> a serem executados mensalmente, deverão ser informadas na</t>
    </r>
    <r>
      <rPr>
        <b/>
        <sz val="8"/>
        <color rgb="FFFF0000"/>
        <rFont val="Arial"/>
        <family val="2"/>
      </rPr>
      <t xml:space="preserve"> linha do percentual</t>
    </r>
    <r>
      <rPr>
        <sz val="8"/>
        <rFont val="Arial"/>
        <family val="2"/>
      </rPr>
      <t>, e os valores serão preenchidos automaticamente, inclusive nas etapas macro;</t>
    </r>
  </si>
  <si>
    <t>F.3</t>
  </si>
  <si>
    <t>O ajuste final (última etapa) de um determinado item, deverá respeitar a fórmula inserida no último mês do cronograma, transportando-a quando necessário.</t>
  </si>
  <si>
    <t>Classificação</t>
  </si>
  <si>
    <t>P. Execução:</t>
  </si>
  <si>
    <t>Licitação:</t>
  </si>
  <si>
    <t>P. Validade:</t>
  </si>
  <si>
    <t>Razão Social:</t>
  </si>
  <si>
    <t>Telefone:</t>
  </si>
  <si>
    <t>P. Garantia:</t>
  </si>
  <si>
    <t>CNPJ:</t>
  </si>
  <si>
    <t>E-mail:</t>
  </si>
  <si>
    <t>G</t>
  </si>
  <si>
    <r>
      <rPr>
        <b/>
        <sz val="8"/>
        <color indexed="8"/>
        <rFont val="Arial"/>
        <family val="2"/>
      </rPr>
      <t>Local:</t>
    </r>
    <r>
      <rPr>
        <sz val="8"/>
        <color indexed="8"/>
        <rFont val="Arial"/>
        <family val="2"/>
      </rPr>
      <t xml:space="preserve">  SEPN 711/911, Bloco B, Asa Norte, Brasília-DF</t>
    </r>
  </si>
  <si>
    <t>Custo Acumulado</t>
  </si>
  <si>
    <t>Valor Mensal</t>
  </si>
  <si>
    <t>ISS (2% após desconto das mercadorias aplicadas)</t>
  </si>
  <si>
    <t>Discriminação</t>
  </si>
  <si>
    <t>Composição de Encargos Sociais - Horista</t>
  </si>
  <si>
    <t>Marca</t>
  </si>
  <si>
    <t>Modelo</t>
  </si>
  <si>
    <t>************</t>
  </si>
  <si>
    <t>Insumos e Serviços</t>
  </si>
  <si>
    <r>
      <t>Objeto:</t>
    </r>
    <r>
      <rPr>
        <sz val="8"/>
        <color rgb="FF000000"/>
        <rFont val="Arial"/>
        <family val="2"/>
      </rPr>
      <t xml:space="preserve"> Adequações de acessibilidade – área interna - Edifício Infância</t>
    </r>
  </si>
  <si>
    <r>
      <t xml:space="preserve">Preencha o percentual referente à mão-de-obra na célula </t>
    </r>
    <r>
      <rPr>
        <b/>
        <sz val="8"/>
        <color indexed="10"/>
        <rFont val="Arial"/>
        <family val="2"/>
      </rPr>
      <t xml:space="preserve">B2160 </t>
    </r>
    <r>
      <rPr>
        <sz val="8"/>
        <rFont val="Arial"/>
        <family val="2"/>
      </rPr>
      <t xml:space="preserve">da </t>
    </r>
    <r>
      <rPr>
        <b/>
        <sz val="8"/>
        <rFont val="Arial"/>
        <family val="2"/>
      </rPr>
      <t>Planilha de Orçamento Sintético</t>
    </r>
    <r>
      <rPr>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</si>
</sst>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
    <numFmt numFmtId="165" formatCode="0.0000"/>
  </numFmts>
  <fonts count="33" x14ac:knownFonts="1">
    <font>
      <sz val="11"/>
      <name val="Arial"/>
      <family val="1"/>
    </font>
    <font>
      <b/>
      <sz val="10"/>
      <name val="Arial"/>
      <family val="1"/>
    </font>
    <font>
      <sz val="11"/>
      <name val="Arial"/>
      <family val="1"/>
    </font>
    <font>
      <b/>
      <sz val="8"/>
      <name val="Arial"/>
      <family val="1"/>
    </font>
    <font>
      <sz val="8"/>
      <name val="Arial"/>
      <family val="1"/>
    </font>
    <font>
      <b/>
      <sz val="8"/>
      <color rgb="FF000000"/>
      <name val="Arial"/>
      <family val="1"/>
    </font>
    <font>
      <sz val="8"/>
      <color rgb="FF000000"/>
      <name val="Arial"/>
      <family val="1"/>
    </font>
    <font>
      <sz val="8"/>
      <name val="Arial"/>
      <family val="2"/>
    </font>
    <font>
      <b/>
      <sz val="11"/>
      <color indexed="8"/>
      <name val="Arial"/>
      <family val="2"/>
      <charset val="1"/>
    </font>
    <font>
      <sz val="10"/>
      <name val="Arial"/>
      <family val="2"/>
      <charset val="1"/>
    </font>
    <font>
      <sz val="10"/>
      <name val="Arial"/>
      <family val="2"/>
    </font>
    <font>
      <sz val="8"/>
      <color indexed="8"/>
      <name val="Arial"/>
      <family val="2"/>
    </font>
    <font>
      <b/>
      <sz val="11"/>
      <color indexed="8"/>
      <name val="Arial"/>
      <family val="2"/>
    </font>
    <font>
      <sz val="10"/>
      <color indexed="8"/>
      <name val="Arial"/>
      <family val="2"/>
      <charset val="1"/>
    </font>
    <font>
      <sz val="10"/>
      <name val="Tahoma"/>
      <family val="2"/>
    </font>
    <font>
      <b/>
      <sz val="8"/>
      <name val="Arial"/>
      <family val="2"/>
    </font>
    <font>
      <b/>
      <sz val="8"/>
      <name val="Arial"/>
      <family val="2"/>
      <charset val="1"/>
    </font>
    <font>
      <sz val="8"/>
      <name val="Arial"/>
      <family val="2"/>
      <charset val="1"/>
    </font>
    <font>
      <sz val="10"/>
      <name val="Arial"/>
      <family val="1"/>
    </font>
    <font>
      <b/>
      <sz val="8"/>
      <color rgb="FF000000"/>
      <name val="Arial"/>
      <family val="2"/>
    </font>
    <font>
      <b/>
      <sz val="10"/>
      <name val="Arial"/>
      <family val="2"/>
    </font>
    <font>
      <sz val="4"/>
      <name val="Arial"/>
      <family val="2"/>
    </font>
    <font>
      <b/>
      <sz val="8"/>
      <color indexed="8"/>
      <name val="Arial"/>
      <family val="2"/>
    </font>
    <font>
      <b/>
      <sz val="8"/>
      <color indexed="10"/>
      <name val="Arial"/>
      <family val="2"/>
    </font>
    <font>
      <b/>
      <u/>
      <sz val="8"/>
      <color indexed="10"/>
      <name val="Arial"/>
      <family val="2"/>
    </font>
    <font>
      <b/>
      <u/>
      <sz val="8"/>
      <color rgb="FFFF0000"/>
      <name val="Arial"/>
      <family val="2"/>
    </font>
    <font>
      <b/>
      <sz val="8"/>
      <color rgb="FFFF0000"/>
      <name val="Arial"/>
      <family val="2"/>
    </font>
    <font>
      <b/>
      <i/>
      <sz val="8"/>
      <color rgb="FF000000"/>
      <name val="Arial"/>
      <family val="2"/>
    </font>
    <font>
      <sz val="8"/>
      <color rgb="FF000000"/>
      <name val="Arial"/>
      <family val="2"/>
    </font>
    <font>
      <i/>
      <sz val="8"/>
      <color rgb="FF000000"/>
      <name val="Arial"/>
      <family val="2"/>
    </font>
    <font>
      <b/>
      <sz val="11"/>
      <name val="Arial"/>
      <family val="2"/>
    </font>
    <font>
      <sz val="11"/>
      <name val="Arial"/>
      <family val="2"/>
    </font>
    <font>
      <b/>
      <sz val="11"/>
      <name val="Arial"/>
      <family val="1"/>
    </font>
  </fonts>
  <fills count="14">
    <fill>
      <patternFill patternType="none"/>
    </fill>
    <fill>
      <patternFill patternType="gray125"/>
    </fill>
    <fill>
      <patternFill patternType="solid">
        <fgColor rgb="FFEFEFEF"/>
      </patternFill>
    </fill>
    <fill>
      <patternFill patternType="solid">
        <fgColor rgb="FFFFFFFF"/>
      </patternFill>
    </fill>
    <fill>
      <patternFill patternType="solid">
        <fgColor rgb="FFFFFF0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
      <patternFill patternType="solid">
        <fgColor rgb="FFD8ECF6"/>
      </patternFill>
    </fill>
    <fill>
      <patternFill patternType="solid">
        <fgColor rgb="FFD8ECF6"/>
        <bgColor indexed="64"/>
      </patternFill>
    </fill>
    <fill>
      <patternFill patternType="solid">
        <fgColor theme="0" tint="-0.14996795556505021"/>
        <bgColor indexed="64"/>
      </patternFill>
    </fill>
    <fill>
      <patternFill patternType="solid">
        <fgColor rgb="FFDAEEF3"/>
        <bgColor indexed="64"/>
      </patternFill>
    </fill>
  </fills>
  <borders count="41">
    <border>
      <left/>
      <right/>
      <top/>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bottom/>
      <diagonal/>
    </border>
    <border>
      <left/>
      <right/>
      <top style="thin">
        <color indexed="64"/>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right/>
      <top style="thin">
        <color rgb="FFCCCCCC"/>
      </top>
      <bottom style="thin">
        <color rgb="FFCCCCCC"/>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8"/>
      </right>
      <top style="thin">
        <color indexed="64"/>
      </top>
      <bottom/>
      <diagonal/>
    </border>
    <border>
      <left style="thin">
        <color rgb="FFCCCCCC"/>
      </left>
      <right style="thin">
        <color rgb="FFCCCCCC"/>
      </right>
      <top style="thin">
        <color rgb="FFCCCCCC"/>
      </top>
      <bottom/>
      <diagonal/>
    </border>
    <border>
      <left style="thin">
        <color rgb="FFCCCCCC"/>
      </left>
      <right style="thin">
        <color rgb="FFCCCCCC"/>
      </right>
      <top/>
      <bottom style="thin">
        <color rgb="FFCCCCCC"/>
      </bottom>
      <diagonal/>
    </border>
    <border>
      <left style="thin">
        <color indexed="8"/>
      </left>
      <right/>
      <top style="thin">
        <color indexed="64"/>
      </top>
      <bottom/>
      <diagonal/>
    </border>
    <border>
      <left/>
      <right/>
      <top style="thin">
        <color rgb="FFCCCCCC"/>
      </top>
      <bottom/>
      <diagonal/>
    </border>
    <border>
      <left/>
      <right/>
      <top/>
      <bottom style="thin">
        <color rgb="FFCCCCCC"/>
      </bottom>
      <diagonal/>
    </border>
  </borders>
  <cellStyleXfs count="10">
    <xf numFmtId="0" fontId="0" fillId="0" borderId="0"/>
    <xf numFmtId="9" fontId="2" fillId="0" borderId="0" applyFont="0" applyFill="0" applyBorder="0" applyAlignment="0" applyProtection="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43" fontId="2" fillId="0" borderId="0" applyFont="0" applyFill="0" applyBorder="0" applyAlignment="0" applyProtection="0"/>
  </cellStyleXfs>
  <cellXfs count="322">
    <xf numFmtId="0" fontId="0" fillId="0" borderId="0" xfId="0"/>
    <xf numFmtId="0" fontId="4" fillId="0" borderId="0" xfId="0" applyFont="1"/>
    <xf numFmtId="0" fontId="4" fillId="0" borderId="0" xfId="0" applyFont="1"/>
    <xf numFmtId="4" fontId="5" fillId="4" borderId="8" xfId="0" applyNumberFormat="1" applyFont="1" applyFill="1" applyBorder="1" applyAlignment="1">
      <alignment horizontal="right" vertical="top" wrapText="1"/>
    </xf>
    <xf numFmtId="0" fontId="4" fillId="0" borderId="8" xfId="0" applyFont="1" applyBorder="1" applyAlignment="1">
      <alignment horizontal="left" vertical="top" wrapText="1"/>
    </xf>
    <xf numFmtId="0" fontId="4" fillId="0" borderId="8" xfId="0" applyFont="1" applyBorder="1" applyAlignment="1">
      <alignment horizontal="center" vertical="top" wrapText="1"/>
    </xf>
    <xf numFmtId="0" fontId="9" fillId="0" borderId="0" xfId="0" applyFont="1"/>
    <xf numFmtId="0" fontId="1" fillId="7" borderId="8" xfId="0" applyFont="1" applyFill="1" applyBorder="1" applyAlignment="1">
      <alignment horizontal="center" vertical="top" wrapText="1"/>
    </xf>
    <xf numFmtId="0" fontId="4" fillId="0" borderId="24" xfId="0" applyFont="1" applyBorder="1" applyAlignment="1">
      <alignment vertical="top"/>
    </xf>
    <xf numFmtId="0" fontId="4" fillId="0" borderId="25" xfId="0" applyFont="1" applyBorder="1" applyAlignment="1">
      <alignment vertical="top"/>
    </xf>
    <xf numFmtId="10" fontId="4" fillId="0" borderId="8" xfId="1" applyNumberFormat="1" applyFont="1" applyFill="1" applyBorder="1" applyAlignment="1">
      <alignment horizontal="center" vertical="top" wrapText="1"/>
    </xf>
    <xf numFmtId="0" fontId="13" fillId="0" borderId="0" xfId="2" applyFont="1"/>
    <xf numFmtId="0" fontId="9" fillId="0" borderId="0" xfId="3" applyFont="1"/>
    <xf numFmtId="0" fontId="7" fillId="0" borderId="8" xfId="0" applyFont="1" applyBorder="1" applyAlignment="1">
      <alignment horizontal="center" vertical="top" wrapText="1"/>
    </xf>
    <xf numFmtId="0" fontId="7" fillId="0" borderId="24" xfId="0" applyFont="1" applyBorder="1" applyAlignment="1">
      <alignment vertical="top"/>
    </xf>
    <xf numFmtId="0" fontId="7" fillId="0" borderId="25" xfId="0" applyFont="1" applyBorder="1" applyAlignment="1">
      <alignment vertical="top"/>
    </xf>
    <xf numFmtId="10" fontId="7" fillId="0" borderId="8" xfId="1" applyNumberFormat="1" applyFont="1" applyFill="1" applyBorder="1" applyAlignment="1">
      <alignment horizontal="center" vertical="top" wrapText="1"/>
    </xf>
    <xf numFmtId="0" fontId="15" fillId="0" borderId="8" xfId="0" applyFont="1" applyBorder="1" applyAlignment="1">
      <alignment horizontal="center" vertical="top" wrapText="1"/>
    </xf>
    <xf numFmtId="0" fontId="15" fillId="0" borderId="24" xfId="0" applyFont="1" applyBorder="1" applyAlignment="1">
      <alignment vertical="top"/>
    </xf>
    <xf numFmtId="0" fontId="15" fillId="0" borderId="25" xfId="0" applyFont="1" applyBorder="1" applyAlignment="1">
      <alignment vertical="top"/>
    </xf>
    <xf numFmtId="10" fontId="15" fillId="0" borderId="8" xfId="1" applyNumberFormat="1" applyFont="1" applyFill="1" applyBorder="1" applyAlignment="1">
      <alignment horizontal="center" vertical="top" wrapText="1"/>
    </xf>
    <xf numFmtId="0" fontId="17" fillId="0" borderId="8" xfId="0" applyFont="1" applyBorder="1" applyAlignment="1">
      <alignment horizontal="center" vertical="top" wrapText="1"/>
    </xf>
    <xf numFmtId="0" fontId="17" fillId="0" borderId="24" xfId="0" applyFont="1" applyBorder="1" applyAlignment="1">
      <alignment vertical="top"/>
    </xf>
    <xf numFmtId="0" fontId="17" fillId="0" borderId="25" xfId="0" applyFont="1" applyBorder="1" applyAlignment="1">
      <alignment vertical="top"/>
    </xf>
    <xf numFmtId="0" fontId="16" fillId="0" borderId="8" xfId="0" applyFont="1" applyBorder="1" applyAlignment="1">
      <alignment horizontal="center" vertical="top" wrapText="1"/>
    </xf>
    <xf numFmtId="0" fontId="16" fillId="0" borderId="24" xfId="0" applyFont="1" applyBorder="1" applyAlignment="1">
      <alignment vertical="top"/>
    </xf>
    <xf numFmtId="0" fontId="16" fillId="0" borderId="25" xfId="0" applyFont="1" applyBorder="1" applyAlignment="1">
      <alignment vertical="top"/>
    </xf>
    <xf numFmtId="10" fontId="17" fillId="0" borderId="8" xfId="1" applyNumberFormat="1" applyFont="1" applyFill="1" applyBorder="1" applyAlignment="1">
      <alignment horizontal="center" vertical="top" wrapText="1"/>
    </xf>
    <xf numFmtId="10" fontId="16" fillId="0" borderId="8" xfId="1" applyNumberFormat="1" applyFont="1" applyFill="1" applyBorder="1" applyAlignment="1">
      <alignment horizontal="center" vertical="top" wrapText="1"/>
    </xf>
    <xf numFmtId="0" fontId="0" fillId="0" borderId="0" xfId="3" applyFont="1"/>
    <xf numFmtId="0" fontId="0" fillId="0" borderId="0" xfId="3" applyFont="1" applyAlignment="1">
      <alignment wrapText="1"/>
    </xf>
    <xf numFmtId="0" fontId="0" fillId="0" borderId="0" xfId="3" applyFont="1" applyAlignment="1">
      <alignment horizontal="center"/>
    </xf>
    <xf numFmtId="0" fontId="10" fillId="0" borderId="0" xfId="3"/>
    <xf numFmtId="0" fontId="18" fillId="3" borderId="0" xfId="0" applyFont="1" applyFill="1" applyAlignment="1">
      <alignment horizontal="center" vertical="top" wrapText="1"/>
    </xf>
    <xf numFmtId="4" fontId="18" fillId="3" borderId="0" xfId="0" applyNumberFormat="1" applyFont="1" applyFill="1" applyAlignment="1">
      <alignment horizontal="center" vertical="top" wrapText="1"/>
    </xf>
    <xf numFmtId="4" fontId="4" fillId="0" borderId="0" xfId="0" applyNumberFormat="1" applyFont="1"/>
    <xf numFmtId="0" fontId="21" fillId="0" borderId="11" xfId="6" applyFont="1" applyBorder="1"/>
    <xf numFmtId="0" fontId="21" fillId="0" borderId="10" xfId="6" applyFont="1" applyBorder="1"/>
    <xf numFmtId="0" fontId="15" fillId="4" borderId="29" xfId="6" applyFont="1" applyFill="1" applyBorder="1" applyAlignment="1">
      <alignment horizontal="center"/>
    </xf>
    <xf numFmtId="0" fontId="22" fillId="4" borderId="30" xfId="7" applyFont="1" applyFill="1" applyBorder="1" applyAlignment="1">
      <alignment vertical="distributed" wrapText="1"/>
    </xf>
    <xf numFmtId="0" fontId="7" fillId="0" borderId="31" xfId="6" applyFont="1" applyBorder="1" applyAlignment="1">
      <alignment horizontal="center"/>
    </xf>
    <xf numFmtId="0" fontId="7" fillId="0" borderId="32" xfId="6" applyFont="1" applyBorder="1" applyAlignment="1">
      <alignment horizontal="justify" vertical="distributed" wrapText="1"/>
    </xf>
    <xf numFmtId="0" fontId="7" fillId="0" borderId="33" xfId="6" applyFont="1" applyBorder="1" applyAlignment="1">
      <alignment horizontal="center"/>
    </xf>
    <xf numFmtId="0" fontId="7" fillId="0" borderId="34" xfId="6" applyFont="1" applyBorder="1" applyAlignment="1">
      <alignment horizontal="justify" vertical="distributed" wrapText="1"/>
    </xf>
    <xf numFmtId="0" fontId="10" fillId="0" borderId="16" xfId="6" applyBorder="1"/>
    <xf numFmtId="0" fontId="10" fillId="0" borderId="17" xfId="6" applyBorder="1"/>
    <xf numFmtId="0" fontId="15" fillId="4" borderId="31" xfId="6" applyFont="1" applyFill="1" applyBorder="1" applyAlignment="1">
      <alignment horizontal="center"/>
    </xf>
    <xf numFmtId="0" fontId="22" fillId="4" borderId="32" xfId="7" applyFont="1" applyFill="1" applyBorder="1" applyAlignment="1">
      <alignment vertical="distributed" wrapText="1"/>
    </xf>
    <xf numFmtId="0" fontId="15" fillId="4" borderId="31" xfId="0" applyFont="1" applyFill="1" applyBorder="1" applyAlignment="1">
      <alignment horizontal="center"/>
    </xf>
    <xf numFmtId="0" fontId="22" fillId="4" borderId="32" xfId="4" applyFont="1" applyFill="1" applyBorder="1" applyAlignment="1">
      <alignment vertical="distributed" wrapText="1"/>
    </xf>
    <xf numFmtId="0" fontId="7" fillId="0" borderId="31" xfId="0" applyFont="1" applyBorder="1" applyAlignment="1">
      <alignment horizontal="center"/>
    </xf>
    <xf numFmtId="0" fontId="7" fillId="0" borderId="32" xfId="0" applyFont="1" applyBorder="1" applyAlignment="1">
      <alignment horizontal="justify" vertical="distributed" wrapText="1"/>
    </xf>
    <xf numFmtId="0" fontId="7" fillId="0" borderId="33" xfId="0" applyFont="1" applyBorder="1" applyAlignment="1">
      <alignment horizontal="center"/>
    </xf>
    <xf numFmtId="0" fontId="7" fillId="0" borderId="34" xfId="0" applyFont="1" applyBorder="1" applyAlignment="1">
      <alignment horizontal="justify" vertical="distributed" wrapText="1"/>
    </xf>
    <xf numFmtId="0" fontId="3" fillId="9" borderId="8" xfId="0" applyFont="1" applyFill="1" applyBorder="1" applyAlignment="1">
      <alignment horizontal="center" vertical="center" wrapText="1"/>
    </xf>
    <xf numFmtId="0" fontId="3" fillId="9" borderId="8" xfId="0" applyFont="1" applyFill="1" applyBorder="1" applyAlignment="1">
      <alignment horizontal="justify" vertical="center" wrapText="1"/>
    </xf>
    <xf numFmtId="0" fontId="11" fillId="0" borderId="11" xfId="8" applyFont="1" applyBorder="1" applyAlignment="1">
      <alignment horizontal="left" vertical="center"/>
    </xf>
    <xf numFmtId="0" fontId="11" fillId="0" borderId="35" xfId="8" applyFont="1" applyBorder="1" applyAlignment="1">
      <alignment horizontal="left" vertical="center"/>
    </xf>
    <xf numFmtId="0" fontId="11" fillId="0" borderId="9" xfId="8" applyFont="1" applyBorder="1" applyAlignment="1">
      <alignment horizontal="left" vertical="center"/>
    </xf>
    <xf numFmtId="0" fontId="11" fillId="0" borderId="9" xfId="0" applyFont="1" applyBorder="1" applyAlignment="1">
      <alignment vertical="center"/>
    </xf>
    <xf numFmtId="4" fontId="7" fillId="0" borderId="12" xfId="0" applyNumberFormat="1" applyFont="1" applyBorder="1" applyAlignment="1">
      <alignment vertical="center"/>
    </xf>
    <xf numFmtId="0" fontId="0" fillId="0" borderId="0" xfId="0" applyAlignment="1">
      <alignment vertical="center"/>
    </xf>
    <xf numFmtId="0" fontId="22" fillId="0" borderId="13" xfId="0" applyFont="1" applyBorder="1" applyAlignment="1">
      <alignment horizontal="center" vertical="center"/>
    </xf>
    <xf numFmtId="0" fontId="11" fillId="0" borderId="13" xfId="0" applyFont="1" applyBorder="1" applyAlignment="1">
      <alignment vertical="center"/>
    </xf>
    <xf numFmtId="0" fontId="7" fillId="0" borderId="16" xfId="4" applyFont="1" applyBorder="1" applyAlignment="1">
      <alignment horizontal="left" vertical="center"/>
    </xf>
    <xf numFmtId="0" fontId="11" fillId="0" borderId="17" xfId="8" applyFont="1" applyBorder="1" applyAlignment="1">
      <alignment horizontal="left" vertical="center"/>
    </xf>
    <xf numFmtId="0" fontId="7" fillId="0" borderId="11" xfId="4" applyFont="1" applyBorder="1" applyAlignment="1">
      <alignment horizontal="left" vertical="center"/>
    </xf>
    <xf numFmtId="17" fontId="11" fillId="0" borderId="11" xfId="8" applyNumberFormat="1" applyFont="1" applyBorder="1" applyAlignment="1">
      <alignment horizontal="left" vertical="center"/>
    </xf>
    <xf numFmtId="0" fontId="22" fillId="0" borderId="15" xfId="8" applyFont="1" applyBorder="1" applyAlignment="1">
      <alignment horizontal="center" vertical="center"/>
    </xf>
    <xf numFmtId="14" fontId="22" fillId="0" borderId="13" xfId="8" applyNumberFormat="1" applyFont="1" applyBorder="1" applyAlignment="1">
      <alignment horizontal="center" vertical="center"/>
    </xf>
    <xf numFmtId="0" fontId="22" fillId="0" borderId="9" xfId="0" applyFont="1" applyBorder="1" applyAlignment="1">
      <alignment vertical="center"/>
    </xf>
    <xf numFmtId="0" fontId="22" fillId="0" borderId="15" xfId="4" applyFont="1" applyBorder="1" applyAlignment="1">
      <alignment vertical="center"/>
    </xf>
    <xf numFmtId="0" fontId="22" fillId="0" borderId="9" xfId="4" applyFont="1" applyBorder="1" applyAlignment="1">
      <alignment vertical="center"/>
    </xf>
    <xf numFmtId="0" fontId="22" fillId="0" borderId="22" xfId="4" applyFont="1" applyBorder="1" applyAlignment="1">
      <alignment vertical="center"/>
    </xf>
    <xf numFmtId="0" fontId="7" fillId="0" borderId="22" xfId="4" applyFont="1" applyBorder="1" applyAlignment="1">
      <alignment horizontal="left" vertical="center"/>
    </xf>
    <xf numFmtId="0" fontId="22" fillId="0" borderId="13" xfId="4" applyFont="1" applyBorder="1" applyAlignment="1">
      <alignment vertical="center"/>
    </xf>
    <xf numFmtId="0" fontId="22" fillId="0" borderId="15" xfId="8" applyFont="1" applyBorder="1" applyAlignment="1">
      <alignment vertical="center"/>
    </xf>
    <xf numFmtId="17" fontId="11" fillId="0" borderId="11" xfId="8" applyNumberFormat="1" applyFont="1" applyBorder="1" applyAlignment="1">
      <alignment vertical="center"/>
    </xf>
    <xf numFmtId="10" fontId="27" fillId="4" borderId="36" xfId="1" applyNumberFormat="1" applyFont="1" applyFill="1" applyBorder="1" applyAlignment="1">
      <alignment horizontal="right" vertical="top" wrapText="1"/>
    </xf>
    <xf numFmtId="10" fontId="27" fillId="10" borderId="36" xfId="1" applyNumberFormat="1" applyFont="1" applyFill="1" applyBorder="1" applyAlignment="1">
      <alignment horizontal="right" vertical="top" wrapText="1"/>
    </xf>
    <xf numFmtId="10" fontId="27" fillId="9" borderId="36" xfId="1" applyNumberFormat="1" applyFont="1" applyFill="1" applyBorder="1" applyAlignment="1">
      <alignment horizontal="right" vertical="top" wrapText="1"/>
    </xf>
    <xf numFmtId="0" fontId="22" fillId="0" borderId="15" xfId="8" applyFont="1" applyBorder="1" applyAlignment="1">
      <alignment horizontal="center" vertical="center"/>
    </xf>
    <xf numFmtId="0" fontId="5" fillId="4" borderId="24" xfId="0" applyFont="1" applyFill="1" applyBorder="1" applyAlignment="1">
      <alignment horizontal="left" vertical="top" wrapText="1"/>
    </xf>
    <xf numFmtId="0" fontId="20" fillId="0" borderId="0" xfId="0" applyFont="1"/>
    <xf numFmtId="17" fontId="11" fillId="0" borderId="11" xfId="8" applyNumberFormat="1" applyFont="1" applyBorder="1" applyAlignment="1">
      <alignment horizontal="left" vertical="center"/>
    </xf>
    <xf numFmtId="17" fontId="11" fillId="0" borderId="12" xfId="8" applyNumberFormat="1" applyFont="1" applyBorder="1" applyAlignment="1">
      <alignment horizontal="left" vertical="center"/>
    </xf>
    <xf numFmtId="0" fontId="11" fillId="0" borderId="11" xfId="8" applyFont="1" applyBorder="1" applyAlignment="1">
      <alignment horizontal="left" vertical="center"/>
    </xf>
    <xf numFmtId="0" fontId="11" fillId="0" borderId="12" xfId="8" applyFont="1" applyBorder="1" applyAlignment="1">
      <alignment horizontal="left" vertical="center"/>
    </xf>
    <xf numFmtId="0" fontId="11" fillId="0" borderId="10" xfId="8" applyFont="1" applyBorder="1" applyAlignment="1">
      <alignment horizontal="left" vertical="center"/>
    </xf>
    <xf numFmtId="43" fontId="28" fillId="0" borderId="37" xfId="9" applyFont="1" applyFill="1" applyBorder="1" applyAlignment="1">
      <alignment horizontal="right" vertical="top" wrapText="1"/>
    </xf>
    <xf numFmtId="43" fontId="19" fillId="9" borderId="37" xfId="9" applyFont="1" applyFill="1" applyBorder="1" applyAlignment="1">
      <alignment horizontal="right" vertical="top" wrapText="1"/>
    </xf>
    <xf numFmtId="10" fontId="29" fillId="0" borderId="36" xfId="1" applyNumberFormat="1" applyFont="1" applyFill="1" applyBorder="1" applyAlignment="1">
      <alignment horizontal="right" vertical="top" wrapText="1"/>
    </xf>
    <xf numFmtId="43" fontId="15" fillId="3" borderId="0" xfId="9" applyFont="1" applyFill="1" applyAlignment="1">
      <alignment horizontal="right" vertical="top" wrapText="1"/>
    </xf>
    <xf numFmtId="43" fontId="19" fillId="10" borderId="8" xfId="9" applyFont="1" applyFill="1" applyBorder="1" applyAlignment="1">
      <alignment horizontal="right" vertical="top" wrapText="1"/>
    </xf>
    <xf numFmtId="0" fontId="19" fillId="10" borderId="24" xfId="0" applyFont="1" applyFill="1" applyBorder="1" applyAlignment="1">
      <alignment horizontal="left" vertical="top" wrapText="1"/>
    </xf>
    <xf numFmtId="0" fontId="19" fillId="10" borderId="25" xfId="0" applyFont="1" applyFill="1" applyBorder="1" applyAlignment="1">
      <alignment horizontal="right" vertical="top" wrapText="1"/>
    </xf>
    <xf numFmtId="0" fontId="19" fillId="10" borderId="8" xfId="0" applyFont="1" applyFill="1" applyBorder="1" applyAlignment="1">
      <alignment horizontal="right" vertical="top" wrapText="1"/>
    </xf>
    <xf numFmtId="14" fontId="22" fillId="0" borderId="15" xfId="8" applyNumberFormat="1" applyFont="1" applyBorder="1" applyAlignment="1">
      <alignment horizontal="center" vertical="center"/>
    </xf>
    <xf numFmtId="164" fontId="5" fillId="4" borderId="8" xfId="0" applyNumberFormat="1" applyFont="1" applyFill="1" applyBorder="1" applyAlignment="1">
      <alignment horizontal="right" vertical="top" wrapText="1"/>
    </xf>
    <xf numFmtId="0" fontId="3" fillId="7" borderId="0" xfId="0" applyFont="1" applyFill="1" applyAlignment="1">
      <alignment horizontal="right" vertical="top" wrapText="1"/>
    </xf>
    <xf numFmtId="43" fontId="15" fillId="7" borderId="0" xfId="9" applyFont="1" applyFill="1" applyAlignment="1">
      <alignment vertical="top" wrapText="1"/>
    </xf>
    <xf numFmtId="43" fontId="15" fillId="7" borderId="0" xfId="9" applyFont="1" applyFill="1" applyAlignment="1">
      <alignment horizontal="center" vertical="top" wrapText="1"/>
    </xf>
    <xf numFmtId="0" fontId="15" fillId="4" borderId="24" xfId="5" applyFont="1" applyFill="1" applyBorder="1" applyAlignment="1">
      <alignment horizontal="center" vertical="distributed" wrapText="1"/>
    </xf>
    <xf numFmtId="10" fontId="16" fillId="4" borderId="25" xfId="1" applyNumberFormat="1" applyFont="1" applyFill="1" applyBorder="1" applyAlignment="1">
      <alignment horizontal="center" vertical="distributed" wrapText="1"/>
    </xf>
    <xf numFmtId="0" fontId="15" fillId="11" borderId="24" xfId="5" applyFont="1" applyFill="1" applyBorder="1" applyAlignment="1">
      <alignment horizontal="center" vertical="distributed" wrapText="1"/>
    </xf>
    <xf numFmtId="10" fontId="16" fillId="11" borderId="25" xfId="1" applyNumberFormat="1" applyFont="1" applyFill="1" applyBorder="1" applyAlignment="1">
      <alignment horizontal="center" vertical="distributed" wrapText="1"/>
    </xf>
    <xf numFmtId="0" fontId="15" fillId="12" borderId="24" xfId="5" applyFont="1" applyFill="1" applyBorder="1" applyAlignment="1">
      <alignment horizontal="center" vertical="distributed" wrapText="1"/>
    </xf>
    <xf numFmtId="10" fontId="16" fillId="12" borderId="25" xfId="1" applyNumberFormat="1" applyFont="1" applyFill="1" applyBorder="1" applyAlignment="1">
      <alignment horizontal="center" vertical="distributed" wrapText="1"/>
    </xf>
    <xf numFmtId="0" fontId="20" fillId="7" borderId="8" xfId="0" applyFont="1" applyFill="1" applyBorder="1" applyAlignment="1">
      <alignment horizontal="center" vertical="top" wrapText="1"/>
    </xf>
    <xf numFmtId="0" fontId="4" fillId="0" borderId="8" xfId="0" applyFont="1" applyBorder="1" applyAlignment="1">
      <alignment horizontal="center" vertical="center" wrapText="1"/>
    </xf>
    <xf numFmtId="0" fontId="31" fillId="0" borderId="0" xfId="0" applyFont="1"/>
    <xf numFmtId="0" fontId="30" fillId="0" borderId="0" xfId="0" applyFont="1" applyAlignment="1">
      <alignment horizontal="center"/>
    </xf>
    <xf numFmtId="0" fontId="31" fillId="0" borderId="0" xfId="0" applyNumberFormat="1" applyFont="1"/>
    <xf numFmtId="0" fontId="6" fillId="0" borderId="8" xfId="0" applyFont="1" applyBorder="1" applyAlignment="1">
      <alignment horizontal="center" vertical="center" wrapText="1"/>
    </xf>
    <xf numFmtId="0" fontId="6" fillId="0" borderId="8" xfId="0" applyFont="1" applyBorder="1" applyAlignment="1">
      <alignment horizontal="justify" vertical="center" wrapText="1"/>
    </xf>
    <xf numFmtId="4" fontId="6" fillId="0" borderId="8" xfId="0" applyNumberFormat="1" applyFont="1" applyBorder="1" applyAlignment="1">
      <alignment horizontal="right" vertical="center" wrapText="1"/>
    </xf>
    <xf numFmtId="0" fontId="31" fillId="0" borderId="0" xfId="0" applyFont="1" applyAlignment="1">
      <alignment vertical="center"/>
    </xf>
    <xf numFmtId="0" fontId="31" fillId="0" borderId="0" xfId="0" applyFont="1" applyFill="1"/>
    <xf numFmtId="0" fontId="31" fillId="0" borderId="0" xfId="0" applyFont="1" applyFill="1" applyAlignment="1">
      <alignment horizontal="center"/>
    </xf>
    <xf numFmtId="0" fontId="30" fillId="0" borderId="0" xfId="0" applyFont="1" applyFill="1" applyAlignment="1">
      <alignment horizontal="center" vertical="top" wrapText="1"/>
    </xf>
    <xf numFmtId="0" fontId="30" fillId="0" borderId="0" xfId="0" applyNumberFormat="1" applyFont="1" applyFill="1" applyAlignment="1">
      <alignment horizontal="center" vertical="top" wrapText="1"/>
    </xf>
    <xf numFmtId="0" fontId="30" fillId="0" borderId="0" xfId="0" applyFont="1" applyFill="1" applyAlignment="1">
      <alignment horizontal="justify" vertical="top" wrapText="1"/>
    </xf>
    <xf numFmtId="4" fontId="30" fillId="0" borderId="0" xfId="0" applyNumberFormat="1" applyFont="1" applyFill="1" applyAlignment="1">
      <alignment horizontal="center" vertical="top" wrapText="1"/>
    </xf>
    <xf numFmtId="0" fontId="31" fillId="0" borderId="0" xfId="0" applyNumberFormat="1" applyFont="1" applyFill="1"/>
    <xf numFmtId="0" fontId="31" fillId="0" borderId="0" xfId="0" applyFont="1" applyFill="1" applyAlignment="1">
      <alignment horizontal="justify" wrapText="1"/>
    </xf>
    <xf numFmtId="4" fontId="31" fillId="0" borderId="0" xfId="0" applyNumberFormat="1" applyFont="1" applyFill="1"/>
    <xf numFmtId="0" fontId="20" fillId="6" borderId="1" xfId="0" applyFont="1" applyFill="1" applyBorder="1" applyAlignment="1">
      <alignment horizontal="center" vertical="top" wrapText="1"/>
    </xf>
    <xf numFmtId="0" fontId="20" fillId="6" borderId="3" xfId="0" applyNumberFormat="1" applyFont="1" applyFill="1" applyBorder="1" applyAlignment="1">
      <alignment horizontal="center" vertical="top" wrapText="1"/>
    </xf>
    <xf numFmtId="0" fontId="20" fillId="6" borderId="2" xfId="0" applyFont="1" applyFill="1" applyBorder="1" applyAlignment="1">
      <alignment horizontal="center" vertical="top" wrapText="1"/>
    </xf>
    <xf numFmtId="4" fontId="20" fillId="6" borderId="3" xfId="0" applyNumberFormat="1" applyFont="1" applyFill="1" applyBorder="1" applyAlignment="1">
      <alignment horizontal="center" vertical="top" wrapText="1"/>
    </xf>
    <xf numFmtId="0" fontId="20" fillId="6" borderId="3" xfId="0" applyFont="1" applyFill="1" applyBorder="1" applyAlignment="1">
      <alignment horizontal="center" vertical="top" wrapText="1"/>
    </xf>
    <xf numFmtId="0" fontId="19" fillId="4" borderId="4" xfId="0" applyFont="1" applyFill="1" applyBorder="1" applyAlignment="1">
      <alignment horizontal="left" vertical="top" wrapText="1"/>
    </xf>
    <xf numFmtId="0" fontId="19" fillId="4" borderId="4" xfId="0" applyNumberFormat="1" applyFont="1" applyFill="1" applyBorder="1" applyAlignment="1">
      <alignment horizontal="left" vertical="top" wrapText="1"/>
    </xf>
    <xf numFmtId="0" fontId="19" fillId="4" borderId="4" xfId="0" applyFont="1" applyFill="1" applyBorder="1" applyAlignment="1">
      <alignment horizontal="justify" vertical="top" wrapText="1"/>
    </xf>
    <xf numFmtId="0" fontId="19" fillId="4" borderId="4" xfId="0" applyFont="1" applyFill="1" applyBorder="1" applyAlignment="1">
      <alignment horizontal="center" vertical="top" wrapText="1"/>
    </xf>
    <xf numFmtId="4" fontId="19" fillId="4" borderId="5" xfId="0" applyNumberFormat="1" applyFont="1" applyFill="1" applyBorder="1" applyAlignment="1">
      <alignment horizontal="right" vertical="top" wrapText="1"/>
    </xf>
    <xf numFmtId="4" fontId="19" fillId="4" borderId="4" xfId="0" applyNumberFormat="1" applyFont="1" applyFill="1" applyBorder="1" applyAlignment="1">
      <alignment horizontal="left" vertical="top" wrapText="1"/>
    </xf>
    <xf numFmtId="4" fontId="19" fillId="4" borderId="6" xfId="0" applyNumberFormat="1" applyFont="1" applyFill="1" applyBorder="1" applyAlignment="1">
      <alignment horizontal="right" vertical="top" wrapText="1"/>
    </xf>
    <xf numFmtId="0" fontId="19" fillId="5" borderId="4" xfId="0" applyFont="1" applyFill="1" applyBorder="1" applyAlignment="1">
      <alignment horizontal="left" vertical="top" wrapText="1"/>
    </xf>
    <xf numFmtId="0" fontId="19" fillId="5" borderId="4" xfId="0" applyNumberFormat="1" applyFont="1" applyFill="1" applyBorder="1" applyAlignment="1">
      <alignment horizontal="left" vertical="top" wrapText="1"/>
    </xf>
    <xf numFmtId="0" fontId="19" fillId="5" borderId="4" xfId="0" applyFont="1" applyFill="1" applyBorder="1" applyAlignment="1">
      <alignment horizontal="justify" vertical="top" wrapText="1"/>
    </xf>
    <xf numFmtId="0" fontId="19" fillId="5" borderId="4" xfId="0" applyFont="1" applyFill="1" applyBorder="1" applyAlignment="1">
      <alignment horizontal="center" vertical="top" wrapText="1"/>
    </xf>
    <xf numFmtId="4" fontId="19" fillId="5" borderId="5" xfId="0" applyNumberFormat="1" applyFont="1" applyFill="1" applyBorder="1" applyAlignment="1">
      <alignment horizontal="right" vertical="top" wrapText="1"/>
    </xf>
    <xf numFmtId="4" fontId="19" fillId="5" borderId="4" xfId="0" applyNumberFormat="1" applyFont="1" applyFill="1" applyBorder="1" applyAlignment="1">
      <alignment horizontal="left" vertical="top" wrapText="1"/>
    </xf>
    <xf numFmtId="4" fontId="19" fillId="5" borderId="6" xfId="0" applyNumberFormat="1" applyFont="1" applyFill="1" applyBorder="1" applyAlignment="1">
      <alignment horizontal="right" vertical="top" wrapText="1"/>
    </xf>
    <xf numFmtId="0" fontId="28" fillId="0" borderId="7" xfId="0" applyFont="1" applyFill="1" applyBorder="1" applyAlignment="1">
      <alignment horizontal="justify" vertical="top" wrapText="1"/>
    </xf>
    <xf numFmtId="0" fontId="19" fillId="0" borderId="4" xfId="0" applyFont="1" applyFill="1" applyBorder="1" applyAlignment="1">
      <alignment horizontal="left" vertical="top" wrapText="1"/>
    </xf>
    <xf numFmtId="0" fontId="19" fillId="0" borderId="4" xfId="0" applyNumberFormat="1" applyFont="1" applyFill="1" applyBorder="1" applyAlignment="1">
      <alignment horizontal="left" vertical="top" wrapText="1"/>
    </xf>
    <xf numFmtId="0" fontId="19" fillId="0" borderId="4" xfId="0" applyFont="1" applyFill="1" applyBorder="1" applyAlignment="1">
      <alignment horizontal="justify" vertical="top" wrapText="1"/>
    </xf>
    <xf numFmtId="0" fontId="19" fillId="0" borderId="4" xfId="0" applyFont="1" applyFill="1" applyBorder="1" applyAlignment="1">
      <alignment horizontal="center" vertical="top" wrapText="1"/>
    </xf>
    <xf numFmtId="4" fontId="19" fillId="0" borderId="5" xfId="0" applyNumberFormat="1" applyFont="1" applyFill="1" applyBorder="1" applyAlignment="1">
      <alignment horizontal="right" vertical="top" wrapText="1"/>
    </xf>
    <xf numFmtId="4" fontId="19" fillId="0" borderId="4" xfId="0" applyNumberFormat="1" applyFont="1" applyFill="1" applyBorder="1" applyAlignment="1">
      <alignment horizontal="left" vertical="top" wrapText="1"/>
    </xf>
    <xf numFmtId="4" fontId="19" fillId="0" borderId="6" xfId="0" applyNumberFormat="1" applyFont="1" applyFill="1" applyBorder="1" applyAlignment="1">
      <alignment horizontal="right" vertical="top" wrapText="1"/>
    </xf>
    <xf numFmtId="0" fontId="28" fillId="0" borderId="7" xfId="0" applyFont="1" applyFill="1" applyBorder="1" applyAlignment="1">
      <alignment horizontal="center" vertical="top" wrapText="1"/>
    </xf>
    <xf numFmtId="0" fontId="19" fillId="0" borderId="8" xfId="0" applyFont="1" applyBorder="1" applyAlignment="1">
      <alignment horizontal="justify" vertical="top" wrapText="1"/>
    </xf>
    <xf numFmtId="0" fontId="7" fillId="0" borderId="0" xfId="0" applyFont="1" applyFill="1" applyAlignment="1">
      <alignment horizontal="center" vertical="top" wrapText="1"/>
    </xf>
    <xf numFmtId="0" fontId="7" fillId="0" borderId="0" xfId="0" applyNumberFormat="1" applyFont="1" applyFill="1" applyAlignment="1">
      <alignment horizontal="center" vertical="top" wrapText="1"/>
    </xf>
    <xf numFmtId="0" fontId="7" fillId="0" borderId="0" xfId="0" applyFont="1" applyFill="1" applyAlignment="1">
      <alignment horizontal="justify" vertical="top" wrapText="1"/>
    </xf>
    <xf numFmtId="4" fontId="7" fillId="0" borderId="0" xfId="0" applyNumberFormat="1" applyFont="1" applyFill="1" applyAlignment="1">
      <alignment horizontal="center" vertical="top" wrapText="1"/>
    </xf>
    <xf numFmtId="0" fontId="15" fillId="6" borderId="19" xfId="0" applyFont="1" applyFill="1" applyBorder="1" applyAlignment="1">
      <alignment horizontal="center" vertical="top" wrapText="1"/>
    </xf>
    <xf numFmtId="10" fontId="15" fillId="6" borderId="19" xfId="1" applyNumberFormat="1" applyFont="1" applyFill="1" applyBorder="1" applyAlignment="1">
      <alignment horizontal="center" vertical="top" wrapText="1"/>
    </xf>
    <xf numFmtId="0" fontId="15" fillId="6" borderId="0" xfId="0" applyFont="1" applyFill="1" applyAlignment="1">
      <alignment vertical="top" wrapText="1"/>
    </xf>
    <xf numFmtId="0" fontId="15" fillId="6" borderId="0" xfId="0" applyFont="1" applyFill="1" applyAlignment="1">
      <alignment horizontal="right" vertical="top" wrapText="1"/>
    </xf>
    <xf numFmtId="0" fontId="7" fillId="6" borderId="0" xfId="0" applyFont="1" applyFill="1" applyAlignment="1">
      <alignment horizontal="center"/>
    </xf>
    <xf numFmtId="4" fontId="15" fillId="6" borderId="0" xfId="0" applyNumberFormat="1" applyFont="1" applyFill="1" applyAlignment="1">
      <alignment vertical="top" wrapText="1"/>
    </xf>
    <xf numFmtId="10" fontId="15" fillId="6" borderId="0" xfId="0" applyNumberFormat="1" applyFont="1" applyFill="1" applyAlignment="1">
      <alignment vertical="top" wrapText="1"/>
    </xf>
    <xf numFmtId="0" fontId="6" fillId="0" borderId="8" xfId="0" applyFont="1" applyBorder="1" applyAlignment="1">
      <alignment horizontal="left" vertical="center" wrapText="1"/>
    </xf>
    <xf numFmtId="43" fontId="6" fillId="0" borderId="8" xfId="9" applyFont="1" applyFill="1" applyBorder="1" applyAlignment="1">
      <alignment horizontal="right" vertical="center" wrapText="1"/>
    </xf>
    <xf numFmtId="43" fontId="19" fillId="4" borderId="37" xfId="9" applyFont="1" applyFill="1" applyBorder="1" applyAlignment="1">
      <alignment horizontal="right" vertical="top" wrapText="1"/>
    </xf>
    <xf numFmtId="43" fontId="19" fillId="10" borderId="37" xfId="9" applyFont="1" applyFill="1" applyBorder="1" applyAlignment="1">
      <alignment horizontal="right" vertical="top" wrapText="1"/>
    </xf>
    <xf numFmtId="0" fontId="10" fillId="0" borderId="0" xfId="0" applyFont="1" applyAlignment="1">
      <alignment vertical="center"/>
    </xf>
    <xf numFmtId="0" fontId="10" fillId="0" borderId="0" xfId="0" applyFont="1"/>
    <xf numFmtId="0" fontId="10" fillId="0" borderId="0" xfId="0" applyFont="1" applyFill="1"/>
    <xf numFmtId="0" fontId="20" fillId="0" borderId="0" xfId="0" applyFont="1" applyFill="1"/>
    <xf numFmtId="0" fontId="10" fillId="0" borderId="0" xfId="0" applyFont="1" applyAlignment="1">
      <alignment horizontal="justify" wrapText="1"/>
    </xf>
    <xf numFmtId="0" fontId="15" fillId="3" borderId="0" xfId="0" applyFont="1" applyFill="1" applyAlignment="1">
      <alignment horizontal="left" vertical="top" wrapText="1"/>
    </xf>
    <xf numFmtId="10" fontId="15" fillId="3" borderId="0" xfId="1" applyNumberFormat="1" applyFont="1" applyFill="1" applyAlignment="1">
      <alignment horizontal="right" vertical="top" wrapText="1"/>
    </xf>
    <xf numFmtId="4" fontId="15" fillId="3" borderId="0" xfId="0" applyNumberFormat="1" applyFont="1" applyFill="1" applyAlignment="1">
      <alignment horizontal="right" vertical="top" wrapText="1"/>
    </xf>
    <xf numFmtId="43" fontId="7" fillId="0" borderId="16" xfId="4" applyNumberFormat="1" applyFont="1" applyBorder="1" applyAlignment="1">
      <alignment horizontal="left" vertical="center"/>
    </xf>
    <xf numFmtId="0" fontId="31" fillId="0" borderId="0" xfId="0" applyFont="1" applyAlignment="1">
      <alignment horizontal="justify" wrapText="1"/>
    </xf>
    <xf numFmtId="0" fontId="31" fillId="0" borderId="0" xfId="0" applyFont="1" applyAlignment="1">
      <alignment horizontal="center"/>
    </xf>
    <xf numFmtId="0" fontId="1" fillId="7" borderId="8" xfId="0" applyFont="1" applyFill="1" applyBorder="1" applyAlignment="1">
      <alignment horizontal="center" vertical="center" wrapText="1"/>
    </xf>
    <xf numFmtId="165" fontId="1" fillId="7" borderId="8" xfId="0" applyNumberFormat="1" applyFont="1" applyFill="1" applyBorder="1" applyAlignment="1">
      <alignment horizontal="center" vertical="center" wrapText="1"/>
    </xf>
    <xf numFmtId="165" fontId="7" fillId="9" borderId="8" xfId="0" applyNumberFormat="1" applyFont="1" applyFill="1" applyBorder="1" applyAlignment="1">
      <alignment horizontal="right" vertical="center" wrapText="1"/>
    </xf>
    <xf numFmtId="0" fontId="7" fillId="9" borderId="8" xfId="0" applyFont="1" applyFill="1" applyBorder="1" applyAlignment="1">
      <alignment horizontal="right" vertical="center" wrapText="1"/>
    </xf>
    <xf numFmtId="4" fontId="3" fillId="9" borderId="8" xfId="0" applyNumberFormat="1" applyFont="1" applyFill="1" applyBorder="1" applyAlignment="1">
      <alignment horizontal="right" vertical="center" wrapText="1"/>
    </xf>
    <xf numFmtId="165" fontId="7" fillId="0" borderId="12" xfId="0" applyNumberFormat="1" applyFont="1" applyBorder="1" applyAlignment="1">
      <alignment vertical="center"/>
    </xf>
    <xf numFmtId="165" fontId="11" fillId="0" borderId="12" xfId="8" applyNumberFormat="1" applyFont="1" applyBorder="1" applyAlignment="1">
      <alignment horizontal="left" vertical="center"/>
    </xf>
    <xf numFmtId="165" fontId="31" fillId="0" borderId="0" xfId="0" applyNumberFormat="1" applyFont="1"/>
    <xf numFmtId="165" fontId="6" fillId="0" borderId="8" xfId="0" applyNumberFormat="1" applyFont="1" applyBorder="1" applyAlignment="1">
      <alignment horizontal="right" vertical="center" wrapText="1"/>
    </xf>
    <xf numFmtId="0" fontId="3" fillId="0" borderId="8" xfId="0" applyFont="1" applyBorder="1" applyAlignment="1">
      <alignment horizontal="left" vertical="center" wrapText="1"/>
    </xf>
    <xf numFmtId="0" fontId="3" fillId="0" borderId="8" xfId="0" applyFont="1" applyBorder="1" applyAlignment="1">
      <alignment horizontal="center" vertical="center" wrapText="1"/>
    </xf>
    <xf numFmtId="165" fontId="3" fillId="0" borderId="8" xfId="0" applyNumberFormat="1" applyFont="1" applyBorder="1" applyAlignment="1">
      <alignment horizontal="right" vertical="center" wrapText="1"/>
    </xf>
    <xf numFmtId="0" fontId="3" fillId="0" borderId="8" xfId="0" applyFont="1" applyBorder="1" applyAlignment="1">
      <alignment horizontal="right" vertical="center" wrapText="1"/>
    </xf>
    <xf numFmtId="0" fontId="19" fillId="4" borderId="8" xfId="0" applyFont="1" applyFill="1" applyBorder="1" applyAlignment="1">
      <alignment horizontal="left" vertical="center" wrapText="1"/>
    </xf>
    <xf numFmtId="0" fontId="19" fillId="4" borderId="8" xfId="0" applyFont="1" applyFill="1" applyBorder="1" applyAlignment="1">
      <alignment horizontal="justify" vertical="center" wrapText="1"/>
    </xf>
    <xf numFmtId="0" fontId="19" fillId="4" borderId="8" xfId="0" applyFont="1" applyFill="1" applyBorder="1" applyAlignment="1">
      <alignment horizontal="center" vertical="center" wrapText="1"/>
    </xf>
    <xf numFmtId="165" fontId="19" fillId="4" borderId="8" xfId="0" applyNumberFormat="1" applyFont="1" applyFill="1" applyBorder="1" applyAlignment="1">
      <alignment horizontal="right" vertical="center" wrapText="1"/>
    </xf>
    <xf numFmtId="4" fontId="19" fillId="4" borderId="8" xfId="0" applyNumberFormat="1" applyFont="1" applyFill="1" applyBorder="1" applyAlignment="1">
      <alignment horizontal="right" vertical="center" wrapText="1"/>
    </xf>
    <xf numFmtId="0" fontId="19" fillId="5" borderId="8" xfId="0" applyFont="1" applyFill="1" applyBorder="1" applyAlignment="1">
      <alignment horizontal="left" vertical="center" wrapText="1"/>
    </xf>
    <xf numFmtId="0" fontId="19" fillId="5" borderId="8" xfId="0" applyFont="1" applyFill="1" applyBorder="1" applyAlignment="1">
      <alignment horizontal="justify" vertical="center" wrapText="1"/>
    </xf>
    <xf numFmtId="0" fontId="19" fillId="5" borderId="8" xfId="0" applyFont="1" applyFill="1" applyBorder="1" applyAlignment="1">
      <alignment horizontal="center" vertical="center" wrapText="1"/>
    </xf>
    <xf numFmtId="165" fontId="19" fillId="5" borderId="8" xfId="0" applyNumberFormat="1" applyFont="1" applyFill="1" applyBorder="1" applyAlignment="1">
      <alignment horizontal="right" vertical="center" wrapText="1"/>
    </xf>
    <xf numFmtId="4" fontId="19" fillId="5" borderId="8" xfId="0" applyNumberFormat="1" applyFont="1" applyFill="1" applyBorder="1" applyAlignment="1">
      <alignment horizontal="right" vertical="center" wrapText="1"/>
    </xf>
    <xf numFmtId="0" fontId="15" fillId="2" borderId="8" xfId="0" applyFont="1" applyFill="1" applyBorder="1" applyAlignment="1">
      <alignment vertical="center" wrapText="1"/>
    </xf>
    <xf numFmtId="0" fontId="28" fillId="0" borderId="8" xfId="0" applyFont="1" applyBorder="1" applyAlignment="1">
      <alignment horizontal="left" vertical="center" wrapText="1"/>
    </xf>
    <xf numFmtId="0" fontId="28" fillId="0" borderId="8" xfId="0" applyFont="1" applyBorder="1" applyAlignment="1">
      <alignment horizontal="justify" vertical="center" wrapText="1"/>
    </xf>
    <xf numFmtId="0" fontId="28" fillId="0" borderId="8" xfId="0" applyFont="1" applyBorder="1" applyAlignment="1">
      <alignment horizontal="center" vertical="center" wrapText="1"/>
    </xf>
    <xf numFmtId="165" fontId="28" fillId="0" borderId="8" xfId="0" applyNumberFormat="1" applyFont="1" applyBorder="1" applyAlignment="1">
      <alignment horizontal="left" vertical="center" wrapText="1"/>
    </xf>
    <xf numFmtId="0" fontId="19" fillId="0" borderId="8" xfId="0" applyFont="1" applyBorder="1" applyAlignment="1">
      <alignment horizontal="left" vertical="center" wrapText="1"/>
    </xf>
    <xf numFmtId="0" fontId="19" fillId="0" borderId="8" xfId="0" applyFont="1" applyBorder="1" applyAlignment="1">
      <alignment horizontal="justify" vertical="center" wrapText="1"/>
    </xf>
    <xf numFmtId="0" fontId="19" fillId="0" borderId="8" xfId="0" applyFont="1" applyBorder="1" applyAlignment="1">
      <alignment horizontal="center" vertical="center" wrapText="1"/>
    </xf>
    <xf numFmtId="165" fontId="19" fillId="0" borderId="8" xfId="0" applyNumberFormat="1" applyFont="1" applyBorder="1" applyAlignment="1">
      <alignment horizontal="right" vertical="center" wrapText="1"/>
    </xf>
    <xf numFmtId="4" fontId="19" fillId="0" borderId="8" xfId="0" applyNumberFormat="1" applyFont="1" applyBorder="1" applyAlignment="1">
      <alignment horizontal="right" vertical="center" wrapText="1"/>
    </xf>
    <xf numFmtId="0" fontId="7" fillId="0" borderId="8" xfId="0" applyFont="1" applyBorder="1" applyAlignment="1">
      <alignment horizontal="left" vertical="center" wrapText="1"/>
    </xf>
    <xf numFmtId="0" fontId="7" fillId="0" borderId="8" xfId="0" applyFont="1" applyBorder="1" applyAlignment="1">
      <alignment horizontal="right" vertical="center" wrapText="1"/>
    </xf>
    <xf numFmtId="0" fontId="7" fillId="0" borderId="8" xfId="0" applyFont="1" applyBorder="1" applyAlignment="1">
      <alignment horizontal="justify" vertical="center" wrapText="1"/>
    </xf>
    <xf numFmtId="0" fontId="7" fillId="0" borderId="8" xfId="0" applyFont="1" applyBorder="1" applyAlignment="1">
      <alignment horizontal="center" vertical="center" wrapText="1"/>
    </xf>
    <xf numFmtId="165" fontId="7" fillId="0" borderId="8" xfId="0" applyNumberFormat="1" applyFont="1" applyBorder="1" applyAlignment="1">
      <alignment horizontal="right" vertical="center" wrapText="1"/>
    </xf>
    <xf numFmtId="4" fontId="7" fillId="0" borderId="8" xfId="0" applyNumberFormat="1" applyFont="1" applyBorder="1" applyAlignment="1">
      <alignment horizontal="right" vertical="center" wrapText="1"/>
    </xf>
    <xf numFmtId="0" fontId="7" fillId="0" borderId="0" xfId="0" applyFont="1" applyAlignment="1">
      <alignment vertical="center"/>
    </xf>
    <xf numFmtId="0" fontId="15" fillId="0" borderId="8" xfId="0" applyFont="1" applyBorder="1" applyAlignment="1">
      <alignment horizontal="right" vertical="center" wrapText="1"/>
    </xf>
    <xf numFmtId="0" fontId="15" fillId="0" borderId="8" xfId="0" applyFont="1" applyBorder="1" applyAlignment="1">
      <alignment horizontal="justify" vertical="center" wrapText="1"/>
    </xf>
    <xf numFmtId="0" fontId="15" fillId="0" borderId="8" xfId="0" applyFont="1" applyBorder="1" applyAlignment="1">
      <alignment horizontal="center" vertical="center" wrapText="1"/>
    </xf>
    <xf numFmtId="165" fontId="15" fillId="0" borderId="8" xfId="0" applyNumberFormat="1" applyFont="1" applyBorder="1" applyAlignment="1">
      <alignment horizontal="right" vertical="center" wrapText="1"/>
    </xf>
    <xf numFmtId="4" fontId="15" fillId="0" borderId="8" xfId="0" applyNumberFormat="1" applyFont="1" applyBorder="1" applyAlignment="1">
      <alignment horizontal="right" vertical="center" wrapText="1"/>
    </xf>
    <xf numFmtId="0" fontId="28" fillId="0" borderId="8" xfId="0" applyFont="1" applyBorder="1" applyAlignment="1">
      <alignment horizontal="right" vertical="center" wrapText="1"/>
    </xf>
    <xf numFmtId="165" fontId="28" fillId="0" borderId="8" xfId="0" applyNumberFormat="1" applyFont="1" applyBorder="1" applyAlignment="1">
      <alignment horizontal="right" vertical="center" wrapText="1"/>
    </xf>
    <xf numFmtId="4" fontId="28" fillId="0" borderId="8" xfId="0" applyNumberFormat="1" applyFont="1" applyBorder="1" applyAlignment="1">
      <alignment horizontal="right" vertical="center" wrapText="1"/>
    </xf>
    <xf numFmtId="0" fontId="28" fillId="0" borderId="8" xfId="0" applyFont="1" applyFill="1" applyBorder="1" applyAlignment="1">
      <alignment horizontal="justify" vertical="center" wrapText="1"/>
    </xf>
    <xf numFmtId="0" fontId="28" fillId="0" borderId="8" xfId="0" applyFont="1" applyFill="1" applyBorder="1" applyAlignment="1">
      <alignment horizontal="center" vertical="center" wrapText="1"/>
    </xf>
    <xf numFmtId="0" fontId="28" fillId="0" borderId="8" xfId="0" applyFont="1" applyFill="1" applyBorder="1" applyAlignment="1">
      <alignment horizontal="right" vertical="center" wrapText="1"/>
    </xf>
    <xf numFmtId="0" fontId="5" fillId="13" borderId="8" xfId="0" applyFont="1" applyFill="1" applyBorder="1" applyAlignment="1">
      <alignment horizontal="left" vertical="center" wrapText="1"/>
    </xf>
    <xf numFmtId="0" fontId="5" fillId="13" borderId="8" xfId="0" applyFont="1" applyFill="1" applyBorder="1" applyAlignment="1">
      <alignment horizontal="right" vertical="center" wrapText="1"/>
    </xf>
    <xf numFmtId="4" fontId="5" fillId="13" borderId="8" xfId="0" applyNumberFormat="1" applyFont="1" applyFill="1" applyBorder="1" applyAlignment="1">
      <alignment horizontal="right" vertical="center" wrapText="1"/>
    </xf>
    <xf numFmtId="0" fontId="20" fillId="8" borderId="28" xfId="6" applyFont="1" applyFill="1" applyBorder="1" applyAlignment="1">
      <alignment horizontal="center"/>
    </xf>
    <xf numFmtId="0" fontId="20" fillId="8" borderId="27" xfId="6" applyFont="1" applyFill="1" applyBorder="1" applyAlignment="1">
      <alignment horizontal="center"/>
    </xf>
    <xf numFmtId="0" fontId="1" fillId="3" borderId="0" xfId="0" applyFont="1" applyFill="1" applyAlignment="1">
      <alignment horizontal="center" wrapText="1"/>
    </xf>
    <xf numFmtId="0" fontId="18" fillId="0" borderId="0" xfId="0" applyFont="1"/>
    <xf numFmtId="0" fontId="0" fillId="0" borderId="9"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22" fillId="0" borderId="15" xfId="8" applyFont="1" applyBorder="1" applyAlignment="1">
      <alignment horizontal="center" vertical="center"/>
    </xf>
    <xf numFmtId="0" fontId="22" fillId="0" borderId="14" xfId="8" applyFont="1" applyBorder="1" applyAlignment="1">
      <alignment horizontal="center" vertical="center"/>
    </xf>
    <xf numFmtId="0" fontId="22" fillId="0" borderId="18" xfId="8" applyFont="1" applyBorder="1" applyAlignment="1">
      <alignment horizontal="center" vertical="center"/>
    </xf>
    <xf numFmtId="0" fontId="22" fillId="0" borderId="16" xfId="4" applyFont="1" applyBorder="1" applyAlignment="1">
      <alignment horizontal="center" vertical="center"/>
    </xf>
    <xf numFmtId="0" fontId="22" fillId="0" borderId="17" xfId="4" applyFont="1" applyBorder="1" applyAlignment="1">
      <alignment horizontal="center" vertical="center"/>
    </xf>
    <xf numFmtId="0" fontId="22" fillId="0" borderId="15" xfId="4" applyFont="1" applyBorder="1" applyAlignment="1">
      <alignment horizontal="center" vertical="center"/>
    </xf>
    <xf numFmtId="0" fontId="22" fillId="0" borderId="14" xfId="4" applyFont="1" applyBorder="1" applyAlignment="1">
      <alignment horizontal="center" vertical="center"/>
    </xf>
    <xf numFmtId="0" fontId="22" fillId="0" borderId="11" xfId="4" applyFont="1" applyBorder="1" applyAlignment="1">
      <alignment horizontal="center" vertical="center"/>
    </xf>
    <xf numFmtId="0" fontId="22" fillId="0" borderId="10" xfId="4" applyFont="1" applyBorder="1" applyAlignment="1">
      <alignment horizontal="center" vertical="center"/>
    </xf>
    <xf numFmtId="14" fontId="22" fillId="0" borderId="15" xfId="4" applyNumberFormat="1" applyFont="1" applyBorder="1" applyAlignment="1">
      <alignment horizontal="center" vertical="center"/>
    </xf>
    <xf numFmtId="14" fontId="22" fillId="0" borderId="18" xfId="4" applyNumberFormat="1" applyFont="1" applyBorder="1" applyAlignment="1">
      <alignment horizontal="center" vertical="center"/>
    </xf>
    <xf numFmtId="17" fontId="11" fillId="0" borderId="11" xfId="8" applyNumberFormat="1" applyFont="1" applyBorder="1" applyAlignment="1">
      <alignment horizontal="justify" vertical="center"/>
    </xf>
    <xf numFmtId="17" fontId="11" fillId="0" borderId="10" xfId="8" applyNumberFormat="1" applyFont="1" applyBorder="1" applyAlignment="1">
      <alignment horizontal="justify" vertical="center"/>
    </xf>
    <xf numFmtId="0" fontId="15" fillId="6" borderId="20" xfId="0" applyFont="1" applyFill="1" applyBorder="1" applyAlignment="1">
      <alignment horizontal="center" vertical="top" wrapText="1"/>
    </xf>
    <xf numFmtId="0" fontId="15" fillId="6" borderId="21" xfId="0" applyFont="1" applyFill="1" applyBorder="1" applyAlignment="1">
      <alignment horizontal="center" vertical="top" wrapText="1"/>
    </xf>
    <xf numFmtId="10" fontId="15" fillId="6" borderId="20" xfId="1" applyNumberFormat="1" applyFont="1" applyFill="1" applyBorder="1" applyAlignment="1">
      <alignment horizontal="center" vertical="top" wrapText="1"/>
    </xf>
    <xf numFmtId="10" fontId="15" fillId="6" borderId="21" xfId="1" applyNumberFormat="1" applyFont="1" applyFill="1" applyBorder="1" applyAlignment="1">
      <alignment horizontal="center" vertical="top" wrapText="1"/>
    </xf>
    <xf numFmtId="0" fontId="30" fillId="0" borderId="0" xfId="0" applyFont="1" applyFill="1" applyAlignment="1">
      <alignment horizontal="center" wrapText="1"/>
    </xf>
    <xf numFmtId="0" fontId="31" fillId="0" borderId="0" xfId="0" applyFont="1" applyFill="1"/>
    <xf numFmtId="0" fontId="30" fillId="0" borderId="0" xfId="0" applyFont="1" applyAlignment="1">
      <alignment horizontal="center" wrapText="1"/>
    </xf>
    <xf numFmtId="0" fontId="31" fillId="0" borderId="0" xfId="0" applyFont="1"/>
    <xf numFmtId="0" fontId="22" fillId="0" borderId="38" xfId="4" applyFont="1" applyBorder="1" applyAlignment="1">
      <alignment horizontal="center" vertical="center"/>
    </xf>
    <xf numFmtId="0" fontId="30" fillId="3" borderId="23" xfId="0" applyFont="1" applyFill="1" applyBorder="1" applyAlignment="1">
      <alignment horizontal="center" wrapText="1"/>
    </xf>
    <xf numFmtId="14" fontId="22" fillId="0" borderId="15" xfId="8" applyNumberFormat="1" applyFont="1" applyBorder="1" applyAlignment="1">
      <alignment horizontal="center" vertical="center"/>
    </xf>
    <xf numFmtId="14" fontId="22" fillId="0" borderId="14" xfId="8" applyNumberFormat="1" applyFont="1" applyBorder="1" applyAlignment="1">
      <alignment horizontal="center" vertical="center"/>
    </xf>
    <xf numFmtId="0" fontId="15" fillId="4" borderId="26" xfId="5" applyFont="1" applyFill="1" applyBorder="1" applyAlignment="1">
      <alignment horizontal="justify" vertical="distributed" wrapText="1"/>
    </xf>
    <xf numFmtId="0" fontId="15" fillId="11" borderId="26" xfId="5" applyFont="1" applyFill="1" applyBorder="1" applyAlignment="1">
      <alignment horizontal="justify" vertical="distributed" wrapText="1"/>
    </xf>
    <xf numFmtId="0" fontId="15" fillId="12" borderId="26" xfId="5" applyFont="1" applyFill="1" applyBorder="1" applyAlignment="1">
      <alignment horizontal="justify" vertical="distributed" wrapText="1"/>
    </xf>
    <xf numFmtId="0" fontId="8" fillId="0" borderId="23" xfId="0" applyFont="1" applyBorder="1" applyAlignment="1">
      <alignment horizontal="center" vertical="center" wrapText="1"/>
    </xf>
    <xf numFmtId="0" fontId="1" fillId="7" borderId="24" xfId="0" applyFont="1" applyFill="1" applyBorder="1" applyAlignment="1">
      <alignment horizontal="center" vertical="top"/>
    </xf>
    <xf numFmtId="0" fontId="1" fillId="7" borderId="25" xfId="0" applyFont="1" applyFill="1" applyBorder="1" applyAlignment="1">
      <alignment horizontal="center" vertical="top"/>
    </xf>
    <xf numFmtId="0" fontId="15" fillId="11" borderId="24" xfId="5" applyFont="1" applyFill="1" applyBorder="1" applyAlignment="1">
      <alignment horizontal="center" vertical="distributed" wrapText="1"/>
    </xf>
    <xf numFmtId="0" fontId="15" fillId="11" borderId="26" xfId="5" applyFont="1" applyFill="1" applyBorder="1" applyAlignment="1">
      <alignment horizontal="center" vertical="distributed" wrapText="1"/>
    </xf>
    <xf numFmtId="0" fontId="15" fillId="11" borderId="25" xfId="5" applyFont="1" applyFill="1" applyBorder="1" applyAlignment="1">
      <alignment horizontal="center" vertical="distributed" wrapText="1"/>
    </xf>
    <xf numFmtId="0" fontId="15" fillId="12" borderId="24" xfId="5" applyFont="1" applyFill="1" applyBorder="1" applyAlignment="1">
      <alignment horizontal="center" vertical="distributed" wrapText="1"/>
    </xf>
    <xf numFmtId="0" fontId="15" fillId="12" borderId="26" xfId="5" applyFont="1" applyFill="1" applyBorder="1" applyAlignment="1">
      <alignment horizontal="center" vertical="distributed" wrapText="1"/>
    </xf>
    <xf numFmtId="0" fontId="12" fillId="0" borderId="23" xfId="4" applyFont="1" applyBorder="1" applyAlignment="1">
      <alignment horizontal="center" vertical="center"/>
    </xf>
    <xf numFmtId="0" fontId="15" fillId="3" borderId="40" xfId="0" applyFont="1" applyFill="1" applyBorder="1" applyAlignment="1">
      <alignment horizontal="right" vertical="top" wrapText="1"/>
    </xf>
    <xf numFmtId="0" fontId="19" fillId="4" borderId="36" xfId="0" applyFont="1" applyFill="1" applyBorder="1" applyAlignment="1">
      <alignment horizontal="center" vertical="top" wrapText="1"/>
    </xf>
    <xf numFmtId="0" fontId="19" fillId="4" borderId="37" xfId="0" applyFont="1" applyFill="1" applyBorder="1" applyAlignment="1">
      <alignment horizontal="center" vertical="top" wrapText="1"/>
    </xf>
    <xf numFmtId="0" fontId="19" fillId="4" borderId="36" xfId="0" applyFont="1" applyFill="1" applyBorder="1" applyAlignment="1">
      <alignment horizontal="left" vertical="top" wrapText="1"/>
    </xf>
    <xf numFmtId="0" fontId="19" fillId="4" borderId="37" xfId="0" applyFont="1" applyFill="1" applyBorder="1" applyAlignment="1">
      <alignment horizontal="left" vertical="top" wrapText="1"/>
    </xf>
    <xf numFmtId="0" fontId="19" fillId="5" borderId="36" xfId="0" applyFont="1" applyFill="1" applyBorder="1" applyAlignment="1">
      <alignment horizontal="center" vertical="top" wrapText="1"/>
    </xf>
    <xf numFmtId="0" fontId="19" fillId="5" borderId="37" xfId="0" applyFont="1" applyFill="1" applyBorder="1" applyAlignment="1">
      <alignment horizontal="center" vertical="top" wrapText="1"/>
    </xf>
    <xf numFmtId="0" fontId="19" fillId="5" borderId="36" xfId="0" applyFont="1" applyFill="1" applyBorder="1" applyAlignment="1">
      <alignment horizontal="left" vertical="top" wrapText="1"/>
    </xf>
    <xf numFmtId="0" fontId="19" fillId="5" borderId="37" xfId="0" applyFont="1" applyFill="1" applyBorder="1" applyAlignment="1">
      <alignment horizontal="left" vertical="top" wrapText="1"/>
    </xf>
    <xf numFmtId="0" fontId="28" fillId="0" borderId="36" xfId="0" applyFont="1" applyBorder="1" applyAlignment="1">
      <alignment horizontal="center" vertical="top" wrapText="1"/>
    </xf>
    <xf numFmtId="0" fontId="28" fillId="0" borderId="37" xfId="0" applyFont="1" applyBorder="1" applyAlignment="1">
      <alignment horizontal="center" vertical="top" wrapText="1"/>
    </xf>
    <xf numFmtId="0" fontId="28" fillId="0" borderId="36" xfId="0" applyFont="1" applyFill="1" applyBorder="1" applyAlignment="1">
      <alignment horizontal="left" vertical="top" wrapText="1"/>
    </xf>
    <xf numFmtId="0" fontId="28" fillId="0" borderId="37" xfId="0" applyFont="1" applyFill="1" applyBorder="1" applyAlignment="1">
      <alignment horizontal="left" vertical="top" wrapText="1"/>
    </xf>
    <xf numFmtId="0" fontId="19" fillId="9" borderId="36" xfId="0" applyFont="1" applyFill="1" applyBorder="1" applyAlignment="1">
      <alignment horizontal="center" vertical="top" wrapText="1"/>
    </xf>
    <xf numFmtId="0" fontId="19" fillId="9" borderId="37" xfId="0" applyFont="1" applyFill="1" applyBorder="1" applyAlignment="1">
      <alignment horizontal="center" vertical="top" wrapText="1"/>
    </xf>
    <xf numFmtId="0" fontId="19" fillId="9" borderId="36" xfId="0" applyFont="1" applyFill="1" applyBorder="1" applyAlignment="1">
      <alignment horizontal="left" vertical="top" wrapText="1"/>
    </xf>
    <xf numFmtId="0" fontId="19" fillId="9" borderId="37" xfId="0" applyFont="1" applyFill="1" applyBorder="1" applyAlignment="1">
      <alignment horizontal="left" vertical="top" wrapText="1"/>
    </xf>
    <xf numFmtId="14" fontId="22" fillId="0" borderId="14" xfId="4" applyNumberFormat="1" applyFont="1" applyBorder="1" applyAlignment="1">
      <alignment horizontal="center" vertical="center"/>
    </xf>
    <xf numFmtId="17" fontId="11" fillId="0" borderId="11" xfId="8" applyNumberFormat="1" applyFont="1" applyBorder="1" applyAlignment="1">
      <alignment horizontal="left" vertical="center"/>
    </xf>
    <xf numFmtId="17" fontId="11" fillId="0" borderId="12" xfId="8" applyNumberFormat="1" applyFont="1" applyBorder="1" applyAlignment="1">
      <alignment horizontal="left" vertical="center"/>
    </xf>
    <xf numFmtId="17" fontId="11" fillId="0" borderId="10" xfId="8" applyNumberFormat="1" applyFont="1" applyBorder="1" applyAlignment="1">
      <alignment horizontal="left" vertical="center"/>
    </xf>
    <xf numFmtId="0" fontId="11" fillId="0" borderId="16" xfId="0" applyFont="1" applyBorder="1" applyAlignment="1">
      <alignment horizontal="left" vertical="center"/>
    </xf>
    <xf numFmtId="0" fontId="11" fillId="0" borderId="0"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1" fillId="0" borderId="18" xfId="0" applyFont="1" applyBorder="1" applyAlignment="1">
      <alignment horizontal="left" vertical="center"/>
    </xf>
    <xf numFmtId="0" fontId="11" fillId="0" borderId="14" xfId="0" applyFont="1" applyBorder="1" applyAlignment="1">
      <alignment horizontal="left" vertical="center"/>
    </xf>
    <xf numFmtId="0" fontId="15" fillId="3" borderId="0" xfId="0" applyFont="1" applyFill="1" applyAlignment="1">
      <alignment horizontal="right" vertical="top" wrapText="1"/>
    </xf>
    <xf numFmtId="0" fontId="11" fillId="0" borderId="11" xfId="8" applyFont="1" applyBorder="1" applyAlignment="1">
      <alignment horizontal="left" vertical="center"/>
    </xf>
    <xf numFmtId="0" fontId="11" fillId="0" borderId="12" xfId="8" applyFont="1" applyBorder="1" applyAlignment="1">
      <alignment horizontal="left" vertical="center"/>
    </xf>
    <xf numFmtId="0" fontId="11" fillId="0" borderId="10" xfId="8" applyFont="1" applyBorder="1" applyAlignment="1">
      <alignment horizontal="left" vertical="center"/>
    </xf>
    <xf numFmtId="0" fontId="22" fillId="0" borderId="15" xfId="8" applyFont="1" applyBorder="1" applyAlignment="1">
      <alignment horizontal="left" vertical="center"/>
    </xf>
    <xf numFmtId="0" fontId="22" fillId="0" borderId="18" xfId="8" applyFont="1" applyBorder="1" applyAlignment="1">
      <alignment horizontal="left" vertical="center"/>
    </xf>
    <xf numFmtId="0" fontId="22" fillId="0" borderId="14" xfId="8" applyFont="1" applyBorder="1" applyAlignment="1">
      <alignment horizontal="left" vertical="center"/>
    </xf>
    <xf numFmtId="0" fontId="15" fillId="3" borderId="39" xfId="0" applyFont="1" applyFill="1" applyBorder="1" applyAlignment="1">
      <alignment horizontal="right" vertical="top" wrapText="1"/>
    </xf>
    <xf numFmtId="0" fontId="32" fillId="3" borderId="0" xfId="0" applyFont="1" applyFill="1" applyAlignment="1">
      <alignment horizontal="center" wrapText="1"/>
    </xf>
    <xf numFmtId="0" fontId="0" fillId="0" borderId="0" xfId="0"/>
    <xf numFmtId="0" fontId="19" fillId="4" borderId="36" xfId="0" applyFont="1" applyFill="1" applyBorder="1" applyAlignment="1">
      <alignment vertical="top" wrapText="1"/>
    </xf>
    <xf numFmtId="0" fontId="19" fillId="4" borderId="37" xfId="0" applyFont="1" applyFill="1" applyBorder="1" applyAlignment="1">
      <alignment vertical="top" wrapText="1"/>
    </xf>
    <xf numFmtId="0" fontId="19" fillId="5" borderId="36" xfId="0" applyFont="1" applyFill="1" applyBorder="1" applyAlignment="1">
      <alignment vertical="top" wrapText="1"/>
    </xf>
    <xf numFmtId="0" fontId="19" fillId="5" borderId="37" xfId="0" applyFont="1" applyFill="1" applyBorder="1" applyAlignment="1">
      <alignment vertical="top" wrapText="1"/>
    </xf>
    <xf numFmtId="0" fontId="28" fillId="0" borderId="36" xfId="0" applyFont="1" applyFill="1" applyBorder="1" applyAlignment="1">
      <alignment vertical="top" wrapText="1"/>
    </xf>
    <xf numFmtId="0" fontId="28" fillId="0" borderId="37" xfId="0" applyFont="1" applyFill="1" applyBorder="1" applyAlignment="1">
      <alignment vertical="top" wrapText="1"/>
    </xf>
  </cellXfs>
  <cellStyles count="10">
    <cellStyle name="Normal" xfId="0" builtinId="0"/>
    <cellStyle name="Normal 2" xfId="2" xr:uid="{DE3D996A-C90D-4545-A27F-D983A4ABEF95}"/>
    <cellStyle name="Normal_Orç 037_2009 - Ar Condicionado Salas Técnicas - PJ Sobradinho" xfId="3" xr:uid="{1C4B18E3-BD34-4EBA-8E99-7921EC0C20A0}"/>
    <cellStyle name="Normal_Orç 041_2009 Adaptação Copa PJ Ceilândia" xfId="4" xr:uid="{D647DCFE-A2D5-4BF3-BD14-AB5A3F2E7184}"/>
    <cellStyle name="Normal_Orç 041_2009 Adaptação Copa PJ Ceilândia_Orçamento Sintético" xfId="8" xr:uid="{784C63DD-1A07-43B9-9937-FB400A40C224}"/>
    <cellStyle name="Normal_Orç 041_2009 Adaptação Copa PJ Ceilândia_Plan1" xfId="7" xr:uid="{80CAAF67-4237-4D38-8C9D-6A6D1697CE00}"/>
    <cellStyle name="Normal_Plan1" xfId="5" xr:uid="{108C9C91-0E76-4A9E-9FDF-EB08DD38AB9D}"/>
    <cellStyle name="Normal_Plan1_1 2" xfId="6" xr:uid="{90288443-C380-4DDA-80C7-D99FFA68D373}"/>
    <cellStyle name="Porcentagem" xfId="1" builtinId="5"/>
    <cellStyle name="Vírgula" xfId="9" builtinId="3"/>
  </cellStyles>
  <dxfs count="1479">
    <dxf>
      <font>
        <color theme="0" tint="-4.9989318521683403E-2"/>
      </font>
    </dxf>
    <dxf>
      <font>
        <color theme="0" tint="-4.9989318521683403E-2"/>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FFFF00"/>
      </font>
    </dxf>
    <dxf>
      <font>
        <color rgb="FFFFFF00"/>
      </font>
    </dxf>
    <dxf>
      <font>
        <color rgb="FFFFFF00"/>
      </font>
    </dxf>
    <dxf>
      <font>
        <color rgb="FFFFFF00"/>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FFFF00"/>
      </font>
    </dxf>
    <dxf>
      <font>
        <color rgb="FFFFFF00"/>
      </font>
    </dxf>
    <dxf>
      <font>
        <color rgb="FFFFFF00"/>
      </font>
    </dxf>
    <dxf>
      <font>
        <color rgb="FFFFFF00"/>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FFFF00"/>
      </font>
    </dxf>
    <dxf>
      <font>
        <color rgb="FFFFFF00"/>
      </font>
    </dxf>
    <dxf>
      <font>
        <color rgb="FFFFFF00"/>
      </font>
    </dxf>
    <dxf>
      <font>
        <color rgb="FFFFFF00"/>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D8ECF6"/>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rgb="FFD8ECF6"/>
      </font>
    </dxf>
    <dxf>
      <font>
        <color rgb="FFD8ECF6"/>
      </font>
    </dxf>
    <dxf>
      <font>
        <color rgb="FFD8ECF6"/>
      </font>
    </dxf>
    <dxf>
      <font>
        <color rgb="FFD8ECF6"/>
      </font>
    </dxf>
    <dxf>
      <font>
        <color rgb="FFD8ECF6"/>
      </font>
    </dxf>
    <dxf>
      <font>
        <color rgb="FFFFFF00"/>
      </font>
    </dxf>
    <dxf>
      <font>
        <color rgb="FFFFFF00"/>
      </font>
    </dxf>
    <dxf>
      <font>
        <color rgb="FFFFFF00"/>
      </font>
    </dxf>
    <dxf>
      <font>
        <color rgb="FFFFFF0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rgb="FFD8ECF6"/>
      </font>
    </dxf>
    <dxf>
      <font>
        <color rgb="FFD8ECF6"/>
      </font>
    </dxf>
    <dxf>
      <font>
        <color rgb="FFD8ECF6"/>
      </font>
    </dxf>
    <dxf>
      <font>
        <color rgb="FFD8ECF6"/>
      </font>
    </dxf>
    <dxf>
      <font>
        <color rgb="FFFFFF00"/>
      </font>
    </dxf>
    <dxf>
      <font>
        <color rgb="FFFFFF00"/>
      </font>
    </dxf>
    <dxf>
      <font>
        <color rgb="FFFFFF00"/>
      </font>
    </dxf>
    <dxf>
      <font>
        <color rgb="FFFFFF0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rgb="FFD8ECF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6C042-534F-45E3-9581-274CA538EC22}">
  <dimension ref="A1:B33"/>
  <sheetViews>
    <sheetView showGridLines="0" workbookViewId="0">
      <selection sqref="A1:B1"/>
    </sheetView>
  </sheetViews>
  <sheetFormatPr defaultRowHeight="14.25" x14ac:dyDescent="0.2"/>
  <cols>
    <col min="1" max="1" width="6" customWidth="1"/>
    <col min="2" max="2" width="73.75" customWidth="1"/>
    <col min="257" max="257" width="6" customWidth="1"/>
    <col min="258" max="258" width="73.75" customWidth="1"/>
    <col min="513" max="513" width="6" customWidth="1"/>
    <col min="514" max="514" width="73.75" customWidth="1"/>
    <col min="769" max="769" width="6" customWidth="1"/>
    <col min="770" max="770" width="73.75" customWidth="1"/>
    <col min="1025" max="1025" width="6" customWidth="1"/>
    <col min="1026" max="1026" width="73.75" customWidth="1"/>
    <col min="1281" max="1281" width="6" customWidth="1"/>
    <col min="1282" max="1282" width="73.75" customWidth="1"/>
    <col min="1537" max="1537" width="6" customWidth="1"/>
    <col min="1538" max="1538" width="73.75" customWidth="1"/>
    <col min="1793" max="1793" width="6" customWidth="1"/>
    <col min="1794" max="1794" width="73.75" customWidth="1"/>
    <col min="2049" max="2049" width="6" customWidth="1"/>
    <col min="2050" max="2050" width="73.75" customWidth="1"/>
    <col min="2305" max="2305" width="6" customWidth="1"/>
    <col min="2306" max="2306" width="73.75" customWidth="1"/>
    <col min="2561" max="2561" width="6" customWidth="1"/>
    <col min="2562" max="2562" width="73.75" customWidth="1"/>
    <col min="2817" max="2817" width="6" customWidth="1"/>
    <col min="2818" max="2818" width="73.75" customWidth="1"/>
    <col min="3073" max="3073" width="6" customWidth="1"/>
    <col min="3074" max="3074" width="73.75" customWidth="1"/>
    <col min="3329" max="3329" width="6" customWidth="1"/>
    <col min="3330" max="3330" width="73.75" customWidth="1"/>
    <col min="3585" max="3585" width="6" customWidth="1"/>
    <col min="3586" max="3586" width="73.75" customWidth="1"/>
    <col min="3841" max="3841" width="6" customWidth="1"/>
    <col min="3842" max="3842" width="73.75" customWidth="1"/>
    <col min="4097" max="4097" width="6" customWidth="1"/>
    <col min="4098" max="4098" width="73.75" customWidth="1"/>
    <col min="4353" max="4353" width="6" customWidth="1"/>
    <col min="4354" max="4354" width="73.75" customWidth="1"/>
    <col min="4609" max="4609" width="6" customWidth="1"/>
    <col min="4610" max="4610" width="73.75" customWidth="1"/>
    <col min="4865" max="4865" width="6" customWidth="1"/>
    <col min="4866" max="4866" width="73.75" customWidth="1"/>
    <col min="5121" max="5121" width="6" customWidth="1"/>
    <col min="5122" max="5122" width="73.75" customWidth="1"/>
    <col min="5377" max="5377" width="6" customWidth="1"/>
    <col min="5378" max="5378" width="73.75" customWidth="1"/>
    <col min="5633" max="5633" width="6" customWidth="1"/>
    <col min="5634" max="5634" width="73.75" customWidth="1"/>
    <col min="5889" max="5889" width="6" customWidth="1"/>
    <col min="5890" max="5890" width="73.75" customWidth="1"/>
    <col min="6145" max="6145" width="6" customWidth="1"/>
    <col min="6146" max="6146" width="73.75" customWidth="1"/>
    <col min="6401" max="6401" width="6" customWidth="1"/>
    <col min="6402" max="6402" width="73.75" customWidth="1"/>
    <col min="6657" max="6657" width="6" customWidth="1"/>
    <col min="6658" max="6658" width="73.75" customWidth="1"/>
    <col min="6913" max="6913" width="6" customWidth="1"/>
    <col min="6914" max="6914" width="73.75" customWidth="1"/>
    <col min="7169" max="7169" width="6" customWidth="1"/>
    <col min="7170" max="7170" width="73.75" customWidth="1"/>
    <col min="7425" max="7425" width="6" customWidth="1"/>
    <col min="7426" max="7426" width="73.75" customWidth="1"/>
    <col min="7681" max="7681" width="6" customWidth="1"/>
    <col min="7682" max="7682" width="73.75" customWidth="1"/>
    <col min="7937" max="7937" width="6" customWidth="1"/>
    <col min="7938" max="7938" width="73.75" customWidth="1"/>
    <col min="8193" max="8193" width="6" customWidth="1"/>
    <col min="8194" max="8194" width="73.75" customWidth="1"/>
    <col min="8449" max="8449" width="6" customWidth="1"/>
    <col min="8450" max="8450" width="73.75" customWidth="1"/>
    <col min="8705" max="8705" width="6" customWidth="1"/>
    <col min="8706" max="8706" width="73.75" customWidth="1"/>
    <col min="8961" max="8961" width="6" customWidth="1"/>
    <col min="8962" max="8962" width="73.75" customWidth="1"/>
    <col min="9217" max="9217" width="6" customWidth="1"/>
    <col min="9218" max="9218" width="73.75" customWidth="1"/>
    <col min="9473" max="9473" width="6" customWidth="1"/>
    <col min="9474" max="9474" width="73.75" customWidth="1"/>
    <col min="9729" max="9729" width="6" customWidth="1"/>
    <col min="9730" max="9730" width="73.75" customWidth="1"/>
    <col min="9985" max="9985" width="6" customWidth="1"/>
    <col min="9986" max="9986" width="73.75" customWidth="1"/>
    <col min="10241" max="10241" width="6" customWidth="1"/>
    <col min="10242" max="10242" width="73.75" customWidth="1"/>
    <col min="10497" max="10497" width="6" customWidth="1"/>
    <col min="10498" max="10498" width="73.75" customWidth="1"/>
    <col min="10753" max="10753" width="6" customWidth="1"/>
    <col min="10754" max="10754" width="73.75" customWidth="1"/>
    <col min="11009" max="11009" width="6" customWidth="1"/>
    <col min="11010" max="11010" width="73.75" customWidth="1"/>
    <col min="11265" max="11265" width="6" customWidth="1"/>
    <col min="11266" max="11266" width="73.75" customWidth="1"/>
    <col min="11521" max="11521" width="6" customWidth="1"/>
    <col min="11522" max="11522" width="73.75" customWidth="1"/>
    <col min="11777" max="11777" width="6" customWidth="1"/>
    <col min="11778" max="11778" width="73.75" customWidth="1"/>
    <col min="12033" max="12033" width="6" customWidth="1"/>
    <col min="12034" max="12034" width="73.75" customWidth="1"/>
    <col min="12289" max="12289" width="6" customWidth="1"/>
    <col min="12290" max="12290" width="73.75" customWidth="1"/>
    <col min="12545" max="12545" width="6" customWidth="1"/>
    <col min="12546" max="12546" width="73.75" customWidth="1"/>
    <col min="12801" max="12801" width="6" customWidth="1"/>
    <col min="12802" max="12802" width="73.75" customWidth="1"/>
    <col min="13057" max="13057" width="6" customWidth="1"/>
    <col min="13058" max="13058" width="73.75" customWidth="1"/>
    <col min="13313" max="13313" width="6" customWidth="1"/>
    <col min="13314" max="13314" width="73.75" customWidth="1"/>
    <col min="13569" max="13569" width="6" customWidth="1"/>
    <col min="13570" max="13570" width="73.75" customWidth="1"/>
    <col min="13825" max="13825" width="6" customWidth="1"/>
    <col min="13826" max="13826" width="73.75" customWidth="1"/>
    <col min="14081" max="14081" width="6" customWidth="1"/>
    <col min="14082" max="14082" width="73.75" customWidth="1"/>
    <col min="14337" max="14337" width="6" customWidth="1"/>
    <col min="14338" max="14338" width="73.75" customWidth="1"/>
    <col min="14593" max="14593" width="6" customWidth="1"/>
    <col min="14594" max="14594" width="73.75" customWidth="1"/>
    <col min="14849" max="14849" width="6" customWidth="1"/>
    <col min="14850" max="14850" width="73.75" customWidth="1"/>
    <col min="15105" max="15105" width="6" customWidth="1"/>
    <col min="15106" max="15106" width="73.75" customWidth="1"/>
    <col min="15361" max="15361" width="6" customWidth="1"/>
    <col min="15362" max="15362" width="73.75" customWidth="1"/>
    <col min="15617" max="15617" width="6" customWidth="1"/>
    <col min="15618" max="15618" width="73.75" customWidth="1"/>
    <col min="15873" max="15873" width="6" customWidth="1"/>
    <col min="15874" max="15874" width="73.75" customWidth="1"/>
    <col min="16129" max="16129" width="6" customWidth="1"/>
    <col min="16130" max="16130" width="73.75" customWidth="1"/>
  </cols>
  <sheetData>
    <row r="1" spans="1:2" x14ac:dyDescent="0.2">
      <c r="A1" s="235" t="s">
        <v>1147</v>
      </c>
      <c r="B1" s="236"/>
    </row>
    <row r="2" spans="1:2" x14ac:dyDescent="0.2">
      <c r="A2" s="36"/>
      <c r="B2" s="37"/>
    </row>
    <row r="3" spans="1:2" x14ac:dyDescent="0.2">
      <c r="A3" s="38"/>
      <c r="B3" s="39" t="s">
        <v>1148</v>
      </c>
    </row>
    <row r="4" spans="1:2" ht="33.75" x14ac:dyDescent="0.2">
      <c r="A4" s="40">
        <v>1</v>
      </c>
      <c r="B4" s="41" t="s">
        <v>1149</v>
      </c>
    </row>
    <row r="5" spans="1:2" x14ac:dyDescent="0.2">
      <c r="A5" s="40">
        <v>2</v>
      </c>
      <c r="B5" s="41" t="s">
        <v>1150</v>
      </c>
    </row>
    <row r="6" spans="1:2" ht="22.5" x14ac:dyDescent="0.2">
      <c r="A6" s="40" t="s">
        <v>1151</v>
      </c>
      <c r="B6" s="41" t="s">
        <v>1152</v>
      </c>
    </row>
    <row r="7" spans="1:2" x14ac:dyDescent="0.2">
      <c r="A7" s="40" t="s">
        <v>1153</v>
      </c>
      <c r="B7" s="41" t="s">
        <v>1154</v>
      </c>
    </row>
    <row r="8" spans="1:2" ht="22.5" x14ac:dyDescent="0.2">
      <c r="A8" s="40" t="s">
        <v>1155</v>
      </c>
      <c r="B8" s="41" t="s">
        <v>1156</v>
      </c>
    </row>
    <row r="9" spans="1:2" x14ac:dyDescent="0.2">
      <c r="A9" s="40" t="s">
        <v>1157</v>
      </c>
      <c r="B9" s="41" t="s">
        <v>1211</v>
      </c>
    </row>
    <row r="10" spans="1:2" ht="22.5" x14ac:dyDescent="0.2">
      <c r="A10" s="42" t="s">
        <v>1158</v>
      </c>
      <c r="B10" s="43" t="s">
        <v>1159</v>
      </c>
    </row>
    <row r="11" spans="1:2" x14ac:dyDescent="0.2">
      <c r="A11" s="44"/>
      <c r="B11" s="45"/>
    </row>
    <row r="12" spans="1:2" x14ac:dyDescent="0.2">
      <c r="A12" s="38" t="s">
        <v>677</v>
      </c>
      <c r="B12" s="39" t="s">
        <v>1160</v>
      </c>
    </row>
    <row r="13" spans="1:2" ht="22.5" x14ac:dyDescent="0.2">
      <c r="A13" s="40" t="s">
        <v>639</v>
      </c>
      <c r="B13" s="41" t="s">
        <v>1161</v>
      </c>
    </row>
    <row r="14" spans="1:2" ht="22.5" x14ac:dyDescent="0.2">
      <c r="A14" s="40" t="s">
        <v>661</v>
      </c>
      <c r="B14" s="41" t="s">
        <v>1162</v>
      </c>
    </row>
    <row r="15" spans="1:2" x14ac:dyDescent="0.2">
      <c r="A15" s="46" t="s">
        <v>699</v>
      </c>
      <c r="B15" s="47" t="s">
        <v>1163</v>
      </c>
    </row>
    <row r="16" spans="1:2" x14ac:dyDescent="0.2">
      <c r="A16" s="40" t="s">
        <v>653</v>
      </c>
      <c r="B16" s="41" t="s">
        <v>1164</v>
      </c>
    </row>
    <row r="17" spans="1:2" ht="22.5" x14ac:dyDescent="0.2">
      <c r="A17" s="40" t="s">
        <v>681</v>
      </c>
      <c r="B17" s="41" t="s">
        <v>1165</v>
      </c>
    </row>
    <row r="18" spans="1:2" ht="22.5" x14ac:dyDescent="0.2">
      <c r="A18" s="40" t="s">
        <v>683</v>
      </c>
      <c r="B18" s="41" t="s">
        <v>1166</v>
      </c>
    </row>
    <row r="19" spans="1:2" x14ac:dyDescent="0.2">
      <c r="A19" s="46" t="s">
        <v>712</v>
      </c>
      <c r="B19" s="47" t="s">
        <v>1167</v>
      </c>
    </row>
    <row r="20" spans="1:2" x14ac:dyDescent="0.2">
      <c r="A20" s="40" t="s">
        <v>702</v>
      </c>
      <c r="B20" s="41" t="s">
        <v>1168</v>
      </c>
    </row>
    <row r="21" spans="1:2" ht="22.5" x14ac:dyDescent="0.2">
      <c r="A21" s="40" t="s">
        <v>704</v>
      </c>
      <c r="B21" s="41" t="s">
        <v>1169</v>
      </c>
    </row>
    <row r="22" spans="1:2" ht="22.5" x14ac:dyDescent="0.2">
      <c r="A22" s="40" t="s">
        <v>706</v>
      </c>
      <c r="B22" s="41" t="s">
        <v>1170</v>
      </c>
    </row>
    <row r="23" spans="1:2" ht="22.5" x14ac:dyDescent="0.2">
      <c r="A23" s="40" t="s">
        <v>708</v>
      </c>
      <c r="B23" s="41" t="s">
        <v>1171</v>
      </c>
    </row>
    <row r="24" spans="1:2" x14ac:dyDescent="0.2">
      <c r="A24" s="46" t="s">
        <v>1172</v>
      </c>
      <c r="B24" s="47" t="s">
        <v>1173</v>
      </c>
    </row>
    <row r="25" spans="1:2" ht="33.75" x14ac:dyDescent="0.2">
      <c r="A25" s="40" t="s">
        <v>714</v>
      </c>
      <c r="B25" s="41" t="s">
        <v>1174</v>
      </c>
    </row>
    <row r="26" spans="1:2" ht="22.5" x14ac:dyDescent="0.2">
      <c r="A26" s="40" t="s">
        <v>716</v>
      </c>
      <c r="B26" s="41" t="s">
        <v>1175</v>
      </c>
    </row>
    <row r="27" spans="1:2" x14ac:dyDescent="0.2">
      <c r="A27" s="40" t="s">
        <v>1176</v>
      </c>
      <c r="B27" s="41" t="s">
        <v>1177</v>
      </c>
    </row>
    <row r="28" spans="1:2" x14ac:dyDescent="0.2">
      <c r="A28" s="46" t="s">
        <v>1178</v>
      </c>
      <c r="B28" s="47" t="s">
        <v>1179</v>
      </c>
    </row>
    <row r="29" spans="1:2" x14ac:dyDescent="0.2">
      <c r="A29" s="40" t="s">
        <v>1180</v>
      </c>
      <c r="B29" s="41" t="s">
        <v>1181</v>
      </c>
    </row>
    <row r="30" spans="1:2" x14ac:dyDescent="0.2">
      <c r="A30" s="48" t="s">
        <v>1182</v>
      </c>
      <c r="B30" s="49" t="s">
        <v>1183</v>
      </c>
    </row>
    <row r="31" spans="1:2" x14ac:dyDescent="0.2">
      <c r="A31" s="50" t="s">
        <v>1184</v>
      </c>
      <c r="B31" s="51" t="s">
        <v>1185</v>
      </c>
    </row>
    <row r="32" spans="1:2" ht="22.5" x14ac:dyDescent="0.2">
      <c r="A32" s="50" t="s">
        <v>1186</v>
      </c>
      <c r="B32" s="51" t="s">
        <v>1187</v>
      </c>
    </row>
    <row r="33" spans="1:2" ht="22.5" x14ac:dyDescent="0.2">
      <c r="A33" s="52" t="s">
        <v>1188</v>
      </c>
      <c r="B33" s="53" t="s">
        <v>1189</v>
      </c>
    </row>
  </sheetData>
  <mergeCells count="1">
    <mergeCell ref="A1:B1"/>
  </mergeCells>
  <printOptions horizontalCentered="1"/>
  <pageMargins left="0.59055118110236227" right="0.59055118110236227" top="0.59055118110236227" bottom="0.59055118110236227"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8F82C-4BF3-48A3-A58D-5F5B09C57C56}">
  <sheetPr>
    <pageSetUpPr fitToPage="1"/>
  </sheetPr>
  <dimension ref="A1:D21"/>
  <sheetViews>
    <sheetView showGridLines="0" workbookViewId="0"/>
  </sheetViews>
  <sheetFormatPr defaultRowHeight="11.25" x14ac:dyDescent="0.2"/>
  <cols>
    <col min="1" max="1" width="10" style="1" bestFit="1" customWidth="1"/>
    <col min="2" max="2" width="60" style="1" customWidth="1"/>
    <col min="3" max="3" width="10" style="1" customWidth="1"/>
    <col min="4" max="4" width="18.125" style="35" customWidth="1"/>
    <col min="5" max="16384" width="9" style="1"/>
  </cols>
  <sheetData>
    <row r="1" spans="1:4" s="61" customFormat="1" ht="14.25" customHeight="1" x14ac:dyDescent="0.2">
      <c r="A1" s="86" t="str">
        <f>'Orçamento Sintético'!A1</f>
        <v>P. Execução:</v>
      </c>
      <c r="B1" s="59" t="str">
        <f>'Orçamento Sintético'!D1</f>
        <v>Objeto: Adequações de acessibilidade – área interna - Edifício Infância</v>
      </c>
      <c r="C1" s="58" t="str">
        <f>'Orçamento Sintético'!C1</f>
        <v>Licitação:</v>
      </c>
      <c r="D1" s="239"/>
    </row>
    <row r="2" spans="1:4" s="61" customFormat="1" ht="14.25" customHeight="1" x14ac:dyDescent="0.2">
      <c r="A2" s="81" t="str">
        <f>'Orçamento Sintético'!A2</f>
        <v>A</v>
      </c>
      <c r="B2" s="63" t="str">
        <f>'Orçamento Sintético'!D2</f>
        <v>Local:  SEPN 711/911, Bloco B, Asa Norte, Brasília-DF</v>
      </c>
      <c r="C2" s="62" t="str">
        <f>'Orçamento Sintético'!C2</f>
        <v>B</v>
      </c>
      <c r="D2" s="240"/>
    </row>
    <row r="3" spans="1:4" s="61" customFormat="1" ht="14.25" x14ac:dyDescent="0.2">
      <c r="A3" s="84" t="str">
        <f>'Orçamento Sintético'!A3</f>
        <v>P. Validade:</v>
      </c>
      <c r="B3" s="84" t="str">
        <f>'Orçamento Sintético'!C3</f>
        <v>Razão Social:</v>
      </c>
      <c r="C3" s="86" t="str">
        <f>'Orçamento Sintético'!E1</f>
        <v>Data:</v>
      </c>
      <c r="D3" s="240"/>
    </row>
    <row r="4" spans="1:4" s="61" customFormat="1" ht="14.25" x14ac:dyDescent="0.2">
      <c r="A4" s="81" t="str">
        <f>'Orçamento Sintético'!A4</f>
        <v>C</v>
      </c>
      <c r="B4" s="97" t="str">
        <f>'Orçamento Sintético'!C4</f>
        <v>D</v>
      </c>
      <c r="C4" s="97">
        <f>'Orçamento Sintético'!E2</f>
        <v>1</v>
      </c>
      <c r="D4" s="240"/>
    </row>
    <row r="5" spans="1:4" s="61" customFormat="1" ht="14.25" x14ac:dyDescent="0.2">
      <c r="A5" s="86" t="str">
        <f>'Orçamento Sintético'!A5</f>
        <v>P. Garantia:</v>
      </c>
      <c r="B5" s="84" t="str">
        <f>'Orçamento Sintético'!C5</f>
        <v>CNPJ:</v>
      </c>
      <c r="C5" s="86" t="str">
        <f>'Orçamento Sintético'!E3</f>
        <v>Telefone:</v>
      </c>
      <c r="D5" s="240"/>
    </row>
    <row r="6" spans="1:4" s="61" customFormat="1" ht="14.25" x14ac:dyDescent="0.2">
      <c r="A6" s="81" t="str">
        <f>'Orçamento Sintético'!A6</f>
        <v>F</v>
      </c>
      <c r="B6" s="97" t="str">
        <f>'Orçamento Sintético'!C6</f>
        <v>G</v>
      </c>
      <c r="C6" s="97" t="str">
        <f>'Orçamento Sintético'!E4</f>
        <v>E</v>
      </c>
      <c r="D6" s="241"/>
    </row>
    <row r="7" spans="1:4" ht="12.75" x14ac:dyDescent="0.2">
      <c r="A7" s="237" t="s">
        <v>591</v>
      </c>
      <c r="B7" s="238"/>
      <c r="C7" s="238"/>
      <c r="D7" s="238"/>
    </row>
    <row r="8" spans="1:4" ht="30" customHeight="1" x14ac:dyDescent="0.2">
      <c r="A8" s="7" t="s">
        <v>1</v>
      </c>
      <c r="B8" s="7" t="s">
        <v>4</v>
      </c>
      <c r="C8" s="7" t="s">
        <v>8</v>
      </c>
      <c r="D8" s="7" t="s">
        <v>9</v>
      </c>
    </row>
    <row r="9" spans="1:4" s="2" customFormat="1" ht="24" customHeight="1" x14ac:dyDescent="0.2">
      <c r="A9" s="82" t="s">
        <v>10</v>
      </c>
      <c r="B9" s="82" t="str">
        <f>VLOOKUP(A9,'Orçamento Sintético'!$A:$H,4,0)</f>
        <v>SERVIÇOS TÉCNICOS-PROFISSIONAIS</v>
      </c>
      <c r="C9" s="3">
        <f>VLOOKUP(A9,'Orçamento Sintético'!$A:$H,8,0)</f>
        <v>233.94</v>
      </c>
      <c r="D9" s="98">
        <f>ROUND(C9/$D$19,4)</f>
        <v>2.9999999999999997E-4</v>
      </c>
    </row>
    <row r="10" spans="1:4" s="2" customFormat="1" ht="24" customHeight="1" x14ac:dyDescent="0.2">
      <c r="A10" s="82" t="s">
        <v>19</v>
      </c>
      <c r="B10" s="82" t="str">
        <f>VLOOKUP(A10,'Orçamento Sintético'!$A:$H,4,0)</f>
        <v>SERVIÇOS PRELIMINARES</v>
      </c>
      <c r="C10" s="3">
        <f>VLOOKUP(A10,'Orçamento Sintético'!$A:$H,8,0)</f>
        <v>17056.11</v>
      </c>
      <c r="D10" s="98">
        <f t="shared" ref="D10:D17" si="0">ROUND(C10/$D$19,4)</f>
        <v>2.3199999999999998E-2</v>
      </c>
    </row>
    <row r="11" spans="1:4" s="2" customFormat="1" ht="24" customHeight="1" x14ac:dyDescent="0.2">
      <c r="A11" s="82" t="s">
        <v>86</v>
      </c>
      <c r="B11" s="82" t="str">
        <f>VLOOKUP(A11,'Orçamento Sintético'!$A:$H,4,0)</f>
        <v>ARQUITETURA E ELEMENTOS DE URBANISMO</v>
      </c>
      <c r="C11" s="3">
        <f>VLOOKUP(A11,'Orçamento Sintético'!$A:$H,8,0)</f>
        <v>562070.9</v>
      </c>
      <c r="D11" s="98">
        <f t="shared" si="0"/>
        <v>0.76519999999999999</v>
      </c>
    </row>
    <row r="12" spans="1:4" s="2" customFormat="1" ht="24" customHeight="1" x14ac:dyDescent="0.2">
      <c r="A12" s="82" t="s">
        <v>318</v>
      </c>
      <c r="B12" s="82" t="str">
        <f>VLOOKUP(A12,'Orçamento Sintético'!$A:$H,4,0)</f>
        <v>INSTALAÇÕES HIDRÁULICAS E SANITÁRIAS</v>
      </c>
      <c r="C12" s="3">
        <f>VLOOKUP(A12,'Orçamento Sintético'!$A:$H,8,0)</f>
        <v>52788.7</v>
      </c>
      <c r="D12" s="98">
        <f t="shared" si="0"/>
        <v>7.1900000000000006E-2</v>
      </c>
    </row>
    <row r="13" spans="1:4" s="2" customFormat="1" ht="24" customHeight="1" x14ac:dyDescent="0.2">
      <c r="A13" s="82" t="s">
        <v>444</v>
      </c>
      <c r="B13" s="82" t="str">
        <f>VLOOKUP(A13,'Orçamento Sintético'!$A:$H,4,0)</f>
        <v>INSTALAÇÕES ELÉTRICAS E ELETRÔNICAS</v>
      </c>
      <c r="C13" s="3">
        <f>VLOOKUP(A13,'Orçamento Sintético'!$A:$H,8,0)</f>
        <v>54739.25</v>
      </c>
      <c r="D13" s="98">
        <f t="shared" si="0"/>
        <v>7.4499999999999997E-2</v>
      </c>
    </row>
    <row r="14" spans="1:4" s="2" customFormat="1" ht="24" customHeight="1" x14ac:dyDescent="0.2">
      <c r="A14" s="82" t="s">
        <v>509</v>
      </c>
      <c r="B14" s="82" t="str">
        <f>VLOOKUP(A14,'Orçamento Sintético'!$A:$H,4,0)</f>
        <v>INSTALAÇÕES MECÂNICAS E DE UTILIDADES</v>
      </c>
      <c r="C14" s="3">
        <f>VLOOKUP(A14,'Orçamento Sintético'!$A:$H,8,0)</f>
        <v>11508.09</v>
      </c>
      <c r="D14" s="98">
        <f t="shared" si="0"/>
        <v>1.5699999999999999E-2</v>
      </c>
    </row>
    <row r="15" spans="1:4" s="2" customFormat="1" ht="24" customHeight="1" x14ac:dyDescent="0.2">
      <c r="A15" s="82" t="s">
        <v>549</v>
      </c>
      <c r="B15" s="82" t="str">
        <f>VLOOKUP(A15,'Orçamento Sintético'!$A:$H,4,0)</f>
        <v>INSTALAÇÕES DE PREVENÇÃO E COMBATE A INCÊNDIO</v>
      </c>
      <c r="C15" s="3">
        <f>VLOOKUP(A15,'Orçamento Sintético'!$A:$H,8,0)</f>
        <v>128.58000000000001</v>
      </c>
      <c r="D15" s="98">
        <f t="shared" si="0"/>
        <v>2.0000000000000001E-4</v>
      </c>
    </row>
    <row r="16" spans="1:4" s="2" customFormat="1" ht="24" customHeight="1" x14ac:dyDescent="0.2">
      <c r="A16" s="82" t="s">
        <v>558</v>
      </c>
      <c r="B16" s="82" t="str">
        <f>VLOOKUP(A16,'Orçamento Sintético'!$A:$H,4,0)</f>
        <v>SERVIÇOS COMPLEMENTARES</v>
      </c>
      <c r="C16" s="3">
        <f>VLOOKUP(A16,'Orçamento Sintético'!$A:$H,8,0)</f>
        <v>13095.22</v>
      </c>
      <c r="D16" s="98">
        <f t="shared" si="0"/>
        <v>1.78E-2</v>
      </c>
    </row>
    <row r="17" spans="1:4" s="2" customFormat="1" ht="24" customHeight="1" x14ac:dyDescent="0.2">
      <c r="A17" s="82" t="s">
        <v>573</v>
      </c>
      <c r="B17" s="82" t="str">
        <f>VLOOKUP(A17,'Orçamento Sintético'!$A:$H,4,0)</f>
        <v>SERVIÇOS AUXILIARES E ADMINISTRATIVOS</v>
      </c>
      <c r="C17" s="3">
        <f>VLOOKUP(A17,'Orçamento Sintético'!$A:$H,8,0)</f>
        <v>22903.739999999998</v>
      </c>
      <c r="D17" s="98">
        <f t="shared" si="0"/>
        <v>3.1199999999999999E-2</v>
      </c>
    </row>
    <row r="18" spans="1:4" ht="12.75" x14ac:dyDescent="0.2">
      <c r="A18" s="33"/>
      <c r="B18" s="33"/>
      <c r="C18" s="33"/>
      <c r="D18" s="34"/>
    </row>
    <row r="19" spans="1:4" ht="12.75" customHeight="1" x14ac:dyDescent="0.2">
      <c r="A19" s="99"/>
      <c r="B19" s="99" t="s">
        <v>585</v>
      </c>
      <c r="C19" s="100"/>
      <c r="D19" s="100">
        <f>SUM(C9:C17)</f>
        <v>734524.52999999991</v>
      </c>
    </row>
    <row r="20" spans="1:4" ht="12.75" customHeight="1" x14ac:dyDescent="0.2">
      <c r="A20" s="99"/>
      <c r="B20" s="99" t="s">
        <v>586</v>
      </c>
      <c r="C20" s="101" t="str">
        <f>"("&amp;'Composição de BDI'!D23*100&amp;"%)"</f>
        <v>(22,12%)</v>
      </c>
      <c r="D20" s="100">
        <f>TRUNC(D19*'Composição de BDI'!D23,2)</f>
        <v>162476.82</v>
      </c>
    </row>
    <row r="21" spans="1:4" ht="12.75" customHeight="1" x14ac:dyDescent="0.2">
      <c r="A21" s="99"/>
      <c r="B21" s="99" t="s">
        <v>587</v>
      </c>
      <c r="C21" s="100"/>
      <c r="D21" s="100">
        <f>SUM(D19:D20)</f>
        <v>897001.34999999986</v>
      </c>
    </row>
  </sheetData>
  <mergeCells count="2">
    <mergeCell ref="A7:D7"/>
    <mergeCell ref="D1:D6"/>
  </mergeCells>
  <printOptions horizontalCentered="1"/>
  <pageMargins left="0.59055118110236227" right="0.59055118110236227" top="0.59055118110236227" bottom="0.59055118110236227" header="0.19685039370078741" footer="0.19685039370078741"/>
  <pageSetup paperSize="9" scale="8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18"/>
  <sheetViews>
    <sheetView showGridLines="0" workbookViewId="0"/>
  </sheetViews>
  <sheetFormatPr defaultRowHeight="14.25" x14ac:dyDescent="0.2"/>
  <cols>
    <col min="1" max="1" width="10" style="117" customWidth="1"/>
    <col min="2" max="2" width="10" style="123" customWidth="1"/>
    <col min="3" max="3" width="13.25" style="117" customWidth="1"/>
    <col min="4" max="4" width="60" style="124" customWidth="1"/>
    <col min="5" max="5" width="8" style="118" customWidth="1"/>
    <col min="6" max="7" width="13" style="125" customWidth="1"/>
    <col min="8" max="8" width="13" style="117" customWidth="1"/>
    <col min="9" max="16384" width="9" style="117"/>
  </cols>
  <sheetData>
    <row r="1" spans="1:8" s="116" customFormat="1" x14ac:dyDescent="0.2">
      <c r="A1" s="86" t="s">
        <v>1191</v>
      </c>
      <c r="B1" s="57"/>
      <c r="C1" s="58" t="s">
        <v>1192</v>
      </c>
      <c r="D1" s="70" t="s">
        <v>1210</v>
      </c>
      <c r="E1" s="86" t="s">
        <v>588</v>
      </c>
      <c r="F1" s="60"/>
      <c r="G1" s="249"/>
      <c r="H1" s="250"/>
    </row>
    <row r="2" spans="1:8" s="116" customFormat="1" x14ac:dyDescent="0.2">
      <c r="A2" s="242" t="s">
        <v>677</v>
      </c>
      <c r="B2" s="243"/>
      <c r="C2" s="62" t="s">
        <v>699</v>
      </c>
      <c r="D2" s="63" t="s">
        <v>1200</v>
      </c>
      <c r="E2" s="251">
        <v>1</v>
      </c>
      <c r="F2" s="252"/>
      <c r="G2" s="245"/>
      <c r="H2" s="246"/>
    </row>
    <row r="3" spans="1:8" s="116" customFormat="1" x14ac:dyDescent="0.2">
      <c r="A3" s="253" t="s">
        <v>1193</v>
      </c>
      <c r="B3" s="254"/>
      <c r="C3" s="253" t="s">
        <v>1194</v>
      </c>
      <c r="D3" s="254"/>
      <c r="E3" s="86" t="s">
        <v>1195</v>
      </c>
      <c r="F3" s="87"/>
      <c r="G3" s="64"/>
      <c r="H3" s="65"/>
    </row>
    <row r="4" spans="1:8" s="116" customFormat="1" x14ac:dyDescent="0.2">
      <c r="A4" s="242" t="s">
        <v>712</v>
      </c>
      <c r="B4" s="243"/>
      <c r="C4" s="242" t="s">
        <v>1172</v>
      </c>
      <c r="D4" s="243"/>
      <c r="E4" s="242" t="s">
        <v>1178</v>
      </c>
      <c r="F4" s="244"/>
      <c r="G4" s="245"/>
      <c r="H4" s="246"/>
    </row>
    <row r="5" spans="1:8" s="116" customFormat="1" x14ac:dyDescent="0.2">
      <c r="A5" s="66" t="s">
        <v>1196</v>
      </c>
      <c r="B5" s="88"/>
      <c r="C5" s="86" t="s">
        <v>1197</v>
      </c>
      <c r="D5" s="57"/>
      <c r="E5" s="86" t="s">
        <v>1198</v>
      </c>
      <c r="F5" s="87"/>
      <c r="G5" s="64"/>
      <c r="H5" s="65"/>
    </row>
    <row r="6" spans="1:8" s="116" customFormat="1" x14ac:dyDescent="0.2">
      <c r="A6" s="247" t="s">
        <v>1182</v>
      </c>
      <c r="B6" s="248"/>
      <c r="C6" s="242" t="s">
        <v>1199</v>
      </c>
      <c r="D6" s="243"/>
      <c r="E6" s="242" t="s">
        <v>584</v>
      </c>
      <c r="F6" s="244"/>
      <c r="G6" s="247"/>
      <c r="H6" s="248"/>
    </row>
    <row r="7" spans="1:8" ht="15" x14ac:dyDescent="0.25">
      <c r="A7" s="259" t="s">
        <v>0</v>
      </c>
      <c r="B7" s="260"/>
      <c r="C7" s="260"/>
      <c r="D7" s="260"/>
      <c r="E7" s="260"/>
      <c r="F7" s="260"/>
      <c r="G7" s="260"/>
      <c r="H7" s="260"/>
    </row>
    <row r="8" spans="1:8" s="118" customFormat="1" x14ac:dyDescent="0.2">
      <c r="A8" s="126" t="s">
        <v>1</v>
      </c>
      <c r="B8" s="127" t="s">
        <v>2</v>
      </c>
      <c r="C8" s="126" t="s">
        <v>3</v>
      </c>
      <c r="D8" s="126" t="s">
        <v>4</v>
      </c>
      <c r="E8" s="128" t="s">
        <v>5</v>
      </c>
      <c r="F8" s="129" t="s">
        <v>6</v>
      </c>
      <c r="G8" s="129" t="s">
        <v>7</v>
      </c>
      <c r="H8" s="130" t="s">
        <v>8</v>
      </c>
    </row>
    <row r="9" spans="1:8" x14ac:dyDescent="0.2">
      <c r="A9" s="131" t="s">
        <v>10</v>
      </c>
      <c r="B9" s="132"/>
      <c r="C9" s="131"/>
      <c r="D9" s="133" t="s">
        <v>11</v>
      </c>
      <c r="E9" s="134"/>
      <c r="F9" s="135"/>
      <c r="G9" s="136"/>
      <c r="H9" s="137">
        <f>H10</f>
        <v>233.94</v>
      </c>
    </row>
    <row r="10" spans="1:8" x14ac:dyDescent="0.2">
      <c r="A10" s="138" t="s">
        <v>12</v>
      </c>
      <c r="B10" s="139"/>
      <c r="C10" s="138"/>
      <c r="D10" s="140" t="s">
        <v>13</v>
      </c>
      <c r="E10" s="141"/>
      <c r="F10" s="142"/>
      <c r="G10" s="143"/>
      <c r="H10" s="144">
        <f>H11</f>
        <v>233.94</v>
      </c>
    </row>
    <row r="11" spans="1:8" x14ac:dyDescent="0.2">
      <c r="A11" s="166" t="s">
        <v>14</v>
      </c>
      <c r="B11" s="113" t="s">
        <v>15</v>
      </c>
      <c r="C11" s="113" t="s">
        <v>16</v>
      </c>
      <c r="D11" s="114" t="s">
        <v>17</v>
      </c>
      <c r="E11" s="113" t="s">
        <v>18</v>
      </c>
      <c r="F11" s="167">
        <v>1</v>
      </c>
      <c r="G11" s="115">
        <f>VLOOKUP(A11,'Orçamento Analítico'!$A:$H,8,0)</f>
        <v>233.94</v>
      </c>
      <c r="H11" s="115">
        <f>TRUNC(F11*G11,2)</f>
        <v>233.94</v>
      </c>
    </row>
    <row r="12" spans="1:8" x14ac:dyDescent="0.2">
      <c r="A12" s="131" t="s">
        <v>19</v>
      </c>
      <c r="B12" s="132"/>
      <c r="C12" s="131"/>
      <c r="D12" s="133" t="s">
        <v>20</v>
      </c>
      <c r="E12" s="134"/>
      <c r="F12" s="135"/>
      <c r="G12" s="136"/>
      <c r="H12" s="137">
        <f>H13+H17</f>
        <v>17056.11</v>
      </c>
    </row>
    <row r="13" spans="1:8" x14ac:dyDescent="0.2">
      <c r="A13" s="138" t="s">
        <v>21</v>
      </c>
      <c r="B13" s="139"/>
      <c r="C13" s="138"/>
      <c r="D13" s="140" t="s">
        <v>22</v>
      </c>
      <c r="E13" s="141"/>
      <c r="F13" s="142"/>
      <c r="G13" s="143"/>
      <c r="H13" s="144">
        <f>H14</f>
        <v>1012.4</v>
      </c>
    </row>
    <row r="14" spans="1:8" x14ac:dyDescent="0.2">
      <c r="A14" s="146" t="s">
        <v>23</v>
      </c>
      <c r="B14" s="147"/>
      <c r="C14" s="146"/>
      <c r="D14" s="148" t="s">
        <v>24</v>
      </c>
      <c r="E14" s="149"/>
      <c r="F14" s="150"/>
      <c r="G14" s="151"/>
      <c r="H14" s="152">
        <f>SUM(H15:H16)</f>
        <v>1012.4</v>
      </c>
    </row>
    <row r="15" spans="1:8" x14ac:dyDescent="0.2">
      <c r="A15" s="166" t="s">
        <v>25</v>
      </c>
      <c r="B15" s="113">
        <v>97051</v>
      </c>
      <c r="C15" s="113" t="str">
        <f>VLOOKUP(B15,'Insumos e Serviços'!$A:$F,2,0)</f>
        <v>SINAPI</v>
      </c>
      <c r="D15" s="114" t="str">
        <f>VLOOKUP(B15,'Insumos e Serviços'!$A:$F,4,0)</f>
        <v>SINALIZAÇÃO COM FITA FIXADA NA ESTRUTURA. AF_11/2017</v>
      </c>
      <c r="E15" s="113" t="str">
        <f>VLOOKUP(B15,'Insumos e Serviços'!$A:$F,5,0)</f>
        <v>M</v>
      </c>
      <c r="F15" s="167">
        <v>120</v>
      </c>
      <c r="G15" s="115">
        <f>VLOOKUP(B15,'Insumos e Serviços'!$A:$F,6,0)</f>
        <v>2.65</v>
      </c>
      <c r="H15" s="115">
        <f t="shared" ref="H15:H16" si="0">TRUNC(F15*G15,2)</f>
        <v>318</v>
      </c>
    </row>
    <row r="16" spans="1:8" x14ac:dyDescent="0.2">
      <c r="A16" s="166" t="s">
        <v>29</v>
      </c>
      <c r="B16" s="113" t="s">
        <v>30</v>
      </c>
      <c r="C16" s="113" t="s">
        <v>16</v>
      </c>
      <c r="D16" s="114" t="s">
        <v>31</v>
      </c>
      <c r="E16" s="113" t="s">
        <v>32</v>
      </c>
      <c r="F16" s="167">
        <v>160</v>
      </c>
      <c r="G16" s="115">
        <f>VLOOKUP(A16,'Orçamento Analítico'!$A:$H,8,0)</f>
        <v>4.34</v>
      </c>
      <c r="H16" s="115">
        <f t="shared" si="0"/>
        <v>694.4</v>
      </c>
    </row>
    <row r="17" spans="1:8" x14ac:dyDescent="0.2">
      <c r="A17" s="138" t="s">
        <v>33</v>
      </c>
      <c r="B17" s="139"/>
      <c r="C17" s="138"/>
      <c r="D17" s="140" t="s">
        <v>34</v>
      </c>
      <c r="E17" s="141"/>
      <c r="F17" s="142"/>
      <c r="G17" s="143"/>
      <c r="H17" s="144">
        <f>H18+H24</f>
        <v>16043.71</v>
      </c>
    </row>
    <row r="18" spans="1:8" x14ac:dyDescent="0.2">
      <c r="A18" s="146" t="s">
        <v>35</v>
      </c>
      <c r="B18" s="147"/>
      <c r="C18" s="146"/>
      <c r="D18" s="148" t="s">
        <v>36</v>
      </c>
      <c r="E18" s="149"/>
      <c r="F18" s="150"/>
      <c r="G18" s="151"/>
      <c r="H18" s="152">
        <f>SUM(H19:H23)</f>
        <v>7643.44</v>
      </c>
    </row>
    <row r="19" spans="1:8" ht="22.5" x14ac:dyDescent="0.2">
      <c r="A19" s="166" t="s">
        <v>37</v>
      </c>
      <c r="B19" s="113">
        <v>97622</v>
      </c>
      <c r="C19" s="113" t="str">
        <f>VLOOKUP(B19,'Insumos e Serviços'!$A:$F,2,0)</f>
        <v>SINAPI</v>
      </c>
      <c r="D19" s="114" t="str">
        <f>VLOOKUP(B19,'Insumos e Serviços'!$A:$F,4,0)</f>
        <v>DEMOLIÇÃO DE ALVENARIA DE BLOCO FURADO, DE FORMA MANUAL, SEM REAPROVEITAMENTO. AF_12/2017</v>
      </c>
      <c r="E19" s="113" t="str">
        <f>VLOOKUP(B19,'Insumos e Serviços'!$A:$F,5,0)</f>
        <v>m³</v>
      </c>
      <c r="F19" s="167">
        <v>8</v>
      </c>
      <c r="G19" s="115">
        <f>VLOOKUP(B19,'Insumos e Serviços'!$A:$F,6,0)</f>
        <v>45.14</v>
      </c>
      <c r="H19" s="115">
        <f t="shared" ref="H19:H23" si="1">TRUNC(F19*G19,2)</f>
        <v>361.12</v>
      </c>
    </row>
    <row r="20" spans="1:8" ht="22.5" x14ac:dyDescent="0.2">
      <c r="A20" s="166" t="s">
        <v>40</v>
      </c>
      <c r="B20" s="113">
        <v>97632</v>
      </c>
      <c r="C20" s="113" t="str">
        <f>VLOOKUP(B20,'Insumos e Serviços'!$A:$F,2,0)</f>
        <v>SINAPI</v>
      </c>
      <c r="D20" s="114" t="str">
        <f>VLOOKUP(B20,'Insumos e Serviços'!$A:$F,4,0)</f>
        <v>DEMOLIÇÃO DE RODAPÉ CERÂMICO, DE FORMA MANUAL, SEM REAPROVEITAMENTO. AF_12/2017</v>
      </c>
      <c r="E20" s="113" t="str">
        <f>VLOOKUP(B20,'Insumos e Serviços'!$A:$F,5,0)</f>
        <v>M</v>
      </c>
      <c r="F20" s="167">
        <v>642</v>
      </c>
      <c r="G20" s="115">
        <f>VLOOKUP(B20,'Insumos e Serviços'!$A:$F,6,0)</f>
        <v>2.08</v>
      </c>
      <c r="H20" s="115">
        <f t="shared" si="1"/>
        <v>1335.36</v>
      </c>
    </row>
    <row r="21" spans="1:8" ht="22.5" x14ac:dyDescent="0.2">
      <c r="A21" s="166" t="s">
        <v>42</v>
      </c>
      <c r="B21" s="113">
        <v>97634</v>
      </c>
      <c r="C21" s="113" t="str">
        <f>VLOOKUP(B21,'Insumos e Serviços'!$A:$F,2,0)</f>
        <v>SINAPI</v>
      </c>
      <c r="D21" s="114" t="str">
        <f>VLOOKUP(B21,'Insumos e Serviços'!$A:$F,4,0)</f>
        <v>DEMOLIÇÃO DE REVESTIMENTO CERÂMICO, DE FORMA MECANIZADA COM MARTELETE, SEM REAPROVEITAMENTO. AF_12/2017</v>
      </c>
      <c r="E21" s="113" t="str">
        <f>VLOOKUP(B21,'Insumos e Serviços'!$A:$F,5,0)</f>
        <v>m²</v>
      </c>
      <c r="F21" s="167">
        <v>470</v>
      </c>
      <c r="G21" s="115">
        <f>VLOOKUP(B21,'Insumos e Serviços'!$A:$F,6,0)</f>
        <v>9.98</v>
      </c>
      <c r="H21" s="115">
        <f t="shared" si="1"/>
        <v>4690.6000000000004</v>
      </c>
    </row>
    <row r="22" spans="1:8" x14ac:dyDescent="0.2">
      <c r="A22" s="166" t="s">
        <v>44</v>
      </c>
      <c r="B22" s="113" t="s">
        <v>45</v>
      </c>
      <c r="C22" s="113" t="s">
        <v>16</v>
      </c>
      <c r="D22" s="114" t="s">
        <v>46</v>
      </c>
      <c r="E22" s="113" t="s">
        <v>39</v>
      </c>
      <c r="F22" s="167">
        <v>4</v>
      </c>
      <c r="G22" s="115">
        <f>VLOOKUP(A22,'Orçamento Analítico'!$A:$H,8,0)</f>
        <v>268.28999999999996</v>
      </c>
      <c r="H22" s="115">
        <f t="shared" si="1"/>
        <v>1073.1600000000001</v>
      </c>
    </row>
    <row r="23" spans="1:8" ht="22.5" x14ac:dyDescent="0.2">
      <c r="A23" s="166" t="s">
        <v>47</v>
      </c>
      <c r="B23" s="113" t="s">
        <v>48</v>
      </c>
      <c r="C23" s="113" t="str">
        <f>VLOOKUP(B23,'Insumos e Serviços'!$A:$F,2,0)</f>
        <v>SINAPI</v>
      </c>
      <c r="D23" s="114" t="str">
        <f>VLOOKUP(B23,'Insumos e Serviços'!$A:$F,4,0)</f>
        <v>RASGO EM ALVENARIA PARA RAMAIS/ DISTRIBUIÇÃO COM DIAMETROS MENORES OU IGUAIS A 40 MM. AF_05/2015</v>
      </c>
      <c r="E23" s="113" t="str">
        <f>VLOOKUP(B23,'Insumos e Serviços'!$A:$F,5,0)</f>
        <v>m</v>
      </c>
      <c r="F23" s="167">
        <v>16</v>
      </c>
      <c r="G23" s="115">
        <f>VLOOKUP(B23,'Insumos e Serviços'!$A:$F,6,0)</f>
        <v>11.45</v>
      </c>
      <c r="H23" s="115">
        <f t="shared" si="1"/>
        <v>183.2</v>
      </c>
    </row>
    <row r="24" spans="1:8" x14ac:dyDescent="0.2">
      <c r="A24" s="146" t="s">
        <v>50</v>
      </c>
      <c r="B24" s="147"/>
      <c r="C24" s="146"/>
      <c r="D24" s="148" t="s">
        <v>51</v>
      </c>
      <c r="E24" s="149"/>
      <c r="F24" s="150"/>
      <c r="G24" s="151"/>
      <c r="H24" s="152">
        <f>SUM(H25:H35)</f>
        <v>8400.27</v>
      </c>
    </row>
    <row r="25" spans="1:8" x14ac:dyDescent="0.2">
      <c r="A25" s="166" t="s">
        <v>52</v>
      </c>
      <c r="B25" s="113" t="s">
        <v>53</v>
      </c>
      <c r="C25" s="113" t="s">
        <v>16</v>
      </c>
      <c r="D25" s="114" t="s">
        <v>54</v>
      </c>
      <c r="E25" s="113" t="s">
        <v>32</v>
      </c>
      <c r="F25" s="167">
        <v>129</v>
      </c>
      <c r="G25" s="115">
        <f>VLOOKUP(A25,'Orçamento Analítico'!$A:$H,8,0)</f>
        <v>12.21</v>
      </c>
      <c r="H25" s="115">
        <f t="shared" ref="H25:H35" si="2">TRUNC(F25*G25,2)</f>
        <v>1575.09</v>
      </c>
    </row>
    <row r="26" spans="1:8" x14ac:dyDescent="0.2">
      <c r="A26" s="166" t="s">
        <v>55</v>
      </c>
      <c r="B26" s="113" t="s">
        <v>56</v>
      </c>
      <c r="C26" s="113" t="s">
        <v>16</v>
      </c>
      <c r="D26" s="114" t="s">
        <v>57</v>
      </c>
      <c r="E26" s="113" t="s">
        <v>32</v>
      </c>
      <c r="F26" s="167">
        <v>433</v>
      </c>
      <c r="G26" s="115">
        <f>VLOOKUP(A26,'Orçamento Analítico'!$A:$H,8,0)</f>
        <v>8.0500000000000007</v>
      </c>
      <c r="H26" s="115">
        <f t="shared" si="2"/>
        <v>3485.65</v>
      </c>
    </row>
    <row r="27" spans="1:8" x14ac:dyDescent="0.2">
      <c r="A27" s="166" t="s">
        <v>58</v>
      </c>
      <c r="B27" s="113" t="s">
        <v>59</v>
      </c>
      <c r="C27" s="113" t="s">
        <v>16</v>
      </c>
      <c r="D27" s="114" t="s">
        <v>60</v>
      </c>
      <c r="E27" s="113" t="s">
        <v>28</v>
      </c>
      <c r="F27" s="167">
        <v>138</v>
      </c>
      <c r="G27" s="115">
        <f>VLOOKUP(A27,'Orçamento Analítico'!$A:$H,8,0)</f>
        <v>5.25</v>
      </c>
      <c r="H27" s="115">
        <f t="shared" si="2"/>
        <v>724.5</v>
      </c>
    </row>
    <row r="28" spans="1:8" x14ac:dyDescent="0.2">
      <c r="A28" s="166" t="s">
        <v>61</v>
      </c>
      <c r="B28" s="113" t="s">
        <v>62</v>
      </c>
      <c r="C28" s="113" t="s">
        <v>16</v>
      </c>
      <c r="D28" s="114" t="s">
        <v>63</v>
      </c>
      <c r="E28" s="113" t="s">
        <v>32</v>
      </c>
      <c r="F28" s="167">
        <v>2</v>
      </c>
      <c r="G28" s="115">
        <f>VLOOKUP(A28,'Orçamento Analítico'!$A:$H,8,0)</f>
        <v>66.31</v>
      </c>
      <c r="H28" s="115">
        <f t="shared" si="2"/>
        <v>132.62</v>
      </c>
    </row>
    <row r="29" spans="1:8" x14ac:dyDescent="0.2">
      <c r="A29" s="166" t="s">
        <v>64</v>
      </c>
      <c r="B29" s="113" t="s">
        <v>65</v>
      </c>
      <c r="C29" s="113" t="str">
        <f>VLOOKUP(B29,'Insumos e Serviços'!$A:$F,2,0)</f>
        <v>SINAPI</v>
      </c>
      <c r="D29" s="114" t="str">
        <f>VLOOKUP(B29,'Insumos e Serviços'!$A:$F,4,0)</f>
        <v>REMOÇÃO DE LOUÇAS, DE FORMA MANUAL, SEM REAPROVEITAMENTO. AF_12/2017</v>
      </c>
      <c r="E29" s="113" t="str">
        <f>VLOOKUP(B29,'Insumos e Serviços'!$A:$F,5,0)</f>
        <v>UN</v>
      </c>
      <c r="F29" s="167">
        <v>75</v>
      </c>
      <c r="G29" s="115">
        <f>VLOOKUP(B29,'Insumos e Serviços'!$A:$F,6,0)</f>
        <v>9.91</v>
      </c>
      <c r="H29" s="115">
        <f t="shared" si="2"/>
        <v>743.25</v>
      </c>
    </row>
    <row r="30" spans="1:8" ht="22.5" x14ac:dyDescent="0.2">
      <c r="A30" s="166" t="s">
        <v>68</v>
      </c>
      <c r="B30" s="113" t="s">
        <v>69</v>
      </c>
      <c r="C30" s="113" t="str">
        <f>VLOOKUP(B30,'Insumos e Serviços'!$A:$F,2,0)</f>
        <v>SINAPI</v>
      </c>
      <c r="D30" s="114" t="str">
        <f>VLOOKUP(B30,'Insumos e Serviços'!$A:$F,4,0)</f>
        <v>REMOÇÃO DE METAIS SANITÁRIOS, DE FORMA MANUAL, SEM REAPROVEITAMENTO. AF_12/2017</v>
      </c>
      <c r="E30" s="113" t="str">
        <f>VLOOKUP(B30,'Insumos e Serviços'!$A:$F,5,0)</f>
        <v>UN</v>
      </c>
      <c r="F30" s="167">
        <v>75</v>
      </c>
      <c r="G30" s="115">
        <f>VLOOKUP(B30,'Insumos e Serviços'!$A:$F,6,0)</f>
        <v>7.22</v>
      </c>
      <c r="H30" s="115">
        <f t="shared" si="2"/>
        <v>541.5</v>
      </c>
    </row>
    <row r="31" spans="1:8" x14ac:dyDescent="0.2">
      <c r="A31" s="166" t="s">
        <v>71</v>
      </c>
      <c r="B31" s="113" t="s">
        <v>72</v>
      </c>
      <c r="C31" s="113" t="str">
        <f>VLOOKUP(B31,'Insumos e Serviços'!$A:$F,2,0)</f>
        <v>SINAPI</v>
      </c>
      <c r="D31" s="114" t="str">
        <f>VLOOKUP(B31,'Insumos e Serviços'!$A:$F,4,0)</f>
        <v>REMOÇÃO DE LUMINÁRIAS, DE FORMA MANUAL, SEM REAPROVEITAMENTO. AF_12/2017</v>
      </c>
      <c r="E31" s="113" t="str">
        <f>VLOOKUP(B31,'Insumos e Serviços'!$A:$F,5,0)</f>
        <v>UN</v>
      </c>
      <c r="F31" s="167">
        <v>28</v>
      </c>
      <c r="G31" s="115">
        <f>VLOOKUP(B31,'Insumos e Serviços'!$A:$F,6,0)</f>
        <v>1.03</v>
      </c>
      <c r="H31" s="115">
        <f t="shared" si="2"/>
        <v>28.84</v>
      </c>
    </row>
    <row r="32" spans="1:8" x14ac:dyDescent="0.2">
      <c r="A32" s="166" t="s">
        <v>74</v>
      </c>
      <c r="B32" s="113" t="s">
        <v>75</v>
      </c>
      <c r="C32" s="113" t="str">
        <f>VLOOKUP(B32,'Insumos e Serviços'!$A:$F,2,0)</f>
        <v>SINAPI</v>
      </c>
      <c r="D32" s="114" t="str">
        <f>VLOOKUP(B32,'Insumos e Serviços'!$A:$F,4,0)</f>
        <v>REMOÇÃO DE PORTAS, DE FORMA MANUAL, SEM REAPROVEITAMENTO. AF_12/2017</v>
      </c>
      <c r="E32" s="113" t="str">
        <f>VLOOKUP(B32,'Insumos e Serviços'!$A:$F,5,0)</f>
        <v>m²</v>
      </c>
      <c r="F32" s="167">
        <v>15</v>
      </c>
      <c r="G32" s="115">
        <f>VLOOKUP(B32,'Insumos e Serviços'!$A:$F,6,0)</f>
        <v>7.48</v>
      </c>
      <c r="H32" s="115">
        <f t="shared" si="2"/>
        <v>112.2</v>
      </c>
    </row>
    <row r="33" spans="1:8" x14ac:dyDescent="0.2">
      <c r="A33" s="166" t="s">
        <v>77</v>
      </c>
      <c r="B33" s="113" t="s">
        <v>78</v>
      </c>
      <c r="C33" s="113" t="s">
        <v>16</v>
      </c>
      <c r="D33" s="114" t="s">
        <v>79</v>
      </c>
      <c r="E33" s="113" t="s">
        <v>32</v>
      </c>
      <c r="F33" s="167">
        <v>16</v>
      </c>
      <c r="G33" s="115">
        <f>VLOOKUP(A33,'Orçamento Analítico'!$A:$H,8,0)</f>
        <v>24.25</v>
      </c>
      <c r="H33" s="115">
        <f t="shared" si="2"/>
        <v>388</v>
      </c>
    </row>
    <row r="34" spans="1:8" ht="22.5" x14ac:dyDescent="0.2">
      <c r="A34" s="166" t="s">
        <v>80</v>
      </c>
      <c r="B34" s="113" t="s">
        <v>81</v>
      </c>
      <c r="C34" s="113" t="s">
        <v>16</v>
      </c>
      <c r="D34" s="114" t="s">
        <v>82</v>
      </c>
      <c r="E34" s="113" t="s">
        <v>32</v>
      </c>
      <c r="F34" s="167">
        <v>2</v>
      </c>
      <c r="G34" s="115">
        <f>VLOOKUP(A34,'Orçamento Analítico'!$A:$H,8,0)</f>
        <v>51.51</v>
      </c>
      <c r="H34" s="115">
        <f t="shared" si="2"/>
        <v>103.02</v>
      </c>
    </row>
    <row r="35" spans="1:8" ht="22.5" x14ac:dyDescent="0.2">
      <c r="A35" s="166" t="s">
        <v>83</v>
      </c>
      <c r="B35" s="113" t="s">
        <v>84</v>
      </c>
      <c r="C35" s="113" t="str">
        <f>VLOOKUP(B35,'Insumos e Serviços'!$A:$F,2,0)</f>
        <v>SINAPI</v>
      </c>
      <c r="D35" s="114" t="str">
        <f>VLOOKUP(B35,'Insumos e Serviços'!$A:$F,4,0)</f>
        <v>REMOÇÃO DE FORRO DE GESSO, DE FORMA MANUAL, SEM REAPROVEITAMENTO. AF_12/2017</v>
      </c>
      <c r="E35" s="113" t="str">
        <f>VLOOKUP(B35,'Insumos e Serviços'!$A:$F,5,0)</f>
        <v>m²</v>
      </c>
      <c r="F35" s="167">
        <v>140</v>
      </c>
      <c r="G35" s="115">
        <f>VLOOKUP(B35,'Insumos e Serviços'!$A:$F,6,0)</f>
        <v>4.04</v>
      </c>
      <c r="H35" s="115">
        <f t="shared" si="2"/>
        <v>565.6</v>
      </c>
    </row>
    <row r="36" spans="1:8" x14ac:dyDescent="0.2">
      <c r="A36" s="131" t="s">
        <v>86</v>
      </c>
      <c r="B36" s="132"/>
      <c r="C36" s="131"/>
      <c r="D36" s="133" t="s">
        <v>87</v>
      </c>
      <c r="E36" s="134"/>
      <c r="F36" s="135"/>
      <c r="G36" s="136"/>
      <c r="H36" s="137">
        <f>H37</f>
        <v>562070.9</v>
      </c>
    </row>
    <row r="37" spans="1:8" x14ac:dyDescent="0.2">
      <c r="A37" s="146" t="s">
        <v>88</v>
      </c>
      <c r="B37" s="147"/>
      <c r="C37" s="146"/>
      <c r="D37" s="148" t="s">
        <v>89</v>
      </c>
      <c r="E37" s="149"/>
      <c r="F37" s="150"/>
      <c r="G37" s="151"/>
      <c r="H37" s="152">
        <f>H38+H43+H47+H49+H58+H64+H67+H76+H78+H81+H85+H111</f>
        <v>562070.9</v>
      </c>
    </row>
    <row r="38" spans="1:8" x14ac:dyDescent="0.2">
      <c r="A38" s="138" t="s">
        <v>90</v>
      </c>
      <c r="B38" s="139"/>
      <c r="C38" s="138"/>
      <c r="D38" s="140" t="s">
        <v>91</v>
      </c>
      <c r="E38" s="141"/>
      <c r="F38" s="142"/>
      <c r="G38" s="143"/>
      <c r="H38" s="144">
        <f>SUM(H39:H42)</f>
        <v>175973.84</v>
      </c>
    </row>
    <row r="39" spans="1:8" ht="33.75" x14ac:dyDescent="0.2">
      <c r="A39" s="166" t="s">
        <v>92</v>
      </c>
      <c r="B39" s="113" t="s">
        <v>93</v>
      </c>
      <c r="C39" s="113" t="str">
        <f>VLOOKUP(B39,'Insumos e Serviços'!$A:$F,2,0)</f>
        <v>SINAPI</v>
      </c>
      <c r="D39" s="114" t="str">
        <f>VLOOKUP(B39,'Insumos e Serviços'!$A:$F,4,0)</f>
        <v>ALVENARIA DE VEDAÇÃO DE BLOCOS CERÂMICOS FURADOS NA HORIZONTAL DE 9X14X19CM (ESPESSURA 9CM) DE PAREDES COM ÁREA LÍQUIDA MENOR QUE 6M² COM VÃOS E ARGAMASSA DE ASSENTAMENTO COM PREPARO EM BETONEIRA. AF_06/2014</v>
      </c>
      <c r="E39" s="113" t="str">
        <f>VLOOKUP(B39,'Insumos e Serviços'!$A:$F,5,0)</f>
        <v>m²</v>
      </c>
      <c r="F39" s="167">
        <v>48</v>
      </c>
      <c r="G39" s="115">
        <f>VLOOKUP(B39,'Insumos e Serviços'!$A:$F,6,0)</f>
        <v>110.47</v>
      </c>
      <c r="H39" s="115">
        <f t="shared" ref="H39:H42" si="3">TRUNC(F39*G39,2)</f>
        <v>5302.56</v>
      </c>
    </row>
    <row r="40" spans="1:8" ht="22.5" x14ac:dyDescent="0.2">
      <c r="A40" s="166" t="s">
        <v>95</v>
      </c>
      <c r="B40" s="113" t="s">
        <v>96</v>
      </c>
      <c r="C40" s="113" t="str">
        <f>VLOOKUP(B40,'Insumos e Serviços'!$A:$F,2,0)</f>
        <v>SINAPI</v>
      </c>
      <c r="D40" s="114" t="str">
        <f>VLOOKUP(B40,'Insumos e Serviços'!$A:$F,4,0)</f>
        <v>FIXAÇÃO (ENCUNHAMENTO) DE ALVENARIA DE VEDAÇÃO COM TIJOLO MACIÇO. AF_03/2016</v>
      </c>
      <c r="E40" s="113" t="str">
        <f>VLOOKUP(B40,'Insumos e Serviços'!$A:$F,5,0)</f>
        <v>M</v>
      </c>
      <c r="F40" s="167">
        <v>13</v>
      </c>
      <c r="G40" s="115">
        <f>VLOOKUP(B40,'Insumos e Serviços'!$A:$F,6,0)</f>
        <v>23.93</v>
      </c>
      <c r="H40" s="115">
        <f t="shared" si="3"/>
        <v>311.08999999999997</v>
      </c>
    </row>
    <row r="41" spans="1:8" ht="33.75" x14ac:dyDescent="0.2">
      <c r="A41" s="166" t="s">
        <v>98</v>
      </c>
      <c r="B41" s="113" t="s">
        <v>99</v>
      </c>
      <c r="C41" s="113" t="s">
        <v>16</v>
      </c>
      <c r="D41" s="114" t="s">
        <v>100</v>
      </c>
      <c r="E41" s="113" t="s">
        <v>32</v>
      </c>
      <c r="F41" s="167">
        <v>140</v>
      </c>
      <c r="G41" s="115">
        <f>VLOOKUP(A41,'Orçamento Analítico'!$A:$H,8,0)</f>
        <v>1215.6300000000001</v>
      </c>
      <c r="H41" s="115">
        <f t="shared" si="3"/>
        <v>170188.2</v>
      </c>
    </row>
    <row r="42" spans="1:8" x14ac:dyDescent="0.2">
      <c r="A42" s="166" t="s">
        <v>101</v>
      </c>
      <c r="B42" s="113" t="s">
        <v>102</v>
      </c>
      <c r="C42" s="113" t="s">
        <v>16</v>
      </c>
      <c r="D42" s="114" t="s">
        <v>103</v>
      </c>
      <c r="E42" s="113" t="s">
        <v>104</v>
      </c>
      <c r="F42" s="167">
        <v>3</v>
      </c>
      <c r="G42" s="115">
        <f>VLOOKUP(A42,'Orçamento Analítico'!$A:$H,8,0)</f>
        <v>57.33</v>
      </c>
      <c r="H42" s="115">
        <f t="shared" si="3"/>
        <v>171.99</v>
      </c>
    </row>
    <row r="43" spans="1:8" x14ac:dyDescent="0.2">
      <c r="A43" s="138" t="s">
        <v>105</v>
      </c>
      <c r="B43" s="139"/>
      <c r="C43" s="138"/>
      <c r="D43" s="140" t="s">
        <v>106</v>
      </c>
      <c r="E43" s="141"/>
      <c r="F43" s="142"/>
      <c r="G43" s="143"/>
      <c r="H43" s="144">
        <f>SUM(H44:H46)</f>
        <v>29055.289999999997</v>
      </c>
    </row>
    <row r="44" spans="1:8" ht="22.5" x14ac:dyDescent="0.2">
      <c r="A44" s="166" t="s">
        <v>107</v>
      </c>
      <c r="B44" s="113" t="s">
        <v>108</v>
      </c>
      <c r="C44" s="113" t="s">
        <v>16</v>
      </c>
      <c r="D44" s="114" t="s">
        <v>109</v>
      </c>
      <c r="E44" s="113" t="s">
        <v>110</v>
      </c>
      <c r="F44" s="167">
        <v>3</v>
      </c>
      <c r="G44" s="115">
        <f>VLOOKUP(A44,'Orçamento Analítico'!$A:$H,8,0)</f>
        <v>2059.2200000000003</v>
      </c>
      <c r="H44" s="115">
        <f t="shared" ref="H44:H46" si="4">TRUNC(F44*G44,2)</f>
        <v>6177.66</v>
      </c>
    </row>
    <row r="45" spans="1:8" ht="22.5" x14ac:dyDescent="0.2">
      <c r="A45" s="166" t="s">
        <v>111</v>
      </c>
      <c r="B45" s="113" t="s">
        <v>112</v>
      </c>
      <c r="C45" s="113" t="s">
        <v>16</v>
      </c>
      <c r="D45" s="114" t="s">
        <v>113</v>
      </c>
      <c r="E45" s="113" t="s">
        <v>110</v>
      </c>
      <c r="F45" s="167">
        <v>11</v>
      </c>
      <c r="G45" s="115">
        <f>VLOOKUP(A45,'Orçamento Analítico'!$A:$H,8,0)</f>
        <v>1932.92</v>
      </c>
      <c r="H45" s="115">
        <f t="shared" si="4"/>
        <v>21262.12</v>
      </c>
    </row>
    <row r="46" spans="1:8" ht="22.5" x14ac:dyDescent="0.2">
      <c r="A46" s="166" t="s">
        <v>114</v>
      </c>
      <c r="B46" s="113" t="s">
        <v>115</v>
      </c>
      <c r="C46" s="113" t="s">
        <v>16</v>
      </c>
      <c r="D46" s="114" t="s">
        <v>116</v>
      </c>
      <c r="E46" s="113" t="s">
        <v>110</v>
      </c>
      <c r="F46" s="167">
        <v>1</v>
      </c>
      <c r="G46" s="115">
        <f>VLOOKUP(A46,'Orçamento Analítico'!$A:$H,8,0)</f>
        <v>1615.51</v>
      </c>
      <c r="H46" s="115">
        <f t="shared" si="4"/>
        <v>1615.51</v>
      </c>
    </row>
    <row r="47" spans="1:8" x14ac:dyDescent="0.2">
      <c r="A47" s="138" t="s">
        <v>117</v>
      </c>
      <c r="B47" s="139"/>
      <c r="C47" s="138"/>
      <c r="D47" s="140" t="s">
        <v>118</v>
      </c>
      <c r="E47" s="141"/>
      <c r="F47" s="142"/>
      <c r="G47" s="143"/>
      <c r="H47" s="144">
        <f>H48</f>
        <v>10955.33</v>
      </c>
    </row>
    <row r="48" spans="1:8" ht="22.5" x14ac:dyDescent="0.2">
      <c r="A48" s="166" t="s">
        <v>119</v>
      </c>
      <c r="B48" s="113" t="s">
        <v>120</v>
      </c>
      <c r="C48" s="113" t="s">
        <v>16</v>
      </c>
      <c r="D48" s="114" t="s">
        <v>121</v>
      </c>
      <c r="E48" s="113" t="s">
        <v>32</v>
      </c>
      <c r="F48" s="167">
        <v>29</v>
      </c>
      <c r="G48" s="115">
        <f>VLOOKUP(A48,'Orçamento Analítico'!$A:$H,8,0)</f>
        <v>377.77</v>
      </c>
      <c r="H48" s="115">
        <f>TRUNC(F48*G48,2)</f>
        <v>10955.33</v>
      </c>
    </row>
    <row r="49" spans="1:8" x14ac:dyDescent="0.2">
      <c r="A49" s="138" t="s">
        <v>122</v>
      </c>
      <c r="B49" s="139"/>
      <c r="C49" s="138"/>
      <c r="D49" s="140" t="s">
        <v>123</v>
      </c>
      <c r="E49" s="141"/>
      <c r="F49" s="142"/>
      <c r="G49" s="143"/>
      <c r="H49" s="144">
        <f>SUM(H50:H57)</f>
        <v>115337.41999999998</v>
      </c>
    </row>
    <row r="50" spans="1:8" ht="22.5" x14ac:dyDescent="0.2">
      <c r="A50" s="166" t="s">
        <v>124</v>
      </c>
      <c r="B50" s="113" t="s">
        <v>125</v>
      </c>
      <c r="C50" s="113" t="s">
        <v>16</v>
      </c>
      <c r="D50" s="114" t="s">
        <v>126</v>
      </c>
      <c r="E50" s="113" t="s">
        <v>32</v>
      </c>
      <c r="F50" s="167">
        <v>473</v>
      </c>
      <c r="G50" s="115">
        <f>VLOOKUP(A50,'Orçamento Analítico'!$A:$H,8,0)</f>
        <v>43.03</v>
      </c>
      <c r="H50" s="115">
        <f t="shared" ref="H50:H57" si="5">TRUNC(F50*G50,2)</f>
        <v>20353.189999999999</v>
      </c>
    </row>
    <row r="51" spans="1:8" ht="22.5" x14ac:dyDescent="0.2">
      <c r="A51" s="166" t="s">
        <v>127</v>
      </c>
      <c r="B51" s="113" t="s">
        <v>128</v>
      </c>
      <c r="C51" s="113" t="s">
        <v>16</v>
      </c>
      <c r="D51" s="114" t="s">
        <v>129</v>
      </c>
      <c r="E51" s="113" t="s">
        <v>32</v>
      </c>
      <c r="F51" s="167">
        <v>293</v>
      </c>
      <c r="G51" s="115">
        <f>VLOOKUP(A51,'Orçamento Analítico'!$A:$H,8,0)</f>
        <v>131.71</v>
      </c>
      <c r="H51" s="115">
        <f t="shared" si="5"/>
        <v>38591.03</v>
      </c>
    </row>
    <row r="52" spans="1:8" ht="22.5" x14ac:dyDescent="0.2">
      <c r="A52" s="166" t="s">
        <v>130</v>
      </c>
      <c r="B52" s="113" t="s">
        <v>131</v>
      </c>
      <c r="C52" s="113" t="s">
        <v>16</v>
      </c>
      <c r="D52" s="114" t="s">
        <v>132</v>
      </c>
      <c r="E52" s="113" t="s">
        <v>32</v>
      </c>
      <c r="F52" s="167">
        <v>143</v>
      </c>
      <c r="G52" s="115">
        <f>VLOOKUP(A52,'Orçamento Analítico'!$A:$H,8,0)</f>
        <v>131.81</v>
      </c>
      <c r="H52" s="115">
        <f t="shared" si="5"/>
        <v>18848.830000000002</v>
      </c>
    </row>
    <row r="53" spans="1:8" ht="22.5" x14ac:dyDescent="0.2">
      <c r="A53" s="166" t="s">
        <v>133</v>
      </c>
      <c r="B53" s="113" t="s">
        <v>134</v>
      </c>
      <c r="C53" s="113" t="s">
        <v>16</v>
      </c>
      <c r="D53" s="114" t="s">
        <v>135</v>
      </c>
      <c r="E53" s="113" t="s">
        <v>32</v>
      </c>
      <c r="F53" s="167">
        <v>26</v>
      </c>
      <c r="G53" s="115">
        <f>VLOOKUP(A53,'Orçamento Analítico'!$A:$H,8,0)</f>
        <v>108.31</v>
      </c>
      <c r="H53" s="115">
        <f t="shared" si="5"/>
        <v>2816.06</v>
      </c>
    </row>
    <row r="54" spans="1:8" ht="22.5" x14ac:dyDescent="0.2">
      <c r="A54" s="166" t="s">
        <v>136</v>
      </c>
      <c r="B54" s="113" t="s">
        <v>137</v>
      </c>
      <c r="C54" s="113" t="s">
        <v>16</v>
      </c>
      <c r="D54" s="114" t="s">
        <v>138</v>
      </c>
      <c r="E54" s="113" t="s">
        <v>104</v>
      </c>
      <c r="F54" s="167">
        <v>614</v>
      </c>
      <c r="G54" s="115">
        <f>VLOOKUP(A54,'Orçamento Analítico'!$A:$H,8,0)</f>
        <v>40.590000000000003</v>
      </c>
      <c r="H54" s="115">
        <f t="shared" si="5"/>
        <v>24922.26</v>
      </c>
    </row>
    <row r="55" spans="1:8" ht="22.5" x14ac:dyDescent="0.2">
      <c r="A55" s="166" t="s">
        <v>139</v>
      </c>
      <c r="B55" s="113" t="s">
        <v>140</v>
      </c>
      <c r="C55" s="113" t="s">
        <v>16</v>
      </c>
      <c r="D55" s="114" t="s">
        <v>141</v>
      </c>
      <c r="E55" s="113" t="s">
        <v>104</v>
      </c>
      <c r="F55" s="167">
        <v>125</v>
      </c>
      <c r="G55" s="115">
        <f>VLOOKUP(A55,'Orçamento Analítico'!$A:$H,8,0)</f>
        <v>41</v>
      </c>
      <c r="H55" s="115">
        <f t="shared" si="5"/>
        <v>5125</v>
      </c>
    </row>
    <row r="56" spans="1:8" ht="22.5" x14ac:dyDescent="0.2">
      <c r="A56" s="166" t="s">
        <v>142</v>
      </c>
      <c r="B56" s="113" t="s">
        <v>143</v>
      </c>
      <c r="C56" s="113" t="s">
        <v>16</v>
      </c>
      <c r="D56" s="114" t="s">
        <v>144</v>
      </c>
      <c r="E56" s="113" t="s">
        <v>32</v>
      </c>
      <c r="F56" s="167">
        <v>33</v>
      </c>
      <c r="G56" s="115">
        <f>VLOOKUP(A56,'Orçamento Analítico'!$A:$H,8,0)</f>
        <v>132.22</v>
      </c>
      <c r="H56" s="115">
        <f t="shared" si="5"/>
        <v>4363.26</v>
      </c>
    </row>
    <row r="57" spans="1:8" x14ac:dyDescent="0.2">
      <c r="A57" s="166" t="s">
        <v>145</v>
      </c>
      <c r="B57" s="113" t="s">
        <v>146</v>
      </c>
      <c r="C57" s="113" t="s">
        <v>16</v>
      </c>
      <c r="D57" s="114" t="s">
        <v>147</v>
      </c>
      <c r="E57" s="113" t="s">
        <v>32</v>
      </c>
      <c r="F57" s="167">
        <v>33</v>
      </c>
      <c r="G57" s="115">
        <f>VLOOKUP(A57,'Orçamento Analítico'!$A:$H,8,0)</f>
        <v>9.6300000000000008</v>
      </c>
      <c r="H57" s="115">
        <f t="shared" si="5"/>
        <v>317.79000000000002</v>
      </c>
    </row>
    <row r="58" spans="1:8" x14ac:dyDescent="0.2">
      <c r="A58" s="138" t="s">
        <v>148</v>
      </c>
      <c r="B58" s="139"/>
      <c r="C58" s="138"/>
      <c r="D58" s="140" t="s">
        <v>149</v>
      </c>
      <c r="E58" s="141"/>
      <c r="F58" s="142"/>
      <c r="G58" s="143"/>
      <c r="H58" s="144">
        <f>SUM(H59:H63)</f>
        <v>56347.03</v>
      </c>
    </row>
    <row r="59" spans="1:8" ht="33.75" x14ac:dyDescent="0.2">
      <c r="A59" s="166" t="s">
        <v>150</v>
      </c>
      <c r="B59" s="113" t="s">
        <v>151</v>
      </c>
      <c r="C59" s="113" t="str">
        <f>VLOOKUP(B59,'Insumos e Serviços'!$A:$F,2,0)</f>
        <v>SINAPI</v>
      </c>
      <c r="D59" s="114" t="str">
        <f>VLOOKUP(B59,'Insumos e Serviços'!$A:$F,4,0)</f>
        <v>CHAPISCO APLICADO EM ALVENARIAS E ESTRUTURAS DE CONCRETO INTERNAS, COM COLHER DE PEDREIRO.  ARGAMASSA TRAÇO 1:3 COM PREPARO EM BETONEIRA 400L. AF_06/2014</v>
      </c>
      <c r="E59" s="113" t="str">
        <f>VLOOKUP(B59,'Insumos e Serviços'!$A:$F,5,0)</f>
        <v>m²</v>
      </c>
      <c r="F59" s="167">
        <v>95</v>
      </c>
      <c r="G59" s="115">
        <f>VLOOKUP(B59,'Insumos e Serviços'!$A:$F,6,0)</f>
        <v>3.43</v>
      </c>
      <c r="H59" s="115">
        <f t="shared" ref="H59:H63" si="6">TRUNC(F59*G59,2)</f>
        <v>325.85000000000002</v>
      </c>
    </row>
    <row r="60" spans="1:8" ht="45" x14ac:dyDescent="0.2">
      <c r="A60" s="166" t="s">
        <v>153</v>
      </c>
      <c r="B60" s="113" t="s">
        <v>154</v>
      </c>
      <c r="C60" s="113" t="str">
        <f>VLOOKUP(B60,'Insumos e Serviços'!$A:$F,2,0)</f>
        <v>SINAPI</v>
      </c>
      <c r="D60" s="114" t="str">
        <f>VLOOKUP(B60,'Insumos e Serviços'!$A:$F,4,0)</f>
        <v>(COMPOSIÇÃO REPRESENTATIVA) DO SERVIÇO DE EMBOÇO/MASSA ÚNICA, APLICADO MANUALMENTE, TRAÇO 1:2:8, EM BETONEIRA DE 400L, PAREDES INTERNAS, COM EXECUÇÃO DE TALISCAS, EDIFICAÇÃO HABITACIONAL UNIFAMILIAR (CASAS) E EDIFICAÇÃO PÚBLICA PADRÃO. AF_12/2014</v>
      </c>
      <c r="E60" s="113" t="str">
        <f>VLOOKUP(B60,'Insumos e Serviços'!$A:$F,5,0)</f>
        <v>m²</v>
      </c>
      <c r="F60" s="167">
        <v>95</v>
      </c>
      <c r="G60" s="115">
        <f>VLOOKUP(B60,'Insumos e Serviços'!$A:$F,6,0)</f>
        <v>30.77</v>
      </c>
      <c r="H60" s="115">
        <f t="shared" si="6"/>
        <v>2923.15</v>
      </c>
    </row>
    <row r="61" spans="1:8" ht="22.5" x14ac:dyDescent="0.2">
      <c r="A61" s="166" t="s">
        <v>156</v>
      </c>
      <c r="B61" s="113" t="s">
        <v>157</v>
      </c>
      <c r="C61" s="113" t="s">
        <v>16</v>
      </c>
      <c r="D61" s="114" t="s">
        <v>158</v>
      </c>
      <c r="E61" s="113" t="s">
        <v>32</v>
      </c>
      <c r="F61" s="167">
        <v>114</v>
      </c>
      <c r="G61" s="115">
        <f>VLOOKUP(A61,'Orçamento Analítico'!$A:$H,8,0)</f>
        <v>138.37</v>
      </c>
      <c r="H61" s="115">
        <f t="shared" si="6"/>
        <v>15774.18</v>
      </c>
    </row>
    <row r="62" spans="1:8" ht="22.5" x14ac:dyDescent="0.2">
      <c r="A62" s="166" t="s">
        <v>159</v>
      </c>
      <c r="B62" s="113" t="s">
        <v>160</v>
      </c>
      <c r="C62" s="113" t="s">
        <v>16</v>
      </c>
      <c r="D62" s="114" t="s">
        <v>161</v>
      </c>
      <c r="E62" s="113" t="s">
        <v>32</v>
      </c>
      <c r="F62" s="167">
        <v>21</v>
      </c>
      <c r="G62" s="115">
        <f>VLOOKUP(A62,'Orçamento Analítico'!$A:$H,8,0)</f>
        <v>52.66</v>
      </c>
      <c r="H62" s="115">
        <f t="shared" si="6"/>
        <v>1105.8599999999999</v>
      </c>
    </row>
    <row r="63" spans="1:8" ht="22.5" x14ac:dyDescent="0.2">
      <c r="A63" s="166" t="s">
        <v>162</v>
      </c>
      <c r="B63" s="113" t="s">
        <v>163</v>
      </c>
      <c r="C63" s="113" t="s">
        <v>16</v>
      </c>
      <c r="D63" s="114" t="s">
        <v>164</v>
      </c>
      <c r="E63" s="113" t="s">
        <v>32</v>
      </c>
      <c r="F63" s="167">
        <v>323</v>
      </c>
      <c r="G63" s="115">
        <f>VLOOKUP(A63,'Orçamento Analítico'!$A:$H,8,0)</f>
        <v>112.13</v>
      </c>
      <c r="H63" s="115">
        <f t="shared" si="6"/>
        <v>36217.99</v>
      </c>
    </row>
    <row r="64" spans="1:8" x14ac:dyDescent="0.2">
      <c r="A64" s="138" t="s">
        <v>165</v>
      </c>
      <c r="B64" s="139"/>
      <c r="C64" s="138"/>
      <c r="D64" s="140" t="s">
        <v>166</v>
      </c>
      <c r="E64" s="141"/>
      <c r="F64" s="142"/>
      <c r="G64" s="143"/>
      <c r="H64" s="144">
        <f>SUM(H65:H66)</f>
        <v>16074.62</v>
      </c>
    </row>
    <row r="65" spans="1:8" x14ac:dyDescent="0.2">
      <c r="A65" s="166" t="s">
        <v>167</v>
      </c>
      <c r="B65" s="113" t="s">
        <v>168</v>
      </c>
      <c r="C65" s="113" t="s">
        <v>16</v>
      </c>
      <c r="D65" s="114" t="s">
        <v>169</v>
      </c>
      <c r="E65" s="113" t="s">
        <v>32</v>
      </c>
      <c r="F65" s="167">
        <v>143</v>
      </c>
      <c r="G65" s="115">
        <f>VLOOKUP(A65,'Orçamento Analítico'!$A:$H,8,0)</f>
        <v>94.78</v>
      </c>
      <c r="H65" s="115">
        <f t="shared" ref="H65:H66" si="7">TRUNC(F65*G65,2)</f>
        <v>13553.54</v>
      </c>
    </row>
    <row r="66" spans="1:8" ht="22.5" x14ac:dyDescent="0.2">
      <c r="A66" s="166" t="s">
        <v>170</v>
      </c>
      <c r="B66" s="113" t="s">
        <v>171</v>
      </c>
      <c r="C66" s="113" t="s">
        <v>16</v>
      </c>
      <c r="D66" s="114" t="s">
        <v>172</v>
      </c>
      <c r="E66" s="113" t="s">
        <v>28</v>
      </c>
      <c r="F66" s="167">
        <v>188</v>
      </c>
      <c r="G66" s="115">
        <f>VLOOKUP(A66,'Orçamento Analítico'!$A:$H,8,0)</f>
        <v>13.41</v>
      </c>
      <c r="H66" s="115">
        <f t="shared" si="7"/>
        <v>2521.08</v>
      </c>
    </row>
    <row r="67" spans="1:8" x14ac:dyDescent="0.2">
      <c r="A67" s="138" t="s">
        <v>173</v>
      </c>
      <c r="B67" s="139"/>
      <c r="C67" s="138"/>
      <c r="D67" s="140" t="s">
        <v>174</v>
      </c>
      <c r="E67" s="141"/>
      <c r="F67" s="142"/>
      <c r="G67" s="143"/>
      <c r="H67" s="144">
        <f>SUM(H68:H75)</f>
        <v>15989.939999999999</v>
      </c>
    </row>
    <row r="68" spans="1:8" ht="22.5" x14ac:dyDescent="0.2">
      <c r="A68" s="166" t="s">
        <v>175</v>
      </c>
      <c r="B68" s="113" t="s">
        <v>176</v>
      </c>
      <c r="C68" s="113" t="str">
        <f>VLOOKUP(B68,'Insumos e Serviços'!$A:$F,2,0)</f>
        <v>SINAPI</v>
      </c>
      <c r="D68" s="114" t="str">
        <f>VLOOKUP(B68,'Insumos e Serviços'!$A:$F,4,0)</f>
        <v>APLICAÇÃO MANUAL DE PINTURA COM TINTA LÁTEX ACRÍLICA EM TETO, DUAS DEMÃOS. AF_06/2014</v>
      </c>
      <c r="E68" s="113" t="str">
        <f>VLOOKUP(B68,'Insumos e Serviços'!$A:$F,5,0)</f>
        <v>m²</v>
      </c>
      <c r="F68" s="167">
        <v>143</v>
      </c>
      <c r="G68" s="115">
        <f>VLOOKUP(B68,'Insumos e Serviços'!$A:$F,6,0)</f>
        <v>14.1</v>
      </c>
      <c r="H68" s="115">
        <f t="shared" ref="H68:H75" si="8">TRUNC(F68*G68,2)</f>
        <v>2016.3</v>
      </c>
    </row>
    <row r="69" spans="1:8" x14ac:dyDescent="0.2">
      <c r="A69" s="166" t="s">
        <v>178</v>
      </c>
      <c r="B69" s="113" t="s">
        <v>179</v>
      </c>
      <c r="C69" s="113" t="str">
        <f>VLOOKUP(B69,'Insumos e Serviços'!$A:$F,2,0)</f>
        <v>SINAPI</v>
      </c>
      <c r="D69" s="114" t="str">
        <f>VLOOKUP(B69,'Insumos e Serviços'!$A:$F,4,0)</f>
        <v>APLICAÇÃO E LIXAMENTO DE MASSA LÁTEX EM TETO, DUAS DEMÃOS. AF_06/2014</v>
      </c>
      <c r="E69" s="113" t="str">
        <f>VLOOKUP(B69,'Insumos e Serviços'!$A:$F,5,0)</f>
        <v>m²</v>
      </c>
      <c r="F69" s="167">
        <v>143</v>
      </c>
      <c r="G69" s="115">
        <f>VLOOKUP(B69,'Insumos e Serviços'!$A:$F,6,0)</f>
        <v>24.24</v>
      </c>
      <c r="H69" s="115">
        <f t="shared" si="8"/>
        <v>3466.32</v>
      </c>
    </row>
    <row r="70" spans="1:8" ht="22.5" x14ac:dyDescent="0.2">
      <c r="A70" s="166" t="s">
        <v>181</v>
      </c>
      <c r="B70" s="113" t="s">
        <v>182</v>
      </c>
      <c r="C70" s="113" t="str">
        <f>VLOOKUP(B70,'Insumos e Serviços'!$A:$F,2,0)</f>
        <v>SINAPI</v>
      </c>
      <c r="D70" s="114" t="str">
        <f>VLOOKUP(B70,'Insumos e Serviços'!$A:$F,4,0)</f>
        <v>APLICAÇÃO MANUAL DE PINTURA COM TINTA LÁTEX ACRÍLICA EM PAREDES, DUAS DEMÃOS. AF_06/2014</v>
      </c>
      <c r="E70" s="113" t="str">
        <f>VLOOKUP(B70,'Insumos e Serviços'!$A:$F,5,0)</f>
        <v>m²</v>
      </c>
      <c r="F70" s="167">
        <v>608</v>
      </c>
      <c r="G70" s="115">
        <f>VLOOKUP(B70,'Insumos e Serviços'!$A:$F,6,0)</f>
        <v>12.38</v>
      </c>
      <c r="H70" s="115">
        <f t="shared" si="8"/>
        <v>7527.04</v>
      </c>
    </row>
    <row r="71" spans="1:8" x14ac:dyDescent="0.2">
      <c r="A71" s="166" t="s">
        <v>184</v>
      </c>
      <c r="B71" s="113" t="s">
        <v>185</v>
      </c>
      <c r="C71" s="113" t="str">
        <f>VLOOKUP(B71,'Insumos e Serviços'!$A:$F,2,0)</f>
        <v>SINAPI</v>
      </c>
      <c r="D71" s="114" t="str">
        <f>VLOOKUP(B71,'Insumos e Serviços'!$A:$F,4,0)</f>
        <v>APLICAÇÃO E LIXAMENTO DE MASSA LÁTEX EM PAREDES, DUAS DEMÃOS. AF_06/2014</v>
      </c>
      <c r="E71" s="113" t="str">
        <f>VLOOKUP(B71,'Insumos e Serviços'!$A:$F,5,0)</f>
        <v>m²</v>
      </c>
      <c r="F71" s="167">
        <v>126</v>
      </c>
      <c r="G71" s="115">
        <f>VLOOKUP(B71,'Insumos e Serviços'!$A:$F,6,0)</f>
        <v>13.23</v>
      </c>
      <c r="H71" s="115">
        <f t="shared" si="8"/>
        <v>1666.98</v>
      </c>
    </row>
    <row r="72" spans="1:8" ht="33.75" x14ac:dyDescent="0.2">
      <c r="A72" s="166" t="s">
        <v>187</v>
      </c>
      <c r="B72" s="113" t="s">
        <v>188</v>
      </c>
      <c r="C72" s="113" t="str">
        <f>VLOOKUP(B72,'Insumos e Serviços'!$A:$F,2,0)</f>
        <v>SINAPI</v>
      </c>
      <c r="D72" s="114" t="str">
        <f>VLOOKUP(B72,'Insumos e Serviços'!$A:$F,4,0)</f>
        <v>PINTURA COM TINTA ALQUÍDICA DE ACABAMENTO (ESMALTE SINTÉTICO ACETINADO) APLICADA A ROLO OU PINCEL SOBRE SUPERFÍCIES METÁLICAS (EXCETO PERFIL) EXECUTADO EM OBRA (02 DEMÃOS). AF_01/2020</v>
      </c>
      <c r="E72" s="113" t="str">
        <f>VLOOKUP(B72,'Insumos e Serviços'!$A:$F,5,0)</f>
        <v>m²</v>
      </c>
      <c r="F72" s="167">
        <v>19</v>
      </c>
      <c r="G72" s="115">
        <f>VLOOKUP(B72,'Insumos e Serviços'!$A:$F,6,0)</f>
        <v>41.04</v>
      </c>
      <c r="H72" s="115">
        <f t="shared" si="8"/>
        <v>779.76</v>
      </c>
    </row>
    <row r="73" spans="1:8" ht="33.75" x14ac:dyDescent="0.2">
      <c r="A73" s="166" t="s">
        <v>190</v>
      </c>
      <c r="B73" s="113" t="s">
        <v>191</v>
      </c>
      <c r="C73" s="113" t="str">
        <f>VLOOKUP(B73,'Insumos e Serviços'!$A:$F,2,0)</f>
        <v>SINAPI</v>
      </c>
      <c r="D73" s="114" t="str">
        <f>VLOOKUP(B73,'Insumos e Serviços'!$A:$F,4,0)</f>
        <v>PINTURA COM TINTA ALQUÍDICA DE FUNDO (TIPO ZARCÃO) APLICADA A ROLO OU PINCEL SOBRE SUPERFÍCIES METÁLICAS (EXCETO PERFIL) EXECUTADO EM OBRA (POR DEMÃO). AF_01/2020</v>
      </c>
      <c r="E73" s="113" t="str">
        <f>VLOOKUP(B73,'Insumos e Serviços'!$A:$F,5,0)</f>
        <v>m²</v>
      </c>
      <c r="F73" s="167">
        <v>19</v>
      </c>
      <c r="G73" s="115">
        <f>VLOOKUP(B73,'Insumos e Serviços'!$A:$F,6,0)</f>
        <v>20.100000000000001</v>
      </c>
      <c r="H73" s="115">
        <f t="shared" si="8"/>
        <v>381.9</v>
      </c>
    </row>
    <row r="74" spans="1:8" x14ac:dyDescent="0.2">
      <c r="A74" s="166" t="s">
        <v>193</v>
      </c>
      <c r="B74" s="113" t="s">
        <v>194</v>
      </c>
      <c r="C74" s="113" t="s">
        <v>16</v>
      </c>
      <c r="D74" s="114" t="s">
        <v>195</v>
      </c>
      <c r="E74" s="113" t="s">
        <v>32</v>
      </c>
      <c r="F74" s="167">
        <v>2</v>
      </c>
      <c r="G74" s="115">
        <f>VLOOKUP(A74,'Orçamento Analítico'!$A:$H,8,0)</f>
        <v>23.11</v>
      </c>
      <c r="H74" s="115">
        <f t="shared" si="8"/>
        <v>46.22</v>
      </c>
    </row>
    <row r="75" spans="1:8" x14ac:dyDescent="0.2">
      <c r="A75" s="166" t="s">
        <v>196</v>
      </c>
      <c r="B75" s="113" t="s">
        <v>197</v>
      </c>
      <c r="C75" s="113" t="str">
        <f>VLOOKUP(B75,'Insumos e Serviços'!$A:$F,2,0)</f>
        <v>SINAPI</v>
      </c>
      <c r="D75" s="114" t="str">
        <f>VLOOKUP(B75,'Insumos e Serviços'!$A:$F,4,0)</f>
        <v>PINTURA ACRILICA EM PISO CIMENTADO DUAS DEMAOS</v>
      </c>
      <c r="E75" s="113" t="str">
        <f>VLOOKUP(B75,'Insumos e Serviços'!$A:$F,5,0)</f>
        <v>m²</v>
      </c>
      <c r="F75" s="167">
        <v>7</v>
      </c>
      <c r="G75" s="115">
        <f>VLOOKUP(B75,'Insumos e Serviços'!$A:$F,6,0)</f>
        <v>15.06</v>
      </c>
      <c r="H75" s="115">
        <f t="shared" si="8"/>
        <v>105.42</v>
      </c>
    </row>
    <row r="76" spans="1:8" x14ac:dyDescent="0.2">
      <c r="A76" s="138" t="s">
        <v>199</v>
      </c>
      <c r="B76" s="139"/>
      <c r="C76" s="138"/>
      <c r="D76" s="140" t="s">
        <v>200</v>
      </c>
      <c r="E76" s="141"/>
      <c r="F76" s="142"/>
      <c r="G76" s="143"/>
      <c r="H76" s="144">
        <f>H77</f>
        <v>4645.26</v>
      </c>
    </row>
    <row r="77" spans="1:8" ht="22.5" x14ac:dyDescent="0.2">
      <c r="A77" s="166" t="s">
        <v>201</v>
      </c>
      <c r="B77" s="113" t="s">
        <v>202</v>
      </c>
      <c r="C77" s="113" t="str">
        <f>VLOOKUP(B77,'Insumos e Serviços'!$A:$F,2,0)</f>
        <v>SINAPI</v>
      </c>
      <c r="D77" s="114" t="str">
        <f>VLOOKUP(B77,'Insumos e Serviços'!$A:$F,4,0)</f>
        <v>IMPERMEABILIZAÇÃO DE SUPERFÍCIE COM ARGAMASSA POLIMÉRICA / MEMBRANA ACRÍLICA, 3 DEMÃOS. AF_06/2018</v>
      </c>
      <c r="E77" s="113" t="str">
        <f>VLOOKUP(B77,'Insumos e Serviços'!$A:$F,5,0)</f>
        <v>m²</v>
      </c>
      <c r="F77" s="167">
        <v>197</v>
      </c>
      <c r="G77" s="115">
        <f>VLOOKUP(B77,'Insumos e Serviços'!$A:$F,6,0)</f>
        <v>23.58</v>
      </c>
      <c r="H77" s="115">
        <f>TRUNC(F77*G77,2)</f>
        <v>4645.26</v>
      </c>
    </row>
    <row r="78" spans="1:8" x14ac:dyDescent="0.2">
      <c r="A78" s="138" t="s">
        <v>204</v>
      </c>
      <c r="B78" s="139"/>
      <c r="C78" s="138"/>
      <c r="D78" s="140" t="s">
        <v>205</v>
      </c>
      <c r="E78" s="141"/>
      <c r="F78" s="142"/>
      <c r="G78" s="143"/>
      <c r="H78" s="144">
        <f>SUM(H79:H80)</f>
        <v>1631.9199999999998</v>
      </c>
    </row>
    <row r="79" spans="1:8" x14ac:dyDescent="0.2">
      <c r="A79" s="166" t="s">
        <v>206</v>
      </c>
      <c r="B79" s="113" t="s">
        <v>207</v>
      </c>
      <c r="C79" s="113" t="s">
        <v>16</v>
      </c>
      <c r="D79" s="114" t="s">
        <v>208</v>
      </c>
      <c r="E79" s="113" t="s">
        <v>104</v>
      </c>
      <c r="F79" s="167">
        <v>11</v>
      </c>
      <c r="G79" s="115">
        <f>VLOOKUP(A79,'Orçamento Analítico'!$A:$H,8,0)</f>
        <v>20.46</v>
      </c>
      <c r="H79" s="115">
        <f>TRUNC(F79*G79,2)</f>
        <v>225.06</v>
      </c>
    </row>
    <row r="80" spans="1:8" x14ac:dyDescent="0.2">
      <c r="A80" s="166" t="s">
        <v>209</v>
      </c>
      <c r="B80" s="113" t="s">
        <v>210</v>
      </c>
      <c r="C80" s="113" t="str">
        <f>VLOOKUP(B80,'Insumos e Serviços'!$A:$F,2,0)</f>
        <v>SINAPI</v>
      </c>
      <c r="D80" s="114" t="str">
        <f>VLOOKUP(B80,'Insumos e Serviços'!$A:$F,4,0)</f>
        <v>SOLEIRA EM GRANITO, LARGURA 15 CM, ESPESSURA 2,0 CM. AF_06/2018</v>
      </c>
      <c r="E80" s="113" t="str">
        <f>VLOOKUP(B80,'Insumos e Serviços'!$A:$F,5,0)</f>
        <v>M</v>
      </c>
      <c r="F80" s="167">
        <v>14</v>
      </c>
      <c r="G80" s="115">
        <f>VLOOKUP(B80,'Insumos e Serviços'!$A:$F,6,0)</f>
        <v>100.49</v>
      </c>
      <c r="H80" s="115">
        <f>TRUNC(F80*G80,2)</f>
        <v>1406.86</v>
      </c>
    </row>
    <row r="81" spans="1:8" x14ac:dyDescent="0.2">
      <c r="A81" s="138" t="s">
        <v>212</v>
      </c>
      <c r="B81" s="139"/>
      <c r="C81" s="138"/>
      <c r="D81" s="140" t="s">
        <v>213</v>
      </c>
      <c r="E81" s="141"/>
      <c r="F81" s="142"/>
      <c r="G81" s="143"/>
      <c r="H81" s="144">
        <f>SUM(H82:H84)</f>
        <v>23591.62</v>
      </c>
    </row>
    <row r="82" spans="1:8" ht="22.5" x14ac:dyDescent="0.2">
      <c r="A82" s="166" t="s">
        <v>214</v>
      </c>
      <c r="B82" s="113" t="s">
        <v>215</v>
      </c>
      <c r="C82" s="113" t="s">
        <v>16</v>
      </c>
      <c r="D82" s="114" t="s">
        <v>216</v>
      </c>
      <c r="E82" s="113" t="s">
        <v>104</v>
      </c>
      <c r="F82" s="167">
        <v>13</v>
      </c>
      <c r="G82" s="115">
        <f>VLOOKUP(A82,'Orçamento Analítico'!$A:$H,8,0)</f>
        <v>214.3</v>
      </c>
      <c r="H82" s="115">
        <f t="shared" ref="H82:H84" si="9">TRUNC(F82*G82,2)</f>
        <v>2785.9</v>
      </c>
    </row>
    <row r="83" spans="1:8" ht="22.5" x14ac:dyDescent="0.2">
      <c r="A83" s="166" t="s">
        <v>217</v>
      </c>
      <c r="B83" s="113" t="s">
        <v>218</v>
      </c>
      <c r="C83" s="113" t="s">
        <v>16</v>
      </c>
      <c r="D83" s="114" t="s">
        <v>219</v>
      </c>
      <c r="E83" s="113" t="s">
        <v>104</v>
      </c>
      <c r="F83" s="167">
        <v>105</v>
      </c>
      <c r="G83" s="115">
        <f>VLOOKUP(A83,'Orçamento Analítico'!$A:$H,8,0)</f>
        <v>196.92000000000002</v>
      </c>
      <c r="H83" s="115">
        <f t="shared" si="9"/>
        <v>20676.599999999999</v>
      </c>
    </row>
    <row r="84" spans="1:8" ht="22.5" x14ac:dyDescent="0.2">
      <c r="A84" s="166" t="s">
        <v>220</v>
      </c>
      <c r="B84" s="113" t="s">
        <v>221</v>
      </c>
      <c r="C84" s="113" t="s">
        <v>16</v>
      </c>
      <c r="D84" s="114" t="s">
        <v>222</v>
      </c>
      <c r="E84" s="113" t="s">
        <v>110</v>
      </c>
      <c r="F84" s="167">
        <v>12</v>
      </c>
      <c r="G84" s="115">
        <f>VLOOKUP(A84,'Orçamento Analítico'!$A:$H,8,0)</f>
        <v>10.76</v>
      </c>
      <c r="H84" s="115">
        <f t="shared" si="9"/>
        <v>129.12</v>
      </c>
    </row>
    <row r="85" spans="1:8" x14ac:dyDescent="0.2">
      <c r="A85" s="138" t="s">
        <v>223</v>
      </c>
      <c r="B85" s="139"/>
      <c r="C85" s="138"/>
      <c r="D85" s="140" t="s">
        <v>224</v>
      </c>
      <c r="E85" s="141"/>
      <c r="F85" s="142"/>
      <c r="G85" s="143"/>
      <c r="H85" s="144">
        <f>SUM(H86:H110)</f>
        <v>106227.02999999998</v>
      </c>
    </row>
    <row r="86" spans="1:8" ht="22.5" x14ac:dyDescent="0.2">
      <c r="A86" s="166" t="s">
        <v>225</v>
      </c>
      <c r="B86" s="113" t="s">
        <v>226</v>
      </c>
      <c r="C86" s="113" t="s">
        <v>16</v>
      </c>
      <c r="D86" s="114" t="s">
        <v>227</v>
      </c>
      <c r="E86" s="113" t="s">
        <v>67</v>
      </c>
      <c r="F86" s="167">
        <v>21</v>
      </c>
      <c r="G86" s="115">
        <f>VLOOKUP(A86,'Orçamento Analítico'!$A:$H,8,0)</f>
        <v>558.83999999999992</v>
      </c>
      <c r="H86" s="115">
        <f t="shared" ref="H86:H110" si="10">TRUNC(F86*G86,2)</f>
        <v>11735.64</v>
      </c>
    </row>
    <row r="87" spans="1:8" ht="22.5" x14ac:dyDescent="0.2">
      <c r="A87" s="166" t="s">
        <v>228</v>
      </c>
      <c r="B87" s="113" t="s">
        <v>229</v>
      </c>
      <c r="C87" s="113" t="s">
        <v>16</v>
      </c>
      <c r="D87" s="114" t="s">
        <v>230</v>
      </c>
      <c r="E87" s="113" t="s">
        <v>67</v>
      </c>
      <c r="F87" s="167">
        <v>4</v>
      </c>
      <c r="G87" s="115">
        <f>VLOOKUP(A87,'Orçamento Analítico'!$A:$H,8,0)</f>
        <v>459.09</v>
      </c>
      <c r="H87" s="115">
        <f t="shared" si="10"/>
        <v>1836.36</v>
      </c>
    </row>
    <row r="88" spans="1:8" ht="22.5" x14ac:dyDescent="0.2">
      <c r="A88" s="166" t="s">
        <v>231</v>
      </c>
      <c r="B88" s="113" t="s">
        <v>232</v>
      </c>
      <c r="C88" s="113" t="s">
        <v>16</v>
      </c>
      <c r="D88" s="114" t="s">
        <v>233</v>
      </c>
      <c r="E88" s="113" t="s">
        <v>67</v>
      </c>
      <c r="F88" s="167">
        <v>3</v>
      </c>
      <c r="G88" s="115">
        <f>VLOOKUP(A88,'Orçamento Analítico'!$A:$H,8,0)</f>
        <v>763.83</v>
      </c>
      <c r="H88" s="115">
        <f t="shared" si="10"/>
        <v>2291.4899999999998</v>
      </c>
    </row>
    <row r="89" spans="1:8" ht="33.75" x14ac:dyDescent="0.2">
      <c r="A89" s="166" t="s">
        <v>234</v>
      </c>
      <c r="B89" s="113" t="s">
        <v>235</v>
      </c>
      <c r="C89" s="113" t="s">
        <v>16</v>
      </c>
      <c r="D89" s="114" t="s">
        <v>236</v>
      </c>
      <c r="E89" s="113" t="s">
        <v>67</v>
      </c>
      <c r="F89" s="167">
        <v>28</v>
      </c>
      <c r="G89" s="115">
        <f>VLOOKUP(A89,'Orçamento Analítico'!$A:$H,8,0)</f>
        <v>414.44</v>
      </c>
      <c r="H89" s="115">
        <f t="shared" si="10"/>
        <v>11604.32</v>
      </c>
    </row>
    <row r="90" spans="1:8" ht="22.5" x14ac:dyDescent="0.2">
      <c r="A90" s="166" t="s">
        <v>237</v>
      </c>
      <c r="B90" s="113" t="s">
        <v>238</v>
      </c>
      <c r="C90" s="113" t="s">
        <v>16</v>
      </c>
      <c r="D90" s="114" t="s">
        <v>239</v>
      </c>
      <c r="E90" s="113" t="s">
        <v>110</v>
      </c>
      <c r="F90" s="167">
        <v>7</v>
      </c>
      <c r="G90" s="115">
        <f>VLOOKUP(A90,'Orçamento Analítico'!$A:$H,8,0)</f>
        <v>1297.0200000000002</v>
      </c>
      <c r="H90" s="115">
        <f t="shared" si="10"/>
        <v>9079.14</v>
      </c>
    </row>
    <row r="91" spans="1:8" ht="22.5" x14ac:dyDescent="0.2">
      <c r="A91" s="166" t="s">
        <v>240</v>
      </c>
      <c r="B91" s="113" t="s">
        <v>241</v>
      </c>
      <c r="C91" s="113" t="s">
        <v>16</v>
      </c>
      <c r="D91" s="114" t="s">
        <v>242</v>
      </c>
      <c r="E91" s="113" t="s">
        <v>67</v>
      </c>
      <c r="F91" s="167">
        <v>20</v>
      </c>
      <c r="G91" s="115">
        <f>VLOOKUP(A91,'Orçamento Analítico'!$A:$H,8,0)</f>
        <v>337.68</v>
      </c>
      <c r="H91" s="115">
        <f t="shared" si="10"/>
        <v>6753.6</v>
      </c>
    </row>
    <row r="92" spans="1:8" x14ac:dyDescent="0.2">
      <c r="A92" s="166" t="s">
        <v>243</v>
      </c>
      <c r="B92" s="113" t="s">
        <v>244</v>
      </c>
      <c r="C92" s="113" t="s">
        <v>16</v>
      </c>
      <c r="D92" s="114" t="s">
        <v>245</v>
      </c>
      <c r="E92" s="113" t="s">
        <v>246</v>
      </c>
      <c r="F92" s="167">
        <v>20</v>
      </c>
      <c r="G92" s="115">
        <f>VLOOKUP(A92,'Orçamento Analítico'!$A:$H,8,0)</f>
        <v>599.73</v>
      </c>
      <c r="H92" s="115">
        <f t="shared" si="10"/>
        <v>11994.6</v>
      </c>
    </row>
    <row r="93" spans="1:8" ht="22.5" x14ac:dyDescent="0.2">
      <c r="A93" s="166" t="s">
        <v>247</v>
      </c>
      <c r="B93" s="113" t="s">
        <v>248</v>
      </c>
      <c r="C93" s="113" t="s">
        <v>16</v>
      </c>
      <c r="D93" s="114" t="s">
        <v>249</v>
      </c>
      <c r="E93" s="113" t="s">
        <v>67</v>
      </c>
      <c r="F93" s="167">
        <v>3</v>
      </c>
      <c r="G93" s="115">
        <f>VLOOKUP(A93,'Orçamento Analítico'!$A:$H,8,0)</f>
        <v>590.82000000000005</v>
      </c>
      <c r="H93" s="115">
        <f t="shared" si="10"/>
        <v>1772.46</v>
      </c>
    </row>
    <row r="94" spans="1:8" ht="22.5" x14ac:dyDescent="0.2">
      <c r="A94" s="166" t="s">
        <v>250</v>
      </c>
      <c r="B94" s="113" t="s">
        <v>251</v>
      </c>
      <c r="C94" s="113" t="s">
        <v>16</v>
      </c>
      <c r="D94" s="114" t="s">
        <v>252</v>
      </c>
      <c r="E94" s="113" t="s">
        <v>110</v>
      </c>
      <c r="F94" s="167">
        <v>3</v>
      </c>
      <c r="G94" s="115">
        <f>VLOOKUP(A94,'Orçamento Analítico'!$A:$H,8,0)</f>
        <v>652.21</v>
      </c>
      <c r="H94" s="115">
        <f t="shared" si="10"/>
        <v>1956.63</v>
      </c>
    </row>
    <row r="95" spans="1:8" ht="22.5" x14ac:dyDescent="0.2">
      <c r="A95" s="166" t="s">
        <v>253</v>
      </c>
      <c r="B95" s="113" t="s">
        <v>254</v>
      </c>
      <c r="C95" s="113" t="s">
        <v>16</v>
      </c>
      <c r="D95" s="114" t="s">
        <v>255</v>
      </c>
      <c r="E95" s="113" t="s">
        <v>67</v>
      </c>
      <c r="F95" s="167">
        <v>15</v>
      </c>
      <c r="G95" s="115">
        <f>VLOOKUP(A95,'Orçamento Analítico'!$A:$H,8,0)</f>
        <v>140.30000000000001</v>
      </c>
      <c r="H95" s="115">
        <f t="shared" si="10"/>
        <v>2104.5</v>
      </c>
    </row>
    <row r="96" spans="1:8" ht="22.5" x14ac:dyDescent="0.2">
      <c r="A96" s="166" t="s">
        <v>256</v>
      </c>
      <c r="B96" s="113" t="s">
        <v>257</v>
      </c>
      <c r="C96" s="113" t="s">
        <v>16</v>
      </c>
      <c r="D96" s="114" t="s">
        <v>258</v>
      </c>
      <c r="E96" s="113" t="s">
        <v>67</v>
      </c>
      <c r="F96" s="167">
        <v>7</v>
      </c>
      <c r="G96" s="115">
        <f>VLOOKUP(A96,'Orçamento Analítico'!$A:$H,8,0)</f>
        <v>161.1</v>
      </c>
      <c r="H96" s="115">
        <f t="shared" si="10"/>
        <v>1127.7</v>
      </c>
    </row>
    <row r="97" spans="1:8" ht="22.5" x14ac:dyDescent="0.2">
      <c r="A97" s="166" t="s">
        <v>259</v>
      </c>
      <c r="B97" s="113" t="s">
        <v>260</v>
      </c>
      <c r="C97" s="113" t="s">
        <v>16</v>
      </c>
      <c r="D97" s="114" t="s">
        <v>261</v>
      </c>
      <c r="E97" s="113" t="s">
        <v>67</v>
      </c>
      <c r="F97" s="167">
        <v>11</v>
      </c>
      <c r="G97" s="115">
        <f>VLOOKUP(A97,'Orçamento Analítico'!$A:$H,8,0)</f>
        <v>149.85</v>
      </c>
      <c r="H97" s="115">
        <f t="shared" si="10"/>
        <v>1648.35</v>
      </c>
    </row>
    <row r="98" spans="1:8" ht="22.5" x14ac:dyDescent="0.2">
      <c r="A98" s="166" t="s">
        <v>262</v>
      </c>
      <c r="B98" s="113" t="s">
        <v>263</v>
      </c>
      <c r="C98" s="113" t="s">
        <v>16</v>
      </c>
      <c r="D98" s="114" t="s">
        <v>264</v>
      </c>
      <c r="E98" s="113" t="s">
        <v>67</v>
      </c>
      <c r="F98" s="167">
        <v>13</v>
      </c>
      <c r="G98" s="115">
        <f>VLOOKUP(A98,'Orçamento Analítico'!$A:$H,8,0)</f>
        <v>64.48</v>
      </c>
      <c r="H98" s="115">
        <f t="shared" si="10"/>
        <v>838.24</v>
      </c>
    </row>
    <row r="99" spans="1:8" ht="33.75" x14ac:dyDescent="0.2">
      <c r="A99" s="166" t="s">
        <v>265</v>
      </c>
      <c r="B99" s="113" t="s">
        <v>266</v>
      </c>
      <c r="C99" s="113" t="s">
        <v>16</v>
      </c>
      <c r="D99" s="114" t="s">
        <v>267</v>
      </c>
      <c r="E99" s="113" t="s">
        <v>67</v>
      </c>
      <c r="F99" s="167">
        <v>3</v>
      </c>
      <c r="G99" s="115">
        <f>VLOOKUP(A99,'Orçamento Analítico'!$A:$H,8,0)</f>
        <v>90.23</v>
      </c>
      <c r="H99" s="115">
        <f t="shared" si="10"/>
        <v>270.69</v>
      </c>
    </row>
    <row r="100" spans="1:8" ht="33.75" x14ac:dyDescent="0.2">
      <c r="A100" s="166" t="s">
        <v>268</v>
      </c>
      <c r="B100" s="113" t="s">
        <v>269</v>
      </c>
      <c r="C100" s="113" t="s">
        <v>16</v>
      </c>
      <c r="D100" s="114" t="s">
        <v>270</v>
      </c>
      <c r="E100" s="113" t="s">
        <v>110</v>
      </c>
      <c r="F100" s="167">
        <v>1</v>
      </c>
      <c r="G100" s="115">
        <f>VLOOKUP(A100,'Orçamento Analítico'!$A:$H,8,0)</f>
        <v>694.09</v>
      </c>
      <c r="H100" s="115">
        <f t="shared" si="10"/>
        <v>694.09</v>
      </c>
    </row>
    <row r="101" spans="1:8" ht="22.5" x14ac:dyDescent="0.2">
      <c r="A101" s="166" t="s">
        <v>271</v>
      </c>
      <c r="B101" s="113" t="s">
        <v>272</v>
      </c>
      <c r="C101" s="113" t="str">
        <f>VLOOKUP(B101,'Insumos e Serviços'!$A:$F,2,0)</f>
        <v>SINAPI</v>
      </c>
      <c r="D101" s="114" t="str">
        <f>VLOOKUP(B101,'Insumos e Serviços'!$A:$F,4,0)</f>
        <v>BARRA DE APOIO EM "L", EM ACO INOX POLIDO 80 X 80 CM, FIXADA NA PAREDE - FORNECIMENTO E INSTALACAO. AF_01/2020</v>
      </c>
      <c r="E101" s="113" t="str">
        <f>VLOOKUP(B101,'Insumos e Serviços'!$A:$F,5,0)</f>
        <v>UN</v>
      </c>
      <c r="F101" s="167">
        <v>1</v>
      </c>
      <c r="G101" s="115">
        <f>VLOOKUP(B101,'Insumos e Serviços'!$A:$F,6,0)</f>
        <v>464.71</v>
      </c>
      <c r="H101" s="115">
        <f t="shared" si="10"/>
        <v>464.71</v>
      </c>
    </row>
    <row r="102" spans="1:8" ht="22.5" x14ac:dyDescent="0.2">
      <c r="A102" s="166" t="s">
        <v>274</v>
      </c>
      <c r="B102" s="113" t="s">
        <v>275</v>
      </c>
      <c r="C102" s="113" t="str">
        <f>VLOOKUP(B102,'Insumos e Serviços'!$A:$F,2,0)</f>
        <v>SINAPI</v>
      </c>
      <c r="D102" s="114" t="str">
        <f>VLOOKUP(B102,'Insumos e Serviços'!$A:$F,4,0)</f>
        <v>CHUVEIRO ELÉTRICO COMUM CORPO PLÁSTICO, TIPO DUCHA  FORNECIMENTO E INSTALAÇÃO. AF_01/2020</v>
      </c>
      <c r="E102" s="113" t="str">
        <f>VLOOKUP(B102,'Insumos e Serviços'!$A:$F,5,0)</f>
        <v>UN</v>
      </c>
      <c r="F102" s="167">
        <v>5</v>
      </c>
      <c r="G102" s="115">
        <f>VLOOKUP(B102,'Insumos e Serviços'!$A:$F,6,0)</f>
        <v>76.19</v>
      </c>
      <c r="H102" s="115">
        <f t="shared" si="10"/>
        <v>380.95</v>
      </c>
    </row>
    <row r="103" spans="1:8" ht="22.5" x14ac:dyDescent="0.2">
      <c r="A103" s="166" t="s">
        <v>277</v>
      </c>
      <c r="B103" s="113" t="s">
        <v>278</v>
      </c>
      <c r="C103" s="113" t="s">
        <v>16</v>
      </c>
      <c r="D103" s="114" t="s">
        <v>279</v>
      </c>
      <c r="E103" s="113" t="s">
        <v>110</v>
      </c>
      <c r="F103" s="167">
        <v>5</v>
      </c>
      <c r="G103" s="115">
        <f>VLOOKUP(A103,'Orçamento Analítico'!$A:$H,8,0)</f>
        <v>203.42</v>
      </c>
      <c r="H103" s="115">
        <f t="shared" si="10"/>
        <v>1017.1</v>
      </c>
    </row>
    <row r="104" spans="1:8" ht="22.5" x14ac:dyDescent="0.2">
      <c r="A104" s="166" t="s">
        <v>280</v>
      </c>
      <c r="B104" s="113" t="s">
        <v>281</v>
      </c>
      <c r="C104" s="113" t="s">
        <v>16</v>
      </c>
      <c r="D104" s="114" t="s">
        <v>282</v>
      </c>
      <c r="E104" s="113" t="s">
        <v>104</v>
      </c>
      <c r="F104" s="167">
        <v>15</v>
      </c>
      <c r="G104" s="115">
        <f>VLOOKUP(A104,'Orçamento Analítico'!$A:$H,8,0)</f>
        <v>454.39000000000004</v>
      </c>
      <c r="H104" s="115">
        <f t="shared" si="10"/>
        <v>6815.85</v>
      </c>
    </row>
    <row r="105" spans="1:8" ht="22.5" x14ac:dyDescent="0.2">
      <c r="A105" s="166" t="s">
        <v>283</v>
      </c>
      <c r="B105" s="113" t="s">
        <v>284</v>
      </c>
      <c r="C105" s="113" t="s">
        <v>16</v>
      </c>
      <c r="D105" s="114" t="s">
        <v>285</v>
      </c>
      <c r="E105" s="113" t="s">
        <v>110</v>
      </c>
      <c r="F105" s="167">
        <v>42</v>
      </c>
      <c r="G105" s="115">
        <f>VLOOKUP(A105,'Orçamento Analítico'!$A:$H,8,0)</f>
        <v>452.8</v>
      </c>
      <c r="H105" s="115">
        <f t="shared" si="10"/>
        <v>19017.599999999999</v>
      </c>
    </row>
    <row r="106" spans="1:8" ht="22.5" x14ac:dyDescent="0.2">
      <c r="A106" s="166" t="s">
        <v>286</v>
      </c>
      <c r="B106" s="113" t="s">
        <v>287</v>
      </c>
      <c r="C106" s="113" t="s">
        <v>16</v>
      </c>
      <c r="D106" s="114" t="s">
        <v>288</v>
      </c>
      <c r="E106" s="113" t="s">
        <v>67</v>
      </c>
      <c r="F106" s="167">
        <v>40</v>
      </c>
      <c r="G106" s="115">
        <f>VLOOKUP(A106,'Orçamento Analítico'!$A:$H,8,0)</f>
        <v>239.01</v>
      </c>
      <c r="H106" s="115">
        <f t="shared" si="10"/>
        <v>9560.4</v>
      </c>
    </row>
    <row r="107" spans="1:8" ht="22.5" x14ac:dyDescent="0.2">
      <c r="A107" s="166" t="s">
        <v>289</v>
      </c>
      <c r="B107" s="113" t="s">
        <v>290</v>
      </c>
      <c r="C107" s="113" t="s">
        <v>16</v>
      </c>
      <c r="D107" s="114" t="s">
        <v>291</v>
      </c>
      <c r="E107" s="113" t="s">
        <v>110</v>
      </c>
      <c r="F107" s="167">
        <v>2</v>
      </c>
      <c r="G107" s="115">
        <f>VLOOKUP(A107,'Orçamento Analítico'!$A:$H,8,0)</f>
        <v>745.1</v>
      </c>
      <c r="H107" s="115">
        <f t="shared" si="10"/>
        <v>1490.2</v>
      </c>
    </row>
    <row r="108" spans="1:8" ht="22.5" x14ac:dyDescent="0.2">
      <c r="A108" s="166" t="s">
        <v>292</v>
      </c>
      <c r="B108" s="113" t="s">
        <v>293</v>
      </c>
      <c r="C108" s="113" t="s">
        <v>16</v>
      </c>
      <c r="D108" s="114" t="s">
        <v>294</v>
      </c>
      <c r="E108" s="113" t="s">
        <v>110</v>
      </c>
      <c r="F108" s="167">
        <v>2</v>
      </c>
      <c r="G108" s="115">
        <f>VLOOKUP(A108,'Orçamento Analítico'!$A:$H,8,0)</f>
        <v>725.1</v>
      </c>
      <c r="H108" s="115">
        <f t="shared" si="10"/>
        <v>1450.2</v>
      </c>
    </row>
    <row r="109" spans="1:8" ht="22.5" x14ac:dyDescent="0.2">
      <c r="A109" s="166" t="s">
        <v>295</v>
      </c>
      <c r="B109" s="113" t="s">
        <v>296</v>
      </c>
      <c r="C109" s="113" t="s">
        <v>16</v>
      </c>
      <c r="D109" s="114" t="s">
        <v>297</v>
      </c>
      <c r="E109" s="113" t="s">
        <v>110</v>
      </c>
      <c r="F109" s="167">
        <v>1</v>
      </c>
      <c r="G109" s="115">
        <f>VLOOKUP(A109,'Orçamento Analítico'!$A:$H,8,0)</f>
        <v>14.219999999999999</v>
      </c>
      <c r="H109" s="115">
        <f t="shared" si="10"/>
        <v>14.22</v>
      </c>
    </row>
    <row r="110" spans="1:8" ht="22.5" x14ac:dyDescent="0.2">
      <c r="A110" s="166" t="s">
        <v>298</v>
      </c>
      <c r="B110" s="113" t="s">
        <v>299</v>
      </c>
      <c r="C110" s="113" t="s">
        <v>16</v>
      </c>
      <c r="D110" s="114" t="s">
        <v>300</v>
      </c>
      <c r="E110" s="113" t="s">
        <v>110</v>
      </c>
      <c r="F110" s="167">
        <v>19</v>
      </c>
      <c r="G110" s="115">
        <f>VLOOKUP(A110,'Orçamento Analítico'!$A:$H,8,0)</f>
        <v>16.21</v>
      </c>
      <c r="H110" s="115">
        <f t="shared" si="10"/>
        <v>307.99</v>
      </c>
    </row>
    <row r="111" spans="1:8" x14ac:dyDescent="0.2">
      <c r="A111" s="138" t="s">
        <v>301</v>
      </c>
      <c r="B111" s="139"/>
      <c r="C111" s="138"/>
      <c r="D111" s="140" t="s">
        <v>302</v>
      </c>
      <c r="E111" s="141"/>
      <c r="F111" s="142"/>
      <c r="G111" s="143"/>
      <c r="H111" s="144">
        <f>SUM(H112:H116)</f>
        <v>6241.6</v>
      </c>
    </row>
    <row r="112" spans="1:8" ht="22.5" x14ac:dyDescent="0.2">
      <c r="A112" s="166" t="s">
        <v>303</v>
      </c>
      <c r="B112" s="113" t="s">
        <v>304</v>
      </c>
      <c r="C112" s="113" t="s">
        <v>16</v>
      </c>
      <c r="D112" s="114" t="s">
        <v>305</v>
      </c>
      <c r="E112" s="113" t="s">
        <v>110</v>
      </c>
      <c r="F112" s="167">
        <v>1</v>
      </c>
      <c r="G112" s="115">
        <f>VLOOKUP(A112,'Orçamento Analítico'!$A:$H,8,0)</f>
        <v>864.42000000000007</v>
      </c>
      <c r="H112" s="115">
        <f t="shared" ref="H112:H116" si="11">TRUNC(F112*G112,2)</f>
        <v>864.42</v>
      </c>
    </row>
    <row r="113" spans="1:8" ht="22.5" x14ac:dyDescent="0.2">
      <c r="A113" s="166" t="s">
        <v>306</v>
      </c>
      <c r="B113" s="113" t="s">
        <v>307</v>
      </c>
      <c r="C113" s="113" t="s">
        <v>16</v>
      </c>
      <c r="D113" s="114" t="s">
        <v>308</v>
      </c>
      <c r="E113" s="113" t="s">
        <v>67</v>
      </c>
      <c r="F113" s="167">
        <v>1</v>
      </c>
      <c r="G113" s="115">
        <f>VLOOKUP(A113,'Orçamento Analítico'!$A:$H,8,0)</f>
        <v>427.79</v>
      </c>
      <c r="H113" s="115">
        <f t="shared" si="11"/>
        <v>427.79</v>
      </c>
    </row>
    <row r="114" spans="1:8" x14ac:dyDescent="0.2">
      <c r="A114" s="166" t="s">
        <v>309</v>
      </c>
      <c r="B114" s="113" t="s">
        <v>310</v>
      </c>
      <c r="C114" s="113" t="s">
        <v>16</v>
      </c>
      <c r="D114" s="114" t="s">
        <v>311</v>
      </c>
      <c r="E114" s="113" t="s">
        <v>67</v>
      </c>
      <c r="F114" s="167">
        <v>1</v>
      </c>
      <c r="G114" s="115">
        <f>VLOOKUP(A114,'Orçamento Analítico'!$A:$H,8,0)</f>
        <v>617.7600000000001</v>
      </c>
      <c r="H114" s="115">
        <f t="shared" si="11"/>
        <v>617.76</v>
      </c>
    </row>
    <row r="115" spans="1:8" x14ac:dyDescent="0.2">
      <c r="A115" s="166" t="s">
        <v>312</v>
      </c>
      <c r="B115" s="113" t="s">
        <v>313</v>
      </c>
      <c r="C115" s="113" t="s">
        <v>16</v>
      </c>
      <c r="D115" s="114" t="s">
        <v>314</v>
      </c>
      <c r="E115" s="113" t="s">
        <v>32</v>
      </c>
      <c r="F115" s="167">
        <v>1</v>
      </c>
      <c r="G115" s="115">
        <f>VLOOKUP(A115,'Orçamento Analítico'!$A:$H,8,0)</f>
        <v>949.13</v>
      </c>
      <c r="H115" s="115">
        <f t="shared" si="11"/>
        <v>949.13</v>
      </c>
    </row>
    <row r="116" spans="1:8" ht="22.5" x14ac:dyDescent="0.2">
      <c r="A116" s="166" t="s">
        <v>315</v>
      </c>
      <c r="B116" s="113" t="s">
        <v>316</v>
      </c>
      <c r="C116" s="113" t="s">
        <v>16</v>
      </c>
      <c r="D116" s="114" t="s">
        <v>317</v>
      </c>
      <c r="E116" s="113" t="s">
        <v>104</v>
      </c>
      <c r="F116" s="167">
        <v>6</v>
      </c>
      <c r="G116" s="115">
        <f>VLOOKUP(A116,'Orçamento Analítico'!$A:$H,8,0)</f>
        <v>563.75000000000011</v>
      </c>
      <c r="H116" s="115">
        <f t="shared" si="11"/>
        <v>3382.5</v>
      </c>
    </row>
    <row r="117" spans="1:8" x14ac:dyDescent="0.2">
      <c r="A117" s="131" t="s">
        <v>318</v>
      </c>
      <c r="B117" s="132"/>
      <c r="C117" s="131"/>
      <c r="D117" s="133" t="s">
        <v>319</v>
      </c>
      <c r="E117" s="134"/>
      <c r="F117" s="135"/>
      <c r="G117" s="136"/>
      <c r="H117" s="137">
        <f>H118+H144+H156</f>
        <v>52788.7</v>
      </c>
    </row>
    <row r="118" spans="1:8" x14ac:dyDescent="0.2">
      <c r="A118" s="138" t="s">
        <v>320</v>
      </c>
      <c r="B118" s="139"/>
      <c r="C118" s="138"/>
      <c r="D118" s="140" t="s">
        <v>321</v>
      </c>
      <c r="E118" s="141"/>
      <c r="F118" s="142"/>
      <c r="G118" s="143"/>
      <c r="H118" s="144">
        <f>H119+H137</f>
        <v>26773.309999999994</v>
      </c>
    </row>
    <row r="119" spans="1:8" x14ac:dyDescent="0.2">
      <c r="A119" s="146" t="s">
        <v>322</v>
      </c>
      <c r="B119" s="147"/>
      <c r="C119" s="146"/>
      <c r="D119" s="148" t="s">
        <v>323</v>
      </c>
      <c r="E119" s="149"/>
      <c r="F119" s="150"/>
      <c r="G119" s="151"/>
      <c r="H119" s="152">
        <f>SUM(H120:H136)</f>
        <v>20501.629999999994</v>
      </c>
    </row>
    <row r="120" spans="1:8" ht="33.75" x14ac:dyDescent="0.2">
      <c r="A120" s="166" t="s">
        <v>324</v>
      </c>
      <c r="B120" s="113" t="s">
        <v>325</v>
      </c>
      <c r="C120" s="113" t="str">
        <f>VLOOKUP(B120,'Insumos e Serviços'!$A:$F,2,0)</f>
        <v>SINAPI</v>
      </c>
      <c r="D120" s="114" t="str">
        <f>VLOOKUP(B120,'Insumos e Serviços'!$A:$F,4,0)</f>
        <v>TUBO, PVC, SOLDÁVEL, DN 110 MM, INSTALADO EM RESERVAÇÃO DE ÁGUA DE EDIFICAÇÃO QUE POSSUA RESERVATÓRIO DE FIBRA/FIBROCIMENTO   FORNECIMENTO E INSTALAÇÃO. AF_06/2016</v>
      </c>
      <c r="E120" s="113" t="str">
        <f>VLOOKUP(B120,'Insumos e Serviços'!$A:$F,5,0)</f>
        <v>M</v>
      </c>
      <c r="F120" s="167">
        <v>5</v>
      </c>
      <c r="G120" s="115">
        <f>VLOOKUP(B120,'Insumos e Serviços'!$A:$F,6,0)</f>
        <v>102.79</v>
      </c>
      <c r="H120" s="115">
        <f t="shared" ref="H120:H136" si="12">TRUNC(F120*G120,2)</f>
        <v>513.95000000000005</v>
      </c>
    </row>
    <row r="121" spans="1:8" ht="22.5" x14ac:dyDescent="0.2">
      <c r="A121" s="166" t="s">
        <v>327</v>
      </c>
      <c r="B121" s="113" t="s">
        <v>328</v>
      </c>
      <c r="C121" s="113" t="str">
        <f>VLOOKUP(B121,'Insumos e Serviços'!$A:$F,2,0)</f>
        <v>SINAPI</v>
      </c>
      <c r="D121" s="114" t="str">
        <f>VLOOKUP(B121,'Insumos e Serviços'!$A:$F,4,0)</f>
        <v>TUBO, PVC, SOLDÁVEL, DN 85MM, INSTALADO EM PRUMADA DE ÁGUA - FORNECIMENTO E INSTALAÇÃO. AF_12/2014</v>
      </c>
      <c r="E121" s="113" t="str">
        <f>VLOOKUP(B121,'Insumos e Serviços'!$A:$F,5,0)</f>
        <v>M</v>
      </c>
      <c r="F121" s="167">
        <v>61</v>
      </c>
      <c r="G121" s="115">
        <f>VLOOKUP(B121,'Insumos e Serviços'!$A:$F,6,0)</f>
        <v>58.74</v>
      </c>
      <c r="H121" s="115">
        <f t="shared" si="12"/>
        <v>3583.14</v>
      </c>
    </row>
    <row r="122" spans="1:8" ht="22.5" x14ac:dyDescent="0.2">
      <c r="A122" s="166" t="s">
        <v>330</v>
      </c>
      <c r="B122" s="113" t="s">
        <v>331</v>
      </c>
      <c r="C122" s="113" t="s">
        <v>16</v>
      </c>
      <c r="D122" s="114" t="s">
        <v>332</v>
      </c>
      <c r="E122" s="113" t="s">
        <v>28</v>
      </c>
      <c r="F122" s="167">
        <v>27</v>
      </c>
      <c r="G122" s="115">
        <f>VLOOKUP(A122,'Orçamento Analítico'!$A:$H,8,0)</f>
        <v>118.95999999999998</v>
      </c>
      <c r="H122" s="115">
        <f t="shared" si="12"/>
        <v>3211.92</v>
      </c>
    </row>
    <row r="123" spans="1:8" ht="33.75" x14ac:dyDescent="0.2">
      <c r="A123" s="166" t="s">
        <v>333</v>
      </c>
      <c r="B123" s="113" t="s">
        <v>334</v>
      </c>
      <c r="C123" s="113" t="s">
        <v>16</v>
      </c>
      <c r="D123" s="114" t="s">
        <v>335</v>
      </c>
      <c r="E123" s="113" t="s">
        <v>104</v>
      </c>
      <c r="F123" s="167">
        <v>30</v>
      </c>
      <c r="G123" s="115">
        <f>VLOOKUP(A123,'Orçamento Analítico'!$A:$H,8,0)</f>
        <v>77.769999999999982</v>
      </c>
      <c r="H123" s="115">
        <f t="shared" si="12"/>
        <v>2333.1</v>
      </c>
    </row>
    <row r="124" spans="1:8" ht="33.75" x14ac:dyDescent="0.2">
      <c r="A124" s="166" t="s">
        <v>336</v>
      </c>
      <c r="B124" s="113" t="s">
        <v>337</v>
      </c>
      <c r="C124" s="113" t="str">
        <f>VLOOKUP(B124,'Insumos e Serviços'!$A:$F,2,0)</f>
        <v>SINAPI</v>
      </c>
      <c r="D124" s="114" t="str">
        <f>VLOOKUP(B124,'Insumos e Serviços'!$A:$F,4,0)</f>
        <v>(COMPOSIÇÃO REPRESENTATIVA) DO SERVIÇO DE INSTALAÇÃO DE TUBOS DE PVC, SOLDÁVEL, ÁGUA FRIA, DN 50 MM (INSTALADO EM PRUMADA), INCLUSIVE CONEXÕES, CORTES E FIXAÇÕES, PARA PRÉDIOS. AF_10/2015</v>
      </c>
      <c r="E124" s="113" t="str">
        <f>VLOOKUP(B124,'Insumos e Serviços'!$A:$F,5,0)</f>
        <v>M</v>
      </c>
      <c r="F124" s="167">
        <v>52</v>
      </c>
      <c r="G124" s="115">
        <f>VLOOKUP(B124,'Insumos e Serviços'!$A:$F,6,0)</f>
        <v>40.42</v>
      </c>
      <c r="H124" s="115">
        <f t="shared" si="12"/>
        <v>2101.84</v>
      </c>
    </row>
    <row r="125" spans="1:8" ht="45" x14ac:dyDescent="0.2">
      <c r="A125" s="166" t="s">
        <v>339</v>
      </c>
      <c r="B125" s="113" t="s">
        <v>340</v>
      </c>
      <c r="C125" s="113" t="str">
        <f>VLOOKUP(B125,'Insumos e Serviços'!$A:$F,2,0)</f>
        <v>SINAPI</v>
      </c>
      <c r="D125" s="114" t="str">
        <f>VLOOKUP(B125,'Insumos e Serviços'!$A:$F,4,0)</f>
        <v>(COMPOSIÇÃO REPRESENTATIVA) DO SERVIÇO DE INSTALAÇÃO TUBOS DE PVC, SOLDÁVEL, ÁGUA FRIA, DN 32 MM (INSTALADO EM RAMAL, SUB-RAMAL, RAMAL DE DISTRIBUIÇÃO OU PRUMADA), INCLUSIVE CONEXÕES, CORTES E FIXAÇÕES, PARA PRÉDIOS. AF_10/2015</v>
      </c>
      <c r="E125" s="113" t="str">
        <f>VLOOKUP(B125,'Insumos e Serviços'!$A:$F,5,0)</f>
        <v>M</v>
      </c>
      <c r="F125" s="167">
        <v>10</v>
      </c>
      <c r="G125" s="115">
        <f>VLOOKUP(B125,'Insumos e Serviços'!$A:$F,6,0)</f>
        <v>27.86</v>
      </c>
      <c r="H125" s="115">
        <f t="shared" si="12"/>
        <v>278.60000000000002</v>
      </c>
    </row>
    <row r="126" spans="1:8" ht="45" x14ac:dyDescent="0.2">
      <c r="A126" s="166" t="s">
        <v>342</v>
      </c>
      <c r="B126" s="113" t="s">
        <v>343</v>
      </c>
      <c r="C126" s="113" t="str">
        <f>VLOOKUP(B126,'Insumos e Serviços'!$A:$F,2,0)</f>
        <v>SINAPI</v>
      </c>
      <c r="D126" s="114" t="str">
        <f>VLOOKUP(B126,'Insumos e Serviços'!$A:$F,4,0)</f>
        <v>(COMPOSIÇÃO REPRESENTATIVA) DO SERVIÇO DE INSTALAÇÃO DE TUBOS DE PVC, SOLDÁVEL, ÁGUA FRIA, DN 25 MM (INSTALADO EM RAMAL, SUB-RAMAL, RAMAL DE DISTRIBUIÇÃO OU PRUMADA), INCLUSIVE CONEXÕES, CORTES E FIXAÇÕES, PARA PRÉDIOS. AF_10/2015</v>
      </c>
      <c r="E126" s="113" t="str">
        <f>VLOOKUP(B126,'Insumos e Serviços'!$A:$F,5,0)</f>
        <v>M</v>
      </c>
      <c r="F126" s="167">
        <v>122</v>
      </c>
      <c r="G126" s="115">
        <f>VLOOKUP(B126,'Insumos e Serviços'!$A:$F,6,0)</f>
        <v>39.200000000000003</v>
      </c>
      <c r="H126" s="115">
        <f t="shared" si="12"/>
        <v>4782.3999999999996</v>
      </c>
    </row>
    <row r="127" spans="1:8" ht="33.75" x14ac:dyDescent="0.2">
      <c r="A127" s="166" t="s">
        <v>345</v>
      </c>
      <c r="B127" s="113" t="s">
        <v>346</v>
      </c>
      <c r="C127" s="113" t="str">
        <f>VLOOKUP(B127,'Insumos e Serviços'!$A:$F,2,0)</f>
        <v>SINAPI</v>
      </c>
      <c r="D127" s="114" t="str">
        <f>VLOOKUP(B127,'Insumos e Serviços'!$A:$F,4,0)</f>
        <v>TÊ, PVC, SOLDÁVEL, DN 85 MM INSTALADO EM RESERVAÇÃO DE ÁGUA DE EDIFICAÇÃO QUE POSSUA RESERVATÓRIO DE FIBRA/FIBROCIMENTO   FORNECIMENTO E INSTALAÇÃO. AF_06/2016</v>
      </c>
      <c r="E127" s="113" t="str">
        <f>VLOOKUP(B127,'Insumos e Serviços'!$A:$F,5,0)</f>
        <v>UN</v>
      </c>
      <c r="F127" s="167">
        <v>4</v>
      </c>
      <c r="G127" s="115">
        <f>VLOOKUP(B127,'Insumos e Serviços'!$A:$F,6,0)</f>
        <v>152.88</v>
      </c>
      <c r="H127" s="115">
        <f t="shared" si="12"/>
        <v>611.52</v>
      </c>
    </row>
    <row r="128" spans="1:8" ht="22.5" x14ac:dyDescent="0.2">
      <c r="A128" s="166" t="s">
        <v>348</v>
      </c>
      <c r="B128" s="113" t="s">
        <v>349</v>
      </c>
      <c r="C128" s="113" t="str">
        <f>VLOOKUP(B128,'Insumos e Serviços'!$A:$F,2,0)</f>
        <v>SINAPI</v>
      </c>
      <c r="D128" s="114" t="str">
        <f>VLOOKUP(B128,'Insumos e Serviços'!$A:$F,4,0)</f>
        <v>TE, PVC, SOLDÁVEL, DN 75MM, INSTALADO EM PRUMADA DE ÁGUA - FORNECIMENTO E INSTALAÇÃO. AF_12/2014</v>
      </c>
      <c r="E128" s="113" t="str">
        <f>VLOOKUP(B128,'Insumos e Serviços'!$A:$F,5,0)</f>
        <v>UN</v>
      </c>
      <c r="F128" s="167">
        <v>1</v>
      </c>
      <c r="G128" s="115">
        <f>VLOOKUP(B128,'Insumos e Serviços'!$A:$F,6,0)</f>
        <v>84.39</v>
      </c>
      <c r="H128" s="115">
        <f t="shared" si="12"/>
        <v>84.39</v>
      </c>
    </row>
    <row r="129" spans="1:8" ht="33.75" x14ac:dyDescent="0.2">
      <c r="A129" s="166" t="s">
        <v>351</v>
      </c>
      <c r="B129" s="113" t="s">
        <v>352</v>
      </c>
      <c r="C129" s="113" t="str">
        <f>VLOOKUP(B129,'Insumos e Serviços'!$A:$F,2,0)</f>
        <v>SINAPI</v>
      </c>
      <c r="D129" s="114" t="str">
        <f>VLOOKUP(B129,'Insumos e Serviços'!$A:$F,4,0)</f>
        <v>JOELHO 90 GRAUS, PVC, SOLDÁVEL, DN 110 MM INSTALADO EM RESERVAÇÃO DE ÁGUA DE EDIFICAÇÃO QUE POSSUA RESERVATÓRIO DE FIBRA/FIBROCIMENTO   FORNECIMENTO E INSTALAÇÃO. AF_06/2016</v>
      </c>
      <c r="E129" s="113" t="str">
        <f>VLOOKUP(B129,'Insumos e Serviços'!$A:$F,5,0)</f>
        <v>UN</v>
      </c>
      <c r="F129" s="167">
        <v>2</v>
      </c>
      <c r="G129" s="115">
        <f>VLOOKUP(B129,'Insumos e Serviços'!$A:$F,6,0)</f>
        <v>281.3</v>
      </c>
      <c r="H129" s="115">
        <f t="shared" si="12"/>
        <v>562.6</v>
      </c>
    </row>
    <row r="130" spans="1:8" ht="22.5" x14ac:dyDescent="0.2">
      <c r="A130" s="166" t="s">
        <v>354</v>
      </c>
      <c r="B130" s="113" t="s">
        <v>355</v>
      </c>
      <c r="C130" s="113" t="str">
        <f>VLOOKUP(B130,'Insumos e Serviços'!$A:$F,2,0)</f>
        <v>SINAPI</v>
      </c>
      <c r="D130" s="114" t="str">
        <f>VLOOKUP(B130,'Insumos e Serviços'!$A:$F,4,0)</f>
        <v>JOELHO 90 GRAUS, PVC, SOLDÁVEL, DN 85MM, INSTALADO EM PRUMADA DE ÁGUA - FORNECIMENTO E INSTALAÇÃO. AF_12/2014</v>
      </c>
      <c r="E130" s="113" t="str">
        <f>VLOOKUP(B130,'Insumos e Serviços'!$A:$F,5,0)</f>
        <v>UN</v>
      </c>
      <c r="F130" s="167">
        <v>7</v>
      </c>
      <c r="G130" s="115">
        <f>VLOOKUP(B130,'Insumos e Serviços'!$A:$F,6,0)</f>
        <v>133.11000000000001</v>
      </c>
      <c r="H130" s="115">
        <f t="shared" si="12"/>
        <v>931.77</v>
      </c>
    </row>
    <row r="131" spans="1:8" ht="22.5" x14ac:dyDescent="0.2">
      <c r="A131" s="166" t="s">
        <v>357</v>
      </c>
      <c r="B131" s="113" t="s">
        <v>358</v>
      </c>
      <c r="C131" s="113" t="str">
        <f>VLOOKUP(B131,'Insumos e Serviços'!$A:$F,2,0)</f>
        <v>SINAPI</v>
      </c>
      <c r="D131" s="114" t="str">
        <f>VLOOKUP(B131,'Insumos e Serviços'!$A:$F,4,0)</f>
        <v>JOELHO 90 GRAUS, PVC, SOLDÁVEL, DN 75MM, INSTALADO EM PRUMADA DE ÁGUA - FORNECIMENTO E INSTALAÇÃO. AF_12/2014</v>
      </c>
      <c r="E131" s="113" t="str">
        <f>VLOOKUP(B131,'Insumos e Serviços'!$A:$F,5,0)</f>
        <v>UN</v>
      </c>
      <c r="F131" s="167">
        <v>5</v>
      </c>
      <c r="G131" s="115">
        <f>VLOOKUP(B131,'Insumos e Serviços'!$A:$F,6,0)</f>
        <v>112.89</v>
      </c>
      <c r="H131" s="115">
        <f t="shared" si="12"/>
        <v>564.45000000000005</v>
      </c>
    </row>
    <row r="132" spans="1:8" ht="22.5" x14ac:dyDescent="0.2">
      <c r="A132" s="166" t="s">
        <v>360</v>
      </c>
      <c r="B132" s="113" t="s">
        <v>361</v>
      </c>
      <c r="C132" s="113" t="str">
        <f>VLOOKUP(B132,'Insumos e Serviços'!$A:$F,2,0)</f>
        <v>SINAPI</v>
      </c>
      <c r="D132" s="114" t="str">
        <f>VLOOKUP(B132,'Insumos e Serviços'!$A:$F,4,0)</f>
        <v>JOELHO 45 GRAUS, PVC, SOLDÁVEL, DN 85MM, INSTALADO EM PRUMADA DE ÁGUA - FORNECIMENTO E INSTALAÇÃO. AF_12/2014</v>
      </c>
      <c r="E132" s="113" t="str">
        <f>VLOOKUP(B132,'Insumos e Serviços'!$A:$F,5,0)</f>
        <v>UN</v>
      </c>
      <c r="F132" s="167">
        <v>3</v>
      </c>
      <c r="G132" s="115">
        <f>VLOOKUP(B132,'Insumos e Serviços'!$A:$F,6,0)</f>
        <v>100.04</v>
      </c>
      <c r="H132" s="115">
        <f t="shared" si="12"/>
        <v>300.12</v>
      </c>
    </row>
    <row r="133" spans="1:8" ht="22.5" x14ac:dyDescent="0.2">
      <c r="A133" s="166" t="s">
        <v>363</v>
      </c>
      <c r="B133" s="113" t="s">
        <v>364</v>
      </c>
      <c r="C133" s="113" t="str">
        <f>VLOOKUP(B133,'Insumos e Serviços'!$A:$F,2,0)</f>
        <v>SINAPI</v>
      </c>
      <c r="D133" s="114" t="str">
        <f>VLOOKUP(B133,'Insumos e Serviços'!$A:$F,4,0)</f>
        <v>JOELHO 45 GRAUS, PVC, SOLDÁVEL, DN 75MM, INSTALADO EM PRUMADA DE ÁGUA - FORNECIMENTO E INSTALAÇÃO. AF_12/2014</v>
      </c>
      <c r="E133" s="113" t="str">
        <f>VLOOKUP(B133,'Insumos e Serviços'!$A:$F,5,0)</f>
        <v>UN</v>
      </c>
      <c r="F133" s="167">
        <v>2</v>
      </c>
      <c r="G133" s="115">
        <f>VLOOKUP(B133,'Insumos e Serviços'!$A:$F,6,0)</f>
        <v>84.81</v>
      </c>
      <c r="H133" s="115">
        <f t="shared" si="12"/>
        <v>169.62</v>
      </c>
    </row>
    <row r="134" spans="1:8" x14ac:dyDescent="0.2">
      <c r="A134" s="166" t="s">
        <v>366</v>
      </c>
      <c r="B134" s="113" t="s">
        <v>367</v>
      </c>
      <c r="C134" s="113" t="s">
        <v>16</v>
      </c>
      <c r="D134" s="114" t="s">
        <v>368</v>
      </c>
      <c r="E134" s="113" t="s">
        <v>67</v>
      </c>
      <c r="F134" s="167">
        <v>1</v>
      </c>
      <c r="G134" s="115">
        <f>VLOOKUP(A134,'Orçamento Analítico'!$A:$H,8,0)</f>
        <v>108.75999999999999</v>
      </c>
      <c r="H134" s="115">
        <f t="shared" si="12"/>
        <v>108.76</v>
      </c>
    </row>
    <row r="135" spans="1:8" x14ac:dyDescent="0.2">
      <c r="A135" s="166" t="s">
        <v>369</v>
      </c>
      <c r="B135" s="113" t="s">
        <v>370</v>
      </c>
      <c r="C135" s="113" t="s">
        <v>16</v>
      </c>
      <c r="D135" s="114" t="s">
        <v>371</v>
      </c>
      <c r="E135" s="113" t="s">
        <v>67</v>
      </c>
      <c r="F135" s="167">
        <v>4</v>
      </c>
      <c r="G135" s="115">
        <f>VLOOKUP(A135,'Orçamento Analítico'!$A:$H,8,0)</f>
        <v>35.650000000000006</v>
      </c>
      <c r="H135" s="115">
        <f t="shared" si="12"/>
        <v>142.6</v>
      </c>
    </row>
    <row r="136" spans="1:8" x14ac:dyDescent="0.2">
      <c r="A136" s="166" t="s">
        <v>372</v>
      </c>
      <c r="B136" s="113" t="s">
        <v>373</v>
      </c>
      <c r="C136" s="113" t="s">
        <v>16</v>
      </c>
      <c r="D136" s="114" t="s">
        <v>374</v>
      </c>
      <c r="E136" s="113" t="s">
        <v>67</v>
      </c>
      <c r="F136" s="167">
        <v>5</v>
      </c>
      <c r="G136" s="115">
        <f>VLOOKUP(A136,'Orçamento Analítico'!$A:$H,8,0)</f>
        <v>44.17</v>
      </c>
      <c r="H136" s="115">
        <f t="shared" si="12"/>
        <v>220.85</v>
      </c>
    </row>
    <row r="137" spans="1:8" x14ac:dyDescent="0.2">
      <c r="A137" s="146" t="s">
        <v>375</v>
      </c>
      <c r="B137" s="147"/>
      <c r="C137" s="146"/>
      <c r="D137" s="148" t="s">
        <v>376</v>
      </c>
      <c r="E137" s="149"/>
      <c r="F137" s="150"/>
      <c r="G137" s="151"/>
      <c r="H137" s="152">
        <f>SUM(H138:H143)</f>
        <v>6271.68</v>
      </c>
    </row>
    <row r="138" spans="1:8" ht="33.75" x14ac:dyDescent="0.2">
      <c r="A138" s="166" t="s">
        <v>377</v>
      </c>
      <c r="B138" s="113" t="s">
        <v>378</v>
      </c>
      <c r="C138" s="113" t="str">
        <f>VLOOKUP(B138,'Insumos e Serviços'!$A:$F,2,0)</f>
        <v>SINAPI</v>
      </c>
      <c r="D138" s="114" t="str">
        <f>VLOOKUP(B138,'Insumos e Serviços'!$A:$F,4,0)</f>
        <v>REGISTRO DE GAVETA BRUTO, LATÃO, ROSCÁVEL, 1 1/2, COM ACABAMENTO E CANOPLA CROMADOS, INSTALADO EM RESERVAÇÃO DE ÁGUA DE EDIFICAÇÃO QUE POSSUA RESERVATÓRIO DE FIBRA/FIBROCIMENTO  FORNECIMENTO E INSTALAÇÃO. AF_06/2016</v>
      </c>
      <c r="E138" s="113" t="str">
        <f>VLOOKUP(B138,'Insumos e Serviços'!$A:$F,5,0)</f>
        <v>UN</v>
      </c>
      <c r="F138" s="167">
        <v>13</v>
      </c>
      <c r="G138" s="115">
        <f>VLOOKUP(B138,'Insumos e Serviços'!$A:$F,6,0)</f>
        <v>165.75</v>
      </c>
      <c r="H138" s="115">
        <f t="shared" ref="H138:H143" si="13">TRUNC(F138*G138,2)</f>
        <v>2154.75</v>
      </c>
    </row>
    <row r="139" spans="1:8" ht="33.75" x14ac:dyDescent="0.2">
      <c r="A139" s="166" t="s">
        <v>380</v>
      </c>
      <c r="B139" s="113" t="s">
        <v>381</v>
      </c>
      <c r="C139" s="113" t="str">
        <f>VLOOKUP(B139,'Insumos e Serviços'!$A:$F,2,0)</f>
        <v>SINAPI</v>
      </c>
      <c r="D139" s="114" t="str">
        <f>VLOOKUP(B139,'Insumos e Serviços'!$A:$F,4,0)</f>
        <v>REGISTRO DE GAVETA BRUTO, LATÃO, ROSCÁVEL, 3, INSTALADO EM RESERVAÇÃO DE ÁGUA DE EDIFICAÇÃO QUE POSSUA RESERVATÓRIO DE FIBRA/FIBROCIMENTO  FORNECIMENTO E INSTALAÇÃO. AF_06/2016</v>
      </c>
      <c r="E139" s="113" t="str">
        <f>VLOOKUP(B139,'Insumos e Serviços'!$A:$F,5,0)</f>
        <v>UN</v>
      </c>
      <c r="F139" s="167">
        <v>2</v>
      </c>
      <c r="G139" s="115">
        <f>VLOOKUP(B139,'Insumos e Serviços'!$A:$F,6,0)</f>
        <v>327.13</v>
      </c>
      <c r="H139" s="115">
        <f t="shared" si="13"/>
        <v>654.26</v>
      </c>
    </row>
    <row r="140" spans="1:8" ht="22.5" x14ac:dyDescent="0.2">
      <c r="A140" s="166" t="s">
        <v>383</v>
      </c>
      <c r="B140" s="113" t="s">
        <v>384</v>
      </c>
      <c r="C140" s="113" t="s">
        <v>16</v>
      </c>
      <c r="D140" s="114" t="s">
        <v>385</v>
      </c>
      <c r="E140" s="113" t="s">
        <v>67</v>
      </c>
      <c r="F140" s="167">
        <v>1</v>
      </c>
      <c r="G140" s="115">
        <f>VLOOKUP(A140,'Orçamento Analítico'!$A:$H,8,0)</f>
        <v>102.89</v>
      </c>
      <c r="H140" s="115">
        <f t="shared" si="13"/>
        <v>102.89</v>
      </c>
    </row>
    <row r="141" spans="1:8" ht="33.75" x14ac:dyDescent="0.2">
      <c r="A141" s="166" t="s">
        <v>386</v>
      </c>
      <c r="B141" s="113" t="s">
        <v>387</v>
      </c>
      <c r="C141" s="113" t="str">
        <f>VLOOKUP(B141,'Insumos e Serviços'!$A:$F,2,0)</f>
        <v>SINAPI</v>
      </c>
      <c r="D141" s="114" t="str">
        <f>VLOOKUP(B141,'Insumos e Serviços'!$A:$F,4,0)</f>
        <v>REGISTRO DE GAVETA BRUTO, LATÃO, ROSCÁVEL, 4, INSTALADO EM RESERVAÇÃO DE ÁGUA DE EDIFICAÇÃO QUE POSSUA RESERVATÓRIO DE FIBRA/FIBROCIMENTO  FORNECIMENTO E INSTALAÇÃO. AF_06/2016</v>
      </c>
      <c r="E141" s="113" t="str">
        <f>VLOOKUP(B141,'Insumos e Serviços'!$A:$F,5,0)</f>
        <v>UN</v>
      </c>
      <c r="F141" s="167">
        <v>1</v>
      </c>
      <c r="G141" s="115">
        <f>VLOOKUP(B141,'Insumos e Serviços'!$A:$F,6,0)</f>
        <v>643.55999999999995</v>
      </c>
      <c r="H141" s="115">
        <f t="shared" si="13"/>
        <v>643.55999999999995</v>
      </c>
    </row>
    <row r="142" spans="1:8" ht="22.5" x14ac:dyDescent="0.2">
      <c r="A142" s="166" t="s">
        <v>389</v>
      </c>
      <c r="B142" s="113" t="s">
        <v>390</v>
      </c>
      <c r="C142" s="113" t="str">
        <f>VLOOKUP(B142,'Insumos e Serviços'!$A:$F,2,0)</f>
        <v>SINAPI</v>
      </c>
      <c r="D142" s="114" t="str">
        <f>VLOOKUP(B142,'Insumos e Serviços'!$A:$F,4,0)</f>
        <v>REGISTRO DE GAVETA BRUTO, LATÃO, ROSCÁVEL, 3/4", COM ACABAMENTO E CANOPLA CROMADOS. FORNECIDO E INSTALADO EM RAMAL DE ÁGUA. AF_12/2014</v>
      </c>
      <c r="E142" s="113" t="str">
        <f>VLOOKUP(B142,'Insumos e Serviços'!$A:$F,5,0)</f>
        <v>UN</v>
      </c>
      <c r="F142" s="167">
        <v>23</v>
      </c>
      <c r="G142" s="115">
        <f>VLOOKUP(B142,'Insumos e Serviços'!$A:$F,6,0)</f>
        <v>86.08</v>
      </c>
      <c r="H142" s="115">
        <f t="shared" si="13"/>
        <v>1979.84</v>
      </c>
    </row>
    <row r="143" spans="1:8" ht="22.5" x14ac:dyDescent="0.2">
      <c r="A143" s="166" t="s">
        <v>392</v>
      </c>
      <c r="B143" s="113" t="s">
        <v>393</v>
      </c>
      <c r="C143" s="113" t="str">
        <f>VLOOKUP(B143,'Insumos e Serviços'!$A:$F,2,0)</f>
        <v>SINAPI</v>
      </c>
      <c r="D143" s="114" t="str">
        <f>VLOOKUP(B143,'Insumos e Serviços'!$A:$F,4,0)</f>
        <v>REGISTRO DE PRESSÃO BRUTO, LATÃO, ROSCÁVEL, 3/4", COM ACABAMENTO E CANOPLA CROMADOS. FORNECIDO E INSTALADO EM RAMAL DE ÁGUA. AF_12/2014</v>
      </c>
      <c r="E143" s="113" t="str">
        <f>VLOOKUP(B143,'Insumos e Serviços'!$A:$F,5,0)</f>
        <v>UN</v>
      </c>
      <c r="F143" s="167">
        <v>9</v>
      </c>
      <c r="G143" s="115">
        <f>VLOOKUP(B143,'Insumos e Serviços'!$A:$F,6,0)</f>
        <v>81.819999999999993</v>
      </c>
      <c r="H143" s="115">
        <f t="shared" si="13"/>
        <v>736.38</v>
      </c>
    </row>
    <row r="144" spans="1:8" x14ac:dyDescent="0.2">
      <c r="A144" s="138" t="s">
        <v>395</v>
      </c>
      <c r="B144" s="139"/>
      <c r="C144" s="138"/>
      <c r="D144" s="140" t="s">
        <v>396</v>
      </c>
      <c r="E144" s="141"/>
      <c r="F144" s="142"/>
      <c r="G144" s="143"/>
      <c r="H144" s="144">
        <f>H145+H150</f>
        <v>19099.990000000002</v>
      </c>
    </row>
    <row r="145" spans="1:8" x14ac:dyDescent="0.2">
      <c r="A145" s="146" t="s">
        <v>397</v>
      </c>
      <c r="B145" s="147"/>
      <c r="C145" s="146"/>
      <c r="D145" s="148" t="s">
        <v>398</v>
      </c>
      <c r="E145" s="149"/>
      <c r="F145" s="150"/>
      <c r="G145" s="151"/>
      <c r="H145" s="152">
        <f>SUM(H146:H149)</f>
        <v>12657.740000000002</v>
      </c>
    </row>
    <row r="146" spans="1:8" ht="45" x14ac:dyDescent="0.2">
      <c r="A146" s="166" t="s">
        <v>399</v>
      </c>
      <c r="B146" s="113" t="s">
        <v>400</v>
      </c>
      <c r="C146" s="113" t="str">
        <f>VLOOKUP(B146,'Insumos e Serviços'!$A:$F,2,0)</f>
        <v>SINAPI</v>
      </c>
      <c r="D146" s="114" t="str">
        <f>VLOOKUP(B146,'Insumos e Serviços'!$A:$F,4,0)</f>
        <v>(COMPOSIÇÃO REPRESENTATIVA) DO SERVIÇO DE INST. TUBO PVC, SÉRIE N, ESGOTO PREDIAL, 100 MM (INST. RAMAL DESCARGA, RAMAL DE ESG. SANIT., PRUMADA ESG. SANIT., VENTILAÇÃO OU SUB-COLETOR AÉREO), INCL. CONEXÕES E CORTES, FIXAÇÕES, P/ PRÉDIOS. AF_10/2015</v>
      </c>
      <c r="E146" s="113" t="str">
        <f>VLOOKUP(B146,'Insumos e Serviços'!$A:$F,5,0)</f>
        <v>M</v>
      </c>
      <c r="F146" s="167">
        <v>71</v>
      </c>
      <c r="G146" s="115">
        <f>VLOOKUP(B146,'Insumos e Serviços'!$A:$F,6,0)</f>
        <v>62.7</v>
      </c>
      <c r="H146" s="115">
        <f t="shared" ref="H146:H149" si="14">TRUNC(F146*G146,2)</f>
        <v>4451.7</v>
      </c>
    </row>
    <row r="147" spans="1:8" ht="45" x14ac:dyDescent="0.2">
      <c r="A147" s="166" t="s">
        <v>402</v>
      </c>
      <c r="B147" s="113" t="s">
        <v>403</v>
      </c>
      <c r="C147" s="113" t="str">
        <f>VLOOKUP(B147,'Insumos e Serviços'!$A:$F,2,0)</f>
        <v>SINAPI</v>
      </c>
      <c r="D147" s="114" t="str">
        <f>VLOOKUP(B147,'Insumos e Serviços'!$A:$F,4,0)</f>
        <v>(COMPOSIÇÃO REPRESENTATIVA) DO SERVIÇO DE INST. TUBO PVC, SÉRIE N, ESGOTO PREDIAL, DN 75 MM, (INST. EM RAMAL DE DESCARGA, RAMAL DE ESG. SANITÁRIO, PRUMADA DE ESG. SANITÁRIO OU VENTILAÇÃO), INCL. CONEXÕES, CORTES E FIXAÇÕES, P/ PRÉDIOS. AF_10/2015</v>
      </c>
      <c r="E147" s="113" t="str">
        <f>VLOOKUP(B147,'Insumos e Serviços'!$A:$F,5,0)</f>
        <v>M</v>
      </c>
      <c r="F147" s="167">
        <v>122</v>
      </c>
      <c r="G147" s="115">
        <f>VLOOKUP(B147,'Insumos e Serviços'!$A:$F,6,0)</f>
        <v>37.46</v>
      </c>
      <c r="H147" s="115">
        <f t="shared" si="14"/>
        <v>4570.12</v>
      </c>
    </row>
    <row r="148" spans="1:8" ht="45" x14ac:dyDescent="0.2">
      <c r="A148" s="166" t="s">
        <v>405</v>
      </c>
      <c r="B148" s="113" t="s">
        <v>406</v>
      </c>
      <c r="C148" s="113" t="str">
        <f>VLOOKUP(B148,'Insumos e Serviços'!$A:$F,2,0)</f>
        <v>SINAPI</v>
      </c>
      <c r="D148" s="114" t="str">
        <f>VLOOKUP(B148,'Insumos e Serviços'!$A:$F,4,0)</f>
        <v>(COMPOSIÇÃO REPRESENTATIVA) DO SERVIÇO DE INSTALAÇÃO DE TUBO DE PVC, SÉRIE NORMAL, ESGOTO PREDIAL, DN 50 MM (INSTALADO EM RAMAL DE DESCARGA OU RAMAL DE ESGOTO SANITÁRIO), INCLUSIVE CONEXÕES, CORTES E FIXAÇÕES PARA, PRÉDIOS. AF_10/2015</v>
      </c>
      <c r="E148" s="113" t="str">
        <f>VLOOKUP(B148,'Insumos e Serviços'!$A:$F,5,0)</f>
        <v>M</v>
      </c>
      <c r="F148" s="167">
        <v>12</v>
      </c>
      <c r="G148" s="115">
        <f>VLOOKUP(B148,'Insumos e Serviços'!$A:$F,6,0)</f>
        <v>77.92</v>
      </c>
      <c r="H148" s="115">
        <f t="shared" si="14"/>
        <v>935.04</v>
      </c>
    </row>
    <row r="149" spans="1:8" ht="45" x14ac:dyDescent="0.2">
      <c r="A149" s="166" t="s">
        <v>408</v>
      </c>
      <c r="B149" s="113" t="s">
        <v>409</v>
      </c>
      <c r="C149" s="113" t="str">
        <f>VLOOKUP(B149,'Insumos e Serviços'!$A:$F,2,0)</f>
        <v>SINAPI</v>
      </c>
      <c r="D149" s="114" t="str">
        <f>VLOOKUP(B149,'Insumos e Serviços'!$A:$F,4,0)</f>
        <v>(COMPOSIÇÃO REPRESENTATIVA) DO SERVIÇO DE INSTALAÇÃO DE TUBO DE PVC, SÉRIE NORMAL, ESGOTO PREDIAL, DN 40 MM (INSTALADO EM RAMAL DE DESCARGA OU RAMAL DE ESGOTO SANITÁRIO), INCLUSIVE CONEXÕES, CORTES E FIXAÇÕES, PARA PRÉDIOS. AF_10/2015</v>
      </c>
      <c r="E149" s="113" t="str">
        <f>VLOOKUP(B149,'Insumos e Serviços'!$A:$F,5,0)</f>
        <v>M</v>
      </c>
      <c r="F149" s="167">
        <v>52</v>
      </c>
      <c r="G149" s="115">
        <f>VLOOKUP(B149,'Insumos e Serviços'!$A:$F,6,0)</f>
        <v>51.94</v>
      </c>
      <c r="H149" s="115">
        <f t="shared" si="14"/>
        <v>2700.88</v>
      </c>
    </row>
    <row r="150" spans="1:8" x14ac:dyDescent="0.2">
      <c r="A150" s="146" t="s">
        <v>411</v>
      </c>
      <c r="B150" s="147"/>
      <c r="C150" s="145"/>
      <c r="D150" s="154" t="s">
        <v>412</v>
      </c>
      <c r="E150" s="153"/>
      <c r="F150" s="150"/>
      <c r="G150" s="151"/>
      <c r="H150" s="152">
        <f>SUM(H151:H155)</f>
        <v>6442.25</v>
      </c>
    </row>
    <row r="151" spans="1:8" ht="22.5" x14ac:dyDescent="0.2">
      <c r="A151" s="166" t="s">
        <v>413</v>
      </c>
      <c r="B151" s="113" t="s">
        <v>414</v>
      </c>
      <c r="C151" s="113" t="str">
        <f>VLOOKUP(B151,'Insumos e Serviços'!$A:$F,2,0)</f>
        <v>SINAPI</v>
      </c>
      <c r="D151" s="114" t="str">
        <f>VLOOKUP(B151,'Insumos e Serviços'!$A:$F,4,0)</f>
        <v>CAIXA SIFONADA, PVC, DN 100 X 100 X 50 MM, JUNTA ELÁSTICA, FORNECIDA E INSTALADA EM RAMAL DE DESCARGA OU EM RAMAL DE ESGOTO SANITÁRIO. AF_12/2014</v>
      </c>
      <c r="E151" s="113" t="str">
        <f>VLOOKUP(B151,'Insumos e Serviços'!$A:$F,5,0)</f>
        <v>UN</v>
      </c>
      <c r="F151" s="167">
        <v>1</v>
      </c>
      <c r="G151" s="115">
        <f>VLOOKUP(B151,'Insumos e Serviços'!$A:$F,6,0)</f>
        <v>33.5</v>
      </c>
      <c r="H151" s="115">
        <f t="shared" ref="H151:H155" si="15">TRUNC(F151*G151,2)</f>
        <v>33.5</v>
      </c>
    </row>
    <row r="152" spans="1:8" ht="22.5" x14ac:dyDescent="0.2">
      <c r="A152" s="166" t="s">
        <v>416</v>
      </c>
      <c r="B152" s="113" t="s">
        <v>417</v>
      </c>
      <c r="C152" s="113" t="s">
        <v>16</v>
      </c>
      <c r="D152" s="114" t="s">
        <v>418</v>
      </c>
      <c r="E152" s="113" t="s">
        <v>67</v>
      </c>
      <c r="F152" s="167">
        <v>5</v>
      </c>
      <c r="G152" s="115">
        <f>VLOOKUP(A152,'Orçamento Analítico'!$A:$H,8,0)</f>
        <v>93.53</v>
      </c>
      <c r="H152" s="115">
        <f t="shared" si="15"/>
        <v>467.65</v>
      </c>
    </row>
    <row r="153" spans="1:8" ht="22.5" x14ac:dyDescent="0.2">
      <c r="A153" s="166" t="s">
        <v>419</v>
      </c>
      <c r="B153" s="113" t="s">
        <v>420</v>
      </c>
      <c r="C153" s="113" t="str">
        <f>VLOOKUP(B153,'Insumos e Serviços'!$A:$F,2,0)</f>
        <v>SINAPI</v>
      </c>
      <c r="D153" s="114" t="str">
        <f>VLOOKUP(B153,'Insumos e Serviços'!$A:$F,4,0)</f>
        <v>CAIXA SIFONADA, PVC, DN 150 X 185 X 75 MM, JUNTA ELÁSTICA, FORNECIDA E INSTALADA EM RAMAL DE DESCARGA OU EM RAMAL DE ESGOTO SANITÁRIO. AF_12/2014</v>
      </c>
      <c r="E153" s="113" t="str">
        <f>VLOOKUP(B153,'Insumos e Serviços'!$A:$F,5,0)</f>
        <v>UN</v>
      </c>
      <c r="F153" s="167">
        <v>19</v>
      </c>
      <c r="G153" s="115">
        <f>VLOOKUP(B153,'Insumos e Serviços'!$A:$F,6,0)</f>
        <v>79.06</v>
      </c>
      <c r="H153" s="115">
        <f t="shared" si="15"/>
        <v>1502.14</v>
      </c>
    </row>
    <row r="154" spans="1:8" ht="22.5" x14ac:dyDescent="0.2">
      <c r="A154" s="166" t="s">
        <v>422</v>
      </c>
      <c r="B154" s="113" t="s">
        <v>423</v>
      </c>
      <c r="C154" s="113" t="str">
        <f>VLOOKUP(B154,'Insumos e Serviços'!$A:$F,2,0)</f>
        <v>SINAPI</v>
      </c>
      <c r="D154" s="114" t="str">
        <f>VLOOKUP(B154,'Insumos e Serviços'!$A:$F,4,0)</f>
        <v>CAIXA DE GORDURA PEQUENA (CAPACIDADE: 19 L), CIRCULAR, EM PVC, DIÂMETRO INTERNO= 0,3 M. AF_05/2018</v>
      </c>
      <c r="E154" s="113" t="str">
        <f>VLOOKUP(B154,'Insumos e Serviços'!$A:$F,5,0)</f>
        <v>UN</v>
      </c>
      <c r="F154" s="167">
        <v>1</v>
      </c>
      <c r="G154" s="115">
        <f>VLOOKUP(B154,'Insumos e Serviços'!$A:$F,6,0)</f>
        <v>619.48</v>
      </c>
      <c r="H154" s="115">
        <f t="shared" si="15"/>
        <v>619.48</v>
      </c>
    </row>
    <row r="155" spans="1:8" ht="22.5" x14ac:dyDescent="0.2">
      <c r="A155" s="166" t="s">
        <v>425</v>
      </c>
      <c r="B155" s="113" t="s">
        <v>426</v>
      </c>
      <c r="C155" s="113" t="s">
        <v>16</v>
      </c>
      <c r="D155" s="114" t="s">
        <v>427</v>
      </c>
      <c r="E155" s="113" t="s">
        <v>110</v>
      </c>
      <c r="F155" s="167">
        <v>4</v>
      </c>
      <c r="G155" s="115">
        <f>VLOOKUP(A155,'Orçamento Analítico'!$A:$H,8,0)</f>
        <v>954.86999999999989</v>
      </c>
      <c r="H155" s="115">
        <f t="shared" si="15"/>
        <v>3819.48</v>
      </c>
    </row>
    <row r="156" spans="1:8" x14ac:dyDescent="0.2">
      <c r="A156" s="138" t="s">
        <v>428</v>
      </c>
      <c r="B156" s="139"/>
      <c r="C156" s="138"/>
      <c r="D156" s="140" t="s">
        <v>429</v>
      </c>
      <c r="E156" s="141"/>
      <c r="F156" s="142"/>
      <c r="G156" s="143"/>
      <c r="H156" s="144">
        <f>H157</f>
        <v>6915.4</v>
      </c>
    </row>
    <row r="157" spans="1:8" x14ac:dyDescent="0.2">
      <c r="A157" s="146" t="s">
        <v>430</v>
      </c>
      <c r="B157" s="147"/>
      <c r="C157" s="146"/>
      <c r="D157" s="148" t="s">
        <v>431</v>
      </c>
      <c r="E157" s="149"/>
      <c r="F157" s="150"/>
      <c r="G157" s="151"/>
      <c r="H157" s="152">
        <f>SUM(H158:H161)</f>
        <v>6915.4</v>
      </c>
    </row>
    <row r="158" spans="1:8" ht="22.5" x14ac:dyDescent="0.2">
      <c r="A158" s="166" t="s">
        <v>432</v>
      </c>
      <c r="B158" s="113" t="s">
        <v>433</v>
      </c>
      <c r="C158" s="113" t="s">
        <v>16</v>
      </c>
      <c r="D158" s="114" t="s">
        <v>434</v>
      </c>
      <c r="E158" s="113" t="s">
        <v>104</v>
      </c>
      <c r="F158" s="167">
        <v>560</v>
      </c>
      <c r="G158" s="115">
        <f>VLOOKUP(A158,'Orçamento Analítico'!$A:$H,8,0)</f>
        <v>6.86</v>
      </c>
      <c r="H158" s="115">
        <f t="shared" ref="H158:H161" si="16">TRUNC(F158*G158,2)</f>
        <v>3841.6</v>
      </c>
    </row>
    <row r="159" spans="1:8" ht="33.75" x14ac:dyDescent="0.2">
      <c r="A159" s="166" t="s">
        <v>435</v>
      </c>
      <c r="B159" s="113" t="s">
        <v>436</v>
      </c>
      <c r="C159" s="113" t="str">
        <f>VLOOKUP(B159,'Insumos e Serviços'!$A:$F,2,0)</f>
        <v>SINAPI</v>
      </c>
      <c r="D159" s="114" t="str">
        <f>VLOOKUP(B159,'Insumos e Serviços'!$A:$F,4,0)</f>
        <v>FIXAÇÃO DE TUBOS HORIZONTAIS DE PPR DIÂMETROS MAIORES QUE 40 MM E MENORES OU IGUAIS A 75 MM COM ABRAÇADEIRA METÁLICA FLEXÍVEL 18 MM, FIXADA DIRETAMENTE NA LAJE. AF_05/2015</v>
      </c>
      <c r="E159" s="113" t="str">
        <f>VLOOKUP(B159,'Insumos e Serviços'!$A:$F,5,0)</f>
        <v>M</v>
      </c>
      <c r="F159" s="167">
        <v>74</v>
      </c>
      <c r="G159" s="115">
        <f>VLOOKUP(B159,'Insumos e Serviços'!$A:$F,6,0)</f>
        <v>11.58</v>
      </c>
      <c r="H159" s="115">
        <f t="shared" si="16"/>
        <v>856.92</v>
      </c>
    </row>
    <row r="160" spans="1:8" ht="22.5" x14ac:dyDescent="0.2">
      <c r="A160" s="166" t="s">
        <v>438</v>
      </c>
      <c r="B160" s="113" t="s">
        <v>439</v>
      </c>
      <c r="C160" s="113" t="str">
        <f>VLOOKUP(B160,'Insumos e Serviços'!$A:$F,2,0)</f>
        <v>SINAPI</v>
      </c>
      <c r="D160" s="114" t="str">
        <f>VLOOKUP(B160,'Insumos e Serviços'!$A:$F,4,0)</f>
        <v>ESCAVAÇÃO MANUAL DE VALA COM PROFUNDIDADE MENOR OU IGUAL A 1,30 M. AF_03/2016</v>
      </c>
      <c r="E160" s="113" t="str">
        <f>VLOOKUP(B160,'Insumos e Serviços'!$A:$F,5,0)</f>
        <v>m³</v>
      </c>
      <c r="F160" s="167">
        <v>24</v>
      </c>
      <c r="G160" s="115">
        <f>VLOOKUP(B160,'Insumos e Serviços'!$A:$F,6,0)</f>
        <v>67.92</v>
      </c>
      <c r="H160" s="115">
        <f t="shared" si="16"/>
        <v>1630.08</v>
      </c>
    </row>
    <row r="161" spans="1:8" x14ac:dyDescent="0.2">
      <c r="A161" s="166" t="s">
        <v>441</v>
      </c>
      <c r="B161" s="113" t="s">
        <v>442</v>
      </c>
      <c r="C161" s="113" t="str">
        <f>VLOOKUP(B161,'Insumos e Serviços'!$A:$F,2,0)</f>
        <v>SINAPI</v>
      </c>
      <c r="D161" s="114" t="str">
        <f>VLOOKUP(B161,'Insumos e Serviços'!$A:$F,4,0)</f>
        <v>REATERRO MANUAL DE VALAS COM COMPACTAÇÃO MECANIZADA. AF_04/2016</v>
      </c>
      <c r="E161" s="113" t="str">
        <f>VLOOKUP(B161,'Insumos e Serviços'!$A:$F,5,0)</f>
        <v>m³</v>
      </c>
      <c r="F161" s="167">
        <v>24</v>
      </c>
      <c r="G161" s="115">
        <f>VLOOKUP(B161,'Insumos e Serviços'!$A:$F,6,0)</f>
        <v>24.45</v>
      </c>
      <c r="H161" s="115">
        <f t="shared" si="16"/>
        <v>586.79999999999995</v>
      </c>
    </row>
    <row r="162" spans="1:8" x14ac:dyDescent="0.2">
      <c r="A162" s="131" t="s">
        <v>444</v>
      </c>
      <c r="B162" s="132"/>
      <c r="C162" s="131"/>
      <c r="D162" s="133" t="s">
        <v>445</v>
      </c>
      <c r="E162" s="134"/>
      <c r="F162" s="135"/>
      <c r="G162" s="136"/>
      <c r="H162" s="137">
        <f>H163</f>
        <v>54739.25</v>
      </c>
    </row>
    <row r="163" spans="1:8" x14ac:dyDescent="0.2">
      <c r="A163" s="138" t="s">
        <v>446</v>
      </c>
      <c r="B163" s="139"/>
      <c r="C163" s="138"/>
      <c r="D163" s="140" t="s">
        <v>447</v>
      </c>
      <c r="E163" s="141"/>
      <c r="F163" s="142"/>
      <c r="G163" s="143"/>
      <c r="H163" s="144">
        <f>H164+H169</f>
        <v>54739.25</v>
      </c>
    </row>
    <row r="164" spans="1:8" x14ac:dyDescent="0.2">
      <c r="A164" s="146" t="s">
        <v>448</v>
      </c>
      <c r="B164" s="147"/>
      <c r="C164" s="146"/>
      <c r="D164" s="148" t="s">
        <v>449</v>
      </c>
      <c r="E164" s="149"/>
      <c r="F164" s="150"/>
      <c r="G164" s="151"/>
      <c r="H164" s="152">
        <f>SUM(H165:H168)</f>
        <v>10166.44</v>
      </c>
    </row>
    <row r="165" spans="1:8" x14ac:dyDescent="0.2">
      <c r="A165" s="166" t="s">
        <v>450</v>
      </c>
      <c r="B165" s="113" t="s">
        <v>451</v>
      </c>
      <c r="C165" s="113" t="s">
        <v>16</v>
      </c>
      <c r="D165" s="114" t="s">
        <v>452</v>
      </c>
      <c r="E165" s="113" t="s">
        <v>110</v>
      </c>
      <c r="F165" s="167">
        <v>1</v>
      </c>
      <c r="G165" s="115">
        <f>VLOOKUP(A165,'Orçamento Analítico'!$A:$H,8,0)</f>
        <v>8331.4</v>
      </c>
      <c r="H165" s="115">
        <f t="shared" ref="H165:H168" si="17">TRUNC(F165*G165,2)</f>
        <v>8331.4</v>
      </c>
    </row>
    <row r="166" spans="1:8" ht="22.5" x14ac:dyDescent="0.2">
      <c r="A166" s="166" t="s">
        <v>453</v>
      </c>
      <c r="B166" s="113" t="s">
        <v>454</v>
      </c>
      <c r="C166" s="113" t="str">
        <f>VLOOKUP(B166,'Insumos e Serviços'!$A:$F,2,0)</f>
        <v>SINAPI</v>
      </c>
      <c r="D166" s="114" t="s">
        <v>455</v>
      </c>
      <c r="E166" s="113" t="str">
        <f>VLOOKUP(B166,'Insumos e Serviços'!$A:$F,5,0)</f>
        <v>M</v>
      </c>
      <c r="F166" s="167">
        <v>137</v>
      </c>
      <c r="G166" s="115">
        <f>VLOOKUP(B166,'Insumos e Serviços'!$A:$F,6,0)</f>
        <v>10.76</v>
      </c>
      <c r="H166" s="115">
        <f t="shared" si="17"/>
        <v>1474.12</v>
      </c>
    </row>
    <row r="167" spans="1:8" ht="22.5" x14ac:dyDescent="0.2">
      <c r="A167" s="166" t="s">
        <v>456</v>
      </c>
      <c r="B167" s="113" t="s">
        <v>457</v>
      </c>
      <c r="C167" s="113" t="str">
        <f>VLOOKUP(B167,'Insumos e Serviços'!$A:$F,2,0)</f>
        <v>SINAPI</v>
      </c>
      <c r="D167" s="114" t="str">
        <f>VLOOKUP(B167,'Insumos e Serviços'!$A:$F,4,0)</f>
        <v>ELETRODUTO RÍGIDO SOLDÁVEL, PVC, DN 32 MM (1), APARENTE, INSTALADO EM PAREDE - FORNECIMENTO E INSTALAÇÃO. AF_11/2016_P</v>
      </c>
      <c r="E167" s="113" t="str">
        <f>VLOOKUP(B167,'Insumos e Serviços'!$A:$F,5,0)</f>
        <v>M</v>
      </c>
      <c r="F167" s="167">
        <v>28</v>
      </c>
      <c r="G167" s="115">
        <f>VLOOKUP(B167,'Insumos e Serviços'!$A:$F,6,0)</f>
        <v>9.98</v>
      </c>
      <c r="H167" s="115">
        <f t="shared" si="17"/>
        <v>279.44</v>
      </c>
    </row>
    <row r="168" spans="1:8" ht="22.5" x14ac:dyDescent="0.2">
      <c r="A168" s="166" t="s">
        <v>459</v>
      </c>
      <c r="B168" s="113" t="s">
        <v>460</v>
      </c>
      <c r="C168" s="113" t="str">
        <f>VLOOKUP(B168,'Insumos e Serviços'!$A:$F,2,0)</f>
        <v>SINAPI</v>
      </c>
      <c r="D168" s="114" t="str">
        <f>VLOOKUP(B168,'Insumos e Serviços'!$A:$F,4,0)</f>
        <v>CONDULETE DE PVC, TIPO LL, PARA ELETRODUTO DE PVC SOLDÁVEL DN 32 MM (1''), APARENTE - FORNECIMENTO E INSTALAÇÃO. AF_11/2016</v>
      </c>
      <c r="E168" s="113" t="str">
        <f>VLOOKUP(B168,'Insumos e Serviços'!$A:$F,5,0)</f>
        <v>UN</v>
      </c>
      <c r="F168" s="167">
        <v>3</v>
      </c>
      <c r="G168" s="115">
        <f>VLOOKUP(B168,'Insumos e Serviços'!$A:$F,6,0)</f>
        <v>27.16</v>
      </c>
      <c r="H168" s="115">
        <f t="shared" si="17"/>
        <v>81.48</v>
      </c>
    </row>
    <row r="169" spans="1:8" x14ac:dyDescent="0.2">
      <c r="A169" s="146" t="s">
        <v>462</v>
      </c>
      <c r="B169" s="147"/>
      <c r="C169" s="145"/>
      <c r="D169" s="148" t="s">
        <v>463</v>
      </c>
      <c r="E169" s="149"/>
      <c r="F169" s="150"/>
      <c r="G169" s="151"/>
      <c r="H169" s="152">
        <f>SUM(H170:H184)</f>
        <v>44572.81</v>
      </c>
    </row>
    <row r="170" spans="1:8" ht="22.5" x14ac:dyDescent="0.2">
      <c r="A170" s="166" t="s">
        <v>464</v>
      </c>
      <c r="B170" s="113" t="s">
        <v>465</v>
      </c>
      <c r="C170" s="113" t="str">
        <f>VLOOKUP(B170,'Insumos e Serviços'!$A:$F,2,0)</f>
        <v>SINAPI</v>
      </c>
      <c r="D170" s="114" t="str">
        <f>VLOOKUP(B170,'Insumos e Serviços'!$A:$F,4,0)</f>
        <v>CABO DE COBRE FLEXÍVEL ISOLADO, 2,5 MM², ANTI-CHAMA 450/750 V, PARA CIRCUITOS TERMINAIS - FORNECIMENTO E INSTALAÇÃO. AF_12/2015</v>
      </c>
      <c r="E170" s="113" t="str">
        <f>VLOOKUP(B170,'Insumos e Serviços'!$A:$F,5,0)</f>
        <v>M</v>
      </c>
      <c r="F170" s="167">
        <v>87</v>
      </c>
      <c r="G170" s="115">
        <f>VLOOKUP(B170,'Insumos e Serviços'!$A:$F,6,0)</f>
        <v>3.84</v>
      </c>
      <c r="H170" s="115">
        <f t="shared" ref="H170:H184" si="18">TRUNC(F170*G170,2)</f>
        <v>334.08</v>
      </c>
    </row>
    <row r="171" spans="1:8" ht="22.5" x14ac:dyDescent="0.2">
      <c r="A171" s="166" t="s">
        <v>467</v>
      </c>
      <c r="B171" s="113" t="s">
        <v>468</v>
      </c>
      <c r="C171" s="113" t="str">
        <f>VLOOKUP(B171,'Insumos e Serviços'!$A:$F,2,0)</f>
        <v>SINAPI</v>
      </c>
      <c r="D171" s="114" t="str">
        <f>VLOOKUP(B171,'Insumos e Serviços'!$A:$F,4,0)</f>
        <v>CABO DE COBRE FLEXÍVEL ISOLADO, 6 MM², ANTI-CHAMA 450/750 V, PARA CIRCUITOS TERMINAIS - FORNECIMENTO E INSTALAÇÃO. AF_12/2015</v>
      </c>
      <c r="E171" s="113" t="str">
        <f>VLOOKUP(B171,'Insumos e Serviços'!$A:$F,5,0)</f>
        <v>M</v>
      </c>
      <c r="F171" s="167">
        <v>758</v>
      </c>
      <c r="G171" s="115">
        <f>VLOOKUP(B171,'Insumos e Serviços'!$A:$F,6,0)</f>
        <v>8.6199999999999992</v>
      </c>
      <c r="H171" s="115">
        <f t="shared" si="18"/>
        <v>6533.96</v>
      </c>
    </row>
    <row r="172" spans="1:8" ht="22.5" x14ac:dyDescent="0.2">
      <c r="A172" s="166" t="s">
        <v>470</v>
      </c>
      <c r="B172" s="113" t="s">
        <v>471</v>
      </c>
      <c r="C172" s="113" t="s">
        <v>16</v>
      </c>
      <c r="D172" s="114" t="s">
        <v>472</v>
      </c>
      <c r="E172" s="113" t="s">
        <v>104</v>
      </c>
      <c r="F172" s="167">
        <v>38</v>
      </c>
      <c r="G172" s="115">
        <f>VLOOKUP(A172,'Orçamento Analítico'!$A:$H,8,0)</f>
        <v>15.93</v>
      </c>
      <c r="H172" s="115">
        <f t="shared" si="18"/>
        <v>605.34</v>
      </c>
    </row>
    <row r="173" spans="1:8" x14ac:dyDescent="0.2">
      <c r="A173" s="166" t="s">
        <v>473</v>
      </c>
      <c r="B173" s="113" t="s">
        <v>474</v>
      </c>
      <c r="C173" s="113" t="s">
        <v>16</v>
      </c>
      <c r="D173" s="114" t="s">
        <v>475</v>
      </c>
      <c r="E173" s="113" t="s">
        <v>110</v>
      </c>
      <c r="F173" s="167">
        <v>23</v>
      </c>
      <c r="G173" s="115">
        <f>VLOOKUP(A173,'Orçamento Analítico'!$A:$H,8,0)</f>
        <v>39.17</v>
      </c>
      <c r="H173" s="115">
        <f t="shared" si="18"/>
        <v>900.91</v>
      </c>
    </row>
    <row r="174" spans="1:8" ht="22.5" x14ac:dyDescent="0.2">
      <c r="A174" s="166" t="s">
        <v>476</v>
      </c>
      <c r="B174" s="113" t="s">
        <v>477</v>
      </c>
      <c r="C174" s="113" t="s">
        <v>16</v>
      </c>
      <c r="D174" s="114" t="s">
        <v>478</v>
      </c>
      <c r="E174" s="113" t="s">
        <v>104</v>
      </c>
      <c r="F174" s="167">
        <v>25</v>
      </c>
      <c r="G174" s="115">
        <f>VLOOKUP(A174,'Orçamento Analítico'!$A:$H,8,0)</f>
        <v>21.75</v>
      </c>
      <c r="H174" s="115">
        <f t="shared" si="18"/>
        <v>543.75</v>
      </c>
    </row>
    <row r="175" spans="1:8" x14ac:dyDescent="0.2">
      <c r="A175" s="166" t="s">
        <v>479</v>
      </c>
      <c r="B175" s="113" t="s">
        <v>480</v>
      </c>
      <c r="C175" s="113" t="s">
        <v>16</v>
      </c>
      <c r="D175" s="114" t="s">
        <v>481</v>
      </c>
      <c r="E175" s="113" t="s">
        <v>110</v>
      </c>
      <c r="F175" s="167">
        <v>5</v>
      </c>
      <c r="G175" s="115">
        <f>VLOOKUP(A175,'Orçamento Analítico'!$A:$H,8,0)</f>
        <v>60.26</v>
      </c>
      <c r="H175" s="115">
        <f t="shared" si="18"/>
        <v>301.3</v>
      </c>
    </row>
    <row r="176" spans="1:8" x14ac:dyDescent="0.2">
      <c r="A176" s="166" t="s">
        <v>482</v>
      </c>
      <c r="B176" s="113" t="s">
        <v>483</v>
      </c>
      <c r="C176" s="113" t="s">
        <v>16</v>
      </c>
      <c r="D176" s="114" t="s">
        <v>484</v>
      </c>
      <c r="E176" s="113" t="s">
        <v>110</v>
      </c>
      <c r="F176" s="167">
        <v>1</v>
      </c>
      <c r="G176" s="115">
        <f>VLOOKUP(A176,'Orçamento Analítico'!$A:$H,8,0)</f>
        <v>56.269999999999996</v>
      </c>
      <c r="H176" s="115">
        <f t="shared" si="18"/>
        <v>56.27</v>
      </c>
    </row>
    <row r="177" spans="1:8" ht="22.5" x14ac:dyDescent="0.2">
      <c r="A177" s="166" t="s">
        <v>485</v>
      </c>
      <c r="B177" s="113" t="s">
        <v>486</v>
      </c>
      <c r="C177" s="113" t="str">
        <f>VLOOKUP(B177,'Insumos e Serviços'!$A:$F,2,0)</f>
        <v>SINAPI</v>
      </c>
      <c r="D177" s="114" t="str">
        <f>VLOOKUP(B177,'Insumos e Serviços'!$A:$F,4,0)</f>
        <v>INTERRUPTOR SIMPLES (1 MÓDULO) COM 1 TOMADA DE EMBUTIR 2P+T 10 A,  INCLUINDO SUPORTE E PLACA - FORNECIMENTO E INSTALAÇÃO. AF_12/2015</v>
      </c>
      <c r="E177" s="113" t="str">
        <f>VLOOKUP(B177,'Insumos e Serviços'!$A:$F,5,0)</f>
        <v>UN</v>
      </c>
      <c r="F177" s="167">
        <v>14</v>
      </c>
      <c r="G177" s="115">
        <f>VLOOKUP(B177,'Insumos e Serviços'!$A:$F,6,0)</f>
        <v>39.19</v>
      </c>
      <c r="H177" s="115">
        <f t="shared" si="18"/>
        <v>548.66</v>
      </c>
    </row>
    <row r="178" spans="1:8" ht="22.5" x14ac:dyDescent="0.2">
      <c r="A178" s="166" t="s">
        <v>488</v>
      </c>
      <c r="B178" s="113" t="s">
        <v>489</v>
      </c>
      <c r="C178" s="113" t="str">
        <f>VLOOKUP(B178,'Insumos e Serviços'!$A:$F,2,0)</f>
        <v>SINAPI</v>
      </c>
      <c r="D178" s="114" t="str">
        <f>VLOOKUP(B178,'Insumos e Serviços'!$A:$F,4,0)</f>
        <v>INTERRUPTOR SIMPLES (1 MÓDULO), 10A/250V, INCLUINDO SUPORTE E PLACA - FORNECIMENTO E INSTALAÇÃO. AF_12/2015</v>
      </c>
      <c r="E178" s="113" t="str">
        <f>VLOOKUP(B178,'Insumos e Serviços'!$A:$F,5,0)</f>
        <v>UN</v>
      </c>
      <c r="F178" s="167">
        <v>1</v>
      </c>
      <c r="G178" s="115">
        <f>VLOOKUP(B178,'Insumos e Serviços'!$A:$F,6,0)</f>
        <v>22.09</v>
      </c>
      <c r="H178" s="115">
        <f t="shared" si="18"/>
        <v>22.09</v>
      </c>
    </row>
    <row r="179" spans="1:8" ht="22.5" x14ac:dyDescent="0.2">
      <c r="A179" s="166" t="s">
        <v>491</v>
      </c>
      <c r="B179" s="113" t="s">
        <v>492</v>
      </c>
      <c r="C179" s="113" t="str">
        <f>VLOOKUP(B179,'Insumos e Serviços'!$A:$F,2,0)</f>
        <v>SINAPI</v>
      </c>
      <c r="D179" s="114" t="str">
        <f>VLOOKUP(B179,'Insumos e Serviços'!$A:$F,4,0)</f>
        <v>CAIXA RETANGULAR 4" X 2" MÉDIA (1,30 M DO PISO), PVC, INSTALADA EM PAREDE - FORNECIMENTO E INSTALAÇÃO. AF_12/2015</v>
      </c>
      <c r="E179" s="113" t="str">
        <f>VLOOKUP(B179,'Insumos e Serviços'!$A:$F,5,0)</f>
        <v>UN</v>
      </c>
      <c r="F179" s="167">
        <v>15</v>
      </c>
      <c r="G179" s="115">
        <f>VLOOKUP(B179,'Insumos e Serviços'!$A:$F,6,0)</f>
        <v>12.79</v>
      </c>
      <c r="H179" s="115">
        <f t="shared" si="18"/>
        <v>191.85</v>
      </c>
    </row>
    <row r="180" spans="1:8" ht="22.5" x14ac:dyDescent="0.2">
      <c r="A180" s="166" t="s">
        <v>494</v>
      </c>
      <c r="B180" s="113" t="s">
        <v>495</v>
      </c>
      <c r="C180" s="113" t="s">
        <v>16</v>
      </c>
      <c r="D180" s="114" t="s">
        <v>496</v>
      </c>
      <c r="E180" s="113" t="s">
        <v>110</v>
      </c>
      <c r="F180" s="167">
        <v>56</v>
      </c>
      <c r="G180" s="115">
        <f>VLOOKUP(A180,'Orçamento Analítico'!$A:$H,8,0)</f>
        <v>488.38</v>
      </c>
      <c r="H180" s="115">
        <f t="shared" si="18"/>
        <v>27349.279999999999</v>
      </c>
    </row>
    <row r="181" spans="1:8" ht="22.5" x14ac:dyDescent="0.2">
      <c r="A181" s="166" t="s">
        <v>497</v>
      </c>
      <c r="B181" s="113" t="s">
        <v>498</v>
      </c>
      <c r="C181" s="113" t="s">
        <v>16</v>
      </c>
      <c r="D181" s="114" t="s">
        <v>499</v>
      </c>
      <c r="E181" s="113" t="s">
        <v>110</v>
      </c>
      <c r="F181" s="167">
        <v>3</v>
      </c>
      <c r="G181" s="115">
        <f>VLOOKUP(A181,'Orçamento Analítico'!$A:$H,8,0)</f>
        <v>1251.76</v>
      </c>
      <c r="H181" s="115">
        <f t="shared" si="18"/>
        <v>3755.28</v>
      </c>
    </row>
    <row r="182" spans="1:8" ht="22.5" x14ac:dyDescent="0.2">
      <c r="A182" s="166" t="s">
        <v>500</v>
      </c>
      <c r="B182" s="113" t="s">
        <v>501</v>
      </c>
      <c r="C182" s="113" t="str">
        <f>VLOOKUP(B182,'Insumos e Serviços'!$A:$F,2,0)</f>
        <v>SINAPI</v>
      </c>
      <c r="D182" s="114" t="str">
        <f>VLOOKUP(B182,'Insumos e Serviços'!$A:$F,4,0)</f>
        <v>CONDULETE DE PVC, TIPO LB, PARA ELETRODUTO DE PVC SOLDÁVEL DN 25 MM (3/4''), APARENTE - FORNECIMENTO E INSTALAÇÃO. AF_11/2016</v>
      </c>
      <c r="E182" s="113" t="str">
        <f>VLOOKUP(B182,'Insumos e Serviços'!$A:$F,5,0)</f>
        <v>UN</v>
      </c>
      <c r="F182" s="167">
        <v>3</v>
      </c>
      <c r="G182" s="115">
        <f>VLOOKUP(B182,'Insumos e Serviços'!$A:$F,6,0)</f>
        <v>13.52</v>
      </c>
      <c r="H182" s="115">
        <f t="shared" si="18"/>
        <v>40.56</v>
      </c>
    </row>
    <row r="183" spans="1:8" x14ac:dyDescent="0.2">
      <c r="A183" s="166" t="s">
        <v>503</v>
      </c>
      <c r="B183" s="113" t="s">
        <v>504</v>
      </c>
      <c r="C183" s="113" t="str">
        <f>VLOOKUP(B183,'Insumos e Serviços'!$A:$F,2,0)</f>
        <v>SINAPI</v>
      </c>
      <c r="D183" s="114" t="str">
        <f>VLOOKUP(B183,'Insumos e Serviços'!$A:$F,4,0)</f>
        <v>CONDULETE DE PVC, TIPO LB, PARA ELETRODUTO DE PVC SOLDÁVEL DN 32 MM (1</v>
      </c>
      <c r="E183" s="113" t="str">
        <f>VLOOKUP(B183,'Insumos e Serviços'!$A:$F,5,0)</f>
        <v>UN</v>
      </c>
      <c r="F183" s="167">
        <v>4</v>
      </c>
      <c r="G183" s="115">
        <f>VLOOKUP(B183,'Insumos e Serviços'!$A:$F,6,0)</f>
        <v>15.91</v>
      </c>
      <c r="H183" s="115">
        <f t="shared" si="18"/>
        <v>63.64</v>
      </c>
    </row>
    <row r="184" spans="1:8" ht="22.5" x14ac:dyDescent="0.2">
      <c r="A184" s="166" t="s">
        <v>506</v>
      </c>
      <c r="B184" s="113" t="s">
        <v>507</v>
      </c>
      <c r="C184" s="113" t="s">
        <v>16</v>
      </c>
      <c r="D184" s="114" t="s">
        <v>508</v>
      </c>
      <c r="E184" s="113" t="s">
        <v>110</v>
      </c>
      <c r="F184" s="167">
        <v>1</v>
      </c>
      <c r="G184" s="115">
        <f>VLOOKUP(A184,'Orçamento Analítico'!$A:$H,8,0)</f>
        <v>3325.8399999999997</v>
      </c>
      <c r="H184" s="115">
        <f t="shared" si="18"/>
        <v>3325.84</v>
      </c>
    </row>
    <row r="185" spans="1:8" x14ac:dyDescent="0.2">
      <c r="A185" s="131" t="s">
        <v>509</v>
      </c>
      <c r="B185" s="132"/>
      <c r="C185" s="131"/>
      <c r="D185" s="133" t="s">
        <v>510</v>
      </c>
      <c r="E185" s="134"/>
      <c r="F185" s="135"/>
      <c r="G185" s="136"/>
      <c r="H185" s="137">
        <f>H186+H196</f>
        <v>11508.09</v>
      </c>
    </row>
    <row r="186" spans="1:8" x14ac:dyDescent="0.2">
      <c r="A186" s="138" t="s">
        <v>511</v>
      </c>
      <c r="B186" s="139"/>
      <c r="C186" s="138"/>
      <c r="D186" s="140" t="s">
        <v>512</v>
      </c>
      <c r="E186" s="141"/>
      <c r="F186" s="142"/>
      <c r="G186" s="143"/>
      <c r="H186" s="144">
        <f>H187</f>
        <v>11043.23</v>
      </c>
    </row>
    <row r="187" spans="1:8" x14ac:dyDescent="0.2">
      <c r="A187" s="146" t="s">
        <v>513</v>
      </c>
      <c r="B187" s="147"/>
      <c r="C187" s="146"/>
      <c r="D187" s="148" t="s">
        <v>514</v>
      </c>
      <c r="E187" s="149"/>
      <c r="F187" s="150"/>
      <c r="G187" s="151"/>
      <c r="H187" s="152">
        <f>SUM(H188:H195)</f>
        <v>11043.23</v>
      </c>
    </row>
    <row r="188" spans="1:8" ht="33.75" x14ac:dyDescent="0.2">
      <c r="A188" s="166" t="s">
        <v>515</v>
      </c>
      <c r="B188" s="113" t="s">
        <v>516</v>
      </c>
      <c r="C188" s="113" t="s">
        <v>16</v>
      </c>
      <c r="D188" s="114" t="s">
        <v>517</v>
      </c>
      <c r="E188" s="113" t="s">
        <v>110</v>
      </c>
      <c r="F188" s="167">
        <v>3</v>
      </c>
      <c r="G188" s="115">
        <f>VLOOKUP(A188,'Orçamento Analítico'!$A:$H,8,0)</f>
        <v>210.92</v>
      </c>
      <c r="H188" s="115">
        <f t="shared" ref="H188:H195" si="19">TRUNC(F188*G188,2)</f>
        <v>632.76</v>
      </c>
    </row>
    <row r="189" spans="1:8" ht="33.75" x14ac:dyDescent="0.2">
      <c r="A189" s="166" t="s">
        <v>518</v>
      </c>
      <c r="B189" s="113" t="s">
        <v>519</v>
      </c>
      <c r="C189" s="113" t="s">
        <v>16</v>
      </c>
      <c r="D189" s="114" t="s">
        <v>520</v>
      </c>
      <c r="E189" s="113" t="s">
        <v>110</v>
      </c>
      <c r="F189" s="167">
        <v>2</v>
      </c>
      <c r="G189" s="115">
        <f>VLOOKUP(A189,'Orçamento Analítico'!$A:$H,8,0)</f>
        <v>64.699999999999989</v>
      </c>
      <c r="H189" s="115">
        <f t="shared" si="19"/>
        <v>129.4</v>
      </c>
    </row>
    <row r="190" spans="1:8" ht="112.5" x14ac:dyDescent="0.2">
      <c r="A190" s="166" t="s">
        <v>521</v>
      </c>
      <c r="B190" s="113" t="s">
        <v>522</v>
      </c>
      <c r="C190" s="113" t="s">
        <v>16</v>
      </c>
      <c r="D190" s="114" t="s">
        <v>523</v>
      </c>
      <c r="E190" s="113" t="s">
        <v>32</v>
      </c>
      <c r="F190" s="167">
        <v>12</v>
      </c>
      <c r="G190" s="115">
        <f>VLOOKUP(A190,'Orçamento Analítico'!$A:$H,8,0)</f>
        <v>131.47</v>
      </c>
      <c r="H190" s="115">
        <f t="shared" si="19"/>
        <v>1577.64</v>
      </c>
    </row>
    <row r="191" spans="1:8" ht="33.75" x14ac:dyDescent="0.2">
      <c r="A191" s="166" t="s">
        <v>524</v>
      </c>
      <c r="B191" s="113" t="s">
        <v>525</v>
      </c>
      <c r="C191" s="113" t="s">
        <v>16</v>
      </c>
      <c r="D191" s="114" t="s">
        <v>526</v>
      </c>
      <c r="E191" s="113" t="s">
        <v>110</v>
      </c>
      <c r="F191" s="167">
        <v>7</v>
      </c>
      <c r="G191" s="115">
        <f>VLOOKUP(A191,'Orçamento Analítico'!$A:$H,8,0)</f>
        <v>159.43</v>
      </c>
      <c r="H191" s="115">
        <f t="shared" si="19"/>
        <v>1116.01</v>
      </c>
    </row>
    <row r="192" spans="1:8" ht="78.75" x14ac:dyDescent="0.2">
      <c r="A192" s="166" t="s">
        <v>527</v>
      </c>
      <c r="B192" s="113" t="s">
        <v>528</v>
      </c>
      <c r="C192" s="113" t="s">
        <v>16</v>
      </c>
      <c r="D192" s="114" t="s">
        <v>529</v>
      </c>
      <c r="E192" s="113" t="s">
        <v>110</v>
      </c>
      <c r="F192" s="167">
        <v>2</v>
      </c>
      <c r="G192" s="115">
        <f>VLOOKUP(A192,'Orçamento Analítico'!$A:$H,8,0)</f>
        <v>2259.6699999999996</v>
      </c>
      <c r="H192" s="115">
        <f t="shared" si="19"/>
        <v>4519.34</v>
      </c>
    </row>
    <row r="193" spans="1:8" ht="33.75" x14ac:dyDescent="0.2">
      <c r="A193" s="166" t="s">
        <v>530</v>
      </c>
      <c r="B193" s="113" t="s">
        <v>531</v>
      </c>
      <c r="C193" s="113" t="s">
        <v>16</v>
      </c>
      <c r="D193" s="114" t="s">
        <v>532</v>
      </c>
      <c r="E193" s="113" t="s">
        <v>110</v>
      </c>
      <c r="F193" s="167">
        <v>2</v>
      </c>
      <c r="G193" s="115">
        <f>VLOOKUP(A193,'Orçamento Analítico'!$A:$H,8,0)</f>
        <v>70.58</v>
      </c>
      <c r="H193" s="115">
        <f t="shared" si="19"/>
        <v>141.16</v>
      </c>
    </row>
    <row r="194" spans="1:8" ht="33.75" x14ac:dyDescent="0.2">
      <c r="A194" s="166" t="s">
        <v>533</v>
      </c>
      <c r="B194" s="113" t="s">
        <v>534</v>
      </c>
      <c r="C194" s="113" t="s">
        <v>16</v>
      </c>
      <c r="D194" s="114" t="s">
        <v>535</v>
      </c>
      <c r="E194" s="113" t="s">
        <v>110</v>
      </c>
      <c r="F194" s="167">
        <v>12</v>
      </c>
      <c r="G194" s="115">
        <f>VLOOKUP(A194,'Orçamento Analítico'!$A:$H,8,0)</f>
        <v>188.01</v>
      </c>
      <c r="H194" s="115">
        <f t="shared" si="19"/>
        <v>2256.12</v>
      </c>
    </row>
    <row r="195" spans="1:8" ht="67.5" x14ac:dyDescent="0.2">
      <c r="A195" s="166" t="s">
        <v>536</v>
      </c>
      <c r="B195" s="113" t="s">
        <v>537</v>
      </c>
      <c r="C195" s="113" t="s">
        <v>16</v>
      </c>
      <c r="D195" s="114" t="s">
        <v>538</v>
      </c>
      <c r="E195" s="113" t="s">
        <v>110</v>
      </c>
      <c r="F195" s="167">
        <v>1</v>
      </c>
      <c r="G195" s="115">
        <f>VLOOKUP(A195,'Orçamento Analítico'!$A:$H,8,0)</f>
        <v>670.8</v>
      </c>
      <c r="H195" s="115">
        <f t="shared" si="19"/>
        <v>670.8</v>
      </c>
    </row>
    <row r="196" spans="1:8" x14ac:dyDescent="0.2">
      <c r="A196" s="138" t="s">
        <v>539</v>
      </c>
      <c r="B196" s="139"/>
      <c r="C196" s="138"/>
      <c r="D196" s="140" t="s">
        <v>540</v>
      </c>
      <c r="E196" s="141"/>
      <c r="F196" s="142"/>
      <c r="G196" s="143"/>
      <c r="H196" s="144">
        <f>H197</f>
        <v>464.86</v>
      </c>
    </row>
    <row r="197" spans="1:8" x14ac:dyDescent="0.2">
      <c r="A197" s="146" t="s">
        <v>541</v>
      </c>
      <c r="B197" s="147"/>
      <c r="C197" s="146"/>
      <c r="D197" s="148" t="s">
        <v>542</v>
      </c>
      <c r="E197" s="149"/>
      <c r="F197" s="150"/>
      <c r="G197" s="151"/>
      <c r="H197" s="152">
        <f>SUM(H198:H199)</f>
        <v>464.86</v>
      </c>
    </row>
    <row r="198" spans="1:8" x14ac:dyDescent="0.2">
      <c r="A198" s="166" t="s">
        <v>543</v>
      </c>
      <c r="B198" s="113" t="s">
        <v>544</v>
      </c>
      <c r="C198" s="113" t="s">
        <v>16</v>
      </c>
      <c r="D198" s="114" t="s">
        <v>545</v>
      </c>
      <c r="E198" s="113" t="s">
        <v>110</v>
      </c>
      <c r="F198" s="167">
        <v>2</v>
      </c>
      <c r="G198" s="115">
        <f>VLOOKUP(A198,'Orçamento Analítico'!$A:$H,8,0)</f>
        <v>24.86</v>
      </c>
      <c r="H198" s="115">
        <f t="shared" ref="H198:H199" si="20">TRUNC(F198*G198,2)</f>
        <v>49.72</v>
      </c>
    </row>
    <row r="199" spans="1:8" x14ac:dyDescent="0.2">
      <c r="A199" s="166" t="s">
        <v>546</v>
      </c>
      <c r="B199" s="113" t="s">
        <v>547</v>
      </c>
      <c r="C199" s="113" t="s">
        <v>16</v>
      </c>
      <c r="D199" s="114" t="s">
        <v>548</v>
      </c>
      <c r="E199" s="113" t="s">
        <v>28</v>
      </c>
      <c r="F199" s="167">
        <v>33</v>
      </c>
      <c r="G199" s="115">
        <f>VLOOKUP(A199,'Orçamento Analítico'!$A:$H,8,0)</f>
        <v>12.58</v>
      </c>
      <c r="H199" s="115">
        <f t="shared" si="20"/>
        <v>415.14</v>
      </c>
    </row>
    <row r="200" spans="1:8" x14ac:dyDescent="0.2">
      <c r="A200" s="131" t="s">
        <v>549</v>
      </c>
      <c r="B200" s="132"/>
      <c r="C200" s="131"/>
      <c r="D200" s="133" t="s">
        <v>550</v>
      </c>
      <c r="E200" s="134"/>
      <c r="F200" s="135"/>
      <c r="G200" s="136"/>
      <c r="H200" s="137">
        <f>H201</f>
        <v>128.58000000000001</v>
      </c>
    </row>
    <row r="201" spans="1:8" x14ac:dyDescent="0.2">
      <c r="A201" s="138" t="s">
        <v>551</v>
      </c>
      <c r="B201" s="139"/>
      <c r="C201" s="138"/>
      <c r="D201" s="140" t="s">
        <v>552</v>
      </c>
      <c r="E201" s="141"/>
      <c r="F201" s="142"/>
      <c r="G201" s="143"/>
      <c r="H201" s="144">
        <f>H202</f>
        <v>128.58000000000001</v>
      </c>
    </row>
    <row r="202" spans="1:8" x14ac:dyDescent="0.2">
      <c r="A202" s="146" t="s">
        <v>553</v>
      </c>
      <c r="B202" s="147"/>
      <c r="C202" s="146"/>
      <c r="D202" s="148" t="s">
        <v>554</v>
      </c>
      <c r="E202" s="149"/>
      <c r="F202" s="150"/>
      <c r="G202" s="151"/>
      <c r="H202" s="152">
        <f>SUM(H203)</f>
        <v>128.58000000000001</v>
      </c>
    </row>
    <row r="203" spans="1:8" ht="56.25" x14ac:dyDescent="0.2">
      <c r="A203" s="166" t="s">
        <v>555</v>
      </c>
      <c r="B203" s="113" t="s">
        <v>556</v>
      </c>
      <c r="C203" s="113" t="s">
        <v>16</v>
      </c>
      <c r="D203" s="114" t="s">
        <v>557</v>
      </c>
      <c r="E203" s="113" t="s">
        <v>110</v>
      </c>
      <c r="F203" s="167">
        <v>6</v>
      </c>
      <c r="G203" s="115">
        <f>VLOOKUP(A203,'Orçamento Analítico'!$A:$H,8,0)</f>
        <v>21.43</v>
      </c>
      <c r="H203" s="115">
        <f>TRUNC(F203*G203,2)</f>
        <v>128.58000000000001</v>
      </c>
    </row>
    <row r="204" spans="1:8" x14ac:dyDescent="0.2">
      <c r="A204" s="131" t="s">
        <v>558</v>
      </c>
      <c r="B204" s="132"/>
      <c r="C204" s="131"/>
      <c r="D204" s="133" t="s">
        <v>559</v>
      </c>
      <c r="E204" s="134"/>
      <c r="F204" s="135"/>
      <c r="G204" s="136"/>
      <c r="H204" s="137">
        <f>H205</f>
        <v>13095.22</v>
      </c>
    </row>
    <row r="205" spans="1:8" x14ac:dyDescent="0.2">
      <c r="A205" s="138" t="s">
        <v>560</v>
      </c>
      <c r="B205" s="139"/>
      <c r="C205" s="138"/>
      <c r="D205" s="140" t="s">
        <v>561</v>
      </c>
      <c r="E205" s="141"/>
      <c r="F205" s="142"/>
      <c r="G205" s="143"/>
      <c r="H205" s="144">
        <f>SUM(H206:H209)</f>
        <v>13095.22</v>
      </c>
    </row>
    <row r="206" spans="1:8" x14ac:dyDescent="0.2">
      <c r="A206" s="166" t="s">
        <v>562</v>
      </c>
      <c r="B206" s="113">
        <v>99811</v>
      </c>
      <c r="C206" s="113" t="str">
        <f>VLOOKUP(B206,'Insumos e Serviços'!$A:$F,2,0)</f>
        <v>SINAPI</v>
      </c>
      <c r="D206" s="114" t="str">
        <f>VLOOKUP(B206,'Insumos e Serviços'!$A:$F,4,0)</f>
        <v>LIMPEZA DE CONTRAPISO COM VASSOURA A SECO. AF_04/2019</v>
      </c>
      <c r="E206" s="113" t="str">
        <f>VLOOKUP(B206,'Insumos e Serviços'!$A:$F,5,0)</f>
        <v>m²</v>
      </c>
      <c r="F206" s="167">
        <v>473</v>
      </c>
      <c r="G206" s="115">
        <f>VLOOKUP(B206,'Insumos e Serviços'!$A:$F,6,0)</f>
        <v>2.83</v>
      </c>
      <c r="H206" s="115">
        <f t="shared" ref="H206:H209" si="21">TRUNC(F206*G206,2)</f>
        <v>1338.59</v>
      </c>
    </row>
    <row r="207" spans="1:8" x14ac:dyDescent="0.2">
      <c r="A207" s="166" t="s">
        <v>564</v>
      </c>
      <c r="B207" s="113" t="s">
        <v>565</v>
      </c>
      <c r="C207" s="113" t="str">
        <f>VLOOKUP(B207,'Insumos e Serviços'!$A:$F,2,0)</f>
        <v>SINAPI</v>
      </c>
      <c r="D207" s="114" t="str">
        <f>VLOOKUP(B207,'Insumos e Serviços'!$A:$F,4,0)</f>
        <v>LIMPEZA DE REVESTIMENTO CERÂMICO EM PAREDE COM PANO ÚMIDO AF_04/2019</v>
      </c>
      <c r="E207" s="113" t="str">
        <f>VLOOKUP(B207,'Insumos e Serviços'!$A:$F,5,0)</f>
        <v>m²</v>
      </c>
      <c r="F207" s="167">
        <v>135</v>
      </c>
      <c r="G207" s="115">
        <f>VLOOKUP(B207,'Insumos e Serviços'!$A:$F,6,0)</f>
        <v>0.68</v>
      </c>
      <c r="H207" s="115">
        <f t="shared" si="21"/>
        <v>91.8</v>
      </c>
    </row>
    <row r="208" spans="1:8" ht="22.5" x14ac:dyDescent="0.2">
      <c r="A208" s="166" t="s">
        <v>567</v>
      </c>
      <c r="B208" s="113" t="s">
        <v>568</v>
      </c>
      <c r="C208" s="113" t="str">
        <f>VLOOKUP(B208,'Insumos e Serviços'!$A:$F,2,0)</f>
        <v>SINAPI</v>
      </c>
      <c r="D208" s="114" t="str">
        <f>VLOOKUP(B208,'Insumos e Serviços'!$A:$F,4,0)</f>
        <v>LIMPEZA DE PISO CERÂMICO OU COM PEDRAS RÚSTICAS UTILIZANDO ÁCIDO MURIÁTICO. AF_04/2019</v>
      </c>
      <c r="E208" s="113" t="str">
        <f>VLOOKUP(B208,'Insumos e Serviços'!$A:$F,5,0)</f>
        <v>m²</v>
      </c>
      <c r="F208" s="167">
        <v>473</v>
      </c>
      <c r="G208" s="115">
        <f>VLOOKUP(B208,'Insumos e Serviços'!$A:$F,6,0)</f>
        <v>8.67</v>
      </c>
      <c r="H208" s="115">
        <f t="shared" si="21"/>
        <v>4100.91</v>
      </c>
    </row>
    <row r="209" spans="1:8" x14ac:dyDescent="0.2">
      <c r="A209" s="166" t="s">
        <v>570</v>
      </c>
      <c r="B209" s="113" t="s">
        <v>571</v>
      </c>
      <c r="C209" s="113" t="s">
        <v>16</v>
      </c>
      <c r="D209" s="114" t="s">
        <v>572</v>
      </c>
      <c r="E209" s="113" t="s">
        <v>39</v>
      </c>
      <c r="F209" s="167">
        <v>91</v>
      </c>
      <c r="G209" s="115">
        <f>VLOOKUP(A209,'Orçamento Analítico'!$A:$H,8,0)</f>
        <v>83.12</v>
      </c>
      <c r="H209" s="115">
        <f t="shared" si="21"/>
        <v>7563.92</v>
      </c>
    </row>
    <row r="210" spans="1:8" x14ac:dyDescent="0.2">
      <c r="A210" s="131" t="s">
        <v>573</v>
      </c>
      <c r="B210" s="132"/>
      <c r="C210" s="131"/>
      <c r="D210" s="133" t="s">
        <v>574</v>
      </c>
      <c r="E210" s="134"/>
      <c r="F210" s="135"/>
      <c r="G210" s="136"/>
      <c r="H210" s="137">
        <f>H211</f>
        <v>22903.739999999998</v>
      </c>
    </row>
    <row r="211" spans="1:8" x14ac:dyDescent="0.2">
      <c r="A211" s="138" t="s">
        <v>575</v>
      </c>
      <c r="B211" s="139"/>
      <c r="C211" s="138"/>
      <c r="D211" s="140" t="s">
        <v>576</v>
      </c>
      <c r="E211" s="141"/>
      <c r="F211" s="142"/>
      <c r="G211" s="143"/>
      <c r="H211" s="144">
        <f>SUM(H212:H213)</f>
        <v>22903.739999999998</v>
      </c>
    </row>
    <row r="212" spans="1:8" x14ac:dyDescent="0.2">
      <c r="A212" s="166" t="s">
        <v>577</v>
      </c>
      <c r="B212" s="113" t="s">
        <v>578</v>
      </c>
      <c r="C212" s="113" t="str">
        <f>VLOOKUP(B212,'Insumos e Serviços'!$A:$F,2,0)</f>
        <v>SINAPI</v>
      </c>
      <c r="D212" s="114" t="str">
        <f>VLOOKUP(B212,'Insumos e Serviços'!$A:$F,4,0)</f>
        <v>ENCARREGADO GERAL DE OBRAS COM ENCARGOS COMPLEMENTARES</v>
      </c>
      <c r="E212" s="113" t="str">
        <f>VLOOKUP(B212,'Insumos e Serviços'!$A:$F,5,0)</f>
        <v>MES</v>
      </c>
      <c r="F212" s="167">
        <v>4</v>
      </c>
      <c r="G212" s="115">
        <f>VLOOKUP(B212,'Insumos e Serviços'!$A:$F,6,0)</f>
        <v>3349.71</v>
      </c>
      <c r="H212" s="115">
        <f t="shared" ref="H212:H213" si="22">TRUNC(F212*G212,2)</f>
        <v>13398.84</v>
      </c>
    </row>
    <row r="213" spans="1:8" x14ac:dyDescent="0.2">
      <c r="A213" s="166" t="s">
        <v>581</v>
      </c>
      <c r="B213" s="113" t="s">
        <v>582</v>
      </c>
      <c r="C213" s="113" t="str">
        <f>VLOOKUP(B213,'Insumos e Serviços'!$A:$F,2,0)</f>
        <v>SINAPI</v>
      </c>
      <c r="D213" s="114" t="str">
        <f>VLOOKUP(B213,'Insumos e Serviços'!$A:$F,4,0)</f>
        <v>ENGENHEIRO CIVIL DE OBRA PLENO COM ENCARGOS COMPLEMENTARES</v>
      </c>
      <c r="E213" s="113" t="str">
        <f>VLOOKUP(B213,'Insumos e Serviços'!$A:$F,5,0)</f>
        <v>H</v>
      </c>
      <c r="F213" s="167">
        <v>90</v>
      </c>
      <c r="G213" s="115">
        <f>VLOOKUP(B213,'Insumos e Serviços'!$A:$F,6,0)</f>
        <v>105.61</v>
      </c>
      <c r="H213" s="115">
        <f t="shared" si="22"/>
        <v>9504.9</v>
      </c>
    </row>
    <row r="214" spans="1:8" x14ac:dyDescent="0.2">
      <c r="A214" s="155"/>
      <c r="B214" s="156"/>
      <c r="C214" s="155"/>
      <c r="D214" s="157"/>
      <c r="E214" s="155"/>
      <c r="F214" s="158"/>
      <c r="G214" s="158"/>
      <c r="H214" s="155"/>
    </row>
    <row r="215" spans="1:8" x14ac:dyDescent="0.2">
      <c r="A215" s="159" t="s">
        <v>589</v>
      </c>
      <c r="B215" s="160">
        <f>1-B216</f>
        <v>0.5</v>
      </c>
      <c r="C215" s="161"/>
      <c r="D215" s="162" t="s">
        <v>585</v>
      </c>
      <c r="E215" s="163"/>
      <c r="F215" s="164"/>
      <c r="G215" s="164"/>
      <c r="H215" s="164">
        <f>H9+H12+H36+H117+H162+H185+H200+H204+H210</f>
        <v>734524.52999999991</v>
      </c>
    </row>
    <row r="216" spans="1:8" x14ac:dyDescent="0.2">
      <c r="A216" s="255" t="s">
        <v>590</v>
      </c>
      <c r="B216" s="257">
        <v>0.5</v>
      </c>
      <c r="C216" s="161"/>
      <c r="D216" s="162" t="s">
        <v>586</v>
      </c>
      <c r="E216" s="163"/>
      <c r="F216" s="165">
        <f>'Composição de BDI'!D23</f>
        <v>0.22120000000000001</v>
      </c>
      <c r="G216" s="164"/>
      <c r="H216" s="164">
        <f>TRUNC(H215*('Composição de BDI'!D23),2)</f>
        <v>162476.82</v>
      </c>
    </row>
    <row r="217" spans="1:8" x14ac:dyDescent="0.2">
      <c r="A217" s="256"/>
      <c r="B217" s="258"/>
      <c r="C217" s="161"/>
      <c r="D217" s="162" t="s">
        <v>587</v>
      </c>
      <c r="E217" s="163"/>
      <c r="F217" s="164"/>
      <c r="G217" s="164"/>
      <c r="H217" s="164">
        <f>SUM(H215:H216)</f>
        <v>897001.34999999986</v>
      </c>
    </row>
    <row r="218" spans="1:8" ht="15" x14ac:dyDescent="0.2">
      <c r="A218" s="119"/>
      <c r="B218" s="120"/>
      <c r="C218" s="119"/>
      <c r="D218" s="121"/>
      <c r="E218" s="119"/>
      <c r="F218" s="122"/>
      <c r="G218" s="122"/>
      <c r="H218" s="119"/>
    </row>
  </sheetData>
  <mergeCells count="17">
    <mergeCell ref="A216:A217"/>
    <mergeCell ref="B216:B217"/>
    <mergeCell ref="A7:H7"/>
    <mergeCell ref="G1:H1"/>
    <mergeCell ref="A2:B2"/>
    <mergeCell ref="E2:F2"/>
    <mergeCell ref="G2:H2"/>
    <mergeCell ref="A3:B3"/>
    <mergeCell ref="C3:D3"/>
    <mergeCell ref="A4:B4"/>
    <mergeCell ref="C4:D4"/>
    <mergeCell ref="E4:F4"/>
    <mergeCell ref="G4:H4"/>
    <mergeCell ref="A6:B6"/>
    <mergeCell ref="C6:D6"/>
    <mergeCell ref="E6:F6"/>
    <mergeCell ref="G6:H6"/>
  </mergeCells>
  <printOptions horizontalCentered="1"/>
  <pageMargins left="0.59055118110236227" right="0.59055118110236227" top="0.59055118110236227" bottom="0.59055118110236227" header="0.19685039370078741" footer="0.19685039370078741"/>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AADA3-EDAA-444E-A279-00B2E36F9987}">
  <sheetPr>
    <pageSetUpPr fitToPage="1"/>
  </sheetPr>
  <dimension ref="A1:H647"/>
  <sheetViews>
    <sheetView showGridLines="0" workbookViewId="0"/>
  </sheetViews>
  <sheetFormatPr defaultRowHeight="14.25" x14ac:dyDescent="0.2"/>
  <cols>
    <col min="1" max="2" width="10" style="110" customWidth="1"/>
    <col min="3" max="3" width="13.25" style="110" customWidth="1"/>
    <col min="4" max="4" width="60" style="179" customWidth="1"/>
    <col min="5" max="5" width="8" style="180" customWidth="1"/>
    <col min="6" max="6" width="13" style="188" customWidth="1"/>
    <col min="7" max="8" width="13" style="110" customWidth="1"/>
    <col min="9" max="16384" width="9" style="110"/>
  </cols>
  <sheetData>
    <row r="1" spans="1:8" s="116" customFormat="1" x14ac:dyDescent="0.2">
      <c r="A1" s="86" t="str">
        <f>'Orçamento Sintético'!A1</f>
        <v>P. Execução:</v>
      </c>
      <c r="B1" s="57"/>
      <c r="C1" s="58" t="str">
        <f>'Orçamento Sintético'!C1</f>
        <v>Licitação:</v>
      </c>
      <c r="D1" s="59" t="str">
        <f>'Orçamento Sintético'!D1</f>
        <v>Objeto: Adequações de acessibilidade – área interna - Edifício Infância</v>
      </c>
      <c r="E1" s="86" t="str">
        <f>'Orçamento Sintético'!E1</f>
        <v>Data:</v>
      </c>
      <c r="F1" s="186"/>
      <c r="G1" s="249"/>
      <c r="H1" s="250"/>
    </row>
    <row r="2" spans="1:8" s="116" customFormat="1" x14ac:dyDescent="0.2">
      <c r="A2" s="242" t="str">
        <f>'Orçamento Sintético'!A2:B2</f>
        <v>A</v>
      </c>
      <c r="B2" s="243"/>
      <c r="C2" s="62" t="str">
        <f>'Orçamento Sintético'!C2</f>
        <v>B</v>
      </c>
      <c r="D2" s="63" t="str">
        <f>'Orçamento Sintético'!D2</f>
        <v>Local:  SEPN 711/911, Bloco B, Asa Norte, Brasília-DF</v>
      </c>
      <c r="E2" s="251">
        <f>'Orçamento Sintético'!E2:F2</f>
        <v>1</v>
      </c>
      <c r="F2" s="252"/>
      <c r="G2" s="245"/>
      <c r="H2" s="246"/>
    </row>
    <row r="3" spans="1:8" s="116" customFormat="1" x14ac:dyDescent="0.2">
      <c r="A3" s="253" t="str">
        <f>'Orçamento Sintético'!A3:B3</f>
        <v>P. Validade:</v>
      </c>
      <c r="B3" s="254"/>
      <c r="C3" s="253" t="str">
        <f>'Orçamento Sintético'!C3:D3</f>
        <v>Razão Social:</v>
      </c>
      <c r="D3" s="254"/>
      <c r="E3" s="86" t="str">
        <f>'Orçamento Sintético'!E3</f>
        <v>Telefone:</v>
      </c>
      <c r="F3" s="187"/>
      <c r="G3" s="64"/>
      <c r="H3" s="65"/>
    </row>
    <row r="4" spans="1:8" s="116" customFormat="1" x14ac:dyDescent="0.2">
      <c r="A4" s="242" t="str">
        <f>'Orçamento Sintético'!A4:B4</f>
        <v>C</v>
      </c>
      <c r="B4" s="243"/>
      <c r="C4" s="242" t="str">
        <f>'Orçamento Sintético'!C4:D4</f>
        <v>D</v>
      </c>
      <c r="D4" s="243"/>
      <c r="E4" s="242" t="str">
        <f>'Orçamento Sintético'!E4:F4</f>
        <v>E</v>
      </c>
      <c r="F4" s="244"/>
      <c r="G4" s="245"/>
      <c r="H4" s="246"/>
    </row>
    <row r="5" spans="1:8" s="116" customFormat="1" x14ac:dyDescent="0.2">
      <c r="A5" s="66" t="str">
        <f>'Orçamento Sintético'!A5</f>
        <v>P. Garantia:</v>
      </c>
      <c r="B5" s="88"/>
      <c r="C5" s="86" t="str">
        <f>'Orçamento Sintético'!C5</f>
        <v>CNPJ:</v>
      </c>
      <c r="D5" s="57"/>
      <c r="E5" s="86" t="str">
        <f>'Orçamento Sintético'!E5</f>
        <v>E-mail:</v>
      </c>
      <c r="F5" s="187"/>
      <c r="G5" s="64"/>
      <c r="H5" s="65"/>
    </row>
    <row r="6" spans="1:8" s="116" customFormat="1" x14ac:dyDescent="0.2">
      <c r="A6" s="247" t="str">
        <f>'Orçamento Sintético'!A6:B6</f>
        <v>F</v>
      </c>
      <c r="B6" s="248"/>
      <c r="C6" s="242" t="str">
        <f>'Orçamento Sintético'!C6:D6</f>
        <v>G</v>
      </c>
      <c r="D6" s="243"/>
      <c r="E6" s="242" t="str">
        <f>'Orçamento Sintético'!E6:F6</f>
        <v>H</v>
      </c>
      <c r="F6" s="244"/>
      <c r="G6" s="247"/>
      <c r="H6" s="248"/>
    </row>
    <row r="7" spans="1:8" ht="15" x14ac:dyDescent="0.25">
      <c r="A7" s="261" t="s">
        <v>592</v>
      </c>
      <c r="B7" s="262"/>
      <c r="C7" s="262"/>
      <c r="D7" s="262"/>
      <c r="E7" s="262"/>
      <c r="F7" s="262"/>
      <c r="G7" s="262"/>
      <c r="H7" s="262"/>
    </row>
    <row r="8" spans="1:8" s="116" customFormat="1" x14ac:dyDescent="0.2">
      <c r="A8" s="181" t="s">
        <v>1</v>
      </c>
      <c r="B8" s="181" t="s">
        <v>2</v>
      </c>
      <c r="C8" s="181" t="s">
        <v>3</v>
      </c>
      <c r="D8" s="181" t="s">
        <v>4</v>
      </c>
      <c r="E8" s="181" t="s">
        <v>5</v>
      </c>
      <c r="F8" s="182" t="s">
        <v>6</v>
      </c>
      <c r="G8" s="181" t="s">
        <v>7</v>
      </c>
      <c r="H8" s="181" t="s">
        <v>8</v>
      </c>
    </row>
    <row r="9" spans="1:8" x14ac:dyDescent="0.2">
      <c r="A9" s="194" t="s">
        <v>10</v>
      </c>
      <c r="B9" s="194"/>
      <c r="C9" s="194"/>
      <c r="D9" s="195" t="s">
        <v>11</v>
      </c>
      <c r="E9" s="196"/>
      <c r="F9" s="197"/>
      <c r="G9" s="194"/>
      <c r="H9" s="198"/>
    </row>
    <row r="10" spans="1:8" x14ac:dyDescent="0.2">
      <c r="A10" s="199" t="s">
        <v>12</v>
      </c>
      <c r="B10" s="199"/>
      <c r="C10" s="199"/>
      <c r="D10" s="200" t="s">
        <v>13</v>
      </c>
      <c r="E10" s="201"/>
      <c r="F10" s="202"/>
      <c r="G10" s="199"/>
      <c r="H10" s="203"/>
    </row>
    <row r="11" spans="1:8" x14ac:dyDescent="0.2">
      <c r="A11" s="204" t="s">
        <v>14</v>
      </c>
      <c r="B11" s="54" t="str">
        <f>VLOOKUP(A11,'Orçamento Sintético'!$A:$H,2,0)</f>
        <v xml:space="preserve"> MPDFT0009 </v>
      </c>
      <c r="C11" s="54" t="str">
        <f>VLOOKUP(A11,'Orçamento Sintético'!$A:$H,3,0)</f>
        <v>Próprio</v>
      </c>
      <c r="D11" s="55" t="str">
        <f>VLOOKUP(A11,'Orçamento Sintético'!$A:$H,4,0)</f>
        <v>Registro do contrato junto ao conselho de classe (ART)</v>
      </c>
      <c r="E11" s="54" t="str">
        <f>VLOOKUP(A11,'Orçamento Sintético'!$A:$H,5,0)</f>
        <v>vb</v>
      </c>
      <c r="F11" s="183"/>
      <c r="G11" s="184"/>
      <c r="H11" s="185">
        <f>H12</f>
        <v>233.94</v>
      </c>
    </row>
    <row r="12" spans="1:8" x14ac:dyDescent="0.2">
      <c r="A12" s="114" t="str">
        <f>VLOOKUP(B12,'Insumos e Serviços'!$A:$F,3,0)</f>
        <v>Insumo</v>
      </c>
      <c r="B12" s="109" t="s">
        <v>595</v>
      </c>
      <c r="C12" s="113" t="str">
        <f>VLOOKUP(B12,'Insumos e Serviços'!$A:$F,2,0)</f>
        <v>Próprio</v>
      </c>
      <c r="D12" s="114" t="str">
        <f>VLOOKUP(B12,'Insumos e Serviços'!$A:$F,4,0)</f>
        <v>Anotação de Resposanbilidade Técnica (Faixa 3 - Tabela A - CONFEA)</v>
      </c>
      <c r="E12" s="113" t="str">
        <f>VLOOKUP(B12,'Insumos e Serviços'!$A:$F,5,0)</f>
        <v>vb</v>
      </c>
      <c r="F12" s="189">
        <v>1</v>
      </c>
      <c r="G12" s="115" t="str">
        <f>VLOOKUP(B12,'Insumos e Serviços'!$A:$F,6,0)</f>
        <v xml:space="preserve"> 233,94</v>
      </c>
      <c r="H12" s="115">
        <f>TRUNC(F12*G12,2)</f>
        <v>233.94</v>
      </c>
    </row>
    <row r="13" spans="1:8" x14ac:dyDescent="0.2">
      <c r="A13" s="205"/>
      <c r="B13" s="205"/>
      <c r="C13" s="205"/>
      <c r="D13" s="206"/>
      <c r="E13" s="207"/>
      <c r="F13" s="208"/>
      <c r="G13" s="205"/>
      <c r="H13" s="205"/>
    </row>
    <row r="14" spans="1:8" x14ac:dyDescent="0.2">
      <c r="A14" s="194" t="s">
        <v>19</v>
      </c>
      <c r="B14" s="194"/>
      <c r="C14" s="194"/>
      <c r="D14" s="195" t="s">
        <v>20</v>
      </c>
      <c r="E14" s="196"/>
      <c r="F14" s="197"/>
      <c r="G14" s="194"/>
      <c r="H14" s="198"/>
    </row>
    <row r="15" spans="1:8" x14ac:dyDescent="0.2">
      <c r="A15" s="199" t="s">
        <v>21</v>
      </c>
      <c r="B15" s="199"/>
      <c r="C15" s="199"/>
      <c r="D15" s="200" t="s">
        <v>22</v>
      </c>
      <c r="E15" s="201"/>
      <c r="F15" s="202"/>
      <c r="G15" s="199"/>
      <c r="H15" s="203"/>
    </row>
    <row r="16" spans="1:8" x14ac:dyDescent="0.2">
      <c r="A16" s="209" t="s">
        <v>23</v>
      </c>
      <c r="B16" s="209"/>
      <c r="C16" s="209"/>
      <c r="D16" s="210" t="s">
        <v>24</v>
      </c>
      <c r="E16" s="211"/>
      <c r="F16" s="212"/>
      <c r="G16" s="209"/>
      <c r="H16" s="213"/>
    </row>
    <row r="17" spans="1:8" ht="22.5" x14ac:dyDescent="0.2">
      <c r="A17" s="204" t="s">
        <v>29</v>
      </c>
      <c r="B17" s="54" t="str">
        <f>VLOOKUP(A17,'Orçamento Sintético'!$A:$H,2,0)</f>
        <v xml:space="preserve"> MPDFT0714 </v>
      </c>
      <c r="C17" s="54" t="str">
        <f>VLOOKUP(A17,'Orçamento Sintético'!$A:$H,3,0)</f>
        <v>Próprio</v>
      </c>
      <c r="D17" s="55" t="str">
        <f>VLOOKUP(A17,'Orçamento Sintético'!$A:$H,4,0)</f>
        <v>Copia da ORSE (3642) - Lona plástica preta para camada separadora de lastros ou proteção</v>
      </c>
      <c r="E17" s="54" t="str">
        <f>VLOOKUP(A17,'Orçamento Sintético'!$A:$H,5,0)</f>
        <v>m²</v>
      </c>
      <c r="F17" s="183"/>
      <c r="G17" s="184"/>
      <c r="H17" s="185">
        <f>SUM(H18:H19)</f>
        <v>4.34</v>
      </c>
    </row>
    <row r="18" spans="1:8" x14ac:dyDescent="0.2">
      <c r="A18" s="114" t="str">
        <f>VLOOKUP(B18,'Insumos e Serviços'!$A:$F,3,0)</f>
        <v>Composição</v>
      </c>
      <c r="B18" s="109" t="s">
        <v>597</v>
      </c>
      <c r="C18" s="113" t="str">
        <f>VLOOKUP(B18,'Insumos e Serviços'!$A:$F,2,0)</f>
        <v>SINAPI</v>
      </c>
      <c r="D18" s="114" t="str">
        <f>VLOOKUP(B18,'Insumos e Serviços'!$A:$F,4,0)</f>
        <v>SERVENTE COM ENCARGOS COMPLEMENTARES</v>
      </c>
      <c r="E18" s="113" t="str">
        <f>VLOOKUP(B18,'Insumos e Serviços'!$A:$F,5,0)</f>
        <v>H</v>
      </c>
      <c r="F18" s="189">
        <v>0.2</v>
      </c>
      <c r="G18" s="115">
        <f>VLOOKUP(B18,'Insumos e Serviços'!$A:$F,6,0)</f>
        <v>17.170000000000002</v>
      </c>
      <c r="H18" s="115">
        <f t="shared" ref="H18:H19" si="0">TRUNC(F18*G18,2)</f>
        <v>3.43</v>
      </c>
    </row>
    <row r="19" spans="1:8" x14ac:dyDescent="0.2">
      <c r="A19" s="114" t="str">
        <f>VLOOKUP(B19,'Insumos e Serviços'!$A:$F,3,0)</f>
        <v>Insumo</v>
      </c>
      <c r="B19" s="109" t="s">
        <v>739</v>
      </c>
      <c r="C19" s="113" t="str">
        <f>VLOOKUP(B19,'Insumos e Serviços'!$A:$F,2,0)</f>
        <v>SINAPI</v>
      </c>
      <c r="D19" s="114" t="str">
        <f>VLOOKUP(B19,'Insumos e Serviços'!$A:$F,4,0)</f>
        <v>LONA PLASTICA PRETA, E= 150 MICRA</v>
      </c>
      <c r="E19" s="113" t="str">
        <f>VLOOKUP(B19,'Insumos e Serviços'!$A:$F,5,0)</f>
        <v>m²</v>
      </c>
      <c r="F19" s="189">
        <v>1.1000000000000001</v>
      </c>
      <c r="G19" s="115">
        <f>VLOOKUP(B19,'Insumos e Serviços'!$A:$F,6,0)</f>
        <v>0.83</v>
      </c>
      <c r="H19" s="115">
        <f t="shared" si="0"/>
        <v>0.91</v>
      </c>
    </row>
    <row r="20" spans="1:8" x14ac:dyDescent="0.2">
      <c r="A20" s="214"/>
      <c r="B20" s="215"/>
      <c r="C20" s="214"/>
      <c r="D20" s="216"/>
      <c r="E20" s="217"/>
      <c r="F20" s="218"/>
      <c r="G20" s="219"/>
      <c r="H20" s="219"/>
    </row>
    <row r="21" spans="1:8" x14ac:dyDescent="0.2">
      <c r="A21" s="199" t="s">
        <v>33</v>
      </c>
      <c r="B21" s="199"/>
      <c r="C21" s="199"/>
      <c r="D21" s="200" t="s">
        <v>34</v>
      </c>
      <c r="E21" s="201"/>
      <c r="F21" s="202"/>
      <c r="G21" s="199"/>
      <c r="H21" s="203"/>
    </row>
    <row r="22" spans="1:8" x14ac:dyDescent="0.2">
      <c r="A22" s="209" t="s">
        <v>35</v>
      </c>
      <c r="B22" s="209"/>
      <c r="C22" s="209"/>
      <c r="D22" s="210" t="s">
        <v>36</v>
      </c>
      <c r="E22" s="211"/>
      <c r="F22" s="212"/>
      <c r="G22" s="209"/>
      <c r="H22" s="213"/>
    </row>
    <row r="23" spans="1:8" x14ac:dyDescent="0.2">
      <c r="A23" s="204" t="s">
        <v>44</v>
      </c>
      <c r="B23" s="54" t="str">
        <f>VLOOKUP(A23,'Orçamento Sintético'!$A:$H,2,0)</f>
        <v xml:space="preserve"> MPDFT0747 </v>
      </c>
      <c r="C23" s="54" t="str">
        <f>VLOOKUP(A23,'Orçamento Sintético'!$A:$H,3,0)</f>
        <v>Próprio</v>
      </c>
      <c r="D23" s="55" t="str">
        <f>VLOOKUP(A23,'Orçamento Sintético'!$A:$H,4,0)</f>
        <v>Copia da SIURB (175023) - DEMOLIÇÃO MECANIZADA DE CONCRETO ARMADO</v>
      </c>
      <c r="E23" s="54" t="str">
        <f>VLOOKUP(A23,'Orçamento Sintético'!$A:$H,5,0)</f>
        <v>m³</v>
      </c>
      <c r="F23" s="183"/>
      <c r="G23" s="184"/>
      <c r="H23" s="185">
        <f>SUM(H24:H28)</f>
        <v>268.28999999999996</v>
      </c>
    </row>
    <row r="24" spans="1:8" x14ac:dyDescent="0.2">
      <c r="A24" s="114" t="str">
        <f>VLOOKUP(B24,'Insumos e Serviços'!$A:$F,3,0)</f>
        <v>Composição</v>
      </c>
      <c r="B24" s="109" t="s">
        <v>597</v>
      </c>
      <c r="C24" s="113" t="str">
        <f>VLOOKUP(B24,'Insumos e Serviços'!$A:$F,2,0)</f>
        <v>SINAPI</v>
      </c>
      <c r="D24" s="114" t="str">
        <f>VLOOKUP(B24,'Insumos e Serviços'!$A:$F,4,0)</f>
        <v>SERVENTE COM ENCARGOS COMPLEMENTARES</v>
      </c>
      <c r="E24" s="113" t="str">
        <f>VLOOKUP(B24,'Insumos e Serviços'!$A:$F,5,0)</f>
        <v>H</v>
      </c>
      <c r="F24" s="189">
        <v>4</v>
      </c>
      <c r="G24" s="115">
        <f>VLOOKUP(B24,'Insumos e Serviços'!$A:$F,6,0)</f>
        <v>17.170000000000002</v>
      </c>
      <c r="H24" s="115">
        <f t="shared" ref="H24:H28" si="1">TRUNC(F24*G24,2)</f>
        <v>68.680000000000007</v>
      </c>
    </row>
    <row r="25" spans="1:8" ht="22.5" x14ac:dyDescent="0.2">
      <c r="A25" s="114" t="str">
        <f>VLOOKUP(B25,'Insumos e Serviços'!$A:$F,3,0)</f>
        <v>Composição</v>
      </c>
      <c r="B25" s="109" t="s">
        <v>745</v>
      </c>
      <c r="C25" s="113" t="str">
        <f>VLOOKUP(B25,'Insumos e Serviços'!$A:$F,2,0)</f>
        <v>SINAPI</v>
      </c>
      <c r="D25" s="114" t="str">
        <f>VLOOKUP(B25,'Insumos e Serviços'!$A:$F,4,0)</f>
        <v>MARTELETE OU ROMPEDOR PNEUMÁTICO MANUAL, 28 KG, COM SILENCIADOR - CHI DIURNO. AF_07/2016</v>
      </c>
      <c r="E25" s="113" t="str">
        <f>VLOOKUP(B25,'Insumos e Serviços'!$A:$F,5,0)</f>
        <v>CHI</v>
      </c>
      <c r="F25" s="189">
        <v>0.4</v>
      </c>
      <c r="G25" s="115">
        <f>VLOOKUP(B25,'Insumos e Serviços'!$A:$F,6,0)</f>
        <v>19.82</v>
      </c>
      <c r="H25" s="115">
        <f t="shared" si="1"/>
        <v>7.92</v>
      </c>
    </row>
    <row r="26" spans="1:8" ht="22.5" x14ac:dyDescent="0.2">
      <c r="A26" s="114" t="str">
        <f>VLOOKUP(B26,'Insumos e Serviços'!$A:$F,3,0)</f>
        <v>Composição</v>
      </c>
      <c r="B26" s="109" t="s">
        <v>743</v>
      </c>
      <c r="C26" s="113" t="str">
        <f>VLOOKUP(B26,'Insumos e Serviços'!$A:$F,2,0)</f>
        <v>SINAPI</v>
      </c>
      <c r="D26" s="114" t="str">
        <f>VLOOKUP(B26,'Insumos e Serviços'!$A:$F,4,0)</f>
        <v>MARTELETE OU ROMPEDOR PNEUMÁTICO MANUAL, 28 KG, COM SILENCIADOR - CHP DIURNO. AF_07/2016</v>
      </c>
      <c r="E26" s="113" t="str">
        <f>VLOOKUP(B26,'Insumos e Serviços'!$A:$F,5,0)</f>
        <v>CHP</v>
      </c>
      <c r="F26" s="189">
        <v>4</v>
      </c>
      <c r="G26" s="115">
        <f>VLOOKUP(B26,'Insumos e Serviços'!$A:$F,6,0)</f>
        <v>21.32</v>
      </c>
      <c r="H26" s="115">
        <f t="shared" si="1"/>
        <v>85.28</v>
      </c>
    </row>
    <row r="27" spans="1:8" ht="22.5" x14ac:dyDescent="0.2">
      <c r="A27" s="114" t="str">
        <f>VLOOKUP(B27,'Insumos e Serviços'!$A:$F,3,0)</f>
        <v>Composição</v>
      </c>
      <c r="B27" s="109" t="s">
        <v>747</v>
      </c>
      <c r="C27" s="113" t="str">
        <f>VLOOKUP(B27,'Insumos e Serviços'!$A:$F,2,0)</f>
        <v>SINAPI</v>
      </c>
      <c r="D27" s="114" t="str">
        <f>VLOOKUP(B27,'Insumos e Serviços'!$A:$F,4,0)</f>
        <v>COMPRESSOR DE AR REBOCAVEL, VAZÃO 250 PCM, PRESSAO DE TRABALHO 102 PSI, MOTOR A DIESEL POTÊNCIA 81 CV - CHI DIURNO. AF_06/2015</v>
      </c>
      <c r="E27" s="113" t="str">
        <f>VLOOKUP(B27,'Insumos e Serviços'!$A:$F,5,0)</f>
        <v>CHI</v>
      </c>
      <c r="F27" s="189">
        <v>0.2</v>
      </c>
      <c r="G27" s="115">
        <f>VLOOKUP(B27,'Insumos e Serviços'!$A:$F,6,0)</f>
        <v>4.4800000000000004</v>
      </c>
      <c r="H27" s="115">
        <f t="shared" si="1"/>
        <v>0.89</v>
      </c>
    </row>
    <row r="28" spans="1:8" ht="22.5" x14ac:dyDescent="0.2">
      <c r="A28" s="114" t="str">
        <f>VLOOKUP(B28,'Insumos e Serviços'!$A:$F,3,0)</f>
        <v>Composição</v>
      </c>
      <c r="B28" s="109" t="s">
        <v>749</v>
      </c>
      <c r="C28" s="113" t="str">
        <f>VLOOKUP(B28,'Insumos e Serviços'!$A:$F,2,0)</f>
        <v>SINAPI</v>
      </c>
      <c r="D28" s="114" t="str">
        <f>VLOOKUP(B28,'Insumos e Serviços'!$A:$F,4,0)</f>
        <v>COMPRESSOR DE AR REBOCAVEL, VAZÃO 250 PCM, PRESSAO DE TRABALHO 102 PSI, MOTOR A DIESEL POTÊNCIA 81 CV - CHP DIURNO. AF_06/2015</v>
      </c>
      <c r="E28" s="113" t="str">
        <f>VLOOKUP(B28,'Insumos e Serviços'!$A:$F,5,0)</f>
        <v>CHP</v>
      </c>
      <c r="F28" s="189">
        <v>2</v>
      </c>
      <c r="G28" s="115">
        <f>VLOOKUP(B28,'Insumos e Serviços'!$A:$F,6,0)</f>
        <v>52.76</v>
      </c>
      <c r="H28" s="115">
        <f t="shared" si="1"/>
        <v>105.52</v>
      </c>
    </row>
    <row r="29" spans="1:8" x14ac:dyDescent="0.2">
      <c r="A29" s="205"/>
      <c r="B29" s="205"/>
      <c r="C29" s="205"/>
      <c r="D29" s="206"/>
      <c r="E29" s="207"/>
      <c r="F29" s="208"/>
      <c r="G29" s="205"/>
      <c r="H29" s="205"/>
    </row>
    <row r="30" spans="1:8" x14ac:dyDescent="0.2">
      <c r="A30" s="209" t="s">
        <v>50</v>
      </c>
      <c r="B30" s="209"/>
      <c r="C30" s="209"/>
      <c r="D30" s="210" t="s">
        <v>51</v>
      </c>
      <c r="E30" s="211"/>
      <c r="F30" s="212"/>
      <c r="G30" s="209"/>
      <c r="H30" s="220"/>
    </row>
    <row r="31" spans="1:8" x14ac:dyDescent="0.2">
      <c r="A31" s="204" t="s">
        <v>52</v>
      </c>
      <c r="B31" s="54" t="str">
        <f>VLOOKUP(A31,'Orçamento Sintético'!$A:$H,2,0)</f>
        <v xml:space="preserve"> MPDFT0903 </v>
      </c>
      <c r="C31" s="54" t="str">
        <f>VLOOKUP(A31,'Orçamento Sintético'!$A:$H,3,0)</f>
        <v>Próprio</v>
      </c>
      <c r="D31" s="55" t="str">
        <f>VLOOKUP(A31,'Orçamento Sintético'!$A:$H,4,0)</f>
        <v>Copia da SBC (022441) - REMOÇÃO DE DIVISÓRIAS SANITÁRIA DE MADEIRA</v>
      </c>
      <c r="E31" s="54" t="str">
        <f>VLOOKUP(A31,'Orçamento Sintético'!$A:$H,5,0)</f>
        <v>m²</v>
      </c>
      <c r="F31" s="183"/>
      <c r="G31" s="184"/>
      <c r="H31" s="185">
        <f>SUM(H32:H33)</f>
        <v>12.21</v>
      </c>
    </row>
    <row r="32" spans="1:8" x14ac:dyDescent="0.2">
      <c r="A32" s="114" t="str">
        <f>VLOOKUP(B32,'Insumos e Serviços'!$A:$F,3,0)</f>
        <v>Composição</v>
      </c>
      <c r="B32" s="109" t="s">
        <v>599</v>
      </c>
      <c r="C32" s="113" t="str">
        <f>VLOOKUP(B32,'Insumos e Serviços'!$A:$F,2,0)</f>
        <v>SINAPI</v>
      </c>
      <c r="D32" s="114" t="str">
        <f>VLOOKUP(B32,'Insumos e Serviços'!$A:$F,4,0)</f>
        <v>PEDREIRO COM ENCARGOS COMPLEMENTARES</v>
      </c>
      <c r="E32" s="113" t="str">
        <f>VLOOKUP(B32,'Insumos e Serviços'!$A:$F,5,0)</f>
        <v>H</v>
      </c>
      <c r="F32" s="189">
        <v>0.21199999999999999</v>
      </c>
      <c r="G32" s="115">
        <f>VLOOKUP(B32,'Insumos e Serviços'!$A:$F,6,0)</f>
        <v>23.25</v>
      </c>
      <c r="H32" s="115">
        <f t="shared" ref="H32:H33" si="2">TRUNC(F32*G32,2)</f>
        <v>4.92</v>
      </c>
    </row>
    <row r="33" spans="1:8" x14ac:dyDescent="0.2">
      <c r="A33" s="114" t="str">
        <f>VLOOKUP(B33,'Insumos e Serviços'!$A:$F,3,0)</f>
        <v>Composição</v>
      </c>
      <c r="B33" s="109" t="s">
        <v>597</v>
      </c>
      <c r="C33" s="113" t="str">
        <f>VLOOKUP(B33,'Insumos e Serviços'!$A:$F,2,0)</f>
        <v>SINAPI</v>
      </c>
      <c r="D33" s="114" t="str">
        <f>VLOOKUP(B33,'Insumos e Serviços'!$A:$F,4,0)</f>
        <v>SERVENTE COM ENCARGOS COMPLEMENTARES</v>
      </c>
      <c r="E33" s="113" t="str">
        <f>VLOOKUP(B33,'Insumos e Serviços'!$A:$F,5,0)</f>
        <v>H</v>
      </c>
      <c r="F33" s="189">
        <v>0.42499999999999999</v>
      </c>
      <c r="G33" s="115">
        <f>VLOOKUP(B33,'Insumos e Serviços'!$A:$F,6,0)</f>
        <v>17.170000000000002</v>
      </c>
      <c r="H33" s="115">
        <f t="shared" si="2"/>
        <v>7.29</v>
      </c>
    </row>
    <row r="34" spans="1:8" x14ac:dyDescent="0.2">
      <c r="A34" s="205"/>
      <c r="B34" s="205"/>
      <c r="C34" s="205"/>
      <c r="D34" s="206"/>
      <c r="E34" s="207"/>
      <c r="F34" s="208"/>
      <c r="G34" s="205"/>
      <c r="H34" s="205"/>
    </row>
    <row r="35" spans="1:8" ht="22.5" x14ac:dyDescent="0.2">
      <c r="A35" s="204" t="s">
        <v>55</v>
      </c>
      <c r="B35" s="54" t="str">
        <f>VLOOKUP(A35,'Orçamento Sintético'!$A:$H,2,0)</f>
        <v xml:space="preserve"> MPDFT0784 </v>
      </c>
      <c r="C35" s="54" t="str">
        <f>VLOOKUP(A35,'Orçamento Sintético'!$A:$H,3,0)</f>
        <v>Próprio</v>
      </c>
      <c r="D35" s="55" t="str">
        <f>VLOOKUP(A35,'Orçamento Sintético'!$A:$H,4,0)</f>
        <v>Copia da SINAPI (100717) - Retirada de laminado melamínico e lixamento manual de superfície</v>
      </c>
      <c r="E35" s="54" t="str">
        <f>VLOOKUP(A35,'Orçamento Sintético'!$A:$H,5,0)</f>
        <v>m²</v>
      </c>
      <c r="F35" s="183"/>
      <c r="G35" s="184"/>
      <c r="H35" s="185">
        <f>SUM(H36:H37)</f>
        <v>8.0500000000000007</v>
      </c>
    </row>
    <row r="36" spans="1:8" x14ac:dyDescent="0.2">
      <c r="A36" s="114" t="str">
        <f>VLOOKUP(B36,'Insumos e Serviços'!$A:$F,3,0)</f>
        <v>Composição</v>
      </c>
      <c r="B36" s="109" t="s">
        <v>751</v>
      </c>
      <c r="C36" s="113" t="str">
        <f>VLOOKUP(B36,'Insumos e Serviços'!$A:$F,2,0)</f>
        <v>SINAPI</v>
      </c>
      <c r="D36" s="114" t="str">
        <f>VLOOKUP(B36,'Insumos e Serviços'!$A:$F,4,0)</f>
        <v>PINTOR COM ENCARGOS COMPLEMENTARES</v>
      </c>
      <c r="E36" s="113" t="str">
        <f>VLOOKUP(B36,'Insumos e Serviços'!$A:$F,5,0)</f>
        <v>H</v>
      </c>
      <c r="F36" s="189">
        <v>0.29859999999999998</v>
      </c>
      <c r="G36" s="115">
        <f>VLOOKUP(B36,'Insumos e Serviços'!$A:$F,6,0)</f>
        <v>24.24</v>
      </c>
      <c r="H36" s="115">
        <f t="shared" ref="H36:H37" si="3">TRUNC(F36*G36,2)</f>
        <v>7.23</v>
      </c>
    </row>
    <row r="37" spans="1:8" x14ac:dyDescent="0.2">
      <c r="A37" s="114" t="str">
        <f>VLOOKUP(B37,'Insumos e Serviços'!$A:$F,3,0)</f>
        <v>Material</v>
      </c>
      <c r="B37" s="109" t="s">
        <v>753</v>
      </c>
      <c r="C37" s="113" t="str">
        <f>VLOOKUP(B37,'Insumos e Serviços'!$A:$F,2,0)</f>
        <v>SINAPI</v>
      </c>
      <c r="D37" s="114" t="str">
        <f>VLOOKUP(B37,'Insumos e Serviços'!$A:$F,4,0)</f>
        <v>LIXA EM FOLHA PARA FERRO, NUMERO 150</v>
      </c>
      <c r="E37" s="113" t="str">
        <f>VLOOKUP(B37,'Insumos e Serviços'!$A:$F,5,0)</f>
        <v>UN</v>
      </c>
      <c r="F37" s="189">
        <v>0.3</v>
      </c>
      <c r="G37" s="115" t="str">
        <f>VLOOKUP(B37,'Insumos e Serviços'!$A:$F,6,0)</f>
        <v xml:space="preserve"> 2,75</v>
      </c>
      <c r="H37" s="115">
        <f t="shared" si="3"/>
        <v>0.82</v>
      </c>
    </row>
    <row r="38" spans="1:8" x14ac:dyDescent="0.2">
      <c r="A38" s="205"/>
      <c r="B38" s="205"/>
      <c r="C38" s="205"/>
      <c r="D38" s="206"/>
      <c r="E38" s="207"/>
      <c r="F38" s="208"/>
      <c r="G38" s="205"/>
      <c r="H38" s="205"/>
    </row>
    <row r="39" spans="1:8" x14ac:dyDescent="0.2">
      <c r="A39" s="204" t="s">
        <v>58</v>
      </c>
      <c r="B39" s="54" t="str">
        <f>VLOOKUP(A39,'Orçamento Sintético'!$A:$H,2,0)</f>
        <v xml:space="preserve"> MPDFT0636 </v>
      </c>
      <c r="C39" s="54" t="str">
        <f>VLOOKUP(A39,'Orçamento Sintético'!$A:$H,3,0)</f>
        <v>Próprio</v>
      </c>
      <c r="D39" s="55" t="str">
        <f>VLOOKUP(A39,'Orçamento Sintético'!$A:$H,4,0)</f>
        <v>Copia da SINAPI (85412) - REMOCAO DE RODAPE DE MARMORE OU GRANITO</v>
      </c>
      <c r="E39" s="54" t="str">
        <f>VLOOKUP(A39,'Orçamento Sintético'!$A:$H,5,0)</f>
        <v>M</v>
      </c>
      <c r="F39" s="183"/>
      <c r="G39" s="184"/>
      <c r="H39" s="185">
        <f>SUM(H40:H41)</f>
        <v>5.25</v>
      </c>
    </row>
    <row r="40" spans="1:8" x14ac:dyDescent="0.2">
      <c r="A40" s="114" t="str">
        <f>VLOOKUP(B40,'Insumos e Serviços'!$A:$F,3,0)</f>
        <v>Composição</v>
      </c>
      <c r="B40" s="109" t="s">
        <v>599</v>
      </c>
      <c r="C40" s="113" t="str">
        <f>VLOOKUP(B40,'Insumos e Serviços'!$A:$F,2,0)</f>
        <v>SINAPI</v>
      </c>
      <c r="D40" s="114" t="str">
        <f>VLOOKUP(B40,'Insumos e Serviços'!$A:$F,4,0)</f>
        <v>PEDREIRO COM ENCARGOS COMPLEMENTARES</v>
      </c>
      <c r="E40" s="113" t="str">
        <f>VLOOKUP(B40,'Insumos e Serviços'!$A:$F,5,0)</f>
        <v>H</v>
      </c>
      <c r="F40" s="189">
        <v>2.7E-2</v>
      </c>
      <c r="G40" s="115">
        <f>VLOOKUP(B40,'Insumos e Serviços'!$A:$F,6,0)</f>
        <v>23.25</v>
      </c>
      <c r="H40" s="115">
        <f t="shared" ref="H40:H41" si="4">TRUNC(F40*G40,2)</f>
        <v>0.62</v>
      </c>
    </row>
    <row r="41" spans="1:8" x14ac:dyDescent="0.2">
      <c r="A41" s="114" t="str">
        <f>VLOOKUP(B41,'Insumos e Serviços'!$A:$F,3,0)</f>
        <v>Composição</v>
      </c>
      <c r="B41" s="109" t="s">
        <v>597</v>
      </c>
      <c r="C41" s="113" t="str">
        <f>VLOOKUP(B41,'Insumos e Serviços'!$A:$F,2,0)</f>
        <v>SINAPI</v>
      </c>
      <c r="D41" s="114" t="str">
        <f>VLOOKUP(B41,'Insumos e Serviços'!$A:$F,4,0)</f>
        <v>SERVENTE COM ENCARGOS COMPLEMENTARES</v>
      </c>
      <c r="E41" s="113" t="str">
        <f>VLOOKUP(B41,'Insumos e Serviços'!$A:$F,5,0)</f>
        <v>H</v>
      </c>
      <c r="F41" s="189">
        <v>0.27</v>
      </c>
      <c r="G41" s="115">
        <f>VLOOKUP(B41,'Insumos e Serviços'!$A:$F,6,0)</f>
        <v>17.170000000000002</v>
      </c>
      <c r="H41" s="115">
        <f t="shared" si="4"/>
        <v>4.63</v>
      </c>
    </row>
    <row r="42" spans="1:8" x14ac:dyDescent="0.2">
      <c r="A42" s="205"/>
      <c r="B42" s="205"/>
      <c r="C42" s="205"/>
      <c r="D42" s="206"/>
      <c r="E42" s="207"/>
      <c r="F42" s="208"/>
      <c r="G42" s="205"/>
      <c r="H42" s="205"/>
    </row>
    <row r="43" spans="1:8" x14ac:dyDescent="0.2">
      <c r="A43" s="204" t="s">
        <v>61</v>
      </c>
      <c r="B43" s="54" t="str">
        <f>VLOOKUP(A43,'Orçamento Sintético'!$A:$H,2,0)</f>
        <v xml:space="preserve"> MPDFT0906 </v>
      </c>
      <c r="C43" s="54" t="str">
        <f>VLOOKUP(A43,'Orçamento Sintético'!$A:$H,3,0)</f>
        <v>Próprio</v>
      </c>
      <c r="D43" s="55" t="str">
        <f>VLOOKUP(A43,'Orçamento Sintético'!$A:$H,4,0)</f>
        <v>Copia da SBC (022904) - REMOÇÃO ARMÁRIOS EMBUTIDOS</v>
      </c>
      <c r="E43" s="54" t="str">
        <f>VLOOKUP(A43,'Orçamento Sintético'!$A:$H,5,0)</f>
        <v>m²</v>
      </c>
      <c r="F43" s="183"/>
      <c r="G43" s="184"/>
      <c r="H43" s="185">
        <f>SUM(H44:H45)</f>
        <v>66.31</v>
      </c>
    </row>
    <row r="44" spans="1:8" x14ac:dyDescent="0.2">
      <c r="A44" s="114" t="str">
        <f>VLOOKUP(B44,'Insumos e Serviços'!$A:$F,3,0)</f>
        <v>Composição</v>
      </c>
      <c r="B44" s="109" t="s">
        <v>755</v>
      </c>
      <c r="C44" s="113" t="str">
        <f>VLOOKUP(B44,'Insumos e Serviços'!$A:$F,2,0)</f>
        <v>SINAPI</v>
      </c>
      <c r="D44" s="114" t="str">
        <f>VLOOKUP(B44,'Insumos e Serviços'!$A:$F,4,0)</f>
        <v>CARPINTEIRO DE ESQUADRIA COM ENCARGOS COMPLEMENTARES</v>
      </c>
      <c r="E44" s="113" t="str">
        <f>VLOOKUP(B44,'Insumos e Serviços'!$A:$F,5,0)</f>
        <v>H</v>
      </c>
      <c r="F44" s="189">
        <v>1.34</v>
      </c>
      <c r="G44" s="115">
        <f>VLOOKUP(B44,'Insumos e Serviços'!$A:$F,6,0)</f>
        <v>23.07</v>
      </c>
      <c r="H44" s="115">
        <f t="shared" ref="H44:H45" si="5">TRUNC(F44*G44,2)</f>
        <v>30.91</v>
      </c>
    </row>
    <row r="45" spans="1:8" x14ac:dyDescent="0.2">
      <c r="A45" s="114" t="str">
        <f>VLOOKUP(B45,'Insumos e Serviços'!$A:$F,3,0)</f>
        <v>Composição</v>
      </c>
      <c r="B45" s="109" t="s">
        <v>597</v>
      </c>
      <c r="C45" s="113" t="str">
        <f>VLOOKUP(B45,'Insumos e Serviços'!$A:$F,2,0)</f>
        <v>SINAPI</v>
      </c>
      <c r="D45" s="114" t="str">
        <f>VLOOKUP(B45,'Insumos e Serviços'!$A:$F,4,0)</f>
        <v>SERVENTE COM ENCARGOS COMPLEMENTARES</v>
      </c>
      <c r="E45" s="113" t="str">
        <f>VLOOKUP(B45,'Insumos e Serviços'!$A:$F,5,0)</f>
        <v>H</v>
      </c>
      <c r="F45" s="189">
        <v>2.0619999999999998</v>
      </c>
      <c r="G45" s="115">
        <f>VLOOKUP(B45,'Insumos e Serviços'!$A:$F,6,0)</f>
        <v>17.170000000000002</v>
      </c>
      <c r="H45" s="115">
        <f t="shared" si="5"/>
        <v>35.4</v>
      </c>
    </row>
    <row r="46" spans="1:8" x14ac:dyDescent="0.2">
      <c r="A46" s="221"/>
      <c r="B46" s="221"/>
      <c r="C46" s="221"/>
      <c r="D46" s="222"/>
      <c r="E46" s="223"/>
      <c r="F46" s="224"/>
      <c r="G46" s="221"/>
      <c r="H46" s="225"/>
    </row>
    <row r="47" spans="1:8" ht="22.5" x14ac:dyDescent="0.2">
      <c r="A47" s="204" t="s">
        <v>77</v>
      </c>
      <c r="B47" s="54" t="str">
        <f>VLOOKUP(A47,'Orçamento Sintético'!$A:$H,2,0)</f>
        <v xml:space="preserve"> MPDFT0888 </v>
      </c>
      <c r="C47" s="54" t="str">
        <f>VLOOKUP(A47,'Orçamento Sintético'!$A:$H,3,0)</f>
        <v>Próprio</v>
      </c>
      <c r="D47" s="55" t="str">
        <f>VLOOKUP(A47,'Orçamento Sintético'!$A:$H,4,0)</f>
        <v>Cópia da Iopes (010225) - Retirada de peças de granito - bancada, banca, balcão, prateleira</v>
      </c>
      <c r="E47" s="54" t="str">
        <f>VLOOKUP(A47,'Orçamento Sintético'!$A:$H,5,0)</f>
        <v>m²</v>
      </c>
      <c r="F47" s="183"/>
      <c r="G47" s="184"/>
      <c r="H47" s="185">
        <f>SUM(H48:H49)</f>
        <v>24.25</v>
      </c>
    </row>
    <row r="48" spans="1:8" x14ac:dyDescent="0.2">
      <c r="A48" s="114" t="str">
        <f>VLOOKUP(B48,'Insumos e Serviços'!$A:$F,3,0)</f>
        <v>Composição</v>
      </c>
      <c r="B48" s="109" t="s">
        <v>599</v>
      </c>
      <c r="C48" s="113" t="str">
        <f>VLOOKUP(B48,'Insumos e Serviços'!$A:$F,2,0)</f>
        <v>SINAPI</v>
      </c>
      <c r="D48" s="114" t="str">
        <f>VLOOKUP(B48,'Insumos e Serviços'!$A:$F,4,0)</f>
        <v>PEDREIRO COM ENCARGOS COMPLEMENTARES</v>
      </c>
      <c r="E48" s="113" t="str">
        <f>VLOOKUP(B48,'Insumos e Serviços'!$A:$F,5,0)</f>
        <v>H</v>
      </c>
      <c r="F48" s="189">
        <v>0.6</v>
      </c>
      <c r="G48" s="115">
        <f>VLOOKUP(B48,'Insumos e Serviços'!$A:$F,6,0)</f>
        <v>23.25</v>
      </c>
      <c r="H48" s="115">
        <f t="shared" ref="H48:H49" si="6">TRUNC(F48*G48,2)</f>
        <v>13.95</v>
      </c>
    </row>
    <row r="49" spans="1:8" x14ac:dyDescent="0.2">
      <c r="A49" s="114" t="str">
        <f>VLOOKUP(B49,'Insumos e Serviços'!$A:$F,3,0)</f>
        <v>Composição</v>
      </c>
      <c r="B49" s="109" t="s">
        <v>597</v>
      </c>
      <c r="C49" s="113" t="str">
        <f>VLOOKUP(B49,'Insumos e Serviços'!$A:$F,2,0)</f>
        <v>SINAPI</v>
      </c>
      <c r="D49" s="114" t="str">
        <f>VLOOKUP(B49,'Insumos e Serviços'!$A:$F,4,0)</f>
        <v>SERVENTE COM ENCARGOS COMPLEMENTARES</v>
      </c>
      <c r="E49" s="113" t="str">
        <f>VLOOKUP(B49,'Insumos e Serviços'!$A:$F,5,0)</f>
        <v>H</v>
      </c>
      <c r="F49" s="189">
        <v>0.6</v>
      </c>
      <c r="G49" s="115">
        <f>VLOOKUP(B49,'Insumos e Serviços'!$A:$F,6,0)</f>
        <v>17.170000000000002</v>
      </c>
      <c r="H49" s="115">
        <f t="shared" si="6"/>
        <v>10.3</v>
      </c>
    </row>
    <row r="50" spans="1:8" x14ac:dyDescent="0.2">
      <c r="A50" s="215"/>
      <c r="B50" s="215"/>
      <c r="C50" s="215"/>
      <c r="D50" s="216"/>
      <c r="E50" s="217"/>
      <c r="F50" s="218"/>
      <c r="G50" s="215"/>
      <c r="H50" s="219"/>
    </row>
    <row r="51" spans="1:8" ht="22.5" x14ac:dyDescent="0.2">
      <c r="A51" s="204" t="s">
        <v>80</v>
      </c>
      <c r="B51" s="54" t="str">
        <f>VLOOKUP(A51,'Orçamento Sintético'!$A:$H,2,0)</f>
        <v xml:space="preserve"> MPDFT0105 </v>
      </c>
      <c r="C51" s="54" t="str">
        <f>VLOOKUP(A51,'Orçamento Sintético'!$A:$H,3,0)</f>
        <v>Próprio</v>
      </c>
      <c r="D51" s="55" t="str">
        <f>VLOOKUP(A51,'Orçamento Sintético'!$A:$H,4,0)</f>
        <v>Copia da ORSE (227) - Remoção de estrutura metálica chumbada em concreto (alambrado, guarda-corpo)</v>
      </c>
      <c r="E51" s="54" t="str">
        <f>VLOOKUP(A51,'Orçamento Sintético'!$A:$H,5,0)</f>
        <v>m²</v>
      </c>
      <c r="F51" s="183"/>
      <c r="G51" s="184"/>
      <c r="H51" s="185">
        <f>SUM(H52)</f>
        <v>51.51</v>
      </c>
    </row>
    <row r="52" spans="1:8" x14ac:dyDescent="0.2">
      <c r="A52" s="114" t="str">
        <f>VLOOKUP(B52,'Insumos e Serviços'!$A:$F,3,0)</f>
        <v>Composição</v>
      </c>
      <c r="B52" s="109" t="s">
        <v>597</v>
      </c>
      <c r="C52" s="113" t="str">
        <f>VLOOKUP(B52,'Insumos e Serviços'!$A:$F,2,0)</f>
        <v>SINAPI</v>
      </c>
      <c r="D52" s="114" t="str">
        <f>VLOOKUP(B52,'Insumos e Serviços'!$A:$F,4,0)</f>
        <v>SERVENTE COM ENCARGOS COMPLEMENTARES</v>
      </c>
      <c r="E52" s="113" t="str">
        <f>VLOOKUP(B52,'Insumos e Serviços'!$A:$F,5,0)</f>
        <v>H</v>
      </c>
      <c r="F52" s="189">
        <v>3</v>
      </c>
      <c r="G52" s="115">
        <f>VLOOKUP(B52,'Insumos e Serviços'!$A:$F,6,0)</f>
        <v>17.170000000000002</v>
      </c>
      <c r="H52" s="115">
        <f t="shared" ref="H52" si="7">TRUNC(F52*G52,2)</f>
        <v>51.51</v>
      </c>
    </row>
    <row r="53" spans="1:8" x14ac:dyDescent="0.2">
      <c r="A53" s="205"/>
      <c r="B53" s="226"/>
      <c r="C53" s="205"/>
      <c r="D53" s="206"/>
      <c r="E53" s="207"/>
      <c r="F53" s="227"/>
      <c r="G53" s="228"/>
      <c r="H53" s="228"/>
    </row>
    <row r="54" spans="1:8" x14ac:dyDescent="0.2">
      <c r="A54" s="194" t="s">
        <v>86</v>
      </c>
      <c r="B54" s="194"/>
      <c r="C54" s="194"/>
      <c r="D54" s="195" t="s">
        <v>87</v>
      </c>
      <c r="E54" s="196"/>
      <c r="F54" s="197"/>
      <c r="G54" s="194"/>
      <c r="H54" s="198"/>
    </row>
    <row r="55" spans="1:8" x14ac:dyDescent="0.2">
      <c r="A55" s="209" t="s">
        <v>88</v>
      </c>
      <c r="B55" s="209"/>
      <c r="C55" s="209"/>
      <c r="D55" s="210" t="s">
        <v>89</v>
      </c>
      <c r="E55" s="211"/>
      <c r="F55" s="212"/>
      <c r="G55" s="209"/>
      <c r="H55" s="213"/>
    </row>
    <row r="56" spans="1:8" x14ac:dyDescent="0.2">
      <c r="A56" s="199" t="s">
        <v>90</v>
      </c>
      <c r="B56" s="199"/>
      <c r="C56" s="199"/>
      <c r="D56" s="200" t="s">
        <v>91</v>
      </c>
      <c r="E56" s="201"/>
      <c r="F56" s="202"/>
      <c r="G56" s="199"/>
      <c r="H56" s="203"/>
    </row>
    <row r="57" spans="1:8" ht="33.75" x14ac:dyDescent="0.2">
      <c r="A57" s="204" t="s">
        <v>98</v>
      </c>
      <c r="B57" s="54" t="str">
        <f>VLOOKUP(A57,'Orçamento Sintético'!$A:$H,2,0)</f>
        <v xml:space="preserve"> MPDFT0119 </v>
      </c>
      <c r="C57" s="54" t="str">
        <f>VLOOKUP(A57,'Orçamento Sintético'!$A:$H,3,0)</f>
        <v>Próprio</v>
      </c>
      <c r="D57" s="55" t="str">
        <f>VLOOKUP(A57,'Orçamento Sintético'!$A:$H,4,0)</f>
        <v>Divisória sanitários e vestiários em laminado estrutural TS (maciço), branco, com e = 10 mm, dupla face decorativa texturizada, modelo Alcoplac Normatizado, fab. Neocom incluindo portas e conjunto de ferragens</v>
      </c>
      <c r="E57" s="54" t="str">
        <f>VLOOKUP(A57,'Orçamento Sintético'!$A:$H,5,0)</f>
        <v>m²</v>
      </c>
      <c r="F57" s="183"/>
      <c r="G57" s="184"/>
      <c r="H57" s="185">
        <f>SUM(H58)</f>
        <v>1215.6300000000001</v>
      </c>
    </row>
    <row r="58" spans="1:8" ht="33.75" x14ac:dyDescent="0.2">
      <c r="A58" s="114" t="str">
        <f>VLOOKUP(B58,'Insumos e Serviços'!$A:$F,3,0)</f>
        <v>Insumo</v>
      </c>
      <c r="B58" s="109" t="s">
        <v>757</v>
      </c>
      <c r="C58" s="113" t="str">
        <f>VLOOKUP(B58,'Insumos e Serviços'!$A:$F,2,0)</f>
        <v>Próprio</v>
      </c>
      <c r="D58" s="114" t="str">
        <f>VLOOKUP(B58,'Insumos e Serviços'!$A:$F,4,0)</f>
        <v>Divisória sanitários e vestiários em laminado estrutural TS (maciço), branco, com e=10 mm, dupla face decorativa texturizada, modelo Alcoplac Normatizado, fab. Neocom, incluindo portas e conjunto de ferragens</v>
      </c>
      <c r="E58" s="113" t="str">
        <f>VLOOKUP(B58,'Insumos e Serviços'!$A:$F,5,0)</f>
        <v>m²</v>
      </c>
      <c r="F58" s="189">
        <v>1</v>
      </c>
      <c r="G58" s="115">
        <f>VLOOKUP(B58,'Insumos e Serviços'!$A:$F,6,0)</f>
        <v>1215.6300000000001</v>
      </c>
      <c r="H58" s="115">
        <f t="shared" ref="H58" si="8">TRUNC(F58*G58,2)</f>
        <v>1215.6300000000001</v>
      </c>
    </row>
    <row r="59" spans="1:8" x14ac:dyDescent="0.2">
      <c r="A59" s="205"/>
      <c r="B59" s="205"/>
      <c r="C59" s="205"/>
      <c r="D59" s="206"/>
      <c r="E59" s="207"/>
      <c r="F59" s="208"/>
      <c r="G59" s="205"/>
      <c r="H59" s="205"/>
    </row>
    <row r="60" spans="1:8" ht="22.5" x14ac:dyDescent="0.2">
      <c r="A60" s="204" t="s">
        <v>101</v>
      </c>
      <c r="B60" s="54" t="str">
        <f>VLOOKUP(A60,'Orçamento Sintético'!$A:$H,2,0)</f>
        <v xml:space="preserve"> MPDFT0140 </v>
      </c>
      <c r="C60" s="54" t="str">
        <f>VLOOKUP(A60,'Orçamento Sintético'!$A:$H,3,0)</f>
        <v>Próprio</v>
      </c>
      <c r="D60" s="55" t="str">
        <f>VLOOKUP(A60,'Orçamento Sintético'!$A:$H,4,0)</f>
        <v>Sóculo sob bancadas das copas, sanitários e lixo, altura de 15 cm e profundidade de 60 cm</v>
      </c>
      <c r="E60" s="54" t="str">
        <f>VLOOKUP(A60,'Orçamento Sintético'!$A:$H,5,0)</f>
        <v>m</v>
      </c>
      <c r="F60" s="183"/>
      <c r="G60" s="184"/>
      <c r="H60" s="185">
        <f>SUM(H61:H64)</f>
        <v>57.33</v>
      </c>
    </row>
    <row r="61" spans="1:8" ht="22.5" x14ac:dyDescent="0.2">
      <c r="A61" s="114" t="str">
        <f>VLOOKUP(B61,'Insumos e Serviços'!$A:$F,3,0)</f>
        <v>Composição</v>
      </c>
      <c r="B61" s="109" t="s">
        <v>759</v>
      </c>
      <c r="C61" s="113" t="str">
        <f>VLOOKUP(B61,'Insumos e Serviços'!$A:$F,2,0)</f>
        <v>SINAPI</v>
      </c>
      <c r="D61" s="114" t="str">
        <f>VLOOKUP(B61,'Insumos e Serviços'!$A:$F,4,0)</f>
        <v>ALVENARIA EM TIJOLO CERAMICO MACICO 5X10X20CM 1/2 VEZ (ESPESSURA 10CM), ASSENTADO COM ARGAMASSA TRACO 1:2:8 (CIMENTO, CAL E AREIA)</v>
      </c>
      <c r="E61" s="113" t="str">
        <f>VLOOKUP(B61,'Insumos e Serviços'!$A:$F,5,0)</f>
        <v>m²</v>
      </c>
      <c r="F61" s="189">
        <v>0.16500000000000001</v>
      </c>
      <c r="G61" s="115">
        <f>VLOOKUP(B61,'Insumos e Serviços'!$A:$F,6,0)</f>
        <v>95.35</v>
      </c>
      <c r="H61" s="115">
        <f t="shared" ref="H61:H64" si="9">TRUNC(F61*G61,2)</f>
        <v>15.73</v>
      </c>
    </row>
    <row r="62" spans="1:8" ht="33.75" x14ac:dyDescent="0.2">
      <c r="A62" s="114" t="str">
        <f>VLOOKUP(B62,'Insumos e Serviços'!$A:$F,3,0)</f>
        <v>Composição</v>
      </c>
      <c r="B62" s="109" t="s">
        <v>151</v>
      </c>
      <c r="C62" s="113" t="str">
        <f>VLOOKUP(B62,'Insumos e Serviços'!$A:$F,2,0)</f>
        <v>SINAPI</v>
      </c>
      <c r="D62" s="114" t="str">
        <f>VLOOKUP(B62,'Insumos e Serviços'!$A:$F,4,0)</f>
        <v>CHAPISCO APLICADO EM ALVENARIAS E ESTRUTURAS DE CONCRETO INTERNAS, COM COLHER DE PEDREIRO.  ARGAMASSA TRAÇO 1:3 COM PREPARO EM BETONEIRA 400L. AF_06/2014</v>
      </c>
      <c r="E62" s="113" t="str">
        <f>VLOOKUP(B62,'Insumos e Serviços'!$A:$F,5,0)</f>
        <v>m²</v>
      </c>
      <c r="F62" s="189">
        <v>0.16500000000000001</v>
      </c>
      <c r="G62" s="115">
        <f>VLOOKUP(B62,'Insumos e Serviços'!$A:$F,6,0)</f>
        <v>3.43</v>
      </c>
      <c r="H62" s="115">
        <f t="shared" si="9"/>
        <v>0.56000000000000005</v>
      </c>
    </row>
    <row r="63" spans="1:8" ht="45" x14ac:dyDescent="0.2">
      <c r="A63" s="114" t="str">
        <f>VLOOKUP(B63,'Insumos e Serviços'!$A:$F,3,0)</f>
        <v>Composição</v>
      </c>
      <c r="B63" s="109" t="s">
        <v>154</v>
      </c>
      <c r="C63" s="113" t="str">
        <f>VLOOKUP(B63,'Insumos e Serviços'!$A:$F,2,0)</f>
        <v>SINAPI</v>
      </c>
      <c r="D63" s="114" t="str">
        <f>VLOOKUP(B63,'Insumos e Serviços'!$A:$F,4,0)</f>
        <v>(COMPOSIÇÃO REPRESENTATIVA) DO SERVIÇO DE EMBOÇO/MASSA ÚNICA, APLICADO MANUALMENTE, TRAÇO 1:2:8, EM BETONEIRA DE 400L, PAREDES INTERNAS, COM EXECUÇÃO DE TALISCAS, EDIFICAÇÃO HABITACIONAL UNIFAMILIAR (CASAS) E EDIFICAÇÃO PÚBLICA PADRÃO. AF_12/2014</v>
      </c>
      <c r="E63" s="113" t="str">
        <f>VLOOKUP(B63,'Insumos e Serviços'!$A:$F,5,0)</f>
        <v>m²</v>
      </c>
      <c r="F63" s="189">
        <v>0.16500000000000001</v>
      </c>
      <c r="G63" s="115">
        <f>VLOOKUP(B63,'Insumos e Serviços'!$A:$F,6,0)</f>
        <v>30.77</v>
      </c>
      <c r="H63" s="115">
        <f t="shared" si="9"/>
        <v>5.07</v>
      </c>
    </row>
    <row r="64" spans="1:8" x14ac:dyDescent="0.2">
      <c r="A64" s="114" t="str">
        <f>VLOOKUP(B64,'Insumos e Serviços'!$A:$F,3,0)</f>
        <v>Composição</v>
      </c>
      <c r="B64" s="109" t="s">
        <v>761</v>
      </c>
      <c r="C64" s="113" t="str">
        <f>VLOOKUP(B64,'Insumos e Serviços'!$A:$F,2,0)</f>
        <v>SINAPI</v>
      </c>
      <c r="D64" s="114" t="str">
        <f>VLOOKUP(B64,'Insumos e Serviços'!$A:$F,4,0)</f>
        <v>LASTRO DE CONCRETO MAGRO, APLICADO EM PISOS OU RADIERS. AF_08/2017</v>
      </c>
      <c r="E64" s="113" t="str">
        <f>VLOOKUP(B64,'Insumos e Serviços'!$A:$F,5,0)</f>
        <v>m³</v>
      </c>
      <c r="F64" s="189">
        <v>7.0000000000000007E-2</v>
      </c>
      <c r="G64" s="115">
        <f>VLOOKUP(B64,'Insumos e Serviços'!$A:$F,6,0)</f>
        <v>513.91</v>
      </c>
      <c r="H64" s="115">
        <f t="shared" si="9"/>
        <v>35.97</v>
      </c>
    </row>
    <row r="65" spans="1:8" x14ac:dyDescent="0.2">
      <c r="A65" s="205"/>
      <c r="B65" s="205"/>
      <c r="C65" s="205"/>
      <c r="D65" s="206"/>
      <c r="E65" s="207"/>
      <c r="F65" s="208"/>
      <c r="G65" s="205"/>
      <c r="H65" s="205"/>
    </row>
    <row r="66" spans="1:8" x14ac:dyDescent="0.2">
      <c r="A66" s="199" t="s">
        <v>105</v>
      </c>
      <c r="B66" s="199"/>
      <c r="C66" s="199"/>
      <c r="D66" s="200" t="s">
        <v>106</v>
      </c>
      <c r="E66" s="201"/>
      <c r="F66" s="202"/>
      <c r="G66" s="199"/>
      <c r="H66" s="203"/>
    </row>
    <row r="67" spans="1:8" ht="22.5" x14ac:dyDescent="0.2">
      <c r="A67" s="204" t="s">
        <v>107</v>
      </c>
      <c r="B67" s="54" t="str">
        <f>VLOOKUP(A67,'Orçamento Sintético'!$A:$H,2,0)</f>
        <v xml:space="preserve"> MPDFT0891 </v>
      </c>
      <c r="C67" s="54" t="str">
        <f>VLOOKUP(A67,'Orçamento Sintético'!$A:$H,3,0)</f>
        <v>Próprio</v>
      </c>
      <c r="D67" s="55" t="str">
        <f>VLOOKUP(A67,'Orçamento Sintético'!$A:$H,4,0)</f>
        <v>Porta de madeira (PM), DM 0,90 x 2,10 m, acabamento em laminado melamínico texturizado, inclusive dobradiça, fechadura, barra de apoio e grelha</v>
      </c>
      <c r="E67" s="54" t="str">
        <f>VLOOKUP(A67,'Orçamento Sintético'!$A:$H,5,0)</f>
        <v>un</v>
      </c>
      <c r="F67" s="183"/>
      <c r="G67" s="184"/>
      <c r="H67" s="185">
        <f>SUM(H68:H79)</f>
        <v>2059.2200000000003</v>
      </c>
    </row>
    <row r="68" spans="1:8" x14ac:dyDescent="0.2">
      <c r="A68" s="114" t="str">
        <f>VLOOKUP(B68,'Insumos e Serviços'!$A:$F,3,0)</f>
        <v>Composição</v>
      </c>
      <c r="B68" s="109" t="s">
        <v>597</v>
      </c>
      <c r="C68" s="113" t="str">
        <f>VLOOKUP(B68,'Insumos e Serviços'!$A:$F,2,0)</f>
        <v>SINAPI</v>
      </c>
      <c r="D68" s="114" t="str">
        <f>VLOOKUP(B68,'Insumos e Serviços'!$A:$F,4,0)</f>
        <v>SERVENTE COM ENCARGOS COMPLEMENTARES</v>
      </c>
      <c r="E68" s="113" t="str">
        <f>VLOOKUP(B68,'Insumos e Serviços'!$A:$F,5,0)</f>
        <v>H</v>
      </c>
      <c r="F68" s="189">
        <v>2.7084999999999999</v>
      </c>
      <c r="G68" s="115">
        <f>VLOOKUP(B68,'Insumos e Serviços'!$A:$F,6,0)</f>
        <v>17.170000000000002</v>
      </c>
      <c r="H68" s="115">
        <f t="shared" ref="H68:H79" si="10">TRUNC(F68*G68,2)</f>
        <v>46.5</v>
      </c>
    </row>
    <row r="69" spans="1:8" x14ac:dyDescent="0.2">
      <c r="A69" s="114" t="str">
        <f>VLOOKUP(B69,'Insumos e Serviços'!$A:$F,3,0)</f>
        <v>Composição</v>
      </c>
      <c r="B69" s="109" t="s">
        <v>755</v>
      </c>
      <c r="C69" s="113" t="str">
        <f>VLOOKUP(B69,'Insumos e Serviços'!$A:$F,2,0)</f>
        <v>SINAPI</v>
      </c>
      <c r="D69" s="114" t="str">
        <f>VLOOKUP(B69,'Insumos e Serviços'!$A:$F,4,0)</f>
        <v>CARPINTEIRO DE ESQUADRIA COM ENCARGOS COMPLEMENTARES</v>
      </c>
      <c r="E69" s="113" t="str">
        <f>VLOOKUP(B69,'Insumos e Serviços'!$A:$F,5,0)</f>
        <v>H</v>
      </c>
      <c r="F69" s="189">
        <v>3.4864999999999999</v>
      </c>
      <c r="G69" s="115">
        <f>VLOOKUP(B69,'Insumos e Serviços'!$A:$F,6,0)</f>
        <v>23.07</v>
      </c>
      <c r="H69" s="115">
        <f t="shared" si="10"/>
        <v>80.430000000000007</v>
      </c>
    </row>
    <row r="70" spans="1:8" ht="22.5" x14ac:dyDescent="0.2">
      <c r="A70" s="114" t="str">
        <f>VLOOKUP(B70,'Insumos e Serviços'!$A:$F,3,0)</f>
        <v>Composição</v>
      </c>
      <c r="B70" s="109" t="s">
        <v>763</v>
      </c>
      <c r="C70" s="113" t="str">
        <f>VLOOKUP(B70,'Insumos e Serviços'!$A:$F,2,0)</f>
        <v>SINAPI</v>
      </c>
      <c r="D70" s="114" t="str">
        <f>VLOOKUP(B70,'Insumos e Serviços'!$A:$F,4,0)</f>
        <v>PORTA DE MADEIRA PARA VERNIZ, SEMI-OCA (LEVE OU MÉDIA), 90X210CM, ESPESSURA DE 3,5CM, INCLUSO DOBRADIÇAS - FORNECIMENTO E INSTALAÇÃO. AF_12/2019</v>
      </c>
      <c r="E70" s="113" t="str">
        <f>VLOOKUP(B70,'Insumos e Serviços'!$A:$F,5,0)</f>
        <v>UN</v>
      </c>
      <c r="F70" s="189">
        <v>1</v>
      </c>
      <c r="G70" s="115">
        <f>VLOOKUP(B70,'Insumos e Serviços'!$A:$F,6,0)</f>
        <v>334.71</v>
      </c>
      <c r="H70" s="115">
        <f t="shared" si="10"/>
        <v>334.71</v>
      </c>
    </row>
    <row r="71" spans="1:8" ht="33.75" x14ac:dyDescent="0.2">
      <c r="A71" s="114" t="str">
        <f>VLOOKUP(B71,'Insumos e Serviços'!$A:$F,3,0)</f>
        <v>Composição</v>
      </c>
      <c r="B71" s="109" t="s">
        <v>765</v>
      </c>
      <c r="C71" s="113" t="str">
        <f>VLOOKUP(B71,'Insumos e Serviços'!$A:$F,2,0)</f>
        <v>SINAPI</v>
      </c>
      <c r="D71" s="114" t="str">
        <f>VLOOKUP(B71,'Insumos e Serviços'!$A:$F,4,0)</f>
        <v>PINTURA COM TINTA ALQUÍDICA DE FUNDO (TIPO ZARCÃO) PULVERIZADA SOBRE SUPERFÍCIES METÁLICAS (EXCETO PERFIL) EXECUTADO EM OBRA (POR DEMÃO). AF_01/2020</v>
      </c>
      <c r="E71" s="113" t="str">
        <f>VLOOKUP(B71,'Insumos e Serviços'!$A:$F,5,0)</f>
        <v>m²</v>
      </c>
      <c r="F71" s="189">
        <v>1.581</v>
      </c>
      <c r="G71" s="115">
        <f>VLOOKUP(B71,'Insumos e Serviços'!$A:$F,6,0)</f>
        <v>20.39</v>
      </c>
      <c r="H71" s="115">
        <f t="shared" si="10"/>
        <v>32.229999999999997</v>
      </c>
    </row>
    <row r="72" spans="1:8" ht="33.75" x14ac:dyDescent="0.2">
      <c r="A72" s="114" t="str">
        <f>VLOOKUP(B72,'Insumos e Serviços'!$A:$F,3,0)</f>
        <v>Composição</v>
      </c>
      <c r="B72" s="109" t="s">
        <v>767</v>
      </c>
      <c r="C72" s="113" t="str">
        <f>VLOOKUP(B72,'Insumos e Serviços'!$A:$F,2,0)</f>
        <v>SINAPI</v>
      </c>
      <c r="D72" s="114" t="str">
        <f>VLOOKUP(B72,'Insumos e Serviços'!$A:$F,4,0)</f>
        <v>PINTURA COM TINTA ALQUÍDICA DE ACABAMENTO (ESMALTE SINTÉTICO ACETINADO) PULVERIZADA SOBRE SUPERFÍCIES METÁLICAS (EXCETO PERFIL) EXECUTADO EM OBRA (02 DEMÃOS). AF_01/2020</v>
      </c>
      <c r="E72" s="113" t="str">
        <f>VLOOKUP(B72,'Insumos e Serviços'!$A:$F,5,0)</f>
        <v>m²</v>
      </c>
      <c r="F72" s="189">
        <v>1.581</v>
      </c>
      <c r="G72" s="115">
        <f>VLOOKUP(B72,'Insumos e Serviços'!$A:$F,6,0)</f>
        <v>40.24</v>
      </c>
      <c r="H72" s="115">
        <f t="shared" si="10"/>
        <v>63.61</v>
      </c>
    </row>
    <row r="73" spans="1:8" x14ac:dyDescent="0.2">
      <c r="A73" s="114" t="str">
        <f>VLOOKUP(B73,'Insumos e Serviços'!$A:$F,3,0)</f>
        <v>Insumo</v>
      </c>
      <c r="B73" s="109" t="s">
        <v>769</v>
      </c>
      <c r="C73" s="113" t="str">
        <f>VLOOKUP(B73,'Insumos e Serviços'!$A:$F,2,0)</f>
        <v>SINAPI</v>
      </c>
      <c r="D73" s="114" t="str">
        <f>VLOOKUP(B73,'Insumos e Serviços'!$A:$F,4,0)</f>
        <v>ESPUMA EXPANSIVA DE POLIURETANO, APLICACAO MANUAL - 500 ML</v>
      </c>
      <c r="E73" s="113" t="str">
        <f>VLOOKUP(B73,'Insumos e Serviços'!$A:$F,5,0)</f>
        <v>UN</v>
      </c>
      <c r="F73" s="189">
        <v>0.77</v>
      </c>
      <c r="G73" s="115">
        <f>VLOOKUP(B73,'Insumos e Serviços'!$A:$F,6,0)</f>
        <v>22</v>
      </c>
      <c r="H73" s="115">
        <f t="shared" si="10"/>
        <v>16.940000000000001</v>
      </c>
    </row>
    <row r="74" spans="1:8" ht="33.75" x14ac:dyDescent="0.2">
      <c r="A74" s="114" t="str">
        <f>VLOOKUP(B74,'Insumos e Serviços'!$A:$F,3,0)</f>
        <v>Insumo</v>
      </c>
      <c r="B74" s="109" t="s">
        <v>771</v>
      </c>
      <c r="C74" s="113" t="str">
        <f>VLOOKUP(B74,'Insumos e Serviços'!$A:$F,2,0)</f>
        <v>SINAPI</v>
      </c>
      <c r="D74" s="114" t="str">
        <f>VLOOKUP(B74,'Insumos e Serviços'!$A:$F,4,0)</f>
        <v>FECHADURA DE EMBUTIR PARA PORTA EXTERNA, MAQUINA 55 MM, COM CILINDRO, MACANETA ALAVANCA E ROSETA REDONDA EM METAL CROMADO - NIVEL DE SEGURANCA MEDIO - COMPLETA</v>
      </c>
      <c r="E74" s="113" t="str">
        <f>VLOOKUP(B74,'Insumos e Serviços'!$A:$F,5,0)</f>
        <v>CJ</v>
      </c>
      <c r="F74" s="189">
        <v>1.5</v>
      </c>
      <c r="G74" s="115">
        <f>VLOOKUP(B74,'Insumos e Serviços'!$A:$F,6,0)</f>
        <v>125.58</v>
      </c>
      <c r="H74" s="115">
        <f t="shared" si="10"/>
        <v>188.37</v>
      </c>
    </row>
    <row r="75" spans="1:8" ht="22.5" x14ac:dyDescent="0.2">
      <c r="A75" s="114" t="str">
        <f>VLOOKUP(B75,'Insumos e Serviços'!$A:$F,3,0)</f>
        <v>Insumo</v>
      </c>
      <c r="B75" s="109" t="s">
        <v>774</v>
      </c>
      <c r="C75" s="113" t="str">
        <f>VLOOKUP(B75,'Insumos e Serviços'!$A:$F,2,0)</f>
        <v>Próprio</v>
      </c>
      <c r="D75" s="114" t="str">
        <f>VLOOKUP(B75,'Insumos e Serviços'!$A:$F,4,0)</f>
        <v>Laminado melamínico, acabamento texturizado, cor branca, espessura 1,3mm, referência L190, fab. Fórmica</v>
      </c>
      <c r="E75" s="113" t="str">
        <f>VLOOKUP(B75,'Insumos e Serviços'!$A:$F,5,0)</f>
        <v>m²</v>
      </c>
      <c r="F75" s="189">
        <v>6.2750000000000004</v>
      </c>
      <c r="G75" s="115">
        <f>VLOOKUP(B75,'Insumos e Serviços'!$A:$F,6,0)</f>
        <v>76.540000000000006</v>
      </c>
      <c r="H75" s="115">
        <f t="shared" si="10"/>
        <v>480.28</v>
      </c>
    </row>
    <row r="76" spans="1:8" x14ac:dyDescent="0.2">
      <c r="A76" s="114" t="str">
        <f>VLOOKUP(B76,'Insumos e Serviços'!$A:$F,3,0)</f>
        <v>Material</v>
      </c>
      <c r="B76" s="109" t="s">
        <v>776</v>
      </c>
      <c r="C76" s="113" t="str">
        <f>VLOOKUP(B76,'Insumos e Serviços'!$A:$F,2,0)</f>
        <v>SINAPI</v>
      </c>
      <c r="D76" s="114" t="str">
        <f>VLOOKUP(B76,'Insumos e Serviços'!$A:$F,4,0)</f>
        <v>COLA A BASE DE RESINA SINTETICA PARA CHAPA DE LAMINADO MELAMINICO</v>
      </c>
      <c r="E76" s="113" t="str">
        <f>VLOOKUP(B76,'Insumos e Serviços'!$A:$F,5,0)</f>
        <v>KG</v>
      </c>
      <c r="F76" s="189">
        <v>3.024</v>
      </c>
      <c r="G76" s="115" t="str">
        <f>VLOOKUP(B76,'Insumos e Serviços'!$A:$F,6,0)</f>
        <v xml:space="preserve"> 35,65</v>
      </c>
      <c r="H76" s="115">
        <f t="shared" si="10"/>
        <v>107.8</v>
      </c>
    </row>
    <row r="77" spans="1:8" ht="22.5" x14ac:dyDescent="0.2">
      <c r="A77" s="114" t="str">
        <f>VLOOKUP(B77,'Insumos e Serviços'!$A:$F,3,0)</f>
        <v>Insumo</v>
      </c>
      <c r="B77" s="109" t="s">
        <v>778</v>
      </c>
      <c r="C77" s="113" t="str">
        <f>VLOOKUP(B77,'Insumos e Serviços'!$A:$F,2,0)</f>
        <v>Próprio</v>
      </c>
      <c r="D77" s="114" t="str">
        <f>VLOOKUP(B77,'Insumos e Serviços'!$A:$F,4,0)</f>
        <v>Grelha em alumínio 325 x 525 mm, ref. Grelha de Retorno AGS-T (com contra-moldura), Trox do Brasil</v>
      </c>
      <c r="E77" s="113" t="str">
        <f>VLOOKUP(B77,'Insumos e Serviços'!$A:$F,5,0)</f>
        <v>un</v>
      </c>
      <c r="F77" s="189">
        <v>1</v>
      </c>
      <c r="G77" s="115" t="str">
        <f>VLOOKUP(B77,'Insumos e Serviços'!$A:$F,6,0)</f>
        <v xml:space="preserve"> 317,41</v>
      </c>
      <c r="H77" s="115">
        <f t="shared" si="10"/>
        <v>317.41000000000003</v>
      </c>
    </row>
    <row r="78" spans="1:8" ht="22.5" x14ac:dyDescent="0.2">
      <c r="A78" s="114" t="str">
        <f>VLOOKUP(B78,'Insumos e Serviços'!$A:$F,3,0)</f>
        <v>Insumo</v>
      </c>
      <c r="B78" s="109" t="s">
        <v>780</v>
      </c>
      <c r="C78" s="113" t="str">
        <f>VLOOKUP(B78,'Insumos e Serviços'!$A:$F,2,0)</f>
        <v>Próprio</v>
      </c>
      <c r="D78" s="114" t="str">
        <f>VLOOKUP(B78,'Insumos e Serviços'!$A:$F,4,0)</f>
        <v>Barra de apoio tubular reta 45cm, Ø31,75mm e=2mm, em alumínio, acabamento com pintura epóxi branca, Linha Acessibilidade, fab. Leve Vida</v>
      </c>
      <c r="E78" s="113" t="str">
        <f>VLOOKUP(B78,'Insumos e Serviços'!$A:$F,5,0)</f>
        <v>un</v>
      </c>
      <c r="F78" s="189">
        <v>1</v>
      </c>
      <c r="G78" s="115">
        <f>VLOOKUP(B78,'Insumos e Serviços'!$A:$F,6,0)</f>
        <v>52.9</v>
      </c>
      <c r="H78" s="115">
        <f t="shared" si="10"/>
        <v>52.9</v>
      </c>
    </row>
    <row r="79" spans="1:8" x14ac:dyDescent="0.2">
      <c r="A79" s="114" t="str">
        <f>VLOOKUP(B79,'Insumos e Serviços'!$A:$F,3,0)</f>
        <v>Insumo</v>
      </c>
      <c r="B79" s="109" t="s">
        <v>782</v>
      </c>
      <c r="C79" s="113" t="str">
        <f>VLOOKUP(B79,'Insumos e Serviços'!$A:$F,2,0)</f>
        <v>SINAPI</v>
      </c>
      <c r="D79" s="114" t="str">
        <f>VLOOKUP(B79,'Insumos e Serviços'!$A:$F,4,0)</f>
        <v>CHAPA DE ACO FINA A QUENTE BITOLA MSG 16, E = 1,50 MM (12,00 KG/M2)</v>
      </c>
      <c r="E79" s="113" t="str">
        <f>VLOOKUP(B79,'Insumos e Serviços'!$A:$F,5,0)</f>
        <v>KG</v>
      </c>
      <c r="F79" s="189">
        <v>31.3</v>
      </c>
      <c r="G79" s="115">
        <f>VLOOKUP(B79,'Insumos e Serviços'!$A:$F,6,0)</f>
        <v>10.8</v>
      </c>
      <c r="H79" s="115">
        <f t="shared" si="10"/>
        <v>338.04</v>
      </c>
    </row>
    <row r="80" spans="1:8" x14ac:dyDescent="0.2">
      <c r="A80" s="205"/>
      <c r="B80" s="205"/>
      <c r="C80" s="205"/>
      <c r="D80" s="206"/>
      <c r="E80" s="207"/>
      <c r="F80" s="208"/>
      <c r="G80" s="205"/>
      <c r="H80" s="205"/>
    </row>
    <row r="81" spans="1:8" ht="22.5" x14ac:dyDescent="0.2">
      <c r="A81" s="204" t="s">
        <v>111</v>
      </c>
      <c r="B81" s="54" t="str">
        <f>VLOOKUP(A81,'Orçamento Sintético'!$A:$H,2,0)</f>
        <v xml:space="preserve"> MPDFT0892 </v>
      </c>
      <c r="C81" s="54" t="str">
        <f>VLOOKUP(A81,'Orçamento Sintético'!$A:$H,3,0)</f>
        <v>Próprio</v>
      </c>
      <c r="D81" s="55" t="str">
        <f>VLOOKUP(A81,'Orçamento Sintético'!$A:$H,4,0)</f>
        <v>Porta de madeira (PM), DM 0,80 x 2,10 m, acabamento em laminado melamínico texturizado, inclusive dobradiça, fechadura e grelha</v>
      </c>
      <c r="E81" s="54" t="str">
        <f>VLOOKUP(A81,'Orçamento Sintético'!$A:$H,5,0)</f>
        <v>un</v>
      </c>
      <c r="F81" s="183"/>
      <c r="G81" s="184"/>
      <c r="H81" s="185">
        <f>SUM(H82:H92)</f>
        <v>1932.92</v>
      </c>
    </row>
    <row r="82" spans="1:8" x14ac:dyDescent="0.2">
      <c r="A82" s="114" t="str">
        <f>VLOOKUP(B82,'Insumos e Serviços'!$A:$F,3,0)</f>
        <v>Composição</v>
      </c>
      <c r="B82" s="109" t="s">
        <v>597</v>
      </c>
      <c r="C82" s="113" t="str">
        <f>VLOOKUP(B82,'Insumos e Serviços'!$A:$F,2,0)</f>
        <v>SINAPI</v>
      </c>
      <c r="D82" s="114" t="str">
        <f>VLOOKUP(B82,'Insumos e Serviços'!$A:$F,4,0)</f>
        <v>SERVENTE COM ENCARGOS COMPLEMENTARES</v>
      </c>
      <c r="E82" s="113" t="str">
        <f>VLOOKUP(B82,'Insumos e Serviços'!$A:$F,5,0)</f>
        <v>H</v>
      </c>
      <c r="F82" s="189">
        <v>1.9085000000000001</v>
      </c>
      <c r="G82" s="115">
        <f>VLOOKUP(B82,'Insumos e Serviços'!$A:$F,6,0)</f>
        <v>17.170000000000002</v>
      </c>
      <c r="H82" s="115">
        <f t="shared" ref="H82:H92" si="11">TRUNC(F82*G82,2)</f>
        <v>32.76</v>
      </c>
    </row>
    <row r="83" spans="1:8" x14ac:dyDescent="0.2">
      <c r="A83" s="114" t="str">
        <f>VLOOKUP(B83,'Insumos e Serviços'!$A:$F,3,0)</f>
        <v>Composição</v>
      </c>
      <c r="B83" s="109" t="s">
        <v>755</v>
      </c>
      <c r="C83" s="113" t="str">
        <f>VLOOKUP(B83,'Insumos e Serviços'!$A:$F,2,0)</f>
        <v>SINAPI</v>
      </c>
      <c r="D83" s="114" t="str">
        <f>VLOOKUP(B83,'Insumos e Serviços'!$A:$F,4,0)</f>
        <v>CARPINTEIRO DE ESQUADRIA COM ENCARGOS COMPLEMENTARES</v>
      </c>
      <c r="E83" s="113" t="str">
        <f>VLOOKUP(B83,'Insumos e Serviços'!$A:$F,5,0)</f>
        <v>H</v>
      </c>
      <c r="F83" s="189">
        <v>2.6865000000000001</v>
      </c>
      <c r="G83" s="115">
        <f>VLOOKUP(B83,'Insumos e Serviços'!$A:$F,6,0)</f>
        <v>23.07</v>
      </c>
      <c r="H83" s="115">
        <f t="shared" si="11"/>
        <v>61.97</v>
      </c>
    </row>
    <row r="84" spans="1:8" ht="22.5" x14ac:dyDescent="0.2">
      <c r="A84" s="114" t="str">
        <f>VLOOKUP(B84,'Insumos e Serviços'!$A:$F,3,0)</f>
        <v>Composição</v>
      </c>
      <c r="B84" s="109" t="s">
        <v>784</v>
      </c>
      <c r="C84" s="113" t="str">
        <f>VLOOKUP(B84,'Insumos e Serviços'!$A:$F,2,0)</f>
        <v>SINAPI</v>
      </c>
      <c r="D84" s="114" t="str">
        <f>VLOOKUP(B84,'Insumos e Serviços'!$A:$F,4,0)</f>
        <v>PORTA DE MADEIRA PARA VERNIZ, SEMI-OCA (LEVE OU MÉDIA), 80X210CM, ESPESSURA DE 3,5CM, INCLUSO DOBRADIÇAS - FORNECIMENTO E INSTALAÇÃO. AF_12/2019</v>
      </c>
      <c r="E84" s="113" t="str">
        <f>VLOOKUP(B84,'Insumos e Serviços'!$A:$F,5,0)</f>
        <v>UN</v>
      </c>
      <c r="F84" s="189">
        <v>1</v>
      </c>
      <c r="G84" s="115">
        <f>VLOOKUP(B84,'Insumos e Serviços'!$A:$F,6,0)</f>
        <v>301.07</v>
      </c>
      <c r="H84" s="115">
        <f t="shared" si="11"/>
        <v>301.07</v>
      </c>
    </row>
    <row r="85" spans="1:8" ht="33.75" x14ac:dyDescent="0.2">
      <c r="A85" s="114" t="str">
        <f>VLOOKUP(B85,'Insumos e Serviços'!$A:$F,3,0)</f>
        <v>Composição</v>
      </c>
      <c r="B85" s="109" t="s">
        <v>765</v>
      </c>
      <c r="C85" s="113" t="str">
        <f>VLOOKUP(B85,'Insumos e Serviços'!$A:$F,2,0)</f>
        <v>SINAPI</v>
      </c>
      <c r="D85" s="114" t="str">
        <f>VLOOKUP(B85,'Insumos e Serviços'!$A:$F,4,0)</f>
        <v>PINTURA COM TINTA ALQUÍDICA DE FUNDO (TIPO ZARCÃO) PULVERIZADA SOBRE SUPERFÍCIES METÁLICAS (EXCETO PERFIL) EXECUTADO EM OBRA (POR DEMÃO). AF_01/2020</v>
      </c>
      <c r="E85" s="113" t="str">
        <f>VLOOKUP(B85,'Insumos e Serviços'!$A:$F,5,0)</f>
        <v>m²</v>
      </c>
      <c r="F85" s="189">
        <v>1.581</v>
      </c>
      <c r="G85" s="115">
        <f>VLOOKUP(B85,'Insumos e Serviços'!$A:$F,6,0)</f>
        <v>20.39</v>
      </c>
      <c r="H85" s="115">
        <f t="shared" si="11"/>
        <v>32.229999999999997</v>
      </c>
    </row>
    <row r="86" spans="1:8" ht="33.75" x14ac:dyDescent="0.2">
      <c r="A86" s="114" t="str">
        <f>VLOOKUP(B86,'Insumos e Serviços'!$A:$F,3,0)</f>
        <v>Composição</v>
      </c>
      <c r="B86" s="109" t="s">
        <v>767</v>
      </c>
      <c r="C86" s="113" t="str">
        <f>VLOOKUP(B86,'Insumos e Serviços'!$A:$F,2,0)</f>
        <v>SINAPI</v>
      </c>
      <c r="D86" s="114" t="str">
        <f>VLOOKUP(B86,'Insumos e Serviços'!$A:$F,4,0)</f>
        <v>PINTURA COM TINTA ALQUÍDICA DE ACABAMENTO (ESMALTE SINTÉTICO ACETINADO) PULVERIZADA SOBRE SUPERFÍCIES METÁLICAS (EXCETO PERFIL) EXECUTADO EM OBRA (02 DEMÃOS). AF_01/2020</v>
      </c>
      <c r="E86" s="113" t="str">
        <f>VLOOKUP(B86,'Insumos e Serviços'!$A:$F,5,0)</f>
        <v>m²</v>
      </c>
      <c r="F86" s="189">
        <v>1.581</v>
      </c>
      <c r="G86" s="115">
        <f>VLOOKUP(B86,'Insumos e Serviços'!$A:$F,6,0)</f>
        <v>40.24</v>
      </c>
      <c r="H86" s="115">
        <f t="shared" si="11"/>
        <v>63.61</v>
      </c>
    </row>
    <row r="87" spans="1:8" x14ac:dyDescent="0.2">
      <c r="A87" s="114" t="str">
        <f>VLOOKUP(B87,'Insumos e Serviços'!$A:$F,3,0)</f>
        <v>Insumo</v>
      </c>
      <c r="B87" s="109" t="s">
        <v>769</v>
      </c>
      <c r="C87" s="113" t="str">
        <f>VLOOKUP(B87,'Insumos e Serviços'!$A:$F,2,0)</f>
        <v>SINAPI</v>
      </c>
      <c r="D87" s="114" t="str">
        <f>VLOOKUP(B87,'Insumos e Serviços'!$A:$F,4,0)</f>
        <v>ESPUMA EXPANSIVA DE POLIURETANO, APLICACAO MANUAL - 500 ML</v>
      </c>
      <c r="E87" s="113" t="str">
        <f>VLOOKUP(B87,'Insumos e Serviços'!$A:$F,5,0)</f>
        <v>UN</v>
      </c>
      <c r="F87" s="189">
        <v>0.77</v>
      </c>
      <c r="G87" s="115">
        <f>VLOOKUP(B87,'Insumos e Serviços'!$A:$F,6,0)</f>
        <v>22</v>
      </c>
      <c r="H87" s="115">
        <f t="shared" si="11"/>
        <v>16.940000000000001</v>
      </c>
    </row>
    <row r="88" spans="1:8" ht="33.75" x14ac:dyDescent="0.2">
      <c r="A88" s="114" t="str">
        <f>VLOOKUP(B88,'Insumos e Serviços'!$A:$F,3,0)</f>
        <v>Insumo</v>
      </c>
      <c r="B88" s="109" t="s">
        <v>771</v>
      </c>
      <c r="C88" s="113" t="str">
        <f>VLOOKUP(B88,'Insumos e Serviços'!$A:$F,2,0)</f>
        <v>SINAPI</v>
      </c>
      <c r="D88" s="114" t="str">
        <f>VLOOKUP(B88,'Insumos e Serviços'!$A:$F,4,0)</f>
        <v>FECHADURA DE EMBUTIR PARA PORTA EXTERNA, MAQUINA 55 MM, COM CILINDRO, MACANETA ALAVANCA E ROSETA REDONDA EM METAL CROMADO - NIVEL DE SEGURANCA MEDIO - COMPLETA</v>
      </c>
      <c r="E88" s="113" t="str">
        <f>VLOOKUP(B88,'Insumos e Serviços'!$A:$F,5,0)</f>
        <v>CJ</v>
      </c>
      <c r="F88" s="189">
        <v>1.5</v>
      </c>
      <c r="G88" s="115">
        <f>VLOOKUP(B88,'Insumos e Serviços'!$A:$F,6,0)</f>
        <v>125.58</v>
      </c>
      <c r="H88" s="115">
        <f t="shared" si="11"/>
        <v>188.37</v>
      </c>
    </row>
    <row r="89" spans="1:8" ht="22.5" x14ac:dyDescent="0.2">
      <c r="A89" s="114" t="str">
        <f>VLOOKUP(B89,'Insumos e Serviços'!$A:$F,3,0)</f>
        <v>Insumo</v>
      </c>
      <c r="B89" s="109" t="s">
        <v>774</v>
      </c>
      <c r="C89" s="113" t="str">
        <f>VLOOKUP(B89,'Insumos e Serviços'!$A:$F,2,0)</f>
        <v>Próprio</v>
      </c>
      <c r="D89" s="114" t="str">
        <f>VLOOKUP(B89,'Insumos e Serviços'!$A:$F,4,0)</f>
        <v>Laminado melamínico, acabamento texturizado, cor branca, espessura 1,3mm, referência L190, fab. Fórmica</v>
      </c>
      <c r="E89" s="113" t="str">
        <f>VLOOKUP(B89,'Insumos e Serviços'!$A:$F,5,0)</f>
        <v>m²</v>
      </c>
      <c r="F89" s="189">
        <v>6.2750000000000004</v>
      </c>
      <c r="G89" s="115">
        <f>VLOOKUP(B89,'Insumos e Serviços'!$A:$F,6,0)</f>
        <v>76.540000000000006</v>
      </c>
      <c r="H89" s="115">
        <f t="shared" si="11"/>
        <v>480.28</v>
      </c>
    </row>
    <row r="90" spans="1:8" x14ac:dyDescent="0.2">
      <c r="A90" s="114" t="str">
        <f>VLOOKUP(B90,'Insumos e Serviços'!$A:$F,3,0)</f>
        <v>Material</v>
      </c>
      <c r="B90" s="109" t="s">
        <v>776</v>
      </c>
      <c r="C90" s="113" t="str">
        <f>VLOOKUP(B90,'Insumos e Serviços'!$A:$F,2,0)</f>
        <v>SINAPI</v>
      </c>
      <c r="D90" s="114" t="str">
        <f>VLOOKUP(B90,'Insumos e Serviços'!$A:$F,4,0)</f>
        <v>COLA A BASE DE RESINA SINTETICA PARA CHAPA DE LAMINADO MELAMINICO</v>
      </c>
      <c r="E90" s="113" t="str">
        <f>VLOOKUP(B90,'Insumos e Serviços'!$A:$F,5,0)</f>
        <v>KG</v>
      </c>
      <c r="F90" s="189">
        <v>3.024</v>
      </c>
      <c r="G90" s="115" t="str">
        <f>VLOOKUP(B90,'Insumos e Serviços'!$A:$F,6,0)</f>
        <v xml:space="preserve"> 35,65</v>
      </c>
      <c r="H90" s="115">
        <f t="shared" si="11"/>
        <v>107.8</v>
      </c>
    </row>
    <row r="91" spans="1:8" ht="22.5" x14ac:dyDescent="0.2">
      <c r="A91" s="114" t="str">
        <f>VLOOKUP(B91,'Insumos e Serviços'!$A:$F,3,0)</f>
        <v>Insumo</v>
      </c>
      <c r="B91" s="109" t="s">
        <v>778</v>
      </c>
      <c r="C91" s="113" t="str">
        <f>VLOOKUP(B91,'Insumos e Serviços'!$A:$F,2,0)</f>
        <v>Próprio</v>
      </c>
      <c r="D91" s="114" t="str">
        <f>VLOOKUP(B91,'Insumos e Serviços'!$A:$F,4,0)</f>
        <v>Grelha em alumínio 325 x 525 mm, ref. Grelha de Retorno AGS-T (com contra-moldura), Trox do Brasil</v>
      </c>
      <c r="E91" s="113" t="str">
        <f>VLOOKUP(B91,'Insumos e Serviços'!$A:$F,5,0)</f>
        <v>un</v>
      </c>
      <c r="F91" s="189">
        <v>1</v>
      </c>
      <c r="G91" s="115" t="str">
        <f>VLOOKUP(B91,'Insumos e Serviços'!$A:$F,6,0)</f>
        <v xml:space="preserve"> 317,41</v>
      </c>
      <c r="H91" s="115">
        <f t="shared" si="11"/>
        <v>317.41000000000003</v>
      </c>
    </row>
    <row r="92" spans="1:8" x14ac:dyDescent="0.2">
      <c r="A92" s="114" t="str">
        <f>VLOOKUP(B92,'Insumos e Serviços'!$A:$F,3,0)</f>
        <v>Insumo</v>
      </c>
      <c r="B92" s="109" t="s">
        <v>782</v>
      </c>
      <c r="C92" s="113" t="str">
        <f>VLOOKUP(B92,'Insumos e Serviços'!$A:$F,2,0)</f>
        <v>SINAPI</v>
      </c>
      <c r="D92" s="114" t="str">
        <f>VLOOKUP(B92,'Insumos e Serviços'!$A:$F,4,0)</f>
        <v>CHAPA DE ACO FINA A QUENTE BITOLA MSG 16, E = 1,50 MM (12,00 KG/M2)</v>
      </c>
      <c r="E92" s="113" t="str">
        <f>VLOOKUP(B92,'Insumos e Serviços'!$A:$F,5,0)</f>
        <v>KG</v>
      </c>
      <c r="F92" s="189">
        <v>30.6</v>
      </c>
      <c r="G92" s="115">
        <f>VLOOKUP(B92,'Insumos e Serviços'!$A:$F,6,0)</f>
        <v>10.8</v>
      </c>
      <c r="H92" s="115">
        <f t="shared" si="11"/>
        <v>330.48</v>
      </c>
    </row>
    <row r="93" spans="1:8" x14ac:dyDescent="0.2">
      <c r="A93" s="205"/>
      <c r="B93" s="205"/>
      <c r="C93" s="205"/>
      <c r="D93" s="206"/>
      <c r="E93" s="207"/>
      <c r="F93" s="208"/>
      <c r="G93" s="205"/>
      <c r="H93" s="205"/>
    </row>
    <row r="94" spans="1:8" ht="22.5" x14ac:dyDescent="0.2">
      <c r="A94" s="204" t="s">
        <v>114</v>
      </c>
      <c r="B94" s="54" t="str">
        <f>VLOOKUP(A94,'Orçamento Sintético'!$A:$H,2,0)</f>
        <v xml:space="preserve"> MPDFT0048 </v>
      </c>
      <c r="C94" s="54" t="str">
        <f>VLOOKUP(A94,'Orçamento Sintético'!$A:$H,3,0)</f>
        <v>Próprio</v>
      </c>
      <c r="D94" s="55" t="str">
        <f>VLOOKUP(A94,'Orçamento Sintético'!$A:$H,4,0)</f>
        <v>Porta de madeira (PM1), DM 0,80 x 2,10 m, acabamento em laminado melamínico texturizado, inclusive batente em chapa de aço dobrada, dobradiça e fechadura</v>
      </c>
      <c r="E94" s="54" t="str">
        <f>VLOOKUP(A94,'Orçamento Sintético'!$A:$H,5,0)</f>
        <v>un</v>
      </c>
      <c r="F94" s="183"/>
      <c r="G94" s="184"/>
      <c r="H94" s="185">
        <f>SUM(H95:H104)</f>
        <v>1615.51</v>
      </c>
    </row>
    <row r="95" spans="1:8" x14ac:dyDescent="0.2">
      <c r="A95" s="114" t="str">
        <f>VLOOKUP(B95,'Insumos e Serviços'!$A:$F,3,0)</f>
        <v>Composição</v>
      </c>
      <c r="B95" s="109" t="s">
        <v>597</v>
      </c>
      <c r="C95" s="113" t="str">
        <f>VLOOKUP(B95,'Insumos e Serviços'!$A:$F,2,0)</f>
        <v>SINAPI</v>
      </c>
      <c r="D95" s="114" t="str">
        <f>VLOOKUP(B95,'Insumos e Serviços'!$A:$F,4,0)</f>
        <v>SERVENTE COM ENCARGOS COMPLEMENTARES</v>
      </c>
      <c r="E95" s="113" t="str">
        <f>VLOOKUP(B95,'Insumos e Serviços'!$A:$F,5,0)</f>
        <v>H</v>
      </c>
      <c r="F95" s="189">
        <v>1.9085000000000001</v>
      </c>
      <c r="G95" s="115">
        <f>VLOOKUP(B95,'Insumos e Serviços'!$A:$F,6,0)</f>
        <v>17.170000000000002</v>
      </c>
      <c r="H95" s="115">
        <f t="shared" ref="H95:H104" si="12">TRUNC(F95*G95,2)</f>
        <v>32.76</v>
      </c>
    </row>
    <row r="96" spans="1:8" x14ac:dyDescent="0.2">
      <c r="A96" s="114" t="str">
        <f>VLOOKUP(B96,'Insumos e Serviços'!$A:$F,3,0)</f>
        <v>Composição</v>
      </c>
      <c r="B96" s="109" t="s">
        <v>755</v>
      </c>
      <c r="C96" s="113" t="str">
        <f>VLOOKUP(B96,'Insumos e Serviços'!$A:$F,2,0)</f>
        <v>SINAPI</v>
      </c>
      <c r="D96" s="114" t="str">
        <f>VLOOKUP(B96,'Insumos e Serviços'!$A:$F,4,0)</f>
        <v>CARPINTEIRO DE ESQUADRIA COM ENCARGOS COMPLEMENTARES</v>
      </c>
      <c r="E96" s="113" t="str">
        <f>VLOOKUP(B96,'Insumos e Serviços'!$A:$F,5,0)</f>
        <v>H</v>
      </c>
      <c r="F96" s="189">
        <v>2.6865000000000001</v>
      </c>
      <c r="G96" s="115">
        <f>VLOOKUP(B96,'Insumos e Serviços'!$A:$F,6,0)</f>
        <v>23.07</v>
      </c>
      <c r="H96" s="115">
        <f t="shared" si="12"/>
        <v>61.97</v>
      </c>
    </row>
    <row r="97" spans="1:8" ht="22.5" x14ac:dyDescent="0.2">
      <c r="A97" s="114" t="str">
        <f>VLOOKUP(B97,'Insumos e Serviços'!$A:$F,3,0)</f>
        <v>Composição</v>
      </c>
      <c r="B97" s="109" t="s">
        <v>784</v>
      </c>
      <c r="C97" s="113" t="str">
        <f>VLOOKUP(B97,'Insumos e Serviços'!$A:$F,2,0)</f>
        <v>SINAPI</v>
      </c>
      <c r="D97" s="114" t="str">
        <f>VLOOKUP(B97,'Insumos e Serviços'!$A:$F,4,0)</f>
        <v>PORTA DE MADEIRA PARA VERNIZ, SEMI-OCA (LEVE OU MÉDIA), 80X210CM, ESPESSURA DE 3,5CM, INCLUSO DOBRADIÇAS - FORNECIMENTO E INSTALAÇÃO. AF_12/2019</v>
      </c>
      <c r="E97" s="113" t="str">
        <f>VLOOKUP(B97,'Insumos e Serviços'!$A:$F,5,0)</f>
        <v>UN</v>
      </c>
      <c r="F97" s="189">
        <v>1</v>
      </c>
      <c r="G97" s="115">
        <f>VLOOKUP(B97,'Insumos e Serviços'!$A:$F,6,0)</f>
        <v>301.07</v>
      </c>
      <c r="H97" s="115">
        <f t="shared" si="12"/>
        <v>301.07</v>
      </c>
    </row>
    <row r="98" spans="1:8" ht="33.75" x14ac:dyDescent="0.2">
      <c r="A98" s="114" t="str">
        <f>VLOOKUP(B98,'Insumos e Serviços'!$A:$F,3,0)</f>
        <v>Composição</v>
      </c>
      <c r="B98" s="109" t="s">
        <v>765</v>
      </c>
      <c r="C98" s="113" t="str">
        <f>VLOOKUP(B98,'Insumos e Serviços'!$A:$F,2,0)</f>
        <v>SINAPI</v>
      </c>
      <c r="D98" s="114" t="str">
        <f>VLOOKUP(B98,'Insumos e Serviços'!$A:$F,4,0)</f>
        <v>PINTURA COM TINTA ALQUÍDICA DE FUNDO (TIPO ZARCÃO) PULVERIZADA SOBRE SUPERFÍCIES METÁLICAS (EXCETO PERFIL) EXECUTADO EM OBRA (POR DEMÃO). AF_01/2020</v>
      </c>
      <c r="E98" s="113" t="str">
        <f>VLOOKUP(B98,'Insumos e Serviços'!$A:$F,5,0)</f>
        <v>m²</v>
      </c>
      <c r="F98" s="189">
        <v>1.581</v>
      </c>
      <c r="G98" s="115">
        <f>VLOOKUP(B98,'Insumos e Serviços'!$A:$F,6,0)</f>
        <v>20.39</v>
      </c>
      <c r="H98" s="115">
        <f t="shared" si="12"/>
        <v>32.229999999999997</v>
      </c>
    </row>
    <row r="99" spans="1:8" ht="33.75" x14ac:dyDescent="0.2">
      <c r="A99" s="114" t="str">
        <f>VLOOKUP(B99,'Insumos e Serviços'!$A:$F,3,0)</f>
        <v>Composição</v>
      </c>
      <c r="B99" s="109" t="s">
        <v>767</v>
      </c>
      <c r="C99" s="113" t="str">
        <f>VLOOKUP(B99,'Insumos e Serviços'!$A:$F,2,0)</f>
        <v>SINAPI</v>
      </c>
      <c r="D99" s="114" t="str">
        <f>VLOOKUP(B99,'Insumos e Serviços'!$A:$F,4,0)</f>
        <v>PINTURA COM TINTA ALQUÍDICA DE ACABAMENTO (ESMALTE SINTÉTICO ACETINADO) PULVERIZADA SOBRE SUPERFÍCIES METÁLICAS (EXCETO PERFIL) EXECUTADO EM OBRA (02 DEMÃOS). AF_01/2020</v>
      </c>
      <c r="E99" s="113" t="str">
        <f>VLOOKUP(B99,'Insumos e Serviços'!$A:$F,5,0)</f>
        <v>m²</v>
      </c>
      <c r="F99" s="189">
        <v>1.581</v>
      </c>
      <c r="G99" s="115">
        <f>VLOOKUP(B99,'Insumos e Serviços'!$A:$F,6,0)</f>
        <v>40.24</v>
      </c>
      <c r="H99" s="115">
        <f t="shared" si="12"/>
        <v>63.61</v>
      </c>
    </row>
    <row r="100" spans="1:8" x14ac:dyDescent="0.2">
      <c r="A100" s="114" t="str">
        <f>VLOOKUP(B100,'Insumos e Serviços'!$A:$F,3,0)</f>
        <v>Insumo</v>
      </c>
      <c r="B100" s="109" t="s">
        <v>782</v>
      </c>
      <c r="C100" s="113" t="str">
        <f>VLOOKUP(B100,'Insumos e Serviços'!$A:$F,2,0)</f>
        <v>SINAPI</v>
      </c>
      <c r="D100" s="114" t="str">
        <f>VLOOKUP(B100,'Insumos e Serviços'!$A:$F,4,0)</f>
        <v>CHAPA DE ACO FINA A QUENTE BITOLA MSG 16, E = 1,50 MM (12,00 KG/M2)</v>
      </c>
      <c r="E100" s="113" t="str">
        <f>VLOOKUP(B100,'Insumos e Serviços'!$A:$F,5,0)</f>
        <v>KG</v>
      </c>
      <c r="F100" s="189">
        <v>30.6</v>
      </c>
      <c r="G100" s="115">
        <f>VLOOKUP(B100,'Insumos e Serviços'!$A:$F,6,0)</f>
        <v>10.8</v>
      </c>
      <c r="H100" s="115">
        <f t="shared" si="12"/>
        <v>330.48</v>
      </c>
    </row>
    <row r="101" spans="1:8" x14ac:dyDescent="0.2">
      <c r="A101" s="114" t="str">
        <f>VLOOKUP(B101,'Insumos e Serviços'!$A:$F,3,0)</f>
        <v>Insumo</v>
      </c>
      <c r="B101" s="109" t="s">
        <v>769</v>
      </c>
      <c r="C101" s="113" t="str">
        <f>VLOOKUP(B101,'Insumos e Serviços'!$A:$F,2,0)</f>
        <v>SINAPI</v>
      </c>
      <c r="D101" s="114" t="str">
        <f>VLOOKUP(B101,'Insumos e Serviços'!$A:$F,4,0)</f>
        <v>ESPUMA EXPANSIVA DE POLIURETANO, APLICACAO MANUAL - 500 ML</v>
      </c>
      <c r="E101" s="113" t="str">
        <f>VLOOKUP(B101,'Insumos e Serviços'!$A:$F,5,0)</f>
        <v>UN</v>
      </c>
      <c r="F101" s="189">
        <v>0.77</v>
      </c>
      <c r="G101" s="115">
        <f>VLOOKUP(B101,'Insumos e Serviços'!$A:$F,6,0)</f>
        <v>22</v>
      </c>
      <c r="H101" s="115">
        <f t="shared" si="12"/>
        <v>16.940000000000001</v>
      </c>
    </row>
    <row r="102" spans="1:8" ht="33.75" x14ac:dyDescent="0.2">
      <c r="A102" s="114" t="str">
        <f>VLOOKUP(B102,'Insumos e Serviços'!$A:$F,3,0)</f>
        <v>Insumo</v>
      </c>
      <c r="B102" s="109" t="s">
        <v>771</v>
      </c>
      <c r="C102" s="113" t="str">
        <f>VLOOKUP(B102,'Insumos e Serviços'!$A:$F,2,0)</f>
        <v>SINAPI</v>
      </c>
      <c r="D102" s="114" t="str">
        <f>VLOOKUP(B102,'Insumos e Serviços'!$A:$F,4,0)</f>
        <v>FECHADURA DE EMBUTIR PARA PORTA EXTERNA, MAQUINA 55 MM, COM CILINDRO, MACANETA ALAVANCA E ROSETA REDONDA EM METAL CROMADO - NIVEL DE SEGURANCA MEDIO - COMPLETA</v>
      </c>
      <c r="E102" s="113" t="str">
        <f>VLOOKUP(B102,'Insumos e Serviços'!$A:$F,5,0)</f>
        <v>CJ</v>
      </c>
      <c r="F102" s="189">
        <v>1.5</v>
      </c>
      <c r="G102" s="115">
        <f>VLOOKUP(B102,'Insumos e Serviços'!$A:$F,6,0)</f>
        <v>125.58</v>
      </c>
      <c r="H102" s="115">
        <f t="shared" si="12"/>
        <v>188.37</v>
      </c>
    </row>
    <row r="103" spans="1:8" ht="22.5" x14ac:dyDescent="0.2">
      <c r="A103" s="114" t="str">
        <f>VLOOKUP(B103,'Insumos e Serviços'!$A:$F,3,0)</f>
        <v>Insumo</v>
      </c>
      <c r="B103" s="109" t="s">
        <v>774</v>
      </c>
      <c r="C103" s="113" t="str">
        <f>VLOOKUP(B103,'Insumos e Serviços'!$A:$F,2,0)</f>
        <v>Próprio</v>
      </c>
      <c r="D103" s="114" t="str">
        <f>VLOOKUP(B103,'Insumos e Serviços'!$A:$F,4,0)</f>
        <v>Laminado melamínico, acabamento texturizado, cor branca, espessura 1,3mm, referência L190, fab. Fórmica</v>
      </c>
      <c r="E103" s="113" t="str">
        <f>VLOOKUP(B103,'Insumos e Serviços'!$A:$F,5,0)</f>
        <v>m²</v>
      </c>
      <c r="F103" s="189">
        <v>6.2750000000000004</v>
      </c>
      <c r="G103" s="115">
        <f>VLOOKUP(B103,'Insumos e Serviços'!$A:$F,6,0)</f>
        <v>76.540000000000006</v>
      </c>
      <c r="H103" s="115">
        <f t="shared" si="12"/>
        <v>480.28</v>
      </c>
    </row>
    <row r="104" spans="1:8" x14ac:dyDescent="0.2">
      <c r="A104" s="114" t="str">
        <f>VLOOKUP(B104,'Insumos e Serviços'!$A:$F,3,0)</f>
        <v>Material</v>
      </c>
      <c r="B104" s="109" t="s">
        <v>776</v>
      </c>
      <c r="C104" s="113" t="str">
        <f>VLOOKUP(B104,'Insumos e Serviços'!$A:$F,2,0)</f>
        <v>SINAPI</v>
      </c>
      <c r="D104" s="114" t="str">
        <f>VLOOKUP(B104,'Insumos e Serviços'!$A:$F,4,0)</f>
        <v>COLA A BASE DE RESINA SINTETICA PARA CHAPA DE LAMINADO MELAMINICO</v>
      </c>
      <c r="E104" s="113" t="str">
        <f>VLOOKUP(B104,'Insumos e Serviços'!$A:$F,5,0)</f>
        <v>KG</v>
      </c>
      <c r="F104" s="189">
        <v>3.024</v>
      </c>
      <c r="G104" s="115" t="str">
        <f>VLOOKUP(B104,'Insumos e Serviços'!$A:$F,6,0)</f>
        <v xml:space="preserve"> 35,65</v>
      </c>
      <c r="H104" s="115">
        <f t="shared" si="12"/>
        <v>107.8</v>
      </c>
    </row>
    <row r="105" spans="1:8" x14ac:dyDescent="0.2">
      <c r="A105" s="205"/>
      <c r="B105" s="205"/>
      <c r="C105" s="205"/>
      <c r="D105" s="206"/>
      <c r="E105" s="207"/>
      <c r="F105" s="208"/>
      <c r="G105" s="205"/>
      <c r="H105" s="205"/>
    </row>
    <row r="106" spans="1:8" x14ac:dyDescent="0.2">
      <c r="A106" s="199" t="s">
        <v>117</v>
      </c>
      <c r="B106" s="199"/>
      <c r="C106" s="199"/>
      <c r="D106" s="200" t="s">
        <v>118</v>
      </c>
      <c r="E106" s="201"/>
      <c r="F106" s="202"/>
      <c r="G106" s="199"/>
      <c r="H106" s="203"/>
    </row>
    <row r="107" spans="1:8" ht="22.5" x14ac:dyDescent="0.2">
      <c r="A107" s="204" t="s">
        <v>119</v>
      </c>
      <c r="B107" s="54" t="str">
        <f>VLOOKUP(A107,'Orçamento Sintético'!$A:$H,2,0)</f>
        <v xml:space="preserve"> MPDFT1128 </v>
      </c>
      <c r="C107" s="54" t="str">
        <f>VLOOKUP(A107,'Orçamento Sintético'!$A:$H,3,0)</f>
        <v>Próprio</v>
      </c>
      <c r="D107" s="55" t="str">
        <f>VLOOKUP(A107,'Orçamento Sintético'!$A:$H,4,0)</f>
        <v>Cópia da Agesul (1801000120) - Espelho cristal 4mm, sem moldura fixado com parafuso e bucha</v>
      </c>
      <c r="E107" s="54" t="str">
        <f>VLOOKUP(A107,'Orçamento Sintético'!$A:$H,5,0)</f>
        <v>m²</v>
      </c>
      <c r="F107" s="183"/>
      <c r="G107" s="184"/>
      <c r="H107" s="185">
        <f>SUM(H108:H111)</f>
        <v>377.77</v>
      </c>
    </row>
    <row r="108" spans="1:8" x14ac:dyDescent="0.2">
      <c r="A108" s="114" t="str">
        <f>VLOOKUP(B108,'Insumos e Serviços'!$A:$F,3,0)</f>
        <v>Composição</v>
      </c>
      <c r="B108" s="109" t="s">
        <v>597</v>
      </c>
      <c r="C108" s="113" t="str">
        <f>VLOOKUP(B108,'Insumos e Serviços'!$A:$F,2,0)</f>
        <v>SINAPI</v>
      </c>
      <c r="D108" s="114" t="str">
        <f>VLOOKUP(B108,'Insumos e Serviços'!$A:$F,4,0)</f>
        <v>SERVENTE COM ENCARGOS COMPLEMENTARES</v>
      </c>
      <c r="E108" s="113" t="str">
        <f>VLOOKUP(B108,'Insumos e Serviços'!$A:$F,5,0)</f>
        <v>H</v>
      </c>
      <c r="F108" s="189">
        <v>0.4</v>
      </c>
      <c r="G108" s="115">
        <f>VLOOKUP(B108,'Insumos e Serviços'!$A:$F,6,0)</f>
        <v>17.170000000000002</v>
      </c>
      <c r="H108" s="115">
        <f t="shared" ref="H108:H111" si="13">TRUNC(F108*G108,2)</f>
        <v>6.86</v>
      </c>
    </row>
    <row r="109" spans="1:8" x14ac:dyDescent="0.2">
      <c r="A109" s="114" t="str">
        <f>VLOOKUP(B109,'Insumos e Serviços'!$A:$F,3,0)</f>
        <v>Composição</v>
      </c>
      <c r="B109" s="109" t="s">
        <v>786</v>
      </c>
      <c r="C109" s="113" t="str">
        <f>VLOOKUP(B109,'Insumos e Serviços'!$A:$F,2,0)</f>
        <v>SINAPI</v>
      </c>
      <c r="D109" s="114" t="str">
        <f>VLOOKUP(B109,'Insumos e Serviços'!$A:$F,4,0)</f>
        <v>VIDRACEIRO COM ENCARGOS COMPLEMENTARES</v>
      </c>
      <c r="E109" s="113" t="str">
        <f>VLOOKUP(B109,'Insumos e Serviços'!$A:$F,5,0)</f>
        <v>H</v>
      </c>
      <c r="F109" s="189">
        <v>2</v>
      </c>
      <c r="G109" s="115">
        <f>VLOOKUP(B109,'Insumos e Serviços'!$A:$F,6,0)</f>
        <v>21.62</v>
      </c>
      <c r="H109" s="115">
        <f t="shared" si="13"/>
        <v>43.24</v>
      </c>
    </row>
    <row r="110" spans="1:8" x14ac:dyDescent="0.2">
      <c r="A110" s="114" t="str">
        <f>VLOOKUP(B110,'Insumos e Serviços'!$A:$F,3,0)</f>
        <v>Insumo</v>
      </c>
      <c r="B110" s="109" t="s">
        <v>788</v>
      </c>
      <c r="C110" s="113" t="str">
        <f>VLOOKUP(B110,'Insumos e Serviços'!$A:$F,2,0)</f>
        <v>SINAPI</v>
      </c>
      <c r="D110" s="114" t="str">
        <f>VLOOKUP(B110,'Insumos e Serviços'!$A:$F,4,0)</f>
        <v>ESPELHO CRISTAL E = 4 MM</v>
      </c>
      <c r="E110" s="113" t="str">
        <f>VLOOKUP(B110,'Insumos e Serviços'!$A:$F,5,0)</f>
        <v>m²</v>
      </c>
      <c r="F110" s="189">
        <v>1</v>
      </c>
      <c r="G110" s="115">
        <f>VLOOKUP(B110,'Insumos e Serviços'!$A:$F,6,0)</f>
        <v>309.58999999999997</v>
      </c>
      <c r="H110" s="115">
        <f t="shared" si="13"/>
        <v>309.58999999999997</v>
      </c>
    </row>
    <row r="111" spans="1:8" ht="22.5" x14ac:dyDescent="0.2">
      <c r="A111" s="114" t="str">
        <f>VLOOKUP(B111,'Insumos e Serviços'!$A:$F,3,0)</f>
        <v>Insumo</v>
      </c>
      <c r="B111" s="109" t="s">
        <v>790</v>
      </c>
      <c r="C111" s="113" t="str">
        <f>VLOOKUP(B111,'Insumos e Serviços'!$A:$F,2,0)</f>
        <v>SINAPI</v>
      </c>
      <c r="D111" s="114" t="str">
        <f>VLOOKUP(B111,'Insumos e Serviços'!$A:$F,4,0)</f>
        <v>PARAFUSO FRANCES M16 EM ACO GALVANIZADO, COMPRIMENTO = 45 MM, DIAMETRO = 16 MM, CABECA ABAULADA</v>
      </c>
      <c r="E111" s="113" t="str">
        <f>VLOOKUP(B111,'Insumos e Serviços'!$A:$F,5,0)</f>
        <v>UN</v>
      </c>
      <c r="F111" s="189">
        <v>4</v>
      </c>
      <c r="G111" s="115">
        <f>VLOOKUP(B111,'Insumos e Serviços'!$A:$F,6,0)</f>
        <v>4.5199999999999996</v>
      </c>
      <c r="H111" s="115">
        <f t="shared" si="13"/>
        <v>18.079999999999998</v>
      </c>
    </row>
    <row r="112" spans="1:8" x14ac:dyDescent="0.2">
      <c r="A112" s="205"/>
      <c r="B112" s="205"/>
      <c r="C112" s="205"/>
      <c r="D112" s="206"/>
      <c r="E112" s="207"/>
      <c r="F112" s="208"/>
      <c r="G112" s="205"/>
      <c r="H112" s="205"/>
    </row>
    <row r="113" spans="1:8" x14ac:dyDescent="0.2">
      <c r="A113" s="199" t="s">
        <v>122</v>
      </c>
      <c r="B113" s="199"/>
      <c r="C113" s="199"/>
      <c r="D113" s="200" t="s">
        <v>123</v>
      </c>
      <c r="E113" s="201"/>
      <c r="F113" s="202"/>
      <c r="G113" s="199"/>
      <c r="H113" s="203"/>
    </row>
    <row r="114" spans="1:8" ht="22.5" x14ac:dyDescent="0.2">
      <c r="A114" s="204" t="s">
        <v>124</v>
      </c>
      <c r="B114" s="54" t="str">
        <f>VLOOKUP(A114,'Orçamento Sintético'!$A:$H,2,0)</f>
        <v xml:space="preserve"> MPDFT0029 </v>
      </c>
      <c r="C114" s="54" t="str">
        <f>VLOOKUP(A114,'Orçamento Sintético'!$A:$H,3,0)</f>
        <v>Próprio</v>
      </c>
      <c r="D114" s="55" t="str">
        <f>VLOOKUP(A114,'Orçamento Sintético'!$A:$H,4,0)</f>
        <v>Copia da SINAPI (87640) - Regularização / preparação de superfície horizontal com argamassa, traço 1:3 (cimento e areia), preparo mecânico, espessura média 4cm</v>
      </c>
      <c r="E114" s="54" t="str">
        <f>VLOOKUP(A114,'Orçamento Sintético'!$A:$H,5,0)</f>
        <v>m²</v>
      </c>
      <c r="F114" s="183"/>
      <c r="G114" s="184"/>
      <c r="H114" s="185">
        <f>SUM(H115:H119)</f>
        <v>43.03</v>
      </c>
    </row>
    <row r="115" spans="1:8" x14ac:dyDescent="0.2">
      <c r="A115" s="114" t="str">
        <f>VLOOKUP(B115,'Insumos e Serviços'!$A:$F,3,0)</f>
        <v>Composição</v>
      </c>
      <c r="B115" s="109" t="s">
        <v>599</v>
      </c>
      <c r="C115" s="113" t="str">
        <f>VLOOKUP(B115,'Insumos e Serviços'!$A:$F,2,0)</f>
        <v>SINAPI</v>
      </c>
      <c r="D115" s="114" t="str">
        <f>VLOOKUP(B115,'Insumos e Serviços'!$A:$F,4,0)</f>
        <v>PEDREIRO COM ENCARGOS COMPLEMENTARES</v>
      </c>
      <c r="E115" s="113" t="str">
        <f>VLOOKUP(B115,'Insumos e Serviços'!$A:$F,5,0)</f>
        <v>H</v>
      </c>
      <c r="F115" s="189">
        <v>0.36</v>
      </c>
      <c r="G115" s="115">
        <f>VLOOKUP(B115,'Insumos e Serviços'!$A:$F,6,0)</f>
        <v>23.25</v>
      </c>
      <c r="H115" s="115">
        <f t="shared" ref="H115:H119" si="14">TRUNC(F115*G115,2)</f>
        <v>8.3699999999999992</v>
      </c>
    </row>
    <row r="116" spans="1:8" x14ac:dyDescent="0.2">
      <c r="A116" s="114" t="str">
        <f>VLOOKUP(B116,'Insumos e Serviços'!$A:$F,3,0)</f>
        <v>Composição</v>
      </c>
      <c r="B116" s="109" t="s">
        <v>597</v>
      </c>
      <c r="C116" s="113" t="str">
        <f>VLOOKUP(B116,'Insumos e Serviços'!$A:$F,2,0)</f>
        <v>SINAPI</v>
      </c>
      <c r="D116" s="114" t="str">
        <f>VLOOKUP(B116,'Insumos e Serviços'!$A:$F,4,0)</f>
        <v>SERVENTE COM ENCARGOS COMPLEMENTARES</v>
      </c>
      <c r="E116" s="113" t="str">
        <f>VLOOKUP(B116,'Insumos e Serviços'!$A:$F,5,0)</f>
        <v>H</v>
      </c>
      <c r="F116" s="189">
        <v>0.18</v>
      </c>
      <c r="G116" s="115">
        <f>VLOOKUP(B116,'Insumos e Serviços'!$A:$F,6,0)</f>
        <v>17.170000000000002</v>
      </c>
      <c r="H116" s="115">
        <f t="shared" si="14"/>
        <v>3.09</v>
      </c>
    </row>
    <row r="117" spans="1:8" ht="22.5" x14ac:dyDescent="0.2">
      <c r="A117" s="114" t="str">
        <f>VLOOKUP(B117,'Insumos e Serviços'!$A:$F,3,0)</f>
        <v>Composição</v>
      </c>
      <c r="B117" s="109" t="s">
        <v>792</v>
      </c>
      <c r="C117" s="113" t="str">
        <f>VLOOKUP(B117,'Insumos e Serviços'!$A:$F,2,0)</f>
        <v>SINAPI</v>
      </c>
      <c r="D117" s="114" t="str">
        <f>VLOOKUP(B117,'Insumos e Serviços'!$A:$F,4,0)</f>
        <v>ARGAMASSA TRAÇO 1:3 (EM VOLUME DE CIMENTO E AREIA MÉDIA ÚMIDA) PARA CONTRAPISO, PREPARO MECÂNICO COM BETONEIRA 400 L. AF_08/2019</v>
      </c>
      <c r="E117" s="113" t="str">
        <f>VLOOKUP(B117,'Insumos e Serviços'!$A:$F,5,0)</f>
        <v>m³</v>
      </c>
      <c r="F117" s="189">
        <v>5.2999999999999999E-2</v>
      </c>
      <c r="G117" s="115">
        <f>VLOOKUP(B117,'Insumos e Serviços'!$A:$F,6,0)</f>
        <v>486.46</v>
      </c>
      <c r="H117" s="115">
        <f t="shared" si="14"/>
        <v>25.78</v>
      </c>
    </row>
    <row r="118" spans="1:8" x14ac:dyDescent="0.2">
      <c r="A118" s="114" t="str">
        <f>VLOOKUP(B118,'Insumos e Serviços'!$A:$F,3,0)</f>
        <v>Insumo</v>
      </c>
      <c r="B118" s="109" t="s">
        <v>724</v>
      </c>
      <c r="C118" s="113" t="str">
        <f>VLOOKUP(B118,'Insumos e Serviços'!$A:$F,2,0)</f>
        <v>SINAPI</v>
      </c>
      <c r="D118" s="114" t="str">
        <f>VLOOKUP(B118,'Insumos e Serviços'!$A:$F,4,0)</f>
        <v>CIMENTO PORTLAND COMPOSTO CP II-32</v>
      </c>
      <c r="E118" s="113" t="str">
        <f>VLOOKUP(B118,'Insumos e Serviços'!$A:$F,5,0)</f>
        <v>KG</v>
      </c>
      <c r="F118" s="189">
        <v>0.5</v>
      </c>
      <c r="G118" s="115">
        <f>VLOOKUP(B118,'Insumos e Serviços'!$A:$F,6,0)</f>
        <v>0.5</v>
      </c>
      <c r="H118" s="115">
        <f t="shared" si="14"/>
        <v>0.25</v>
      </c>
    </row>
    <row r="119" spans="1:8" x14ac:dyDescent="0.2">
      <c r="A119" s="114" t="str">
        <f>VLOOKUP(B119,'Insumos e Serviços'!$A:$F,3,0)</f>
        <v>Insumo</v>
      </c>
      <c r="B119" s="109" t="s">
        <v>794</v>
      </c>
      <c r="C119" s="113" t="str">
        <f>VLOOKUP(B119,'Insumos e Serviços'!$A:$F,2,0)</f>
        <v>SINAPI</v>
      </c>
      <c r="D119" s="114" t="str">
        <f>VLOOKUP(B119,'Insumos e Serviços'!$A:$F,4,0)</f>
        <v>ADITIVO ADESIVO LIQUIDO PARA ARGAMASSAS DE REVESTIMENTOS CIMENTICIOS</v>
      </c>
      <c r="E119" s="113" t="str">
        <f>VLOOKUP(B119,'Insumos e Serviços'!$A:$F,5,0)</f>
        <v>L</v>
      </c>
      <c r="F119" s="189">
        <v>0.435</v>
      </c>
      <c r="G119" s="115">
        <f>VLOOKUP(B119,'Insumos e Serviços'!$A:$F,6,0)</f>
        <v>12.75</v>
      </c>
      <c r="H119" s="115">
        <f t="shared" si="14"/>
        <v>5.54</v>
      </c>
    </row>
    <row r="120" spans="1:8" x14ac:dyDescent="0.2">
      <c r="A120" s="205"/>
      <c r="B120" s="205"/>
      <c r="C120" s="205"/>
      <c r="D120" s="206"/>
      <c r="E120" s="207"/>
      <c r="F120" s="208"/>
      <c r="G120" s="205"/>
      <c r="H120" s="205"/>
    </row>
    <row r="121" spans="1:8" ht="22.5" x14ac:dyDescent="0.2">
      <c r="A121" s="204" t="s">
        <v>127</v>
      </c>
      <c r="B121" s="54" t="str">
        <f>VLOOKUP(A121,'Orçamento Sintético'!$A:$H,2,0)</f>
        <v xml:space="preserve"> MPDFT1042 </v>
      </c>
      <c r="C121" s="54" t="str">
        <f>VLOOKUP(A121,'Orçamento Sintético'!$A:$H,3,0)</f>
        <v>Próprio</v>
      </c>
      <c r="D121" s="55" t="str">
        <f>VLOOKUP(A121,'Orçamento Sintético'!$A:$H,4,0)</f>
        <v>Copia da SINAPI (87263) - Porcelanato 60x60cm, linha Mineral (cod. 22285E), cor Argento, acabamento natural, fab. Portobello</v>
      </c>
      <c r="E121" s="54" t="str">
        <f>VLOOKUP(A121,'Orçamento Sintético'!$A:$H,5,0)</f>
        <v>m²</v>
      </c>
      <c r="F121" s="183"/>
      <c r="G121" s="184"/>
      <c r="H121" s="185">
        <f>SUM(H122:H126)</f>
        <v>131.71</v>
      </c>
    </row>
    <row r="122" spans="1:8" x14ac:dyDescent="0.2">
      <c r="A122" s="114" t="str">
        <f>VLOOKUP(B122,'Insumos e Serviços'!$A:$F,3,0)</f>
        <v>Composição</v>
      </c>
      <c r="B122" s="109" t="s">
        <v>741</v>
      </c>
      <c r="C122" s="113" t="str">
        <f>VLOOKUP(B122,'Insumos e Serviços'!$A:$F,2,0)</f>
        <v>SINAPI</v>
      </c>
      <c r="D122" s="114" t="str">
        <f>VLOOKUP(B122,'Insumos e Serviços'!$A:$F,4,0)</f>
        <v>AZULEJISTA OU LADRILHISTA COM ENCARGOS COMPLEMENTARES</v>
      </c>
      <c r="E122" s="113" t="str">
        <f>VLOOKUP(B122,'Insumos e Serviços'!$A:$F,5,0)</f>
        <v>H</v>
      </c>
      <c r="F122" s="189">
        <v>0.44</v>
      </c>
      <c r="G122" s="115">
        <f>VLOOKUP(B122,'Insumos e Serviços'!$A:$F,6,0)</f>
        <v>23.17</v>
      </c>
      <c r="H122" s="115">
        <f t="shared" ref="H122:H126" si="15">TRUNC(F122*G122,2)</f>
        <v>10.19</v>
      </c>
    </row>
    <row r="123" spans="1:8" x14ac:dyDescent="0.2">
      <c r="A123" s="114" t="str">
        <f>VLOOKUP(B123,'Insumos e Serviços'!$A:$F,3,0)</f>
        <v>Composição</v>
      </c>
      <c r="B123" s="109" t="s">
        <v>597</v>
      </c>
      <c r="C123" s="113" t="str">
        <f>VLOOKUP(B123,'Insumos e Serviços'!$A:$F,2,0)</f>
        <v>SINAPI</v>
      </c>
      <c r="D123" s="114" t="str">
        <f>VLOOKUP(B123,'Insumos e Serviços'!$A:$F,4,0)</f>
        <v>SERVENTE COM ENCARGOS COMPLEMENTARES</v>
      </c>
      <c r="E123" s="113" t="str">
        <f>VLOOKUP(B123,'Insumos e Serviços'!$A:$F,5,0)</f>
        <v>H</v>
      </c>
      <c r="F123" s="189">
        <v>0.2</v>
      </c>
      <c r="G123" s="115">
        <f>VLOOKUP(B123,'Insumos e Serviços'!$A:$F,6,0)</f>
        <v>17.170000000000002</v>
      </c>
      <c r="H123" s="115">
        <f t="shared" si="15"/>
        <v>3.43</v>
      </c>
    </row>
    <row r="124" spans="1:8" x14ac:dyDescent="0.2">
      <c r="A124" s="114" t="str">
        <f>VLOOKUP(B124,'Insumos e Serviços'!$A:$F,3,0)</f>
        <v>Material</v>
      </c>
      <c r="B124" s="109" t="s">
        <v>797</v>
      </c>
      <c r="C124" s="113" t="str">
        <f>VLOOKUP(B124,'Insumos e Serviços'!$A:$F,2,0)</f>
        <v>SINAPI</v>
      </c>
      <c r="D124" s="114" t="str">
        <f>VLOOKUP(B124,'Insumos e Serviços'!$A:$F,4,0)</f>
        <v>REJUNTE CIMENTICIO, QUALQUER COR</v>
      </c>
      <c r="E124" s="113" t="str">
        <f>VLOOKUP(B124,'Insumos e Serviços'!$A:$F,5,0)</f>
        <v>KG</v>
      </c>
      <c r="F124" s="189">
        <v>0.14000000000000001</v>
      </c>
      <c r="G124" s="115" t="str">
        <f>VLOOKUP(B124,'Insumos e Serviços'!$A:$F,6,0)</f>
        <v xml:space="preserve"> 2,64</v>
      </c>
      <c r="H124" s="115">
        <f t="shared" si="15"/>
        <v>0.36</v>
      </c>
    </row>
    <row r="125" spans="1:8" ht="22.5" x14ac:dyDescent="0.2">
      <c r="A125" s="114" t="str">
        <f>VLOOKUP(B125,'Insumos e Serviços'!$A:$F,3,0)</f>
        <v>Insumo</v>
      </c>
      <c r="B125" s="109" t="s">
        <v>799</v>
      </c>
      <c r="C125" s="113" t="str">
        <f>VLOOKUP(B125,'Insumos e Serviços'!$A:$F,2,0)</f>
        <v>Próprio</v>
      </c>
      <c r="D125" s="114" t="str">
        <f>VLOOKUP(B125,'Insumos e Serviços'!$A:$F,4,0)</f>
        <v>Porcelanato 90x90cm, linha Mineral (cod. 28504E), cor Argento, acabamento natural, fab. Portobello</v>
      </c>
      <c r="E125" s="113" t="str">
        <f>VLOOKUP(B125,'Insumos e Serviços'!$A:$F,5,0)</f>
        <v>m²</v>
      </c>
      <c r="F125" s="189">
        <v>1.07</v>
      </c>
      <c r="G125" s="115" t="str">
        <f>VLOOKUP(B125,'Insumos e Serviços'!$A:$F,6,0)</f>
        <v xml:space="preserve"> 103,35</v>
      </c>
      <c r="H125" s="115">
        <f t="shared" si="15"/>
        <v>110.58</v>
      </c>
    </row>
    <row r="126" spans="1:8" x14ac:dyDescent="0.2">
      <c r="A126" s="114" t="str">
        <f>VLOOKUP(B126,'Insumos e Serviços'!$A:$F,3,0)</f>
        <v>Insumo</v>
      </c>
      <c r="B126" s="109" t="s">
        <v>801</v>
      </c>
      <c r="C126" s="113" t="str">
        <f>VLOOKUP(B126,'Insumos e Serviços'!$A:$F,2,0)</f>
        <v>SINAPI</v>
      </c>
      <c r="D126" s="114" t="str">
        <f>VLOOKUP(B126,'Insumos e Serviços'!$A:$F,4,0)</f>
        <v>ARGAMASSA COLANTE AC II</v>
      </c>
      <c r="E126" s="113" t="str">
        <f>VLOOKUP(B126,'Insumos e Serviços'!$A:$F,5,0)</f>
        <v>KG</v>
      </c>
      <c r="F126" s="189">
        <v>8.6199999999999992</v>
      </c>
      <c r="G126" s="115">
        <f>VLOOKUP(B126,'Insumos e Serviços'!$A:$F,6,0)</f>
        <v>0.83</v>
      </c>
      <c r="H126" s="115">
        <f t="shared" si="15"/>
        <v>7.15</v>
      </c>
    </row>
    <row r="127" spans="1:8" x14ac:dyDescent="0.2">
      <c r="A127" s="205"/>
      <c r="B127" s="205"/>
      <c r="C127" s="205"/>
      <c r="D127" s="206"/>
      <c r="E127" s="207"/>
      <c r="F127" s="208"/>
      <c r="G127" s="205"/>
      <c r="H127" s="205"/>
    </row>
    <row r="128" spans="1:8" ht="22.5" x14ac:dyDescent="0.2">
      <c r="A128" s="204" t="s">
        <v>130</v>
      </c>
      <c r="B128" s="54" t="str">
        <f>VLOOKUP(A128,'Orçamento Sintético'!$A:$H,2,0)</f>
        <v xml:space="preserve"> MPDFT1041 </v>
      </c>
      <c r="C128" s="54" t="str">
        <f>VLOOKUP(A128,'Orçamento Sintético'!$A:$H,3,0)</f>
        <v>Próprio</v>
      </c>
      <c r="D128" s="55" t="str">
        <f>VLOOKUP(A128,'Orçamento Sintético'!$A:$H,4,0)</f>
        <v>Copia da SINAPI (87263) - Porcelanato 60x60cm, linha Mineral (cod. 22281E), cor Portland, acabamento natural, fab. Portobello</v>
      </c>
      <c r="E128" s="54" t="str">
        <f>VLOOKUP(A128,'Orçamento Sintético'!$A:$H,5,0)</f>
        <v>m²</v>
      </c>
      <c r="F128" s="183"/>
      <c r="G128" s="184"/>
      <c r="H128" s="185">
        <f>SUM(H129:H133)</f>
        <v>131.81</v>
      </c>
    </row>
    <row r="129" spans="1:8" x14ac:dyDescent="0.2">
      <c r="A129" s="114" t="str">
        <f>VLOOKUP(B129,'Insumos e Serviços'!$A:$F,3,0)</f>
        <v>Composição</v>
      </c>
      <c r="B129" s="109" t="s">
        <v>741</v>
      </c>
      <c r="C129" s="113" t="str">
        <f>VLOOKUP(B129,'Insumos e Serviços'!$A:$F,2,0)</f>
        <v>SINAPI</v>
      </c>
      <c r="D129" s="114" t="str">
        <f>VLOOKUP(B129,'Insumos e Serviços'!$A:$F,4,0)</f>
        <v>AZULEJISTA OU LADRILHISTA COM ENCARGOS COMPLEMENTARES</v>
      </c>
      <c r="E129" s="113" t="str">
        <f>VLOOKUP(B129,'Insumos e Serviços'!$A:$F,5,0)</f>
        <v>H</v>
      </c>
      <c r="F129" s="189">
        <v>0.44</v>
      </c>
      <c r="G129" s="115">
        <f>VLOOKUP(B129,'Insumos e Serviços'!$A:$F,6,0)</f>
        <v>23.17</v>
      </c>
      <c r="H129" s="115">
        <f t="shared" ref="H129:H133" si="16">TRUNC(F129*G129,2)</f>
        <v>10.19</v>
      </c>
    </row>
    <row r="130" spans="1:8" x14ac:dyDescent="0.2">
      <c r="A130" s="114" t="str">
        <f>VLOOKUP(B130,'Insumos e Serviços'!$A:$F,3,0)</f>
        <v>Composição</v>
      </c>
      <c r="B130" s="109" t="s">
        <v>597</v>
      </c>
      <c r="C130" s="113" t="str">
        <f>VLOOKUP(B130,'Insumos e Serviços'!$A:$F,2,0)</f>
        <v>SINAPI</v>
      </c>
      <c r="D130" s="114" t="str">
        <f>VLOOKUP(B130,'Insumos e Serviços'!$A:$F,4,0)</f>
        <v>SERVENTE COM ENCARGOS COMPLEMENTARES</v>
      </c>
      <c r="E130" s="113" t="str">
        <f>VLOOKUP(B130,'Insumos e Serviços'!$A:$F,5,0)</f>
        <v>H</v>
      </c>
      <c r="F130" s="189">
        <v>0.2</v>
      </c>
      <c r="G130" s="115">
        <f>VLOOKUP(B130,'Insumos e Serviços'!$A:$F,6,0)</f>
        <v>17.170000000000002</v>
      </c>
      <c r="H130" s="115">
        <f t="shared" si="16"/>
        <v>3.43</v>
      </c>
    </row>
    <row r="131" spans="1:8" x14ac:dyDescent="0.2">
      <c r="A131" s="114" t="str">
        <f>VLOOKUP(B131,'Insumos e Serviços'!$A:$F,3,0)</f>
        <v>Material</v>
      </c>
      <c r="B131" s="109" t="s">
        <v>797</v>
      </c>
      <c r="C131" s="113" t="str">
        <f>VLOOKUP(B131,'Insumos e Serviços'!$A:$F,2,0)</f>
        <v>SINAPI</v>
      </c>
      <c r="D131" s="114" t="str">
        <f>VLOOKUP(B131,'Insumos e Serviços'!$A:$F,4,0)</f>
        <v>REJUNTE CIMENTICIO, QUALQUER COR</v>
      </c>
      <c r="E131" s="113" t="str">
        <f>VLOOKUP(B131,'Insumos e Serviços'!$A:$F,5,0)</f>
        <v>KG</v>
      </c>
      <c r="F131" s="189">
        <v>0.14000000000000001</v>
      </c>
      <c r="G131" s="115" t="str">
        <f>VLOOKUP(B131,'Insumos e Serviços'!$A:$F,6,0)</f>
        <v xml:space="preserve"> 2,64</v>
      </c>
      <c r="H131" s="115">
        <f t="shared" si="16"/>
        <v>0.36</v>
      </c>
    </row>
    <row r="132" spans="1:8" ht="22.5" x14ac:dyDescent="0.2">
      <c r="A132" s="114" t="str">
        <f>VLOOKUP(B132,'Insumos e Serviços'!$A:$F,3,0)</f>
        <v>Insumo</v>
      </c>
      <c r="B132" s="109" t="s">
        <v>803</v>
      </c>
      <c r="C132" s="113" t="str">
        <f>VLOOKUP(B132,'Insumos e Serviços'!$A:$F,2,0)</f>
        <v>Próprio</v>
      </c>
      <c r="D132" s="114" t="str">
        <f>VLOOKUP(B132,'Insumos e Serviços'!$A:$F,4,0)</f>
        <v>Porcelanato 60x60cm, linha Mineral (cod. 22281E), cor Portland, acabamento natural, fab. Portobello</v>
      </c>
      <c r="E132" s="113" t="str">
        <f>VLOOKUP(B132,'Insumos e Serviços'!$A:$F,5,0)</f>
        <v>m²</v>
      </c>
      <c r="F132" s="189">
        <v>1.07</v>
      </c>
      <c r="G132" s="115">
        <f>VLOOKUP(B132,'Insumos e Serviços'!$A:$F,6,0)</f>
        <v>103.44</v>
      </c>
      <c r="H132" s="115">
        <f t="shared" si="16"/>
        <v>110.68</v>
      </c>
    </row>
    <row r="133" spans="1:8" x14ac:dyDescent="0.2">
      <c r="A133" s="114" t="str">
        <f>VLOOKUP(B133,'Insumos e Serviços'!$A:$F,3,0)</f>
        <v>Insumo</v>
      </c>
      <c r="B133" s="109" t="s">
        <v>801</v>
      </c>
      <c r="C133" s="113" t="str">
        <f>VLOOKUP(B133,'Insumos e Serviços'!$A:$F,2,0)</f>
        <v>SINAPI</v>
      </c>
      <c r="D133" s="114" t="str">
        <f>VLOOKUP(B133,'Insumos e Serviços'!$A:$F,4,0)</f>
        <v>ARGAMASSA COLANTE AC II</v>
      </c>
      <c r="E133" s="113" t="str">
        <f>VLOOKUP(B133,'Insumos e Serviços'!$A:$F,5,0)</f>
        <v>KG</v>
      </c>
      <c r="F133" s="189">
        <v>8.6199999999999992</v>
      </c>
      <c r="G133" s="115">
        <f>VLOOKUP(B133,'Insumos e Serviços'!$A:$F,6,0)</f>
        <v>0.83</v>
      </c>
      <c r="H133" s="115">
        <f t="shared" si="16"/>
        <v>7.15</v>
      </c>
    </row>
    <row r="134" spans="1:8" x14ac:dyDescent="0.2">
      <c r="A134" s="205"/>
      <c r="B134" s="205"/>
      <c r="C134" s="205"/>
      <c r="D134" s="206"/>
      <c r="E134" s="207"/>
      <c r="F134" s="208"/>
      <c r="G134" s="205"/>
      <c r="H134" s="205"/>
    </row>
    <row r="135" spans="1:8" ht="22.5" x14ac:dyDescent="0.2">
      <c r="A135" s="204" t="s">
        <v>133</v>
      </c>
      <c r="B135" s="54" t="str">
        <f>VLOOKUP(A135,'Orçamento Sintético'!$A:$H,2,0)</f>
        <v xml:space="preserve"> MPDFT0907 </v>
      </c>
      <c r="C135" s="54" t="str">
        <f>VLOOKUP(A135,'Orçamento Sintético'!$A:$H,3,0)</f>
        <v>Próprio</v>
      </c>
      <c r="D135" s="55" t="str">
        <f>VLOOKUP(A135,'Orçamento Sintético'!$A:$H,4,0)</f>
        <v>Copia da SINAPI (87263) - Porcelanato para escada 32 x 60 cm com friso, linha Mineral Técnica (cód. 21757E), cor Argento, acabamento natural Fab. Portobello</v>
      </c>
      <c r="E135" s="54" t="str">
        <f>VLOOKUP(A135,'Orçamento Sintético'!$A:$H,5,0)</f>
        <v>m²</v>
      </c>
      <c r="F135" s="183"/>
      <c r="G135" s="184"/>
      <c r="H135" s="185">
        <f>SUM(H136:H140)</f>
        <v>108.31</v>
      </c>
    </row>
    <row r="136" spans="1:8" x14ac:dyDescent="0.2">
      <c r="A136" s="114" t="str">
        <f>VLOOKUP(B136,'Insumos e Serviços'!$A:$F,3,0)</f>
        <v>Composição</v>
      </c>
      <c r="B136" s="109" t="s">
        <v>741</v>
      </c>
      <c r="C136" s="113" t="str">
        <f>VLOOKUP(B136,'Insumos e Serviços'!$A:$F,2,0)</f>
        <v>SINAPI</v>
      </c>
      <c r="D136" s="114" t="str">
        <f>VLOOKUP(B136,'Insumos e Serviços'!$A:$F,4,0)</f>
        <v>AZULEJISTA OU LADRILHISTA COM ENCARGOS COMPLEMENTARES</v>
      </c>
      <c r="E136" s="113" t="str">
        <f>VLOOKUP(B136,'Insumos e Serviços'!$A:$F,5,0)</f>
        <v>H</v>
      </c>
      <c r="F136" s="189">
        <v>0.44</v>
      </c>
      <c r="G136" s="115">
        <f>VLOOKUP(B136,'Insumos e Serviços'!$A:$F,6,0)</f>
        <v>23.17</v>
      </c>
      <c r="H136" s="115">
        <f t="shared" ref="H136:H140" si="17">TRUNC(F136*G136,2)</f>
        <v>10.19</v>
      </c>
    </row>
    <row r="137" spans="1:8" x14ac:dyDescent="0.2">
      <c r="A137" s="114" t="str">
        <f>VLOOKUP(B137,'Insumos e Serviços'!$A:$F,3,0)</f>
        <v>Composição</v>
      </c>
      <c r="B137" s="109" t="s">
        <v>597</v>
      </c>
      <c r="C137" s="113" t="str">
        <f>VLOOKUP(B137,'Insumos e Serviços'!$A:$F,2,0)</f>
        <v>SINAPI</v>
      </c>
      <c r="D137" s="114" t="str">
        <f>VLOOKUP(B137,'Insumos e Serviços'!$A:$F,4,0)</f>
        <v>SERVENTE COM ENCARGOS COMPLEMENTARES</v>
      </c>
      <c r="E137" s="113" t="str">
        <f>VLOOKUP(B137,'Insumos e Serviços'!$A:$F,5,0)</f>
        <v>H</v>
      </c>
      <c r="F137" s="189">
        <v>0.2</v>
      </c>
      <c r="G137" s="115">
        <f>VLOOKUP(B137,'Insumos e Serviços'!$A:$F,6,0)</f>
        <v>17.170000000000002</v>
      </c>
      <c r="H137" s="115">
        <f t="shared" si="17"/>
        <v>3.43</v>
      </c>
    </row>
    <row r="138" spans="1:8" x14ac:dyDescent="0.2">
      <c r="A138" s="114" t="str">
        <f>VLOOKUP(B138,'Insumos e Serviços'!$A:$F,3,0)</f>
        <v>Material</v>
      </c>
      <c r="B138" s="109" t="s">
        <v>797</v>
      </c>
      <c r="C138" s="113" t="str">
        <f>VLOOKUP(B138,'Insumos e Serviços'!$A:$F,2,0)</f>
        <v>SINAPI</v>
      </c>
      <c r="D138" s="114" t="str">
        <f>VLOOKUP(B138,'Insumos e Serviços'!$A:$F,4,0)</f>
        <v>REJUNTE CIMENTICIO, QUALQUER COR</v>
      </c>
      <c r="E138" s="113" t="str">
        <f>VLOOKUP(B138,'Insumos e Serviços'!$A:$F,5,0)</f>
        <v>KG</v>
      </c>
      <c r="F138" s="189">
        <v>0.14000000000000001</v>
      </c>
      <c r="G138" s="115" t="str">
        <f>VLOOKUP(B138,'Insumos e Serviços'!$A:$F,6,0)</f>
        <v xml:space="preserve"> 2,64</v>
      </c>
      <c r="H138" s="115">
        <f t="shared" si="17"/>
        <v>0.36</v>
      </c>
    </row>
    <row r="139" spans="1:8" x14ac:dyDescent="0.2">
      <c r="A139" s="114" t="str">
        <f>VLOOKUP(B139,'Insumos e Serviços'!$A:$F,3,0)</f>
        <v>Insumo</v>
      </c>
      <c r="B139" s="109" t="s">
        <v>801</v>
      </c>
      <c r="C139" s="113" t="str">
        <f>VLOOKUP(B139,'Insumos e Serviços'!$A:$F,2,0)</f>
        <v>SINAPI</v>
      </c>
      <c r="D139" s="114" t="str">
        <f>VLOOKUP(B139,'Insumos e Serviços'!$A:$F,4,0)</f>
        <v>ARGAMASSA COLANTE AC II</v>
      </c>
      <c r="E139" s="113" t="str">
        <f>VLOOKUP(B139,'Insumos e Serviços'!$A:$F,5,0)</f>
        <v>KG</v>
      </c>
      <c r="F139" s="189">
        <v>8.6199999999999992</v>
      </c>
      <c r="G139" s="115">
        <f>VLOOKUP(B139,'Insumos e Serviços'!$A:$F,6,0)</f>
        <v>0.83</v>
      </c>
      <c r="H139" s="115">
        <f t="shared" si="17"/>
        <v>7.15</v>
      </c>
    </row>
    <row r="140" spans="1:8" ht="22.5" x14ac:dyDescent="0.2">
      <c r="A140" s="114" t="str">
        <f>VLOOKUP(B140,'Insumos e Serviços'!$A:$F,3,0)</f>
        <v>Insumo</v>
      </c>
      <c r="B140" s="109" t="s">
        <v>805</v>
      </c>
      <c r="C140" s="113" t="str">
        <f>VLOOKUP(B140,'Insumos e Serviços'!$A:$F,2,0)</f>
        <v>Próprio</v>
      </c>
      <c r="D140" s="114" t="str">
        <f>VLOOKUP(B140,'Insumos e Serviços'!$A:$F,4,0)</f>
        <v>Porcelanato para escada 32 x 60 cm com friso, linha Mineral Técnica (cód. 21757E), cor Argento, acabamento natural Fab. Portobello</v>
      </c>
      <c r="E140" s="113" t="str">
        <f>VLOOKUP(B140,'Insumos e Serviços'!$A:$F,5,0)</f>
        <v>m</v>
      </c>
      <c r="F140" s="189">
        <v>1.07</v>
      </c>
      <c r="G140" s="115" t="str">
        <f>VLOOKUP(B140,'Insumos e Serviços'!$A:$F,6,0)</f>
        <v xml:space="preserve"> 81,48</v>
      </c>
      <c r="H140" s="115">
        <f t="shared" si="17"/>
        <v>87.18</v>
      </c>
    </row>
    <row r="141" spans="1:8" x14ac:dyDescent="0.2">
      <c r="A141" s="205"/>
      <c r="B141" s="205"/>
      <c r="C141" s="205"/>
      <c r="D141" s="206"/>
      <c r="E141" s="207"/>
      <c r="F141" s="208"/>
      <c r="G141" s="205"/>
      <c r="H141" s="205"/>
    </row>
    <row r="142" spans="1:8" ht="22.5" x14ac:dyDescent="0.2">
      <c r="A142" s="204" t="s">
        <v>136</v>
      </c>
      <c r="B142" s="54" t="str">
        <f>VLOOKUP(A142,'Orçamento Sintético'!$A:$H,2,0)</f>
        <v xml:space="preserve"> MPDFT0890 </v>
      </c>
      <c r="C142" s="54" t="str">
        <f>VLOOKUP(A142,'Orçamento Sintético'!$A:$H,3,0)</f>
        <v>Próprio</v>
      </c>
      <c r="D142" s="55" t="str">
        <f>VLOOKUP(A142,'Orçamento Sintético'!$A:$H,4,0)</f>
        <v>Copia da SINAPI (88650) - Rodapé em porcelanato cinza escuro, DM 20x90cm, linha Mineral, cor Argento, acabamento natural, ref. 21447E, fab. Portobello</v>
      </c>
      <c r="E142" s="54" t="str">
        <f>VLOOKUP(A142,'Orçamento Sintético'!$A:$H,5,0)</f>
        <v>m</v>
      </c>
      <c r="F142" s="183"/>
      <c r="G142" s="184"/>
      <c r="H142" s="185">
        <f>SUM(H143:H147)</f>
        <v>40.590000000000003</v>
      </c>
    </row>
    <row r="143" spans="1:8" x14ac:dyDescent="0.2">
      <c r="A143" s="114" t="str">
        <f>VLOOKUP(B143,'Insumos e Serviços'!$A:$F,3,0)</f>
        <v>Composição</v>
      </c>
      <c r="B143" s="109" t="s">
        <v>741</v>
      </c>
      <c r="C143" s="113" t="str">
        <f>VLOOKUP(B143,'Insumos e Serviços'!$A:$F,2,0)</f>
        <v>SINAPI</v>
      </c>
      <c r="D143" s="114" t="str">
        <f>VLOOKUP(B143,'Insumos e Serviços'!$A:$F,4,0)</f>
        <v>AZULEJISTA OU LADRILHISTA COM ENCARGOS COMPLEMENTARES</v>
      </c>
      <c r="E143" s="113" t="str">
        <f>VLOOKUP(B143,'Insumos e Serviços'!$A:$F,5,0)</f>
        <v>H</v>
      </c>
      <c r="F143" s="189">
        <v>0.18210000000000001</v>
      </c>
      <c r="G143" s="115">
        <f>VLOOKUP(B143,'Insumos e Serviços'!$A:$F,6,0)</f>
        <v>23.17</v>
      </c>
      <c r="H143" s="115">
        <f t="shared" ref="H143:H147" si="18">TRUNC(F143*G143,2)</f>
        <v>4.21</v>
      </c>
    </row>
    <row r="144" spans="1:8" x14ac:dyDescent="0.2">
      <c r="A144" s="114" t="str">
        <f>VLOOKUP(B144,'Insumos e Serviços'!$A:$F,3,0)</f>
        <v>Composição</v>
      </c>
      <c r="B144" s="109" t="s">
        <v>597</v>
      </c>
      <c r="C144" s="113" t="str">
        <f>VLOOKUP(B144,'Insumos e Serviços'!$A:$F,2,0)</f>
        <v>SINAPI</v>
      </c>
      <c r="D144" s="114" t="str">
        <f>VLOOKUP(B144,'Insumos e Serviços'!$A:$F,4,0)</f>
        <v>SERVENTE COM ENCARGOS COMPLEMENTARES</v>
      </c>
      <c r="E144" s="113" t="str">
        <f>VLOOKUP(B144,'Insumos e Serviços'!$A:$F,5,0)</f>
        <v>H</v>
      </c>
      <c r="F144" s="189">
        <v>6.4000000000000001E-2</v>
      </c>
      <c r="G144" s="115">
        <f>VLOOKUP(B144,'Insumos e Serviços'!$A:$F,6,0)</f>
        <v>17.170000000000002</v>
      </c>
      <c r="H144" s="115">
        <f t="shared" si="18"/>
        <v>1.0900000000000001</v>
      </c>
    </row>
    <row r="145" spans="1:8" x14ac:dyDescent="0.2">
      <c r="A145" s="114" t="str">
        <f>VLOOKUP(B145,'Insumos e Serviços'!$A:$F,3,0)</f>
        <v>Material</v>
      </c>
      <c r="B145" s="109" t="s">
        <v>797</v>
      </c>
      <c r="C145" s="113" t="str">
        <f>VLOOKUP(B145,'Insumos e Serviços'!$A:$F,2,0)</f>
        <v>SINAPI</v>
      </c>
      <c r="D145" s="114" t="str">
        <f>VLOOKUP(B145,'Insumos e Serviços'!$A:$F,4,0)</f>
        <v>REJUNTE CIMENTICIO, QUALQUER COR</v>
      </c>
      <c r="E145" s="113" t="str">
        <f>VLOOKUP(B145,'Insumos e Serviços'!$A:$F,5,0)</f>
        <v>KG</v>
      </c>
      <c r="F145" s="189">
        <v>0.18</v>
      </c>
      <c r="G145" s="115" t="str">
        <f>VLOOKUP(B145,'Insumos e Serviços'!$A:$F,6,0)</f>
        <v xml:space="preserve"> 2,64</v>
      </c>
      <c r="H145" s="115">
        <f t="shared" si="18"/>
        <v>0.47</v>
      </c>
    </row>
    <row r="146" spans="1:8" x14ac:dyDescent="0.2">
      <c r="A146" s="114" t="str">
        <f>VLOOKUP(B146,'Insumos e Serviços'!$A:$F,3,0)</f>
        <v>Insumo</v>
      </c>
      <c r="B146" s="109" t="s">
        <v>801</v>
      </c>
      <c r="C146" s="113" t="str">
        <f>VLOOKUP(B146,'Insumos e Serviços'!$A:$F,2,0)</f>
        <v>SINAPI</v>
      </c>
      <c r="D146" s="114" t="str">
        <f>VLOOKUP(B146,'Insumos e Serviços'!$A:$F,4,0)</f>
        <v>ARGAMASSA COLANTE AC II</v>
      </c>
      <c r="E146" s="113" t="str">
        <f>VLOOKUP(B146,'Insumos e Serviços'!$A:$F,5,0)</f>
        <v>KG</v>
      </c>
      <c r="F146" s="189">
        <v>1.2921</v>
      </c>
      <c r="G146" s="115">
        <f>VLOOKUP(B146,'Insumos e Serviços'!$A:$F,6,0)</f>
        <v>0.83</v>
      </c>
      <c r="H146" s="115">
        <f t="shared" si="18"/>
        <v>1.07</v>
      </c>
    </row>
    <row r="147" spans="1:8" ht="22.5" x14ac:dyDescent="0.2">
      <c r="A147" s="114" t="str">
        <f>VLOOKUP(B147,'Insumos e Serviços'!$A:$F,3,0)</f>
        <v>Insumo</v>
      </c>
      <c r="B147" s="109" t="s">
        <v>807</v>
      </c>
      <c r="C147" s="113" t="str">
        <f>VLOOKUP(B147,'Insumos e Serviços'!$A:$F,2,0)</f>
        <v>Próprio</v>
      </c>
      <c r="D147" s="114" t="str">
        <f>VLOOKUP(B147,'Insumos e Serviços'!$A:$F,4,0)</f>
        <v>Rodapé em porcelanato cinza escuro, DM 20x90cm, linha Mineral, cor Argento, acabamento natural, ref. 21447E, fab. Portobello</v>
      </c>
      <c r="E147" s="113" t="str">
        <f>VLOOKUP(B147,'Insumos e Serviços'!$A:$F,5,0)</f>
        <v>m</v>
      </c>
      <c r="F147" s="189">
        <v>1.1000000000000001</v>
      </c>
      <c r="G147" s="115" t="str">
        <f>VLOOKUP(B147,'Insumos e Serviços'!$A:$F,6,0)</f>
        <v xml:space="preserve"> 30,69</v>
      </c>
      <c r="H147" s="115">
        <f t="shared" si="18"/>
        <v>33.75</v>
      </c>
    </row>
    <row r="148" spans="1:8" x14ac:dyDescent="0.2">
      <c r="A148" s="205"/>
      <c r="B148" s="205"/>
      <c r="C148" s="205"/>
      <c r="D148" s="206"/>
      <c r="E148" s="207"/>
      <c r="F148" s="208"/>
      <c r="G148" s="205"/>
      <c r="H148" s="205"/>
    </row>
    <row r="149" spans="1:8" ht="22.5" x14ac:dyDescent="0.2">
      <c r="A149" s="204" t="s">
        <v>139</v>
      </c>
      <c r="B149" s="54" t="str">
        <f>VLOOKUP(A149,'Orçamento Sintético'!$A:$H,2,0)</f>
        <v xml:space="preserve"> MPDFT0889 </v>
      </c>
      <c r="C149" s="54" t="str">
        <f>VLOOKUP(A149,'Orçamento Sintético'!$A:$H,3,0)</f>
        <v>Próprio</v>
      </c>
      <c r="D149" s="55" t="str">
        <f>VLOOKUP(A149,'Orçamento Sintético'!$A:$H,4,0)</f>
        <v>Copia da SINAPI (88650) - Rodapé cinza claro acabamento natural, dimensões 20x90cm, Portobello - Linha Mineral, cor Portland - cód 21445E</v>
      </c>
      <c r="E149" s="54" t="str">
        <f>VLOOKUP(A149,'Orçamento Sintético'!$A:$H,5,0)</f>
        <v>m</v>
      </c>
      <c r="F149" s="183"/>
      <c r="G149" s="184"/>
      <c r="H149" s="185">
        <f>SUM(H150:H154)</f>
        <v>41</v>
      </c>
    </row>
    <row r="150" spans="1:8" x14ac:dyDescent="0.2">
      <c r="A150" s="114" t="str">
        <f>VLOOKUP(B150,'Insumos e Serviços'!$A:$F,3,0)</f>
        <v>Composição</v>
      </c>
      <c r="B150" s="109" t="s">
        <v>741</v>
      </c>
      <c r="C150" s="113" t="str">
        <f>VLOOKUP(B150,'Insumos e Serviços'!$A:$F,2,0)</f>
        <v>SINAPI</v>
      </c>
      <c r="D150" s="114" t="str">
        <f>VLOOKUP(B150,'Insumos e Serviços'!$A:$F,4,0)</f>
        <v>AZULEJISTA OU LADRILHISTA COM ENCARGOS COMPLEMENTARES</v>
      </c>
      <c r="E150" s="113" t="str">
        <f>VLOOKUP(B150,'Insumos e Serviços'!$A:$F,5,0)</f>
        <v>H</v>
      </c>
      <c r="F150" s="189">
        <v>0.18210000000000001</v>
      </c>
      <c r="G150" s="115">
        <f>VLOOKUP(B150,'Insumos e Serviços'!$A:$F,6,0)</f>
        <v>23.17</v>
      </c>
      <c r="H150" s="115">
        <f t="shared" ref="H150:H154" si="19">TRUNC(F150*G150,2)</f>
        <v>4.21</v>
      </c>
    </row>
    <row r="151" spans="1:8" x14ac:dyDescent="0.2">
      <c r="A151" s="114" t="str">
        <f>VLOOKUP(B151,'Insumos e Serviços'!$A:$F,3,0)</f>
        <v>Composição</v>
      </c>
      <c r="B151" s="109" t="s">
        <v>597</v>
      </c>
      <c r="C151" s="113" t="str">
        <f>VLOOKUP(B151,'Insumos e Serviços'!$A:$F,2,0)</f>
        <v>SINAPI</v>
      </c>
      <c r="D151" s="114" t="str">
        <f>VLOOKUP(B151,'Insumos e Serviços'!$A:$F,4,0)</f>
        <v>SERVENTE COM ENCARGOS COMPLEMENTARES</v>
      </c>
      <c r="E151" s="113" t="str">
        <f>VLOOKUP(B151,'Insumos e Serviços'!$A:$F,5,0)</f>
        <v>H</v>
      </c>
      <c r="F151" s="189">
        <v>6.4000000000000001E-2</v>
      </c>
      <c r="G151" s="115">
        <f>VLOOKUP(B151,'Insumos e Serviços'!$A:$F,6,0)</f>
        <v>17.170000000000002</v>
      </c>
      <c r="H151" s="115">
        <f t="shared" si="19"/>
        <v>1.0900000000000001</v>
      </c>
    </row>
    <row r="152" spans="1:8" x14ac:dyDescent="0.2">
      <c r="A152" s="114" t="str">
        <f>VLOOKUP(B152,'Insumos e Serviços'!$A:$F,3,0)</f>
        <v>Material</v>
      </c>
      <c r="B152" s="109" t="s">
        <v>797</v>
      </c>
      <c r="C152" s="113" t="str">
        <f>VLOOKUP(B152,'Insumos e Serviços'!$A:$F,2,0)</f>
        <v>SINAPI</v>
      </c>
      <c r="D152" s="114" t="str">
        <f>VLOOKUP(B152,'Insumos e Serviços'!$A:$F,4,0)</f>
        <v>REJUNTE CIMENTICIO, QUALQUER COR</v>
      </c>
      <c r="E152" s="113" t="str">
        <f>VLOOKUP(B152,'Insumos e Serviços'!$A:$F,5,0)</f>
        <v>KG</v>
      </c>
      <c r="F152" s="189">
        <v>0.18</v>
      </c>
      <c r="G152" s="115" t="str">
        <f>VLOOKUP(B152,'Insumos e Serviços'!$A:$F,6,0)</f>
        <v xml:space="preserve"> 2,64</v>
      </c>
      <c r="H152" s="115">
        <f t="shared" si="19"/>
        <v>0.47</v>
      </c>
    </row>
    <row r="153" spans="1:8" x14ac:dyDescent="0.2">
      <c r="A153" s="114" t="str">
        <f>VLOOKUP(B153,'Insumos e Serviços'!$A:$F,3,0)</f>
        <v>Insumo</v>
      </c>
      <c r="B153" s="109" t="s">
        <v>801</v>
      </c>
      <c r="C153" s="113" t="str">
        <f>VLOOKUP(B153,'Insumos e Serviços'!$A:$F,2,0)</f>
        <v>SINAPI</v>
      </c>
      <c r="D153" s="114" t="str">
        <f>VLOOKUP(B153,'Insumos e Serviços'!$A:$F,4,0)</f>
        <v>ARGAMASSA COLANTE AC II</v>
      </c>
      <c r="E153" s="113" t="str">
        <f>VLOOKUP(B153,'Insumos e Serviços'!$A:$F,5,0)</f>
        <v>KG</v>
      </c>
      <c r="F153" s="189">
        <v>1.2921</v>
      </c>
      <c r="G153" s="115">
        <f>VLOOKUP(B153,'Insumos e Serviços'!$A:$F,6,0)</f>
        <v>0.83</v>
      </c>
      <c r="H153" s="115">
        <f t="shared" si="19"/>
        <v>1.07</v>
      </c>
    </row>
    <row r="154" spans="1:8" ht="22.5" x14ac:dyDescent="0.2">
      <c r="A154" s="114" t="str">
        <f>VLOOKUP(B154,'Insumos e Serviços'!$A:$F,3,0)</f>
        <v>Insumo</v>
      </c>
      <c r="B154" s="109" t="s">
        <v>809</v>
      </c>
      <c r="C154" s="113" t="str">
        <f>VLOOKUP(B154,'Insumos e Serviços'!$A:$F,2,0)</f>
        <v>Próprio</v>
      </c>
      <c r="D154" s="114" t="str">
        <f>VLOOKUP(B154,'Insumos e Serviços'!$A:$F,4,0)</f>
        <v>Rodapé cinza claro acabamento natural, dimensões 20x90cm, Portobello - Linha Mineral, cor Portland - cód 21445E</v>
      </c>
      <c r="E154" s="113" t="str">
        <f>VLOOKUP(B154,'Insumos e Serviços'!$A:$F,5,0)</f>
        <v>m</v>
      </c>
      <c r="F154" s="189">
        <v>1.1000000000000001</v>
      </c>
      <c r="G154" s="115">
        <f>VLOOKUP(B154,'Insumos e Serviços'!$A:$F,6,0)</f>
        <v>31.06</v>
      </c>
      <c r="H154" s="115">
        <f t="shared" si="19"/>
        <v>34.159999999999997</v>
      </c>
    </row>
    <row r="155" spans="1:8" x14ac:dyDescent="0.2">
      <c r="A155" s="205"/>
      <c r="B155" s="205"/>
      <c r="C155" s="205"/>
      <c r="D155" s="206"/>
      <c r="E155" s="207"/>
      <c r="F155" s="208"/>
      <c r="G155" s="205"/>
      <c r="H155" s="205"/>
    </row>
    <row r="156" spans="1:8" ht="22.5" x14ac:dyDescent="0.2">
      <c r="A156" s="204" t="s">
        <v>142</v>
      </c>
      <c r="B156" s="54" t="str">
        <f>VLOOKUP(A156,'Orçamento Sintético'!$A:$H,2,0)</f>
        <v xml:space="preserve"> MPDFT0850 </v>
      </c>
      <c r="C156" s="54" t="str">
        <f>VLOOKUP(A156,'Orçamento Sintético'!$A:$H,3,0)</f>
        <v>Próprio</v>
      </c>
      <c r="D156" s="55" t="str">
        <f>VLOOKUP(A156,'Orçamento Sintético'!$A:$H,4,0)</f>
        <v>Cóipa SINAPI (72183+72137) - Piso em concreto estrutural de 25MPa, acabamento desempenado, espessura de 10cm, armado com tela soldada Q196 barra 5mm</v>
      </c>
      <c r="E156" s="54" t="str">
        <f>VLOOKUP(A156,'Orçamento Sintético'!$A:$H,5,0)</f>
        <v>m²</v>
      </c>
      <c r="F156" s="183"/>
      <c r="G156" s="184"/>
      <c r="H156" s="185">
        <f>SUM(H157:H167)</f>
        <v>132.22</v>
      </c>
    </row>
    <row r="157" spans="1:8" ht="22.5" x14ac:dyDescent="0.2">
      <c r="A157" s="114" t="str">
        <f>VLOOKUP(B157,'Insumos e Serviços'!$A:$F,3,0)</f>
        <v>Composição</v>
      </c>
      <c r="B157" s="109" t="s">
        <v>811</v>
      </c>
      <c r="C157" s="113" t="str">
        <f>VLOOKUP(B157,'Insumos e Serviços'!$A:$F,2,0)</f>
        <v>SINAPI</v>
      </c>
      <c r="D157" s="114" t="str">
        <f>VLOOKUP(B157,'Insumos e Serviços'!$A:$F,4,0)</f>
        <v>VIBRADOR DE IMERSÃO, DIÂMETRO DE PONTEIRA 45MM, MOTOR ELÉTRICO TRIFÁSICO POTÊNCIA DE 2 CV - CHP DIURNO. AF_06/2015</v>
      </c>
      <c r="E157" s="113" t="str">
        <f>VLOOKUP(B157,'Insumos e Serviços'!$A:$F,5,0)</f>
        <v>CHP</v>
      </c>
      <c r="F157" s="189">
        <v>7.9000000000000008E-3</v>
      </c>
      <c r="G157" s="115">
        <f>VLOOKUP(B157,'Insumos e Serviços'!$A:$F,6,0)</f>
        <v>1.5</v>
      </c>
      <c r="H157" s="115">
        <f t="shared" ref="H157:H167" si="20">TRUNC(F157*G157,2)</f>
        <v>0.01</v>
      </c>
    </row>
    <row r="158" spans="1:8" ht="22.5" x14ac:dyDescent="0.2">
      <c r="A158" s="114" t="str">
        <f>VLOOKUP(B158,'Insumos e Serviços'!$A:$F,3,0)</f>
        <v>Composição</v>
      </c>
      <c r="B158" s="109" t="s">
        <v>813</v>
      </c>
      <c r="C158" s="113" t="str">
        <f>VLOOKUP(B158,'Insumos e Serviços'!$A:$F,2,0)</f>
        <v>SINAPI</v>
      </c>
      <c r="D158" s="114" t="str">
        <f>VLOOKUP(B158,'Insumos e Serviços'!$A:$F,4,0)</f>
        <v>VIBRADOR DE IMERSÃO, DIÂMETRO DE PONTEIRA 45MM, MOTOR ELÉTRICO TRIFÁSICO POTÊNCIA DE 2 CV - CHI DIURNO. AF_06/2015</v>
      </c>
      <c r="E158" s="113" t="str">
        <f>VLOOKUP(B158,'Insumos e Serviços'!$A:$F,5,0)</f>
        <v>CHI</v>
      </c>
      <c r="F158" s="189">
        <v>7.9000000000000008E-3</v>
      </c>
      <c r="G158" s="115">
        <f>VLOOKUP(B158,'Insumos e Serviços'!$A:$F,6,0)</f>
        <v>0.44</v>
      </c>
      <c r="H158" s="115">
        <f t="shared" si="20"/>
        <v>0</v>
      </c>
    </row>
    <row r="159" spans="1:8" x14ac:dyDescent="0.2">
      <c r="A159" s="114" t="str">
        <f>VLOOKUP(B159,'Insumos e Serviços'!$A:$F,3,0)</f>
        <v>Composição</v>
      </c>
      <c r="B159" s="109" t="s">
        <v>599</v>
      </c>
      <c r="C159" s="113" t="str">
        <f>VLOOKUP(B159,'Insumos e Serviços'!$A:$F,2,0)</f>
        <v>SINAPI</v>
      </c>
      <c r="D159" s="114" t="str">
        <f>VLOOKUP(B159,'Insumos e Serviços'!$A:$F,4,0)</f>
        <v>PEDREIRO COM ENCARGOS COMPLEMENTARES</v>
      </c>
      <c r="E159" s="113" t="str">
        <f>VLOOKUP(B159,'Insumos e Serviços'!$A:$F,5,0)</f>
        <v>H</v>
      </c>
      <c r="F159" s="189">
        <v>0.44569999999999999</v>
      </c>
      <c r="G159" s="115">
        <f>VLOOKUP(B159,'Insumos e Serviços'!$A:$F,6,0)</f>
        <v>23.25</v>
      </c>
      <c r="H159" s="115">
        <f t="shared" si="20"/>
        <v>10.36</v>
      </c>
    </row>
    <row r="160" spans="1:8" x14ac:dyDescent="0.2">
      <c r="A160" s="114" t="str">
        <f>VLOOKUP(B160,'Insumos e Serviços'!$A:$F,3,0)</f>
        <v>Composição</v>
      </c>
      <c r="B160" s="109" t="s">
        <v>597</v>
      </c>
      <c r="C160" s="113" t="str">
        <f>VLOOKUP(B160,'Insumos e Serviços'!$A:$F,2,0)</f>
        <v>SINAPI</v>
      </c>
      <c r="D160" s="114" t="str">
        <f>VLOOKUP(B160,'Insumos e Serviços'!$A:$F,4,0)</f>
        <v>SERVENTE COM ENCARGOS COMPLEMENTARES</v>
      </c>
      <c r="E160" s="113" t="str">
        <f>VLOOKUP(B160,'Insumos e Serviços'!$A:$F,5,0)</f>
        <v>H</v>
      </c>
      <c r="F160" s="189">
        <v>1.1836</v>
      </c>
      <c r="G160" s="115">
        <f>VLOOKUP(B160,'Insumos e Serviços'!$A:$F,6,0)</f>
        <v>17.170000000000002</v>
      </c>
      <c r="H160" s="115">
        <f t="shared" si="20"/>
        <v>20.32</v>
      </c>
    </row>
    <row r="161" spans="1:8" x14ac:dyDescent="0.2">
      <c r="A161" s="114" t="str">
        <f>VLOOKUP(B161,'Insumos e Serviços'!$A:$F,3,0)</f>
        <v>Composição</v>
      </c>
      <c r="B161" s="109" t="s">
        <v>815</v>
      </c>
      <c r="C161" s="113" t="str">
        <f>VLOOKUP(B161,'Insumos e Serviços'!$A:$F,2,0)</f>
        <v>SINAPI</v>
      </c>
      <c r="D161" s="114" t="str">
        <f>VLOOKUP(B161,'Insumos e Serviços'!$A:$F,4,0)</f>
        <v>ARMADOR COM ENCARGOS COMPLEMENTARES</v>
      </c>
      <c r="E161" s="113" t="str">
        <f>VLOOKUP(B161,'Insumos e Serviços'!$A:$F,5,0)</f>
        <v>H</v>
      </c>
      <c r="F161" s="189">
        <v>0.02</v>
      </c>
      <c r="G161" s="115">
        <f>VLOOKUP(B161,'Insumos e Serviços'!$A:$F,6,0)</f>
        <v>23.13</v>
      </c>
      <c r="H161" s="115">
        <f t="shared" si="20"/>
        <v>0.46</v>
      </c>
    </row>
    <row r="162" spans="1:8" x14ac:dyDescent="0.2">
      <c r="A162" s="114" t="str">
        <f>VLOOKUP(B162,'Insumos e Serviços'!$A:$F,3,0)</f>
        <v>Composição</v>
      </c>
      <c r="B162" s="109" t="s">
        <v>817</v>
      </c>
      <c r="C162" s="113" t="str">
        <f>VLOOKUP(B162,'Insumos e Serviços'!$A:$F,2,0)</f>
        <v>SINAPI</v>
      </c>
      <c r="D162" s="114" t="str">
        <f>VLOOKUP(B162,'Insumos e Serviços'!$A:$F,4,0)</f>
        <v>EXECUÇÃO DE JUNTAS DE CONTRAÇÃO PARA PAVIMENTOS DE CONCRETO. AF_11/2017</v>
      </c>
      <c r="E162" s="113" t="str">
        <f>VLOOKUP(B162,'Insumos e Serviços'!$A:$F,5,0)</f>
        <v>M</v>
      </c>
      <c r="F162" s="189">
        <v>2</v>
      </c>
      <c r="G162" s="115">
        <f>VLOOKUP(B162,'Insumos e Serviços'!$A:$F,6,0)</f>
        <v>0.43</v>
      </c>
      <c r="H162" s="115">
        <f t="shared" si="20"/>
        <v>0.86</v>
      </c>
    </row>
    <row r="163" spans="1:8" ht="22.5" x14ac:dyDescent="0.2">
      <c r="A163" s="114" t="str">
        <f>VLOOKUP(B163,'Insumos e Serviços'!$A:$F,3,0)</f>
        <v>Composição</v>
      </c>
      <c r="B163" s="109" t="s">
        <v>819</v>
      </c>
      <c r="C163" s="113" t="str">
        <f>VLOOKUP(B163,'Insumos e Serviços'!$A:$F,2,0)</f>
        <v>SINAPI</v>
      </c>
      <c r="D163" s="114" t="str">
        <f>VLOOKUP(B163,'Insumos e Serviços'!$A:$F,4,0)</f>
        <v>APLICAÇÃO DE GRAXA EM BARRAS DE TRANSFERÊNCIA PARA EXECUÇÃO DE PAVIMENTO DE CONCRETO. AF_11/2017</v>
      </c>
      <c r="E163" s="113" t="str">
        <f>VLOOKUP(B163,'Insumos e Serviços'!$A:$F,5,0)</f>
        <v>KG</v>
      </c>
      <c r="F163" s="189">
        <v>2.12E-2</v>
      </c>
      <c r="G163" s="115">
        <f>VLOOKUP(B163,'Insumos e Serviços'!$A:$F,6,0)</f>
        <v>46.19</v>
      </c>
      <c r="H163" s="115">
        <f t="shared" si="20"/>
        <v>0.97</v>
      </c>
    </row>
    <row r="164" spans="1:8" ht="22.5" x14ac:dyDescent="0.2">
      <c r="A164" s="114" t="str">
        <f>VLOOKUP(B164,'Insumos e Serviços'!$A:$F,3,0)</f>
        <v>Insumo</v>
      </c>
      <c r="B164" s="109" t="s">
        <v>821</v>
      </c>
      <c r="C164" s="113" t="str">
        <f>VLOOKUP(B164,'Insumos e Serviços'!$A:$F,2,0)</f>
        <v>SINAPI</v>
      </c>
      <c r="D164" s="114" t="str">
        <f>VLOOKUP(B164,'Insumos e Serviços'!$A:$F,4,0)</f>
        <v>TELA DE ACO SOLDADA NERVURADA, CA-60, Q-196, (3,11 KG/M2), DIAMETRO DO FIO = 5,0 MM, LARGURA = 2,45 M, ESPACAMENTO DA MALHA = 10 X 10 CM</v>
      </c>
      <c r="E164" s="113" t="str">
        <f>VLOOKUP(B164,'Insumos e Serviços'!$A:$F,5,0)</f>
        <v>m²</v>
      </c>
      <c r="F164" s="189">
        <v>1.05</v>
      </c>
      <c r="G164" s="115">
        <f>VLOOKUP(B164,'Insumos e Serviços'!$A:$F,6,0)</f>
        <v>43.32</v>
      </c>
      <c r="H164" s="115">
        <f t="shared" si="20"/>
        <v>45.48</v>
      </c>
    </row>
    <row r="165" spans="1:8" x14ac:dyDescent="0.2">
      <c r="A165" s="114" t="str">
        <f>VLOOKUP(B165,'Insumos e Serviços'!$A:$F,3,0)</f>
        <v>Insumo</v>
      </c>
      <c r="B165" s="109" t="s">
        <v>823</v>
      </c>
      <c r="C165" s="113" t="str">
        <f>VLOOKUP(B165,'Insumos e Serviços'!$A:$F,2,0)</f>
        <v>Próprio</v>
      </c>
      <c r="D165" s="114" t="str">
        <f>VLOOKUP(B165,'Insumos e Serviços'!$A:$F,4,0)</f>
        <v>Barra de transferência aço CA-60, diâmetro 16mm, fab. Gerdau</v>
      </c>
      <c r="E165" s="113" t="str">
        <f>VLOOKUP(B165,'Insumos e Serviços'!$A:$F,5,0)</f>
        <v>m</v>
      </c>
      <c r="F165" s="189">
        <v>1.05</v>
      </c>
      <c r="G165" s="115" t="str">
        <f>VLOOKUP(B165,'Insumos e Serviços'!$A:$F,6,0)</f>
        <v xml:space="preserve"> 11,98</v>
      </c>
      <c r="H165" s="115">
        <f t="shared" si="20"/>
        <v>12.57</v>
      </c>
    </row>
    <row r="166" spans="1:8" ht="22.5" x14ac:dyDescent="0.2">
      <c r="A166" s="114" t="str">
        <f>VLOOKUP(B166,'Insumos e Serviços'!$A:$F,3,0)</f>
        <v>Insumo</v>
      </c>
      <c r="B166" s="109">
        <v>142</v>
      </c>
      <c r="C166" s="113" t="str">
        <f>VLOOKUP(B166,'Insumos e Serviços'!$A:$F,2,0)</f>
        <v>SINAPI</v>
      </c>
      <c r="D166" s="114" t="str">
        <f>VLOOKUP(B166,'Insumos e Serviços'!$A:$F,4,0)</f>
        <v>SELANTE ELASTICO MONOCOMPONENTE A BASE DE POLIURETANO (PU) PARA JUNTAS DIVERSAS</v>
      </c>
      <c r="E166" s="113" t="str">
        <f>VLOOKUP(B166,'Insumos e Serviços'!$A:$F,5,0)</f>
        <v>310ML</v>
      </c>
      <c r="F166" s="189">
        <v>0.16120000000000001</v>
      </c>
      <c r="G166" s="115">
        <f>VLOOKUP(B166,'Insumos e Serviços'!$A:$F,6,0)</f>
        <v>29.49</v>
      </c>
      <c r="H166" s="115">
        <f t="shared" si="20"/>
        <v>4.75</v>
      </c>
    </row>
    <row r="167" spans="1:8" ht="22.5" x14ac:dyDescent="0.2">
      <c r="A167" s="114" t="str">
        <f>VLOOKUP(B167,'Insumos e Serviços'!$A:$F,3,0)</f>
        <v>Insumo</v>
      </c>
      <c r="B167" s="109" t="s">
        <v>825</v>
      </c>
      <c r="C167" s="113" t="str">
        <f>VLOOKUP(B167,'Insumos e Serviços'!$A:$F,2,0)</f>
        <v>SINAPI</v>
      </c>
      <c r="D167" s="114" t="str">
        <f>VLOOKUP(B167,'Insumos e Serviços'!$A:$F,4,0)</f>
        <v>CONCRETO USINADO BOMBEAVEL, CLASSE DE RESISTENCIA C25, COM BRITA 0 E 1, SLUMP = 100 +/- 20 MM, INCLUI SERVICO DE BOMBEAMENTO (NBR 8953)</v>
      </c>
      <c r="E167" s="113" t="str">
        <f>VLOOKUP(B167,'Insumos e Serviços'!$A:$F,5,0)</f>
        <v>m³</v>
      </c>
      <c r="F167" s="189">
        <v>0.1096</v>
      </c>
      <c r="G167" s="115">
        <f>VLOOKUP(B167,'Insumos e Serviços'!$A:$F,6,0)</f>
        <v>332.49</v>
      </c>
      <c r="H167" s="115">
        <f t="shared" si="20"/>
        <v>36.44</v>
      </c>
    </row>
    <row r="168" spans="1:8" x14ac:dyDescent="0.2">
      <c r="A168" s="205"/>
      <c r="B168" s="205"/>
      <c r="C168" s="205"/>
      <c r="D168" s="206"/>
      <c r="E168" s="207"/>
      <c r="F168" s="208"/>
      <c r="G168" s="205"/>
      <c r="H168" s="205"/>
    </row>
    <row r="169" spans="1:8" ht="22.5" x14ac:dyDescent="0.2">
      <c r="A169" s="204" t="s">
        <v>145</v>
      </c>
      <c r="B169" s="54" t="str">
        <f>VLOOKUP(A169,'Orçamento Sintético'!$A:$H,2,0)</f>
        <v xml:space="preserve"> MPDFT0170 </v>
      </c>
      <c r="C169" s="54" t="str">
        <f>VLOOKUP(A169,'Orçamento Sintético'!$A:$H,3,0)</f>
        <v>Próprio</v>
      </c>
      <c r="D169" s="55" t="str">
        <f>VLOOKUP(A169,'Orçamento Sintético'!$A:$H,4,0)</f>
        <v>Lastro de brita nº 1, espessura de 5cm, incluindo lona plástica para isolar o lastro do solo</v>
      </c>
      <c r="E169" s="54" t="str">
        <f>VLOOKUP(A169,'Orçamento Sintético'!$A:$H,5,0)</f>
        <v>m²</v>
      </c>
      <c r="F169" s="183"/>
      <c r="G169" s="184"/>
      <c r="H169" s="185">
        <f>SUM(H170:H171)</f>
        <v>9.6300000000000008</v>
      </c>
    </row>
    <row r="170" spans="1:8" ht="22.5" x14ac:dyDescent="0.2">
      <c r="A170" s="114" t="str">
        <f>VLOOKUP(B170,'Insumos e Serviços'!$A:$F,3,0)</f>
        <v>Composição</v>
      </c>
      <c r="B170" s="109" t="s">
        <v>827</v>
      </c>
      <c r="C170" s="113" t="str">
        <f>VLOOKUP(B170,'Insumos e Serviços'!$A:$F,2,0)</f>
        <v>SINAPI</v>
      </c>
      <c r="D170" s="114" t="str">
        <f>VLOOKUP(B170,'Insumos e Serviços'!$A:$F,4,0)</f>
        <v>LASTRO COM MATERIAL GRANULAR, APLICAÇÃO EM PISOS OU RADIERS, ESPESSURA DE *5 CM*. AF_08/2017</v>
      </c>
      <c r="E170" s="113" t="str">
        <f>VLOOKUP(B170,'Insumos e Serviços'!$A:$F,5,0)</f>
        <v>m³</v>
      </c>
      <c r="F170" s="189">
        <v>0.05</v>
      </c>
      <c r="G170" s="115">
        <f>VLOOKUP(B170,'Insumos e Serviços'!$A:$F,6,0)</f>
        <v>176.01</v>
      </c>
      <c r="H170" s="115">
        <f t="shared" ref="H170:H171" si="21">TRUNC(F170*G170,2)</f>
        <v>8.8000000000000007</v>
      </c>
    </row>
    <row r="171" spans="1:8" x14ac:dyDescent="0.2">
      <c r="A171" s="114" t="str">
        <f>VLOOKUP(B171,'Insumos e Serviços'!$A:$F,3,0)</f>
        <v>Insumo</v>
      </c>
      <c r="B171" s="109" t="s">
        <v>739</v>
      </c>
      <c r="C171" s="113" t="str">
        <f>VLOOKUP(B171,'Insumos e Serviços'!$A:$F,2,0)</f>
        <v>SINAPI</v>
      </c>
      <c r="D171" s="114" t="str">
        <f>VLOOKUP(B171,'Insumos e Serviços'!$A:$F,4,0)</f>
        <v>LONA PLASTICA PRETA, E= 150 MICRA</v>
      </c>
      <c r="E171" s="113" t="str">
        <f>VLOOKUP(B171,'Insumos e Serviços'!$A:$F,5,0)</f>
        <v>m²</v>
      </c>
      <c r="F171" s="189">
        <v>1</v>
      </c>
      <c r="G171" s="115">
        <f>VLOOKUP(B171,'Insumos e Serviços'!$A:$F,6,0)</f>
        <v>0.83</v>
      </c>
      <c r="H171" s="115">
        <f t="shared" si="21"/>
        <v>0.83</v>
      </c>
    </row>
    <row r="172" spans="1:8" x14ac:dyDescent="0.2">
      <c r="A172" s="205"/>
      <c r="B172" s="205"/>
      <c r="C172" s="205"/>
      <c r="D172" s="206"/>
      <c r="E172" s="207"/>
      <c r="F172" s="208"/>
      <c r="G172" s="205"/>
      <c r="H172" s="205"/>
    </row>
    <row r="173" spans="1:8" x14ac:dyDescent="0.2">
      <c r="A173" s="199" t="s">
        <v>148</v>
      </c>
      <c r="B173" s="199"/>
      <c r="C173" s="199"/>
      <c r="D173" s="200" t="s">
        <v>149</v>
      </c>
      <c r="E173" s="201"/>
      <c r="F173" s="202"/>
      <c r="G173" s="199"/>
      <c r="H173" s="203"/>
    </row>
    <row r="174" spans="1:8" ht="33.75" x14ac:dyDescent="0.2">
      <c r="A174" s="204" t="s">
        <v>156</v>
      </c>
      <c r="B174" s="54" t="str">
        <f>VLOOKUP(A174,'Orçamento Sintético'!$A:$H,2,0)</f>
        <v xml:space="preserve"> MPDFT1045 </v>
      </c>
      <c r="C174" s="54" t="str">
        <f>VLOOKUP(A174,'Orçamento Sintético'!$A:$H,3,0)</f>
        <v>Próprio</v>
      </c>
      <c r="D174" s="55" t="str">
        <f>VLOOKUP(A174,'Orçamento Sintético'!$A:$H,4,0)</f>
        <v>Cópia SINAPI (87242) - Pastilha de porcelana 5,0x5,0cm, linha Engenharia, cor Boráx, fab. Atlas (ref.SG8414), assentada com argamassa pré-fabricada, incluindo rejuntamento</v>
      </c>
      <c r="E174" s="54" t="str">
        <f>VLOOKUP(A174,'Orçamento Sintético'!$A:$H,5,0)</f>
        <v>m²</v>
      </c>
      <c r="F174" s="183"/>
      <c r="G174" s="184"/>
      <c r="H174" s="185">
        <f>SUM(H175:H178)</f>
        <v>138.37</v>
      </c>
    </row>
    <row r="175" spans="1:8" x14ac:dyDescent="0.2">
      <c r="A175" s="114" t="str">
        <f>VLOOKUP(B175,'Insumos e Serviços'!$A:$F,3,0)</f>
        <v>Composição</v>
      </c>
      <c r="B175" s="109" t="s">
        <v>741</v>
      </c>
      <c r="C175" s="113" t="str">
        <f>VLOOKUP(B175,'Insumos e Serviços'!$A:$F,2,0)</f>
        <v>SINAPI</v>
      </c>
      <c r="D175" s="114" t="str">
        <f>VLOOKUP(B175,'Insumos e Serviços'!$A:$F,4,0)</f>
        <v>AZULEJISTA OU LADRILHISTA COM ENCARGOS COMPLEMENTARES</v>
      </c>
      <c r="E175" s="113" t="str">
        <f>VLOOKUP(B175,'Insumos e Serviços'!$A:$F,5,0)</f>
        <v>H</v>
      </c>
      <c r="F175" s="189">
        <v>1.29</v>
      </c>
      <c r="G175" s="115">
        <f>VLOOKUP(B175,'Insumos e Serviços'!$A:$F,6,0)</f>
        <v>23.17</v>
      </c>
      <c r="H175" s="115">
        <f t="shared" ref="H175:H178" si="22">TRUNC(F175*G175,2)</f>
        <v>29.88</v>
      </c>
    </row>
    <row r="176" spans="1:8" x14ac:dyDescent="0.2">
      <c r="A176" s="114" t="str">
        <f>VLOOKUP(B176,'Insumos e Serviços'!$A:$F,3,0)</f>
        <v>Composição</v>
      </c>
      <c r="B176" s="109" t="s">
        <v>597</v>
      </c>
      <c r="C176" s="113" t="str">
        <f>VLOOKUP(B176,'Insumos e Serviços'!$A:$F,2,0)</f>
        <v>SINAPI</v>
      </c>
      <c r="D176" s="114" t="str">
        <f>VLOOKUP(B176,'Insumos e Serviços'!$A:$F,4,0)</f>
        <v>SERVENTE COM ENCARGOS COMPLEMENTARES</v>
      </c>
      <c r="E176" s="113" t="str">
        <f>VLOOKUP(B176,'Insumos e Serviços'!$A:$F,5,0)</f>
        <v>H</v>
      </c>
      <c r="F176" s="189">
        <v>0.65</v>
      </c>
      <c r="G176" s="115">
        <f>VLOOKUP(B176,'Insumos e Serviços'!$A:$F,6,0)</f>
        <v>17.170000000000002</v>
      </c>
      <c r="H176" s="115">
        <f t="shared" si="22"/>
        <v>11.16</v>
      </c>
    </row>
    <row r="177" spans="1:8" x14ac:dyDescent="0.2">
      <c r="A177" s="114" t="str">
        <f>VLOOKUP(B177,'Insumos e Serviços'!$A:$F,3,0)</f>
        <v>Insumo</v>
      </c>
      <c r="B177" s="109" t="s">
        <v>829</v>
      </c>
      <c r="C177" s="113" t="str">
        <f>VLOOKUP(B177,'Insumos e Serviços'!$A:$F,2,0)</f>
        <v>Próprio</v>
      </c>
      <c r="D177" s="114" t="str">
        <f>VLOOKUP(B177,'Insumos e Serviços'!$A:$F,4,0)</f>
        <v>Pastilha de porcelana 5,0x5,0cm, linha Engenharia, cor Boráx, fab. Atlas (ref.SG8414)</v>
      </c>
      <c r="E177" s="113" t="str">
        <f>VLOOKUP(B177,'Insumos e Serviços'!$A:$F,5,0)</f>
        <v>m²</v>
      </c>
      <c r="F177" s="189">
        <v>1.1599999999999999</v>
      </c>
      <c r="G177" s="115">
        <f>VLOOKUP(B177,'Insumos e Serviços'!$A:$F,6,0)</f>
        <v>74.760000000000005</v>
      </c>
      <c r="H177" s="115">
        <f t="shared" si="22"/>
        <v>86.72</v>
      </c>
    </row>
    <row r="178" spans="1:8" x14ac:dyDescent="0.2">
      <c r="A178" s="114" t="str">
        <f>VLOOKUP(B178,'Insumos e Serviços'!$A:$F,3,0)</f>
        <v>Insumo</v>
      </c>
      <c r="B178" s="109" t="s">
        <v>831</v>
      </c>
      <c r="C178" s="113" t="str">
        <f>VLOOKUP(B178,'Insumos e Serviços'!$A:$F,2,0)</f>
        <v>SINAPI</v>
      </c>
      <c r="D178" s="114" t="str">
        <f>VLOOKUP(B178,'Insumos e Serviços'!$A:$F,4,0)</f>
        <v>ARGAMASSA COLANTE TIPO AC III</v>
      </c>
      <c r="E178" s="113" t="str">
        <f>VLOOKUP(B178,'Insumos e Serviços'!$A:$F,5,0)</f>
        <v>KG</v>
      </c>
      <c r="F178" s="189">
        <v>7.69</v>
      </c>
      <c r="G178" s="115">
        <f>VLOOKUP(B178,'Insumos e Serviços'!$A:$F,6,0)</f>
        <v>1.38</v>
      </c>
      <c r="H178" s="115">
        <f t="shared" si="22"/>
        <v>10.61</v>
      </c>
    </row>
    <row r="179" spans="1:8" x14ac:dyDescent="0.2">
      <c r="A179" s="205"/>
      <c r="B179" s="205"/>
      <c r="C179" s="205"/>
      <c r="D179" s="206"/>
      <c r="E179" s="207"/>
      <c r="F179" s="208"/>
      <c r="G179" s="205"/>
      <c r="H179" s="205"/>
    </row>
    <row r="180" spans="1:8" ht="22.5" x14ac:dyDescent="0.2">
      <c r="A180" s="204" t="s">
        <v>159</v>
      </c>
      <c r="B180" s="54" t="str">
        <f>VLOOKUP(A180,'Orçamento Sintético'!$A:$H,2,0)</f>
        <v xml:space="preserve"> MPDFT0625 </v>
      </c>
      <c r="C180" s="54" t="str">
        <f>VLOOKUP(A180,'Orçamento Sintético'!$A:$H,3,0)</f>
        <v>Próprio</v>
      </c>
      <c r="D180" s="55" t="str">
        <f>VLOOKUP(A180,'Orçamento Sintético'!$A:$H,4,0)</f>
        <v>Copia da SINAPI (87269) - Cerâmica grês 30x60cm, assentada com argamassa pré-fabricada, incluindo rejuntamento</v>
      </c>
      <c r="E180" s="54" t="str">
        <f>VLOOKUP(A180,'Orçamento Sintético'!$A:$H,5,0)</f>
        <v>m²</v>
      </c>
      <c r="F180" s="183"/>
      <c r="G180" s="184"/>
      <c r="H180" s="185">
        <f>SUM(H181:H185)</f>
        <v>52.66</v>
      </c>
    </row>
    <row r="181" spans="1:8" x14ac:dyDescent="0.2">
      <c r="A181" s="114" t="str">
        <f>VLOOKUP(B181,'Insumos e Serviços'!$A:$F,3,0)</f>
        <v>Composição</v>
      </c>
      <c r="B181" s="109" t="s">
        <v>741</v>
      </c>
      <c r="C181" s="113" t="str">
        <f>VLOOKUP(B181,'Insumos e Serviços'!$A:$F,2,0)</f>
        <v>SINAPI</v>
      </c>
      <c r="D181" s="114" t="str">
        <f>VLOOKUP(B181,'Insumos e Serviços'!$A:$F,4,0)</f>
        <v>AZULEJISTA OU LADRILHISTA COM ENCARGOS COMPLEMENTARES</v>
      </c>
      <c r="E181" s="113" t="str">
        <f>VLOOKUP(B181,'Insumos e Serviços'!$A:$F,5,0)</f>
        <v>H</v>
      </c>
      <c r="F181" s="189">
        <v>0.61</v>
      </c>
      <c r="G181" s="115">
        <f>VLOOKUP(B181,'Insumos e Serviços'!$A:$F,6,0)</f>
        <v>23.17</v>
      </c>
      <c r="H181" s="115">
        <f t="shared" ref="H181:H185" si="23">TRUNC(F181*G181,2)</f>
        <v>14.13</v>
      </c>
    </row>
    <row r="182" spans="1:8" x14ac:dyDescent="0.2">
      <c r="A182" s="114" t="str">
        <f>VLOOKUP(B182,'Insumos e Serviços'!$A:$F,3,0)</f>
        <v>Composição</v>
      </c>
      <c r="B182" s="109" t="s">
        <v>597</v>
      </c>
      <c r="C182" s="113" t="str">
        <f>VLOOKUP(B182,'Insumos e Serviços'!$A:$F,2,0)</f>
        <v>SINAPI</v>
      </c>
      <c r="D182" s="114" t="str">
        <f>VLOOKUP(B182,'Insumos e Serviços'!$A:$F,4,0)</f>
        <v>SERVENTE COM ENCARGOS COMPLEMENTARES</v>
      </c>
      <c r="E182" s="113" t="str">
        <f>VLOOKUP(B182,'Insumos e Serviços'!$A:$F,5,0)</f>
        <v>H</v>
      </c>
      <c r="F182" s="189">
        <v>0.34</v>
      </c>
      <c r="G182" s="115">
        <f>VLOOKUP(B182,'Insumos e Serviços'!$A:$F,6,0)</f>
        <v>17.170000000000002</v>
      </c>
      <c r="H182" s="115">
        <f t="shared" si="23"/>
        <v>5.83</v>
      </c>
    </row>
    <row r="183" spans="1:8" ht="22.5" x14ac:dyDescent="0.2">
      <c r="A183" s="114" t="str">
        <f>VLOOKUP(B183,'Insumos e Serviços'!$A:$F,3,0)</f>
        <v>Material</v>
      </c>
      <c r="B183" s="109" t="s">
        <v>833</v>
      </c>
      <c r="C183" s="113" t="str">
        <f>VLOOKUP(B183,'Insumos e Serviços'!$A:$F,2,0)</f>
        <v>SINAPI</v>
      </c>
      <c r="D183" s="114" t="str">
        <f>VLOOKUP(B183,'Insumos e Serviços'!$A:$F,4,0)</f>
        <v>REVESTIMENTO EM CERAMICA ESMALTADA EXTRA, PEI MENOR OU IGUAL A 3, FORMATO MENOR OU IGUAL A 2025 CM2</v>
      </c>
      <c r="E183" s="113" t="str">
        <f>VLOOKUP(B183,'Insumos e Serviços'!$A:$F,5,0)</f>
        <v>m²</v>
      </c>
      <c r="F183" s="189">
        <v>1.07</v>
      </c>
      <c r="G183" s="115" t="str">
        <f>VLOOKUP(B183,'Insumos e Serviços'!$A:$F,6,0)</f>
        <v xml:space="preserve"> 27,82</v>
      </c>
      <c r="H183" s="115">
        <f t="shared" si="23"/>
        <v>29.76</v>
      </c>
    </row>
    <row r="184" spans="1:8" x14ac:dyDescent="0.2">
      <c r="A184" s="114" t="str">
        <f>VLOOKUP(B184,'Insumos e Serviços'!$A:$F,3,0)</f>
        <v>Material</v>
      </c>
      <c r="B184" s="109" t="s">
        <v>835</v>
      </c>
      <c r="C184" s="113" t="str">
        <f>VLOOKUP(B184,'Insumos e Serviços'!$A:$F,2,0)</f>
        <v>SINAPI</v>
      </c>
      <c r="D184" s="114" t="str">
        <f>VLOOKUP(B184,'Insumos e Serviços'!$A:$F,4,0)</f>
        <v>ARGAMASSA COLANTE AC I PARA CERAMICAS</v>
      </c>
      <c r="E184" s="113" t="str">
        <f>VLOOKUP(B184,'Insumos e Serviços'!$A:$F,5,0)</f>
        <v>KG</v>
      </c>
      <c r="F184" s="189">
        <v>4.8600000000000003</v>
      </c>
      <c r="G184" s="115" t="str">
        <f>VLOOKUP(B184,'Insumos e Serviços'!$A:$F,6,0)</f>
        <v xml:space="preserve"> 0,45</v>
      </c>
      <c r="H184" s="115">
        <f t="shared" si="23"/>
        <v>2.1800000000000002</v>
      </c>
    </row>
    <row r="185" spans="1:8" x14ac:dyDescent="0.2">
      <c r="A185" s="114" t="str">
        <f>VLOOKUP(B185,'Insumos e Serviços'!$A:$F,3,0)</f>
        <v>Material</v>
      </c>
      <c r="B185" s="109" t="s">
        <v>797</v>
      </c>
      <c r="C185" s="113" t="str">
        <f>VLOOKUP(B185,'Insumos e Serviços'!$A:$F,2,0)</f>
        <v>SINAPI</v>
      </c>
      <c r="D185" s="114" t="str">
        <f>VLOOKUP(B185,'Insumos e Serviços'!$A:$F,4,0)</f>
        <v>REJUNTE CIMENTICIO, QUALQUER COR</v>
      </c>
      <c r="E185" s="113" t="str">
        <f>VLOOKUP(B185,'Insumos e Serviços'!$A:$F,5,0)</f>
        <v>KG</v>
      </c>
      <c r="F185" s="189">
        <v>0.28999999999999998</v>
      </c>
      <c r="G185" s="115" t="str">
        <f>VLOOKUP(B185,'Insumos e Serviços'!$A:$F,6,0)</f>
        <v xml:space="preserve"> 2,64</v>
      </c>
      <c r="H185" s="115">
        <f t="shared" si="23"/>
        <v>0.76</v>
      </c>
    </row>
    <row r="186" spans="1:8" x14ac:dyDescent="0.2">
      <c r="A186" s="205"/>
      <c r="B186" s="205"/>
      <c r="C186" s="205"/>
      <c r="D186" s="206"/>
      <c r="E186" s="207"/>
      <c r="F186" s="208"/>
      <c r="G186" s="205"/>
      <c r="H186" s="205"/>
    </row>
    <row r="187" spans="1:8" ht="22.5" x14ac:dyDescent="0.2">
      <c r="A187" s="204" t="s">
        <v>162</v>
      </c>
      <c r="B187" s="54" t="str">
        <f>VLOOKUP(A187,'Orçamento Sintético'!$A:$H,2,0)</f>
        <v xml:space="preserve"> MPDFT1049 </v>
      </c>
      <c r="C187" s="54" t="str">
        <f>VLOOKUP(A187,'Orçamento Sintético'!$A:$H,3,0)</f>
        <v>Próprio</v>
      </c>
      <c r="D187" s="55" t="str">
        <f>VLOOKUP(A187,'Orçamento Sintético'!$A:$H,4,0)</f>
        <v>Cópia SINAPI (72200) - Laminado melamínico, acabamento texturizado, Polar, espessura 1,3mm, referência L190, fab. Fórmica</v>
      </c>
      <c r="E187" s="54" t="str">
        <f>VLOOKUP(A187,'Orçamento Sintético'!$A:$H,5,0)</f>
        <v>m²</v>
      </c>
      <c r="F187" s="183"/>
      <c r="G187" s="184"/>
      <c r="H187" s="185">
        <f>SUM(H188:H191)</f>
        <v>112.13</v>
      </c>
    </row>
    <row r="188" spans="1:8" x14ac:dyDescent="0.2">
      <c r="A188" s="114" t="str">
        <f>VLOOKUP(B188,'Insumos e Serviços'!$A:$F,3,0)</f>
        <v>Composição</v>
      </c>
      <c r="B188" s="109" t="s">
        <v>737</v>
      </c>
      <c r="C188" s="113" t="str">
        <f>VLOOKUP(B188,'Insumos e Serviços'!$A:$F,2,0)</f>
        <v>SINAPI</v>
      </c>
      <c r="D188" s="114" t="str">
        <f>VLOOKUP(B188,'Insumos e Serviços'!$A:$F,4,0)</f>
        <v>AJUDANTE DE CARPINTEIRO COM ENCARGOS COMPLEMENTARES</v>
      </c>
      <c r="E188" s="113" t="str">
        <f>VLOOKUP(B188,'Insumos e Serviços'!$A:$F,5,0)</f>
        <v>H</v>
      </c>
      <c r="F188" s="189">
        <v>0.18</v>
      </c>
      <c r="G188" s="115">
        <f>VLOOKUP(B188,'Insumos e Serviços'!$A:$F,6,0)</f>
        <v>19.440000000000001</v>
      </c>
      <c r="H188" s="115">
        <f t="shared" ref="H188:H191" si="24">TRUNC(F188*G188,2)</f>
        <v>3.49</v>
      </c>
    </row>
    <row r="189" spans="1:8" x14ac:dyDescent="0.2">
      <c r="A189" s="114" t="str">
        <f>VLOOKUP(B189,'Insumos e Serviços'!$A:$F,3,0)</f>
        <v>Composição</v>
      </c>
      <c r="B189" s="109" t="s">
        <v>755</v>
      </c>
      <c r="C189" s="113" t="str">
        <f>VLOOKUP(B189,'Insumos e Serviços'!$A:$F,2,0)</f>
        <v>SINAPI</v>
      </c>
      <c r="D189" s="114" t="str">
        <f>VLOOKUP(B189,'Insumos e Serviços'!$A:$F,4,0)</f>
        <v>CARPINTEIRO DE ESQUADRIA COM ENCARGOS COMPLEMENTARES</v>
      </c>
      <c r="E189" s="113" t="str">
        <f>VLOOKUP(B189,'Insumos e Serviços'!$A:$F,5,0)</f>
        <v>H</v>
      </c>
      <c r="F189" s="189">
        <v>0.18</v>
      </c>
      <c r="G189" s="115">
        <f>VLOOKUP(B189,'Insumos e Serviços'!$A:$F,6,0)</f>
        <v>23.07</v>
      </c>
      <c r="H189" s="115">
        <f t="shared" si="24"/>
        <v>4.1500000000000004</v>
      </c>
    </row>
    <row r="190" spans="1:8" x14ac:dyDescent="0.2">
      <c r="A190" s="114" t="str">
        <f>VLOOKUP(B190,'Insumos e Serviços'!$A:$F,3,0)</f>
        <v>Insumo</v>
      </c>
      <c r="B190" s="109" t="s">
        <v>837</v>
      </c>
      <c r="C190" s="113" t="str">
        <f>VLOOKUP(B190,'Insumos e Serviços'!$A:$F,2,0)</f>
        <v>SINAPI</v>
      </c>
      <c r="D190" s="114" t="str">
        <f>VLOOKUP(B190,'Insumos e Serviços'!$A:$F,4,0)</f>
        <v>ADESIVO ACRILICO/COLA DE CONTATO</v>
      </c>
      <c r="E190" s="113" t="str">
        <f>VLOOKUP(B190,'Insumos e Serviços'!$A:$F,5,0)</f>
        <v>KG</v>
      </c>
      <c r="F190" s="189">
        <v>0.9</v>
      </c>
      <c r="G190" s="115">
        <f>VLOOKUP(B190,'Insumos e Serviços'!$A:$F,6,0)</f>
        <v>26.82</v>
      </c>
      <c r="H190" s="115">
        <f t="shared" si="24"/>
        <v>24.13</v>
      </c>
    </row>
    <row r="191" spans="1:8" ht="22.5" x14ac:dyDescent="0.2">
      <c r="A191" s="114" t="str">
        <f>VLOOKUP(B191,'Insumos e Serviços'!$A:$F,3,0)</f>
        <v>Insumo</v>
      </c>
      <c r="B191" s="109" t="s">
        <v>774</v>
      </c>
      <c r="C191" s="113" t="str">
        <f>VLOOKUP(B191,'Insumos e Serviços'!$A:$F,2,0)</f>
        <v>Próprio</v>
      </c>
      <c r="D191" s="114" t="str">
        <f>VLOOKUP(B191,'Insumos e Serviços'!$A:$F,4,0)</f>
        <v>Laminado melamínico, acabamento texturizado, cor branca, espessura 1,3mm, referência L190, fab. Fórmica</v>
      </c>
      <c r="E191" s="113" t="str">
        <f>VLOOKUP(B191,'Insumos e Serviços'!$A:$F,5,0)</f>
        <v>m²</v>
      </c>
      <c r="F191" s="189">
        <v>1.05</v>
      </c>
      <c r="G191" s="115">
        <f>VLOOKUP(B191,'Insumos e Serviços'!$A:$F,6,0)</f>
        <v>76.540000000000006</v>
      </c>
      <c r="H191" s="115">
        <f t="shared" si="24"/>
        <v>80.36</v>
      </c>
    </row>
    <row r="192" spans="1:8" x14ac:dyDescent="0.2">
      <c r="A192" s="205"/>
      <c r="B192" s="205"/>
      <c r="C192" s="205"/>
      <c r="D192" s="206"/>
      <c r="E192" s="207"/>
      <c r="F192" s="208"/>
      <c r="G192" s="205"/>
      <c r="H192" s="205"/>
    </row>
    <row r="193" spans="1:8" x14ac:dyDescent="0.2">
      <c r="A193" s="199" t="s">
        <v>165</v>
      </c>
      <c r="B193" s="199"/>
      <c r="C193" s="199"/>
      <c r="D193" s="200" t="s">
        <v>166</v>
      </c>
      <c r="E193" s="201"/>
      <c r="F193" s="202"/>
      <c r="G193" s="199"/>
      <c r="H193" s="203"/>
    </row>
    <row r="194" spans="1:8" ht="22.5" x14ac:dyDescent="0.2">
      <c r="A194" s="204" t="s">
        <v>167</v>
      </c>
      <c r="B194" s="54" t="str">
        <f>VLOOKUP(A194,'Orçamento Sintético'!$A:$H,2,0)</f>
        <v xml:space="preserve"> MPDFT0866 </v>
      </c>
      <c r="C194" s="54" t="str">
        <f>VLOOKUP(A194,'Orçamento Sintético'!$A:$H,3,0)</f>
        <v>Próprio</v>
      </c>
      <c r="D194" s="55" t="str">
        <f>VLOOKUP(A194,'Orçamento Sintético'!$A:$H,4,0)</f>
        <v>Forro estruturado em placas de gesso acartonado, modelo D-112 unidirecional - 1ST 12,5/BR</v>
      </c>
      <c r="E194" s="54" t="str">
        <f>VLOOKUP(A194,'Orçamento Sintético'!$A:$H,5,0)</f>
        <v>m²</v>
      </c>
      <c r="F194" s="183"/>
      <c r="G194" s="184"/>
      <c r="H194" s="185">
        <f>SUM(H195:H197)</f>
        <v>94.78</v>
      </c>
    </row>
    <row r="195" spans="1:8" x14ac:dyDescent="0.2">
      <c r="A195" s="114" t="str">
        <f>VLOOKUP(B195,'Insumos e Serviços'!$A:$F,3,0)</f>
        <v>Composição</v>
      </c>
      <c r="B195" s="109" t="s">
        <v>605</v>
      </c>
      <c r="C195" s="113" t="str">
        <f>VLOOKUP(B195,'Insumos e Serviços'!$A:$F,2,0)</f>
        <v>SINAPI</v>
      </c>
      <c r="D195" s="114" t="str">
        <f>VLOOKUP(B195,'Insumos e Serviços'!$A:$F,4,0)</f>
        <v>GESSEIRO COM ENCARGOS COMPLEMENTARES</v>
      </c>
      <c r="E195" s="113" t="str">
        <f>VLOOKUP(B195,'Insumos e Serviços'!$A:$F,5,0)</f>
        <v>H</v>
      </c>
      <c r="F195" s="189">
        <v>0.53439999999999999</v>
      </c>
      <c r="G195" s="115">
        <f>VLOOKUP(B195,'Insumos e Serviços'!$A:$F,6,0)</f>
        <v>23.13</v>
      </c>
      <c r="H195" s="115">
        <f t="shared" ref="H195:H197" si="25">TRUNC(F195*G195,2)</f>
        <v>12.36</v>
      </c>
    </row>
    <row r="196" spans="1:8" x14ac:dyDescent="0.2">
      <c r="A196" s="114" t="str">
        <f>VLOOKUP(B196,'Insumos e Serviços'!$A:$F,3,0)</f>
        <v>Composição</v>
      </c>
      <c r="B196" s="109" t="s">
        <v>597</v>
      </c>
      <c r="C196" s="113" t="str">
        <f>VLOOKUP(B196,'Insumos e Serviços'!$A:$F,2,0)</f>
        <v>SINAPI</v>
      </c>
      <c r="D196" s="114" t="str">
        <f>VLOOKUP(B196,'Insumos e Serviços'!$A:$F,4,0)</f>
        <v>SERVENTE COM ENCARGOS COMPLEMENTARES</v>
      </c>
      <c r="E196" s="113" t="str">
        <f>VLOOKUP(B196,'Insumos e Serviços'!$A:$F,5,0)</f>
        <v>H</v>
      </c>
      <c r="F196" s="189">
        <v>0.53439999999999999</v>
      </c>
      <c r="G196" s="115">
        <f>VLOOKUP(B196,'Insumos e Serviços'!$A:$F,6,0)</f>
        <v>17.170000000000002</v>
      </c>
      <c r="H196" s="115">
        <f t="shared" si="25"/>
        <v>9.17</v>
      </c>
    </row>
    <row r="197" spans="1:8" x14ac:dyDescent="0.2">
      <c r="A197" s="114" t="str">
        <f>VLOOKUP(B197,'Insumos e Serviços'!$A:$F,3,0)</f>
        <v>Insumo</v>
      </c>
      <c r="B197" s="109" t="s">
        <v>839</v>
      </c>
      <c r="C197" s="113" t="str">
        <f>VLOOKUP(B197,'Insumos e Serviços'!$A:$F,2,0)</f>
        <v>Próprio</v>
      </c>
      <c r="D197" s="114" t="str">
        <f>VLOOKUP(B197,'Insumos e Serviços'!$A:$F,4,0)</f>
        <v>Forro estruturado em placas de gesso acartonado, modelo D-112 uniderecional - 1ST 12,5/BR</v>
      </c>
      <c r="E197" s="113" t="str">
        <f>VLOOKUP(B197,'Insumos e Serviços'!$A:$F,5,0)</f>
        <v>m²</v>
      </c>
      <c r="F197" s="189">
        <v>1.05</v>
      </c>
      <c r="G197" s="115">
        <f>VLOOKUP(B197,'Insumos e Serviços'!$A:$F,6,0)</f>
        <v>69.77</v>
      </c>
      <c r="H197" s="115">
        <f t="shared" si="25"/>
        <v>73.25</v>
      </c>
    </row>
    <row r="198" spans="1:8" x14ac:dyDescent="0.2">
      <c r="A198" s="205"/>
      <c r="B198" s="205"/>
      <c r="C198" s="205"/>
      <c r="D198" s="206"/>
      <c r="E198" s="207"/>
      <c r="F198" s="208"/>
      <c r="G198" s="205"/>
      <c r="H198" s="205"/>
    </row>
    <row r="199" spans="1:8" ht="22.5" x14ac:dyDescent="0.2">
      <c r="A199" s="204" t="s">
        <v>170</v>
      </c>
      <c r="B199" s="54" t="str">
        <f>VLOOKUP(A199,'Orçamento Sintético'!$A:$H,2,0)</f>
        <v xml:space="preserve"> MPDFT0015 </v>
      </c>
      <c r="C199" s="54" t="str">
        <f>VLOOKUP(A199,'Orçamento Sintético'!$A:$H,3,0)</f>
        <v>Próprio</v>
      </c>
      <c r="D199" s="55" t="str">
        <f>VLOOKUP(A199,'Orçamento Sintético'!$A:$H,4,0)</f>
        <v>Copia da SINAPI (96121) - Perfil tabica fechada, lisa, formato z, em aço galvanizado natural, largura total na horizontal 40mm, para estrutura forro drywall</v>
      </c>
      <c r="E199" s="54" t="str">
        <f>VLOOKUP(A199,'Orçamento Sintético'!$A:$H,5,0)</f>
        <v>M</v>
      </c>
      <c r="F199" s="183"/>
      <c r="G199" s="184"/>
      <c r="H199" s="185">
        <f>SUM(H200:H204)</f>
        <v>13.41</v>
      </c>
    </row>
    <row r="200" spans="1:8" x14ac:dyDescent="0.2">
      <c r="A200" s="114" t="str">
        <f>VLOOKUP(B200,'Insumos e Serviços'!$A:$F,3,0)</f>
        <v>Composição</v>
      </c>
      <c r="B200" s="109" t="s">
        <v>610</v>
      </c>
      <c r="C200" s="113" t="str">
        <f>VLOOKUP(B200,'Insumos e Serviços'!$A:$F,2,0)</f>
        <v>SINAPI</v>
      </c>
      <c r="D200" s="114" t="str">
        <f>VLOOKUP(B200,'Insumos e Serviços'!$A:$F,4,0)</f>
        <v>MONTADOR DE ESTRUTURA METÁLICA COM ENCARGOS COMPLEMENTARES</v>
      </c>
      <c r="E200" s="113" t="str">
        <f>VLOOKUP(B200,'Insumos e Serviços'!$A:$F,5,0)</f>
        <v>H</v>
      </c>
      <c r="F200" s="189">
        <v>0.14680000000000001</v>
      </c>
      <c r="G200" s="115">
        <f>VLOOKUP(B200,'Insumos e Serviços'!$A:$F,6,0)</f>
        <v>17.739999999999998</v>
      </c>
      <c r="H200" s="115">
        <f t="shared" ref="H200:H204" si="26">TRUNC(F200*G200,2)</f>
        <v>2.6</v>
      </c>
    </row>
    <row r="201" spans="1:8" x14ac:dyDescent="0.2">
      <c r="A201" s="114" t="str">
        <f>VLOOKUP(B201,'Insumos e Serviços'!$A:$F,3,0)</f>
        <v>Composição</v>
      </c>
      <c r="B201" s="109" t="s">
        <v>597</v>
      </c>
      <c r="C201" s="113" t="str">
        <f>VLOOKUP(B201,'Insumos e Serviços'!$A:$F,2,0)</f>
        <v>SINAPI</v>
      </c>
      <c r="D201" s="114" t="str">
        <f>VLOOKUP(B201,'Insumos e Serviços'!$A:$F,4,0)</f>
        <v>SERVENTE COM ENCARGOS COMPLEMENTARES</v>
      </c>
      <c r="E201" s="113" t="str">
        <f>VLOOKUP(B201,'Insumos e Serviços'!$A:$F,5,0)</f>
        <v>H</v>
      </c>
      <c r="F201" s="189">
        <v>0.14680000000000001</v>
      </c>
      <c r="G201" s="115">
        <f>VLOOKUP(B201,'Insumos e Serviços'!$A:$F,6,0)</f>
        <v>17.170000000000002</v>
      </c>
      <c r="H201" s="115">
        <f t="shared" si="26"/>
        <v>2.52</v>
      </c>
    </row>
    <row r="202" spans="1:8" ht="22.5" x14ac:dyDescent="0.2">
      <c r="A202" s="114" t="str">
        <f>VLOOKUP(B202,'Insumos e Serviços'!$A:$F,3,0)</f>
        <v>Material</v>
      </c>
      <c r="B202" s="109" t="s">
        <v>612</v>
      </c>
      <c r="C202" s="113" t="str">
        <f>VLOOKUP(B202,'Insumos e Serviços'!$A:$F,2,0)</f>
        <v>SINAPI</v>
      </c>
      <c r="D202" s="114" t="str">
        <f>VLOOKUP(B202,'Insumos e Serviços'!$A:$F,4,0)</f>
        <v>PARAFUSO DRY WALL, EM ACO ZINCADO, CABECA LENTILHA E PONTA BROCA (LB), LARGURA 4,2 MM, COMPRIMENTO 13 MM</v>
      </c>
      <c r="E202" s="113" t="str">
        <f>VLOOKUP(B202,'Insumos e Serviços'!$A:$F,5,0)</f>
        <v>UN</v>
      </c>
      <c r="F202" s="189">
        <v>0.58330000000000004</v>
      </c>
      <c r="G202" s="115" t="str">
        <f>VLOOKUP(B202,'Insumos e Serviços'!$A:$F,6,0)</f>
        <v xml:space="preserve"> 0,12</v>
      </c>
      <c r="H202" s="115">
        <f t="shared" si="26"/>
        <v>0.06</v>
      </c>
    </row>
    <row r="203" spans="1:8" ht="22.5" x14ac:dyDescent="0.2">
      <c r="A203" s="114" t="str">
        <f>VLOOKUP(B203,'Insumos e Serviços'!$A:$F,3,0)</f>
        <v>Insumo</v>
      </c>
      <c r="B203" s="109" t="s">
        <v>841</v>
      </c>
      <c r="C203" s="113" t="str">
        <f>VLOOKUP(B203,'Insumos e Serviços'!$A:$F,2,0)</f>
        <v>SINAPI</v>
      </c>
      <c r="D203" s="114" t="str">
        <f>VLOOKUP(B203,'Insumos e Serviços'!$A:$F,4,0)</f>
        <v>PARAFUSO, AUTO ATARRACHANTE, CABECA CHATA, FENDA SIMPLES, 1/4 (6,35 MM) X 25 MM</v>
      </c>
      <c r="E203" s="113" t="str">
        <f>VLOOKUP(B203,'Insumos e Serviços'!$A:$F,5,0)</f>
        <v>CENTO</v>
      </c>
      <c r="F203" s="189">
        <v>7.4899999999999994E-2</v>
      </c>
      <c r="G203" s="115">
        <f>VLOOKUP(B203,'Insumos e Serviços'!$A:$F,6,0)</f>
        <v>24.02</v>
      </c>
      <c r="H203" s="115">
        <f t="shared" si="26"/>
        <v>1.79</v>
      </c>
    </row>
    <row r="204" spans="1:8" ht="22.5" x14ac:dyDescent="0.2">
      <c r="A204" s="114" t="str">
        <f>VLOOKUP(B204,'Insumos e Serviços'!$A:$F,3,0)</f>
        <v>Insumo</v>
      </c>
      <c r="B204" s="109" t="s">
        <v>843</v>
      </c>
      <c r="C204" s="113" t="str">
        <f>VLOOKUP(B204,'Insumos e Serviços'!$A:$F,2,0)</f>
        <v>SINAPI</v>
      </c>
      <c r="D204" s="114" t="str">
        <f>VLOOKUP(B204,'Insumos e Serviços'!$A:$F,4,0)</f>
        <v>PERFIL TABICA FECHADA, LISA, FORMATO Z, EM ACO GALVANIZADO NATURAL, LARGURA TOTAL NA HORIZONTAL *40* MM, PARA ESTRUTURA FORRO DRYWALL</v>
      </c>
      <c r="E204" s="113" t="str">
        <f>VLOOKUP(B204,'Insumos e Serviços'!$A:$F,5,0)</f>
        <v>M</v>
      </c>
      <c r="F204" s="189">
        <v>1.1512</v>
      </c>
      <c r="G204" s="115">
        <f>VLOOKUP(B204,'Insumos e Serviços'!$A:$F,6,0)</f>
        <v>5.6</v>
      </c>
      <c r="H204" s="115">
        <f t="shared" si="26"/>
        <v>6.44</v>
      </c>
    </row>
    <row r="205" spans="1:8" x14ac:dyDescent="0.2">
      <c r="A205" s="205"/>
      <c r="B205" s="205"/>
      <c r="C205" s="205"/>
      <c r="D205" s="206"/>
      <c r="E205" s="207"/>
      <c r="F205" s="208"/>
      <c r="G205" s="205"/>
      <c r="H205" s="205"/>
    </row>
    <row r="206" spans="1:8" x14ac:dyDescent="0.2">
      <c r="A206" s="199" t="s">
        <v>173</v>
      </c>
      <c r="B206" s="199"/>
      <c r="C206" s="199"/>
      <c r="D206" s="200" t="s">
        <v>174</v>
      </c>
      <c r="E206" s="201"/>
      <c r="F206" s="202"/>
      <c r="G206" s="199"/>
      <c r="H206" s="203"/>
    </row>
    <row r="207" spans="1:8" x14ac:dyDescent="0.2">
      <c r="A207" s="204" t="s">
        <v>193</v>
      </c>
      <c r="B207" s="54" t="str">
        <f>VLOOKUP(A207,'Orçamento Sintético'!$A:$H,2,0)</f>
        <v xml:space="preserve"> MPDFT0022 </v>
      </c>
      <c r="C207" s="54" t="str">
        <f>VLOOKUP(A207,'Orçamento Sintético'!$A:$H,3,0)</f>
        <v>Próprio</v>
      </c>
      <c r="D207" s="55" t="str">
        <f>VLOOKUP(A207,'Orçamento Sintético'!$A:$H,4,0)</f>
        <v>Copia da SINAPI (84665) - Pintura de sinalização vertical em faixas amarelo e preto</v>
      </c>
      <c r="E207" s="54" t="str">
        <f>VLOOKUP(A207,'Orçamento Sintético'!$A:$H,5,0)</f>
        <v>m²</v>
      </c>
      <c r="F207" s="183"/>
      <c r="G207" s="184"/>
      <c r="H207" s="185">
        <f>SUM(H208:H210)</f>
        <v>23.11</v>
      </c>
    </row>
    <row r="208" spans="1:8" x14ac:dyDescent="0.2">
      <c r="A208" s="114" t="str">
        <f>VLOOKUP(B208,'Insumos e Serviços'!$A:$F,3,0)</f>
        <v>Composição</v>
      </c>
      <c r="B208" s="109" t="s">
        <v>751</v>
      </c>
      <c r="C208" s="113" t="str">
        <f>VLOOKUP(B208,'Insumos e Serviços'!$A:$F,2,0)</f>
        <v>SINAPI</v>
      </c>
      <c r="D208" s="114" t="str">
        <f>VLOOKUP(B208,'Insumos e Serviços'!$A:$F,4,0)</f>
        <v>PINTOR COM ENCARGOS COMPLEMENTARES</v>
      </c>
      <c r="E208" s="113" t="str">
        <f>VLOOKUP(B208,'Insumos e Serviços'!$A:$F,5,0)</f>
        <v>H</v>
      </c>
      <c r="F208" s="189">
        <v>0.5</v>
      </c>
      <c r="G208" s="115">
        <f>VLOOKUP(B208,'Insumos e Serviços'!$A:$F,6,0)</f>
        <v>24.24</v>
      </c>
      <c r="H208" s="115">
        <f t="shared" ref="H208:H210" si="27">TRUNC(F208*G208,2)</f>
        <v>12.12</v>
      </c>
    </row>
    <row r="209" spans="1:8" x14ac:dyDescent="0.2">
      <c r="A209" s="114" t="str">
        <f>VLOOKUP(B209,'Insumos e Serviços'!$A:$F,3,0)</f>
        <v>Composição</v>
      </c>
      <c r="B209" s="109" t="s">
        <v>597</v>
      </c>
      <c r="C209" s="113" t="str">
        <f>VLOOKUP(B209,'Insumos e Serviços'!$A:$F,2,0)</f>
        <v>SINAPI</v>
      </c>
      <c r="D209" s="114" t="str">
        <f>VLOOKUP(B209,'Insumos e Serviços'!$A:$F,4,0)</f>
        <v>SERVENTE COM ENCARGOS COMPLEMENTARES</v>
      </c>
      <c r="E209" s="113" t="str">
        <f>VLOOKUP(B209,'Insumos e Serviços'!$A:$F,5,0)</f>
        <v>H</v>
      </c>
      <c r="F209" s="189">
        <v>0.33</v>
      </c>
      <c r="G209" s="115">
        <f>VLOOKUP(B209,'Insumos e Serviços'!$A:$F,6,0)</f>
        <v>17.170000000000002</v>
      </c>
      <c r="H209" s="115">
        <f t="shared" si="27"/>
        <v>5.66</v>
      </c>
    </row>
    <row r="210" spans="1:8" x14ac:dyDescent="0.2">
      <c r="A210" s="114" t="str">
        <f>VLOOKUP(B210,'Insumos e Serviços'!$A:$F,3,0)</f>
        <v>Material</v>
      </c>
      <c r="B210" s="109" t="s">
        <v>845</v>
      </c>
      <c r="C210" s="113" t="str">
        <f>VLOOKUP(B210,'Insumos e Serviços'!$A:$F,2,0)</f>
        <v>SINAPI</v>
      </c>
      <c r="D210" s="114" t="str">
        <f>VLOOKUP(B210,'Insumos e Serviços'!$A:$F,4,0)</f>
        <v>TINTA A BASE DE RESINA ACRILICA, PARA SINALIZACAO HORIZONTAL VIARIA (NBR 11862)</v>
      </c>
      <c r="E210" s="113" t="str">
        <f>VLOOKUP(B210,'Insumos e Serviços'!$A:$F,5,0)</f>
        <v>L</v>
      </c>
      <c r="F210" s="189">
        <v>0.35</v>
      </c>
      <c r="G210" s="115" t="str">
        <f>VLOOKUP(B210,'Insumos e Serviços'!$A:$F,6,0)</f>
        <v xml:space="preserve"> 15,24</v>
      </c>
      <c r="H210" s="115">
        <f t="shared" si="27"/>
        <v>5.33</v>
      </c>
    </row>
    <row r="211" spans="1:8" x14ac:dyDescent="0.2">
      <c r="A211" s="214"/>
      <c r="B211" s="215"/>
      <c r="C211" s="229"/>
      <c r="D211" s="229"/>
      <c r="E211" s="230"/>
      <c r="F211" s="218"/>
      <c r="G211" s="231"/>
      <c r="H211" s="219"/>
    </row>
    <row r="212" spans="1:8" x14ac:dyDescent="0.2">
      <c r="A212" s="199" t="s">
        <v>204</v>
      </c>
      <c r="B212" s="199"/>
      <c r="C212" s="199"/>
      <c r="D212" s="200" t="s">
        <v>205</v>
      </c>
      <c r="E212" s="201"/>
      <c r="F212" s="202"/>
      <c r="G212" s="199"/>
      <c r="H212" s="203"/>
    </row>
    <row r="213" spans="1:8" ht="22.5" x14ac:dyDescent="0.2">
      <c r="A213" s="204" t="s">
        <v>206</v>
      </c>
      <c r="B213" s="54" t="str">
        <f>VLOOKUP(A213,'Orçamento Sintético'!$A:$H,2,0)</f>
        <v xml:space="preserve"> MPDFT0905 </v>
      </c>
      <c r="C213" s="54" t="str">
        <f>VLOOKUP(A213,'Orçamento Sintético'!$A:$H,3,0)</f>
        <v>Próprio</v>
      </c>
      <c r="D213" s="55" t="str">
        <f>VLOOKUP(A213,'Orçamento Sintético'!$A:$H,4,0)</f>
        <v>Copia da SETOP (PIS-FAI-005) - Fita antiderrapante 3M Safety Walk,  linha Conformable.</v>
      </c>
      <c r="E213" s="54" t="str">
        <f>VLOOKUP(A213,'Orçamento Sintético'!$A:$H,5,0)</f>
        <v>m</v>
      </c>
      <c r="F213" s="183"/>
      <c r="G213" s="184"/>
      <c r="H213" s="185">
        <f>SUM(H214:H215)</f>
        <v>20.46</v>
      </c>
    </row>
    <row r="214" spans="1:8" x14ac:dyDescent="0.2">
      <c r="A214" s="114" t="str">
        <f>VLOOKUP(B214,'Insumos e Serviços'!$A:$F,3,0)</f>
        <v>Composição</v>
      </c>
      <c r="B214" s="109" t="s">
        <v>597</v>
      </c>
      <c r="C214" s="113" t="str">
        <f>VLOOKUP(B214,'Insumos e Serviços'!$A:$F,2,0)</f>
        <v>SINAPI</v>
      </c>
      <c r="D214" s="114" t="str">
        <f>VLOOKUP(B214,'Insumos e Serviços'!$A:$F,4,0)</f>
        <v>SERVENTE COM ENCARGOS COMPLEMENTARES</v>
      </c>
      <c r="E214" s="113" t="str">
        <f>VLOOKUP(B214,'Insumos e Serviços'!$A:$F,5,0)</f>
        <v>H</v>
      </c>
      <c r="F214" s="189">
        <v>0.25</v>
      </c>
      <c r="G214" s="115">
        <f>VLOOKUP(B214,'Insumos e Serviços'!$A:$F,6,0)</f>
        <v>17.170000000000002</v>
      </c>
      <c r="H214" s="115">
        <f t="shared" ref="H214:H215" si="28">TRUNC(F214*G214,2)</f>
        <v>4.29</v>
      </c>
    </row>
    <row r="215" spans="1:8" x14ac:dyDescent="0.2">
      <c r="A215" s="114" t="str">
        <f>VLOOKUP(B215,'Insumos e Serviços'!$A:$F,3,0)</f>
        <v>Insumo</v>
      </c>
      <c r="B215" s="109" t="s">
        <v>849</v>
      </c>
      <c r="C215" s="113" t="str">
        <f>VLOOKUP(B215,'Insumos e Serviços'!$A:$F,2,0)</f>
        <v>Próprio</v>
      </c>
      <c r="D215" s="114" t="str">
        <f>VLOOKUP(B215,'Insumos e Serviços'!$A:$F,4,0)</f>
        <v>Fita antiderrapante, largura 50mm, ref. Safety Walk, linha Conformable fab. 3M</v>
      </c>
      <c r="E215" s="113" t="str">
        <f>VLOOKUP(B215,'Insumos e Serviços'!$A:$F,5,0)</f>
        <v>m</v>
      </c>
      <c r="F215" s="189">
        <v>1</v>
      </c>
      <c r="G215" s="115">
        <f>VLOOKUP(B215,'Insumos e Serviços'!$A:$F,6,0)</f>
        <v>16.170000000000002</v>
      </c>
      <c r="H215" s="115">
        <f t="shared" si="28"/>
        <v>16.170000000000002</v>
      </c>
    </row>
    <row r="216" spans="1:8" x14ac:dyDescent="0.2">
      <c r="A216" s="205"/>
      <c r="B216" s="205"/>
      <c r="C216" s="205"/>
      <c r="D216" s="206"/>
      <c r="E216" s="207"/>
      <c r="F216" s="208"/>
      <c r="G216" s="205"/>
      <c r="H216" s="205"/>
    </row>
    <row r="217" spans="1:8" x14ac:dyDescent="0.2">
      <c r="A217" s="199" t="s">
        <v>212</v>
      </c>
      <c r="B217" s="199"/>
      <c r="C217" s="199"/>
      <c r="D217" s="200" t="s">
        <v>213</v>
      </c>
      <c r="E217" s="201"/>
      <c r="F217" s="202"/>
      <c r="G217" s="199"/>
      <c r="H217" s="203"/>
    </row>
    <row r="218" spans="1:8" ht="22.5" x14ac:dyDescent="0.2">
      <c r="A218" s="204" t="s">
        <v>214</v>
      </c>
      <c r="B218" s="54" t="str">
        <f>VLOOKUP(A218,'Orçamento Sintético'!$A:$H,2,0)</f>
        <v xml:space="preserve"> MPDFT1075 </v>
      </c>
      <c r="C218" s="54" t="str">
        <f>VLOOKUP(A218,'Orçamento Sintético'!$A:$H,3,0)</f>
        <v>Próprio</v>
      </c>
      <c r="D218" s="55" t="str">
        <f>VLOOKUP(A218,'Orçamento Sintético'!$A:$H,4,0)</f>
        <v>Cópia SINAPI 99855 -Corrimão duplo de Ø 1.1/2" (38,1mm) em tubo de aço industrial, para pintura esmalte. Instalado em alvenaria</v>
      </c>
      <c r="E218" s="54" t="str">
        <f>VLOOKUP(A218,'Orçamento Sintético'!$A:$H,5,0)</f>
        <v>m</v>
      </c>
      <c r="F218" s="183"/>
      <c r="G218" s="184"/>
      <c r="H218" s="185">
        <f>SUM(H219:H224)</f>
        <v>214.3</v>
      </c>
    </row>
    <row r="219" spans="1:8" x14ac:dyDescent="0.2">
      <c r="A219" s="114" t="str">
        <f>VLOOKUP(B219,'Insumos e Serviços'!$A:$F,3,0)</f>
        <v>Composição</v>
      </c>
      <c r="B219" s="109" t="s">
        <v>603</v>
      </c>
      <c r="C219" s="113" t="str">
        <f>VLOOKUP(B219,'Insumos e Serviços'!$A:$F,2,0)</f>
        <v>SINAPI</v>
      </c>
      <c r="D219" s="114" t="str">
        <f>VLOOKUP(B219,'Insumos e Serviços'!$A:$F,4,0)</f>
        <v>AUXILIAR DE SERRALHEIRO COM ENCARGOS COMPLEMENTARES</v>
      </c>
      <c r="E219" s="113" t="str">
        <f>VLOOKUP(B219,'Insumos e Serviços'!$A:$F,5,0)</f>
        <v>H</v>
      </c>
      <c r="F219" s="189">
        <v>1.502</v>
      </c>
      <c r="G219" s="115">
        <f>VLOOKUP(B219,'Insumos e Serviços'!$A:$F,6,0)</f>
        <v>18.84</v>
      </c>
      <c r="H219" s="115">
        <f t="shared" ref="H219:H224" si="29">TRUNC(F219*G219,2)</f>
        <v>28.29</v>
      </c>
    </row>
    <row r="220" spans="1:8" x14ac:dyDescent="0.2">
      <c r="A220" s="114" t="str">
        <f>VLOOKUP(B220,'Insumos e Serviços'!$A:$F,3,0)</f>
        <v>Composição</v>
      </c>
      <c r="B220" s="109" t="s">
        <v>601</v>
      </c>
      <c r="C220" s="113" t="str">
        <f>VLOOKUP(B220,'Insumos e Serviços'!$A:$F,2,0)</f>
        <v>SINAPI</v>
      </c>
      <c r="D220" s="114" t="str">
        <f>VLOOKUP(B220,'Insumos e Serviços'!$A:$F,4,0)</f>
        <v>SERRALHEIRO COM ENCARGOS COMPLEMENTARES</v>
      </c>
      <c r="E220" s="113" t="str">
        <f>VLOOKUP(B220,'Insumos e Serviços'!$A:$F,5,0)</f>
        <v>H</v>
      </c>
      <c r="F220" s="189">
        <v>1.8280000000000001</v>
      </c>
      <c r="G220" s="115">
        <f>VLOOKUP(B220,'Insumos e Serviços'!$A:$F,6,0)</f>
        <v>23.13</v>
      </c>
      <c r="H220" s="115">
        <f t="shared" si="29"/>
        <v>42.28</v>
      </c>
    </row>
    <row r="221" spans="1:8" ht="22.5" x14ac:dyDescent="0.2">
      <c r="A221" s="114" t="str">
        <f>VLOOKUP(B221,'Insumos e Serviços'!$A:$F,3,0)</f>
        <v>Insumo</v>
      </c>
      <c r="B221" s="109" t="s">
        <v>853</v>
      </c>
      <c r="C221" s="113" t="str">
        <f>VLOOKUP(B221,'Insumos e Serviços'!$A:$F,2,0)</f>
        <v>SINAPI</v>
      </c>
      <c r="D221" s="114" t="str">
        <f>VLOOKUP(B221,'Insumos e Serviços'!$A:$F,4,0)</f>
        <v>BUCHA DE NYLON SEM ABA S10, COM PARAFUSO DE 6,10 X 65 MM EM ACO ZINCADO COM ROSCA SOBERBA, CABECA CHATA E FENDA PHILLIPS</v>
      </c>
      <c r="E221" s="113" t="str">
        <f>VLOOKUP(B221,'Insumos e Serviços'!$A:$F,5,0)</f>
        <v>UN</v>
      </c>
      <c r="F221" s="189">
        <v>6.5449999999999999</v>
      </c>
      <c r="G221" s="115">
        <f>VLOOKUP(B221,'Insumos e Serviços'!$A:$F,6,0)</f>
        <v>0.79</v>
      </c>
      <c r="H221" s="115">
        <f t="shared" si="29"/>
        <v>5.17</v>
      </c>
    </row>
    <row r="222" spans="1:8" x14ac:dyDescent="0.2">
      <c r="A222" s="114" t="str">
        <f>VLOOKUP(B222,'Insumos e Serviços'!$A:$F,3,0)</f>
        <v>Insumo</v>
      </c>
      <c r="B222" s="109" t="s">
        <v>608</v>
      </c>
      <c r="C222" s="113" t="str">
        <f>VLOOKUP(B222,'Insumos e Serviços'!$A:$F,2,0)</f>
        <v>SINAPI</v>
      </c>
      <c r="D222" s="114" t="str">
        <f>VLOOKUP(B222,'Insumos e Serviços'!$A:$F,4,0)</f>
        <v>ELETRODO REVESTIDO AWS - E6013, DIAMETRO IGUAL A 2,50 MM</v>
      </c>
      <c r="E222" s="113" t="str">
        <f>VLOOKUP(B222,'Insumos e Serviços'!$A:$F,5,0)</f>
        <v>KG</v>
      </c>
      <c r="F222" s="189">
        <v>6.0000000000000001E-3</v>
      </c>
      <c r="G222" s="115">
        <f>VLOOKUP(B222,'Insumos e Serviços'!$A:$F,6,0)</f>
        <v>19.09</v>
      </c>
      <c r="H222" s="115">
        <f t="shared" si="29"/>
        <v>0.11</v>
      </c>
    </row>
    <row r="223" spans="1:8" x14ac:dyDescent="0.2">
      <c r="A223" s="114" t="str">
        <f>VLOOKUP(B223,'Insumos e Serviços'!$A:$F,3,0)</f>
        <v>Material</v>
      </c>
      <c r="B223" s="109" t="s">
        <v>855</v>
      </c>
      <c r="C223" s="113" t="str">
        <f>VLOOKUP(B223,'Insumos e Serviços'!$A:$F,2,0)</f>
        <v>SINAPI</v>
      </c>
      <c r="D223" s="114" t="str">
        <f>VLOOKUP(B223,'Insumos e Serviços'!$A:$F,4,0)</f>
        <v>SUPORTE PARA CALHA DE 150 MM EM FERRO GALVANIZADO</v>
      </c>
      <c r="E223" s="113" t="str">
        <f>VLOOKUP(B223,'Insumos e Serviços'!$A:$F,5,0)</f>
        <v>UN</v>
      </c>
      <c r="F223" s="189">
        <v>2.1819999999999999</v>
      </c>
      <c r="G223" s="115" t="str">
        <f>VLOOKUP(B223,'Insumos e Serviços'!$A:$F,6,0)</f>
        <v xml:space="preserve"> 5,23</v>
      </c>
      <c r="H223" s="115">
        <f t="shared" si="29"/>
        <v>11.41</v>
      </c>
    </row>
    <row r="224" spans="1:8" ht="22.5" x14ac:dyDescent="0.2">
      <c r="A224" s="114" t="str">
        <f>VLOOKUP(B224,'Insumos e Serviços'!$A:$F,3,0)</f>
        <v>Insumo</v>
      </c>
      <c r="B224" s="109" t="s">
        <v>857</v>
      </c>
      <c r="C224" s="113" t="str">
        <f>VLOOKUP(B224,'Insumos e Serviços'!$A:$F,2,0)</f>
        <v>SINAPI</v>
      </c>
      <c r="D224" s="114" t="str">
        <f>VLOOKUP(B224,'Insumos e Serviços'!$A:$F,4,0)</f>
        <v>TUBO ACO GALVANIZADO COM COSTURA, CLASSE LEVE, DN 40 MM ( 1 1/2"),  E = 3,00 MM,  *3,48* KG/M (NBR 5580)</v>
      </c>
      <c r="E224" s="113" t="str">
        <f>VLOOKUP(B224,'Insumos e Serviços'!$A:$F,5,0)</f>
        <v>M</v>
      </c>
      <c r="F224" s="189">
        <v>2.0579999999999998</v>
      </c>
      <c r="G224" s="115">
        <f>VLOOKUP(B224,'Insumos e Serviços'!$A:$F,6,0)</f>
        <v>61.73</v>
      </c>
      <c r="H224" s="115">
        <f t="shared" si="29"/>
        <v>127.04</v>
      </c>
    </row>
    <row r="225" spans="1:8" x14ac:dyDescent="0.2">
      <c r="A225" s="205"/>
      <c r="B225" s="205"/>
      <c r="C225" s="205"/>
      <c r="D225" s="206"/>
      <c r="E225" s="207"/>
      <c r="F225" s="208"/>
      <c r="G225" s="205"/>
      <c r="H225" s="205"/>
    </row>
    <row r="226" spans="1:8" ht="22.5" x14ac:dyDescent="0.2">
      <c r="A226" s="204" t="s">
        <v>217</v>
      </c>
      <c r="B226" s="54" t="str">
        <f>VLOOKUP(A226,'Orçamento Sintético'!$A:$H,2,0)</f>
        <v xml:space="preserve"> MPDFT0918 </v>
      </c>
      <c r="C226" s="54" t="str">
        <f>VLOOKUP(A226,'Orçamento Sintético'!$A:$H,3,0)</f>
        <v>Próprio</v>
      </c>
      <c r="D226" s="55" t="str">
        <f>VLOOKUP(A226,'Orçamento Sintético'!$A:$H,4,0)</f>
        <v>Complemento de corrimão simples para duplo 1 1/2", de aço galvanizado para pintura, fixado em alvenaria ou guarda corpo</v>
      </c>
      <c r="E226" s="54" t="str">
        <f>VLOOKUP(A226,'Orçamento Sintético'!$A:$H,5,0)</f>
        <v>m</v>
      </c>
      <c r="F226" s="183"/>
      <c r="G226" s="184"/>
      <c r="H226" s="185">
        <f>SUM(H227:H233)</f>
        <v>196.92000000000002</v>
      </c>
    </row>
    <row r="227" spans="1:8" x14ac:dyDescent="0.2">
      <c r="A227" s="114" t="str">
        <f>VLOOKUP(B227,'Insumos e Serviços'!$A:$F,3,0)</f>
        <v>Composição</v>
      </c>
      <c r="B227" s="109" t="s">
        <v>603</v>
      </c>
      <c r="C227" s="113" t="str">
        <f>VLOOKUP(B227,'Insumos e Serviços'!$A:$F,2,0)</f>
        <v>SINAPI</v>
      </c>
      <c r="D227" s="114" t="str">
        <f>VLOOKUP(B227,'Insumos e Serviços'!$A:$F,4,0)</f>
        <v>AUXILIAR DE SERRALHEIRO COM ENCARGOS COMPLEMENTARES</v>
      </c>
      <c r="E227" s="113" t="str">
        <f>VLOOKUP(B227,'Insumos e Serviços'!$A:$F,5,0)</f>
        <v>H</v>
      </c>
      <c r="F227" s="189">
        <v>1.502</v>
      </c>
      <c r="G227" s="115">
        <f>VLOOKUP(B227,'Insumos e Serviços'!$A:$F,6,0)</f>
        <v>18.84</v>
      </c>
      <c r="H227" s="115">
        <f t="shared" ref="H227:H233" si="30">TRUNC(F227*G227,2)</f>
        <v>28.29</v>
      </c>
    </row>
    <row r="228" spans="1:8" x14ac:dyDescent="0.2">
      <c r="A228" s="114" t="str">
        <f>VLOOKUP(B228,'Insumos e Serviços'!$A:$F,3,0)</f>
        <v>Composição</v>
      </c>
      <c r="B228" s="109" t="s">
        <v>601</v>
      </c>
      <c r="C228" s="113" t="str">
        <f>VLOOKUP(B228,'Insumos e Serviços'!$A:$F,2,0)</f>
        <v>SINAPI</v>
      </c>
      <c r="D228" s="114" t="str">
        <f>VLOOKUP(B228,'Insumos e Serviços'!$A:$F,4,0)</f>
        <v>SERRALHEIRO COM ENCARGOS COMPLEMENTARES</v>
      </c>
      <c r="E228" s="113" t="str">
        <f>VLOOKUP(B228,'Insumos e Serviços'!$A:$F,5,0)</f>
        <v>H</v>
      </c>
      <c r="F228" s="189">
        <v>1.8280000000000001</v>
      </c>
      <c r="G228" s="115">
        <f>VLOOKUP(B228,'Insumos e Serviços'!$A:$F,6,0)</f>
        <v>23.13</v>
      </c>
      <c r="H228" s="115">
        <f t="shared" si="30"/>
        <v>42.28</v>
      </c>
    </row>
    <row r="229" spans="1:8" ht="22.5" x14ac:dyDescent="0.2">
      <c r="A229" s="114" t="str">
        <f>VLOOKUP(B229,'Insumos e Serviços'!$A:$F,3,0)</f>
        <v>Insumo</v>
      </c>
      <c r="B229" s="109" t="s">
        <v>853</v>
      </c>
      <c r="C229" s="113" t="str">
        <f>VLOOKUP(B229,'Insumos e Serviços'!$A:$F,2,0)</f>
        <v>SINAPI</v>
      </c>
      <c r="D229" s="114" t="str">
        <f>VLOOKUP(B229,'Insumos e Serviços'!$A:$F,4,0)</f>
        <v>BUCHA DE NYLON SEM ABA S10, COM PARAFUSO DE 6,10 X 65 MM EM ACO ZINCADO COM ROSCA SOBERBA, CABECA CHATA E FENDA PHILLIPS</v>
      </c>
      <c r="E229" s="113" t="str">
        <f>VLOOKUP(B229,'Insumos e Serviços'!$A:$F,5,0)</f>
        <v>UN</v>
      </c>
      <c r="F229" s="189">
        <v>3.2730000000000001</v>
      </c>
      <c r="G229" s="115">
        <f>VLOOKUP(B229,'Insumos e Serviços'!$A:$F,6,0)</f>
        <v>0.79</v>
      </c>
      <c r="H229" s="115">
        <f t="shared" si="30"/>
        <v>2.58</v>
      </c>
    </row>
    <row r="230" spans="1:8" x14ac:dyDescent="0.2">
      <c r="A230" s="114" t="str">
        <f>VLOOKUP(B230,'Insumos e Serviços'!$A:$F,3,0)</f>
        <v>Insumo</v>
      </c>
      <c r="B230" s="109" t="s">
        <v>608</v>
      </c>
      <c r="C230" s="113" t="str">
        <f>VLOOKUP(B230,'Insumos e Serviços'!$A:$F,2,0)</f>
        <v>SINAPI</v>
      </c>
      <c r="D230" s="114" t="str">
        <f>VLOOKUP(B230,'Insumos e Serviços'!$A:$F,4,0)</f>
        <v>ELETRODO REVESTIDO AWS - E6013, DIAMETRO IGUAL A 2,50 MM</v>
      </c>
      <c r="E230" s="113" t="str">
        <f>VLOOKUP(B230,'Insumos e Serviços'!$A:$F,5,0)</f>
        <v>KG</v>
      </c>
      <c r="F230" s="189">
        <v>6.0000000000000001E-3</v>
      </c>
      <c r="G230" s="115">
        <f>VLOOKUP(B230,'Insumos e Serviços'!$A:$F,6,0)</f>
        <v>19.09</v>
      </c>
      <c r="H230" s="115">
        <f t="shared" si="30"/>
        <v>0.11</v>
      </c>
    </row>
    <row r="231" spans="1:8" ht="22.5" x14ac:dyDescent="0.2">
      <c r="A231" s="114" t="str">
        <f>VLOOKUP(B231,'Insumos e Serviços'!$A:$F,3,0)</f>
        <v>Insumo</v>
      </c>
      <c r="B231" s="109" t="s">
        <v>857</v>
      </c>
      <c r="C231" s="113" t="str">
        <f>VLOOKUP(B231,'Insumos e Serviços'!$A:$F,2,0)</f>
        <v>SINAPI</v>
      </c>
      <c r="D231" s="114" t="str">
        <f>VLOOKUP(B231,'Insumos e Serviços'!$A:$F,4,0)</f>
        <v>TUBO ACO GALVANIZADO COM COSTURA, CLASSE LEVE, DN 40 MM ( 1 1/2"),  E = 3,00 MM,  *3,48* KG/M (NBR 5580)</v>
      </c>
      <c r="E231" s="113" t="str">
        <f>VLOOKUP(B231,'Insumos e Serviços'!$A:$F,5,0)</f>
        <v>M</v>
      </c>
      <c r="F231" s="189">
        <v>1.3</v>
      </c>
      <c r="G231" s="115">
        <f>VLOOKUP(B231,'Insumos e Serviços'!$A:$F,6,0)</f>
        <v>61.73</v>
      </c>
      <c r="H231" s="115">
        <f t="shared" si="30"/>
        <v>80.239999999999995</v>
      </c>
    </row>
    <row r="232" spans="1:8" x14ac:dyDescent="0.2">
      <c r="A232" s="114" t="str">
        <f>VLOOKUP(B232,'Insumos e Serviços'!$A:$F,3,0)</f>
        <v>Insumo</v>
      </c>
      <c r="B232" s="109" t="s">
        <v>859</v>
      </c>
      <c r="C232" s="113" t="str">
        <f>VLOOKUP(B232,'Insumos e Serviços'!$A:$F,2,0)</f>
        <v>Próprio</v>
      </c>
      <c r="D232" s="114" t="str">
        <f>VLOOKUP(B232,'Insumos e Serviços'!$A:$F,4,0)</f>
        <v>Suporte para corrimão, redondo com pino 1/2" P/ tubo 2" - com parafusos e buchas</v>
      </c>
      <c r="E232" s="113" t="str">
        <f>VLOOKUP(B232,'Insumos e Serviços'!$A:$F,5,0)</f>
        <v>un</v>
      </c>
      <c r="F232" s="189">
        <v>1.091</v>
      </c>
      <c r="G232" s="115">
        <f>VLOOKUP(B232,'Insumos e Serviços'!$A:$F,6,0)</f>
        <v>7.41</v>
      </c>
      <c r="H232" s="115">
        <f t="shared" si="30"/>
        <v>8.08</v>
      </c>
    </row>
    <row r="233" spans="1:8" x14ac:dyDescent="0.2">
      <c r="A233" s="114" t="str">
        <f>VLOOKUP(B233,'Insumos e Serviços'!$A:$F,3,0)</f>
        <v>Insumo</v>
      </c>
      <c r="B233" s="109" t="s">
        <v>861</v>
      </c>
      <c r="C233" s="113" t="str">
        <f>VLOOKUP(B233,'Insumos e Serviços'!$A:$F,2,0)</f>
        <v>Próprio</v>
      </c>
      <c r="D233" s="114" t="str">
        <f>VLOOKUP(B233,'Insumos e Serviços'!$A:$F,4,0)</f>
        <v>Curva de aço galvanizado 1 1/2"</v>
      </c>
      <c r="E233" s="113" t="str">
        <f>VLOOKUP(B233,'Insumos e Serviços'!$A:$F,5,0)</f>
        <v>un</v>
      </c>
      <c r="F233" s="189">
        <v>1</v>
      </c>
      <c r="G233" s="115" t="str">
        <f>VLOOKUP(B233,'Insumos e Serviços'!$A:$F,6,0)</f>
        <v xml:space="preserve"> 35,34</v>
      </c>
      <c r="H233" s="115">
        <f t="shared" si="30"/>
        <v>35.340000000000003</v>
      </c>
    </row>
    <row r="234" spans="1:8" x14ac:dyDescent="0.2">
      <c r="A234" s="205"/>
      <c r="B234" s="205"/>
      <c r="C234" s="205"/>
      <c r="D234" s="206"/>
      <c r="E234" s="207"/>
      <c r="F234" s="208"/>
      <c r="G234" s="205"/>
      <c r="H234" s="205"/>
    </row>
    <row r="235" spans="1:8" ht="22.5" x14ac:dyDescent="0.2">
      <c r="A235" s="204" t="s">
        <v>220</v>
      </c>
      <c r="B235" s="54" t="str">
        <f>VLOOKUP(A235,'Orçamento Sintético'!$A:$H,2,0)</f>
        <v xml:space="preserve"> MPDFT0607 </v>
      </c>
      <c r="C235" s="54" t="str">
        <f>VLOOKUP(A235,'Orçamento Sintético'!$A:$H,3,0)</f>
        <v>Próprio</v>
      </c>
      <c r="D235" s="55" t="str">
        <f>VLOOKUP(A235,'Orçamento Sintético'!$A:$H,4,0)</f>
        <v>Plaquetas de sinalização em braile em placas de alumínio, escrita em alfabeto braile, identificando o pavimento em que o usuário se encontra, referência: Andaluz</v>
      </c>
      <c r="E235" s="54" t="str">
        <f>VLOOKUP(A235,'Orçamento Sintético'!$A:$H,5,0)</f>
        <v>un</v>
      </c>
      <c r="F235" s="183"/>
      <c r="G235" s="184"/>
      <c r="H235" s="185">
        <f>SUM(H236:H238)</f>
        <v>10.76</v>
      </c>
    </row>
    <row r="236" spans="1:8" x14ac:dyDescent="0.2">
      <c r="A236" s="114" t="str">
        <f>VLOOKUP(B236,'Insumos e Serviços'!$A:$F,3,0)</f>
        <v>Composição</v>
      </c>
      <c r="B236" s="109" t="s">
        <v>597</v>
      </c>
      <c r="C236" s="113" t="str">
        <f>VLOOKUP(B236,'Insumos e Serviços'!$A:$F,2,0)</f>
        <v>SINAPI</v>
      </c>
      <c r="D236" s="114" t="str">
        <f>VLOOKUP(B236,'Insumos e Serviços'!$A:$F,4,0)</f>
        <v>SERVENTE COM ENCARGOS COMPLEMENTARES</v>
      </c>
      <c r="E236" s="113" t="str">
        <f>VLOOKUP(B236,'Insumos e Serviços'!$A:$F,5,0)</f>
        <v>H</v>
      </c>
      <c r="F236" s="189">
        <v>8.3000000000000004E-2</v>
      </c>
      <c r="G236" s="115">
        <f>VLOOKUP(B236,'Insumos e Serviços'!$A:$F,6,0)</f>
        <v>17.170000000000002</v>
      </c>
      <c r="H236" s="115">
        <f t="shared" ref="H236:H238" si="31">TRUNC(F236*G236,2)</f>
        <v>1.42</v>
      </c>
    </row>
    <row r="237" spans="1:8" ht="22.5" x14ac:dyDescent="0.2">
      <c r="A237" s="114" t="str">
        <f>VLOOKUP(B237,'Insumos e Serviços'!$A:$F,3,0)</f>
        <v>Insumo</v>
      </c>
      <c r="B237" s="109" t="s">
        <v>863</v>
      </c>
      <c r="C237" s="113" t="str">
        <f>VLOOKUP(B237,'Insumos e Serviços'!$A:$F,2,0)</f>
        <v>Próprio</v>
      </c>
      <c r="D237" s="114" t="str">
        <f>VLOOKUP(B237,'Insumos e Serviços'!$A:$F,4,0)</f>
        <v>Plaquetas de sinalização em braile em placas de alumínio, escrita em alfabeto braile, identificando o pavimento em que o usuário se encontra, referência: Andaluz</v>
      </c>
      <c r="E237" s="113" t="str">
        <f>VLOOKUP(B237,'Insumos e Serviços'!$A:$F,5,0)</f>
        <v>un</v>
      </c>
      <c r="F237" s="189">
        <v>1</v>
      </c>
      <c r="G237" s="115" t="str">
        <f>VLOOKUP(B237,'Insumos e Serviços'!$A:$F,6,0)</f>
        <v xml:space="preserve"> 9,08</v>
      </c>
      <c r="H237" s="115">
        <f t="shared" si="31"/>
        <v>9.08</v>
      </c>
    </row>
    <row r="238" spans="1:8" x14ac:dyDescent="0.2">
      <c r="A238" s="114" t="str">
        <f>VLOOKUP(B238,'Insumos e Serviços'!$A:$F,3,0)</f>
        <v>Insumo</v>
      </c>
      <c r="B238" s="109" t="s">
        <v>837</v>
      </c>
      <c r="C238" s="113" t="str">
        <f>VLOOKUP(B238,'Insumos e Serviços'!$A:$F,2,0)</f>
        <v>SINAPI</v>
      </c>
      <c r="D238" s="114" t="str">
        <f>VLOOKUP(B238,'Insumos e Serviços'!$A:$F,4,0)</f>
        <v>ADESIVO ACRILICO/COLA DE CONTATO</v>
      </c>
      <c r="E238" s="113" t="str">
        <f>VLOOKUP(B238,'Insumos e Serviços'!$A:$F,5,0)</f>
        <v>KG</v>
      </c>
      <c r="F238" s="189">
        <v>0.01</v>
      </c>
      <c r="G238" s="115">
        <f>VLOOKUP(B238,'Insumos e Serviços'!$A:$F,6,0)</f>
        <v>26.82</v>
      </c>
      <c r="H238" s="115">
        <f t="shared" si="31"/>
        <v>0.26</v>
      </c>
    </row>
    <row r="239" spans="1:8" x14ac:dyDescent="0.2">
      <c r="A239" s="205"/>
      <c r="B239" s="205"/>
      <c r="C239" s="205"/>
      <c r="D239" s="206"/>
      <c r="E239" s="207"/>
      <c r="F239" s="208"/>
      <c r="G239" s="205"/>
      <c r="H239" s="205"/>
    </row>
    <row r="240" spans="1:8" x14ac:dyDescent="0.2">
      <c r="A240" s="199" t="s">
        <v>223</v>
      </c>
      <c r="B240" s="199"/>
      <c r="C240" s="199"/>
      <c r="D240" s="200" t="s">
        <v>224</v>
      </c>
      <c r="E240" s="201"/>
      <c r="F240" s="202"/>
      <c r="G240" s="199"/>
      <c r="H240" s="203"/>
    </row>
    <row r="241" spans="1:8" ht="22.5" x14ac:dyDescent="0.2">
      <c r="A241" s="204" t="s">
        <v>225</v>
      </c>
      <c r="B241" s="54" t="str">
        <f>VLOOKUP(A241,'Orçamento Sintético'!$A:$H,2,0)</f>
        <v xml:space="preserve"> MPDFT0148 </v>
      </c>
      <c r="C241" s="54" t="str">
        <f>VLOOKUP(A241,'Orçamento Sintético'!$A:$H,3,0)</f>
        <v>Próprio</v>
      </c>
      <c r="D241" s="55" t="str">
        <f>VLOOKUP(A241,'Orçamento Sintético'!$A:$H,4,0)</f>
        <v>Copia - Copia da SINAPI (95470) - Bacia sanitária, cor branco gelo, Linha Monte Carlo cód. P.8.17, fab. Deca com assento PLÁSTICO</v>
      </c>
      <c r="E241" s="54" t="str">
        <f>VLOOKUP(A241,'Orçamento Sintético'!$A:$H,5,0)</f>
        <v>UN</v>
      </c>
      <c r="F241" s="183"/>
      <c r="G241" s="184"/>
      <c r="H241" s="185">
        <f>SUM(H242:H249)</f>
        <v>558.83999999999992</v>
      </c>
    </row>
    <row r="242" spans="1:8" x14ac:dyDescent="0.2">
      <c r="A242" s="114" t="str">
        <f>VLOOKUP(B242,'Insumos e Serviços'!$A:$F,3,0)</f>
        <v>Composição</v>
      </c>
      <c r="B242" s="109" t="s">
        <v>625</v>
      </c>
      <c r="C242" s="113" t="str">
        <f>VLOOKUP(B242,'Insumos e Serviços'!$A:$F,2,0)</f>
        <v>SINAPI</v>
      </c>
      <c r="D242" s="114" t="str">
        <f>VLOOKUP(B242,'Insumos e Serviços'!$A:$F,4,0)</f>
        <v>ENCANADOR OU BOMBEIRO HIDRÁULICO COM ENCARGOS COMPLEMENTARES</v>
      </c>
      <c r="E242" s="113" t="str">
        <f>VLOOKUP(B242,'Insumos e Serviços'!$A:$F,5,0)</f>
        <v>H</v>
      </c>
      <c r="F242" s="189">
        <v>0.49680000000000002</v>
      </c>
      <c r="G242" s="115">
        <f>VLOOKUP(B242,'Insumos e Serviços'!$A:$F,6,0)</f>
        <v>22.76</v>
      </c>
      <c r="H242" s="115">
        <f t="shared" ref="H242:H249" si="32">TRUNC(F242*G242,2)</f>
        <v>11.3</v>
      </c>
    </row>
    <row r="243" spans="1:8" x14ac:dyDescent="0.2">
      <c r="A243" s="114" t="str">
        <f>VLOOKUP(B243,'Insumos e Serviços'!$A:$F,3,0)</f>
        <v>Composição</v>
      </c>
      <c r="B243" s="109" t="s">
        <v>597</v>
      </c>
      <c r="C243" s="113" t="str">
        <f>VLOOKUP(B243,'Insumos e Serviços'!$A:$F,2,0)</f>
        <v>SINAPI</v>
      </c>
      <c r="D243" s="114" t="str">
        <f>VLOOKUP(B243,'Insumos e Serviços'!$A:$F,4,0)</f>
        <v>SERVENTE COM ENCARGOS COMPLEMENTARES</v>
      </c>
      <c r="E243" s="113" t="str">
        <f>VLOOKUP(B243,'Insumos e Serviços'!$A:$F,5,0)</f>
        <v>H</v>
      </c>
      <c r="F243" s="189">
        <v>0.34949999999999998</v>
      </c>
      <c r="G243" s="115">
        <f>VLOOKUP(B243,'Insumos e Serviços'!$A:$F,6,0)</f>
        <v>17.170000000000002</v>
      </c>
      <c r="H243" s="115">
        <f t="shared" si="32"/>
        <v>6</v>
      </c>
    </row>
    <row r="244" spans="1:8" x14ac:dyDescent="0.2">
      <c r="A244" s="114" t="str">
        <f>VLOOKUP(B244,'Insumos e Serviços'!$A:$F,3,0)</f>
        <v>Insumo</v>
      </c>
      <c r="B244" s="109" t="s">
        <v>864</v>
      </c>
      <c r="C244" s="113" t="str">
        <f>VLOOKUP(B244,'Insumos e Serviços'!$A:$F,2,0)</f>
        <v>SINAPI</v>
      </c>
      <c r="D244" s="114" t="str">
        <f>VLOOKUP(B244,'Insumos e Serviços'!$A:$F,4,0)</f>
        <v>VEDACAO PVC, 100 MM, PARA SAIDA VASO SANITARIO</v>
      </c>
      <c r="E244" s="113" t="str">
        <f>VLOOKUP(B244,'Insumos e Serviços'!$A:$F,5,0)</f>
        <v>UN</v>
      </c>
      <c r="F244" s="189">
        <v>1</v>
      </c>
      <c r="G244" s="115">
        <f>VLOOKUP(B244,'Insumos e Serviços'!$A:$F,6,0)</f>
        <v>2.89</v>
      </c>
      <c r="H244" s="115">
        <f t="shared" si="32"/>
        <v>2.89</v>
      </c>
    </row>
    <row r="245" spans="1:8" ht="22.5" x14ac:dyDescent="0.2">
      <c r="A245" s="114" t="str">
        <f>VLOOKUP(B245,'Insumos e Serviços'!$A:$F,3,0)</f>
        <v>Material</v>
      </c>
      <c r="B245" s="109" t="s">
        <v>866</v>
      </c>
      <c r="C245" s="113" t="str">
        <f>VLOOKUP(B245,'Insumos e Serviços'!$A:$F,2,0)</f>
        <v>SINAPI</v>
      </c>
      <c r="D245" s="114" t="str">
        <f>VLOOKUP(B245,'Insumos e Serviços'!$A:$F,4,0)</f>
        <v>PARAFUSO NIQUELADO COM ACABAMENTO CROMADO PARA FIXAR PECA SANITARIA, INCLUI PORCA CEGA, ARRUELA E BUCHA DE NYLON TAMANHO S-10</v>
      </c>
      <c r="E245" s="113" t="str">
        <f>VLOOKUP(B245,'Insumos e Serviços'!$A:$F,5,0)</f>
        <v>UN</v>
      </c>
      <c r="F245" s="189">
        <v>2</v>
      </c>
      <c r="G245" s="115" t="str">
        <f>VLOOKUP(B245,'Insumos e Serviços'!$A:$F,6,0)</f>
        <v xml:space="preserve"> 11,53</v>
      </c>
      <c r="H245" s="115">
        <f t="shared" si="32"/>
        <v>23.06</v>
      </c>
    </row>
    <row r="246" spans="1:8" x14ac:dyDescent="0.2">
      <c r="A246" s="114" t="str">
        <f>VLOOKUP(B246,'Insumos e Serviços'!$A:$F,3,0)</f>
        <v>Insumo</v>
      </c>
      <c r="B246" s="109" t="s">
        <v>868</v>
      </c>
      <c r="C246" s="113" t="str">
        <f>VLOOKUP(B246,'Insumos e Serviços'!$A:$F,2,0)</f>
        <v>SINAPI</v>
      </c>
      <c r="D246" s="114" t="str">
        <f>VLOOKUP(B246,'Insumos e Serviços'!$A:$F,4,0)</f>
        <v>REJUNTE EPOXI, QUALQUER COR</v>
      </c>
      <c r="E246" s="113" t="str">
        <f>VLOOKUP(B246,'Insumos e Serviços'!$A:$F,5,0)</f>
        <v>KG</v>
      </c>
      <c r="F246" s="189">
        <v>8.8099999999999998E-2</v>
      </c>
      <c r="G246" s="115">
        <f>VLOOKUP(B246,'Insumos e Serviços'!$A:$F,6,0)</f>
        <v>55.65</v>
      </c>
      <c r="H246" s="115">
        <f t="shared" si="32"/>
        <v>4.9000000000000004</v>
      </c>
    </row>
    <row r="247" spans="1:8" x14ac:dyDescent="0.2">
      <c r="A247" s="114" t="str">
        <f>VLOOKUP(B247,'Insumos e Serviços'!$A:$F,3,0)</f>
        <v>Insumo</v>
      </c>
      <c r="B247" s="109" t="s">
        <v>870</v>
      </c>
      <c r="C247" s="113" t="str">
        <f>VLOOKUP(B247,'Insumos e Serviços'!$A:$F,2,0)</f>
        <v>Próprio</v>
      </c>
      <c r="D247" s="114" t="str">
        <f>VLOOKUP(B247,'Insumos e Serviços'!$A:$F,4,0)</f>
        <v>Bacia sanitária, cor branco gelo, linha Monte Carlo, código P.8.17, fab. Deca</v>
      </c>
      <c r="E247" s="113" t="str">
        <f>VLOOKUP(B247,'Insumos e Serviços'!$A:$F,5,0)</f>
        <v>un</v>
      </c>
      <c r="F247" s="189">
        <v>1</v>
      </c>
      <c r="G247" s="115" t="str">
        <f>VLOOKUP(B247,'Insumos e Serviços'!$A:$F,6,0)</f>
        <v xml:space="preserve"> 320,55</v>
      </c>
      <c r="H247" s="115">
        <f t="shared" si="32"/>
        <v>320.55</v>
      </c>
    </row>
    <row r="248" spans="1:8" x14ac:dyDescent="0.2">
      <c r="A248" s="114" t="str">
        <f>VLOOKUP(B248,'Insumos e Serviços'!$A:$F,3,0)</f>
        <v>Insumo</v>
      </c>
      <c r="B248" s="109" t="s">
        <v>872</v>
      </c>
      <c r="C248" s="113" t="str">
        <f>VLOOKUP(B248,'Insumos e Serviços'!$A:$F,2,0)</f>
        <v>Próprio</v>
      </c>
      <c r="D248" s="114" t="str">
        <f>VLOOKUP(B248,'Insumos e Serviços'!$A:$F,4,0)</f>
        <v>Tubo de ligação para vaso sanitário, cromado, código 1968C, fabricação Deca</v>
      </c>
      <c r="E248" s="113" t="str">
        <f>VLOOKUP(B248,'Insumos e Serviços'!$A:$F,5,0)</f>
        <v>un</v>
      </c>
      <c r="F248" s="189">
        <v>1</v>
      </c>
      <c r="G248" s="115">
        <f>VLOOKUP(B248,'Insumos e Serviços'!$A:$F,6,0)</f>
        <v>35.75</v>
      </c>
      <c r="H248" s="115">
        <f t="shared" si="32"/>
        <v>35.75</v>
      </c>
    </row>
    <row r="249" spans="1:8" x14ac:dyDescent="0.2">
      <c r="A249" s="114" t="str">
        <f>VLOOKUP(B249,'Insumos e Serviços'!$A:$F,3,0)</f>
        <v>Insumo</v>
      </c>
      <c r="B249" s="109" t="s">
        <v>874</v>
      </c>
      <c r="C249" s="113" t="str">
        <f>VLOOKUP(B249,'Insumos e Serviços'!$A:$F,2,0)</f>
        <v>Próprio</v>
      </c>
      <c r="D249" s="114" t="str">
        <f>VLOOKUP(B249,'Insumos e Serviços'!$A:$F,4,0)</f>
        <v>Assento plástico Monte Carlo AP.80.17 Deca</v>
      </c>
      <c r="E249" s="113" t="str">
        <f>VLOOKUP(B249,'Insumos e Serviços'!$A:$F,5,0)</f>
        <v>un</v>
      </c>
      <c r="F249" s="189">
        <v>1</v>
      </c>
      <c r="G249" s="115">
        <f>VLOOKUP(B249,'Insumos e Serviços'!$A:$F,6,0)</f>
        <v>154.38999999999999</v>
      </c>
      <c r="H249" s="115">
        <f t="shared" si="32"/>
        <v>154.38999999999999</v>
      </c>
    </row>
    <row r="250" spans="1:8" x14ac:dyDescent="0.2">
      <c r="A250" s="205"/>
      <c r="B250" s="205"/>
      <c r="C250" s="205"/>
      <c r="D250" s="206"/>
      <c r="E250" s="207"/>
      <c r="F250" s="208"/>
      <c r="G250" s="205"/>
      <c r="H250" s="205"/>
    </row>
    <row r="251" spans="1:8" ht="22.5" x14ac:dyDescent="0.2">
      <c r="A251" s="204" t="s">
        <v>228</v>
      </c>
      <c r="B251" s="54" t="str">
        <f>VLOOKUP(A251,'Orçamento Sintético'!$A:$H,2,0)</f>
        <v xml:space="preserve"> MPDFT0895 </v>
      </c>
      <c r="C251" s="54" t="str">
        <f>VLOOKUP(A251,'Orçamento Sintético'!$A:$H,3,0)</f>
        <v>Próprio</v>
      </c>
      <c r="D251" s="55" t="str">
        <f>VLOOKUP(A251,'Orçamento Sintético'!$A:$H,4,0)</f>
        <v>Copia da SINAPI (95470) - Bacia sanitária, Linha Studio Kids, cor branco gelo, código PI.16.17, fabricação Deca</v>
      </c>
      <c r="E251" s="54" t="str">
        <f>VLOOKUP(A251,'Orçamento Sintético'!$A:$H,5,0)</f>
        <v>UN</v>
      </c>
      <c r="F251" s="183"/>
      <c r="G251" s="184"/>
      <c r="H251" s="185">
        <f>SUM(H252:H259)</f>
        <v>459.09</v>
      </c>
    </row>
    <row r="252" spans="1:8" x14ac:dyDescent="0.2">
      <c r="A252" s="114" t="str">
        <f>VLOOKUP(B252,'Insumos e Serviços'!$A:$F,3,0)</f>
        <v>Composição</v>
      </c>
      <c r="B252" s="109" t="s">
        <v>625</v>
      </c>
      <c r="C252" s="113" t="str">
        <f>VLOOKUP(B252,'Insumos e Serviços'!$A:$F,2,0)</f>
        <v>SINAPI</v>
      </c>
      <c r="D252" s="114" t="str">
        <f>VLOOKUP(B252,'Insumos e Serviços'!$A:$F,4,0)</f>
        <v>ENCANADOR OU BOMBEIRO HIDRÁULICO COM ENCARGOS COMPLEMENTARES</v>
      </c>
      <c r="E252" s="113" t="str">
        <f>VLOOKUP(B252,'Insumos e Serviços'!$A:$F,5,0)</f>
        <v>H</v>
      </c>
      <c r="F252" s="189">
        <v>0.49680000000000002</v>
      </c>
      <c r="G252" s="115">
        <f>VLOOKUP(B252,'Insumos e Serviços'!$A:$F,6,0)</f>
        <v>22.76</v>
      </c>
      <c r="H252" s="115">
        <f t="shared" ref="H252:H259" si="33">TRUNC(F252*G252,2)</f>
        <v>11.3</v>
      </c>
    </row>
    <row r="253" spans="1:8" x14ac:dyDescent="0.2">
      <c r="A253" s="114" t="str">
        <f>VLOOKUP(B253,'Insumos e Serviços'!$A:$F,3,0)</f>
        <v>Composição</v>
      </c>
      <c r="B253" s="109" t="s">
        <v>597</v>
      </c>
      <c r="C253" s="113" t="str">
        <f>VLOOKUP(B253,'Insumos e Serviços'!$A:$F,2,0)</f>
        <v>SINAPI</v>
      </c>
      <c r="D253" s="114" t="str">
        <f>VLOOKUP(B253,'Insumos e Serviços'!$A:$F,4,0)</f>
        <v>SERVENTE COM ENCARGOS COMPLEMENTARES</v>
      </c>
      <c r="E253" s="113" t="str">
        <f>VLOOKUP(B253,'Insumos e Serviços'!$A:$F,5,0)</f>
        <v>H</v>
      </c>
      <c r="F253" s="189">
        <v>0.34949999999999998</v>
      </c>
      <c r="G253" s="115">
        <f>VLOOKUP(B253,'Insumos e Serviços'!$A:$F,6,0)</f>
        <v>17.170000000000002</v>
      </c>
      <c r="H253" s="115">
        <f t="shared" si="33"/>
        <v>6</v>
      </c>
    </row>
    <row r="254" spans="1:8" x14ac:dyDescent="0.2">
      <c r="A254" s="114" t="str">
        <f>VLOOKUP(B254,'Insumos e Serviços'!$A:$F,3,0)</f>
        <v>Insumo</v>
      </c>
      <c r="B254" s="109" t="s">
        <v>864</v>
      </c>
      <c r="C254" s="113" t="str">
        <f>VLOOKUP(B254,'Insumos e Serviços'!$A:$F,2,0)</f>
        <v>SINAPI</v>
      </c>
      <c r="D254" s="114" t="str">
        <f>VLOOKUP(B254,'Insumos e Serviços'!$A:$F,4,0)</f>
        <v>VEDACAO PVC, 100 MM, PARA SAIDA VASO SANITARIO</v>
      </c>
      <c r="E254" s="113" t="str">
        <f>VLOOKUP(B254,'Insumos e Serviços'!$A:$F,5,0)</f>
        <v>UN</v>
      </c>
      <c r="F254" s="189">
        <v>1</v>
      </c>
      <c r="G254" s="115">
        <f>VLOOKUP(B254,'Insumos e Serviços'!$A:$F,6,0)</f>
        <v>2.89</v>
      </c>
      <c r="H254" s="115">
        <f t="shared" si="33"/>
        <v>2.89</v>
      </c>
    </row>
    <row r="255" spans="1:8" ht="22.5" x14ac:dyDescent="0.2">
      <c r="A255" s="114" t="str">
        <f>VLOOKUP(B255,'Insumos e Serviços'!$A:$F,3,0)</f>
        <v>Insumo</v>
      </c>
      <c r="B255" s="109" t="s">
        <v>876</v>
      </c>
      <c r="C255" s="113" t="str">
        <f>VLOOKUP(B255,'Insumos e Serviços'!$A:$F,2,0)</f>
        <v>SINAPI</v>
      </c>
      <c r="D255" s="114" t="str">
        <f>VLOOKUP(B255,'Insumos e Serviços'!$A:$F,4,0)</f>
        <v>CONJUNTO DE LIGACAO PARA BACIA SANITARIA EM PLASTICO BRANCO COM TUBO, CANOPLA E ANEL DE EXPANSAO (TUBO 1.1/2 '' X 20 CM)</v>
      </c>
      <c r="E255" s="113" t="str">
        <f>VLOOKUP(B255,'Insumos e Serviços'!$A:$F,5,0)</f>
        <v>UN</v>
      </c>
      <c r="F255" s="189">
        <v>1</v>
      </c>
      <c r="G255" s="115">
        <f>VLOOKUP(B255,'Insumos e Serviços'!$A:$F,6,0)</f>
        <v>9.9700000000000006</v>
      </c>
      <c r="H255" s="115">
        <f t="shared" si="33"/>
        <v>9.9700000000000006</v>
      </c>
    </row>
    <row r="256" spans="1:8" ht="22.5" x14ac:dyDescent="0.2">
      <c r="A256" s="114" t="str">
        <f>VLOOKUP(B256,'Insumos e Serviços'!$A:$F,3,0)</f>
        <v>Material</v>
      </c>
      <c r="B256" s="109" t="s">
        <v>866</v>
      </c>
      <c r="C256" s="113" t="str">
        <f>VLOOKUP(B256,'Insumos e Serviços'!$A:$F,2,0)</f>
        <v>SINAPI</v>
      </c>
      <c r="D256" s="114" t="str">
        <f>VLOOKUP(B256,'Insumos e Serviços'!$A:$F,4,0)</f>
        <v>PARAFUSO NIQUELADO COM ACABAMENTO CROMADO PARA FIXAR PECA SANITARIA, INCLUI PORCA CEGA, ARRUELA E BUCHA DE NYLON TAMANHO S-10</v>
      </c>
      <c r="E256" s="113" t="str">
        <f>VLOOKUP(B256,'Insumos e Serviços'!$A:$F,5,0)</f>
        <v>UN</v>
      </c>
      <c r="F256" s="189">
        <v>2</v>
      </c>
      <c r="G256" s="115" t="str">
        <f>VLOOKUP(B256,'Insumos e Serviços'!$A:$F,6,0)</f>
        <v xml:space="preserve"> 11,53</v>
      </c>
      <c r="H256" s="115">
        <f t="shared" si="33"/>
        <v>23.06</v>
      </c>
    </row>
    <row r="257" spans="1:8" x14ac:dyDescent="0.2">
      <c r="A257" s="114" t="str">
        <f>VLOOKUP(B257,'Insumos e Serviços'!$A:$F,3,0)</f>
        <v>Insumo</v>
      </c>
      <c r="B257" s="109" t="s">
        <v>868</v>
      </c>
      <c r="C257" s="113" t="str">
        <f>VLOOKUP(B257,'Insumos e Serviços'!$A:$F,2,0)</f>
        <v>SINAPI</v>
      </c>
      <c r="D257" s="114" t="str">
        <f>VLOOKUP(B257,'Insumos e Serviços'!$A:$F,4,0)</f>
        <v>REJUNTE EPOXI, QUALQUER COR</v>
      </c>
      <c r="E257" s="113" t="str">
        <f>VLOOKUP(B257,'Insumos e Serviços'!$A:$F,5,0)</f>
        <v>KG</v>
      </c>
      <c r="F257" s="189">
        <v>8.8099999999999998E-2</v>
      </c>
      <c r="G257" s="115">
        <f>VLOOKUP(B257,'Insumos e Serviços'!$A:$F,6,0)</f>
        <v>55.65</v>
      </c>
      <c r="H257" s="115">
        <f t="shared" si="33"/>
        <v>4.9000000000000004</v>
      </c>
    </row>
    <row r="258" spans="1:8" x14ac:dyDescent="0.2">
      <c r="A258" s="114" t="str">
        <f>VLOOKUP(B258,'Insumos e Serviços'!$A:$F,3,0)</f>
        <v>Insumo</v>
      </c>
      <c r="B258" s="109" t="s">
        <v>878</v>
      </c>
      <c r="C258" s="113" t="str">
        <f>VLOOKUP(B258,'Insumos e Serviços'!$A:$F,2,0)</f>
        <v>Próprio</v>
      </c>
      <c r="D258" s="114" t="str">
        <f>VLOOKUP(B258,'Insumos e Serviços'!$A:$F,4,0)</f>
        <v>Bacia sanitária, Linha Studio Kids, cor branco gelo, código PI.16.17, fabricação Deca</v>
      </c>
      <c r="E258" s="113" t="str">
        <f>VLOOKUP(B258,'Insumos e Serviços'!$A:$F,5,0)</f>
        <v>un</v>
      </c>
      <c r="F258" s="189">
        <v>1</v>
      </c>
      <c r="G258" s="115">
        <f>VLOOKUP(B258,'Insumos e Serviços'!$A:$F,6,0)</f>
        <v>299.95999999999998</v>
      </c>
      <c r="H258" s="115">
        <f t="shared" si="33"/>
        <v>299.95999999999998</v>
      </c>
    </row>
    <row r="259" spans="1:8" x14ac:dyDescent="0.2">
      <c r="A259" s="114" t="str">
        <f>VLOOKUP(B259,'Insumos e Serviços'!$A:$F,3,0)</f>
        <v>Insumo</v>
      </c>
      <c r="B259" s="109" t="s">
        <v>880</v>
      </c>
      <c r="C259" s="113" t="str">
        <f>VLOOKUP(B259,'Insumos e Serviços'!$A:$F,2,0)</f>
        <v>Próprio</v>
      </c>
      <c r="D259" s="114" t="str">
        <f>VLOOKUP(B259,'Insumos e Serviços'!$A:$F,4,0)</f>
        <v>Assento para bacia sanitária infantil, linha Studio Kids PI.166.17, Deca</v>
      </c>
      <c r="E259" s="113" t="str">
        <f>VLOOKUP(B259,'Insumos e Serviços'!$A:$F,5,0)</f>
        <v>un</v>
      </c>
      <c r="F259" s="189">
        <v>1</v>
      </c>
      <c r="G259" s="115" t="str">
        <f>VLOOKUP(B259,'Insumos e Serviços'!$A:$F,6,0)</f>
        <v xml:space="preserve"> 101,01</v>
      </c>
      <c r="H259" s="115">
        <f t="shared" si="33"/>
        <v>101.01</v>
      </c>
    </row>
    <row r="260" spans="1:8" x14ac:dyDescent="0.2">
      <c r="A260" s="205"/>
      <c r="B260" s="205"/>
      <c r="C260" s="205"/>
      <c r="D260" s="206"/>
      <c r="E260" s="207"/>
      <c r="F260" s="208"/>
      <c r="G260" s="205"/>
      <c r="H260" s="205"/>
    </row>
    <row r="261" spans="1:8" ht="22.5" x14ac:dyDescent="0.2">
      <c r="A261" s="204" t="s">
        <v>231</v>
      </c>
      <c r="B261" s="54" t="str">
        <f>VLOOKUP(A261,'Orçamento Sintético'!$A:$H,2,0)</f>
        <v xml:space="preserve"> MPDFT0149 </v>
      </c>
      <c r="C261" s="54" t="str">
        <f>VLOOKUP(A261,'Orçamento Sintético'!$A:$H,3,0)</f>
        <v>Próprio</v>
      </c>
      <c r="D261" s="55" t="str">
        <f>VLOOKUP(A261,'Orçamento Sintético'!$A:$H,4,0)</f>
        <v>Copia da SINAPI (95471) - Bacia sanitária, Linha Vogue Plus Conforto, cor branco gelo, código P. 510, fabricação Deca com assento PLÁSTICO</v>
      </c>
      <c r="E261" s="54" t="str">
        <f>VLOOKUP(A261,'Orçamento Sintético'!$A:$H,5,0)</f>
        <v>UN</v>
      </c>
      <c r="F261" s="183"/>
      <c r="G261" s="184"/>
      <c r="H261" s="185">
        <f>SUM(H262:H269)</f>
        <v>763.83</v>
      </c>
    </row>
    <row r="262" spans="1:8" x14ac:dyDescent="0.2">
      <c r="A262" s="114" t="str">
        <f>VLOOKUP(B262,'Insumos e Serviços'!$A:$F,3,0)</f>
        <v>Composição</v>
      </c>
      <c r="B262" s="109" t="s">
        <v>625</v>
      </c>
      <c r="C262" s="113" t="str">
        <f>VLOOKUP(B262,'Insumos e Serviços'!$A:$F,2,0)</f>
        <v>SINAPI</v>
      </c>
      <c r="D262" s="114" t="str">
        <f>VLOOKUP(B262,'Insumos e Serviços'!$A:$F,4,0)</f>
        <v>ENCANADOR OU BOMBEIRO HIDRÁULICO COM ENCARGOS COMPLEMENTARES</v>
      </c>
      <c r="E262" s="113" t="str">
        <f>VLOOKUP(B262,'Insumos e Serviços'!$A:$F,5,0)</f>
        <v>H</v>
      </c>
      <c r="F262" s="189">
        <v>1.1539999999999999</v>
      </c>
      <c r="G262" s="115">
        <f>VLOOKUP(B262,'Insumos e Serviços'!$A:$F,6,0)</f>
        <v>22.76</v>
      </c>
      <c r="H262" s="115">
        <f t="shared" ref="H262:H269" si="34">TRUNC(F262*G262,2)</f>
        <v>26.26</v>
      </c>
    </row>
    <row r="263" spans="1:8" x14ac:dyDescent="0.2">
      <c r="A263" s="114" t="str">
        <f>VLOOKUP(B263,'Insumos e Serviços'!$A:$F,3,0)</f>
        <v>Composição</v>
      </c>
      <c r="B263" s="109" t="s">
        <v>597</v>
      </c>
      <c r="C263" s="113" t="str">
        <f>VLOOKUP(B263,'Insumos e Serviços'!$A:$F,2,0)</f>
        <v>SINAPI</v>
      </c>
      <c r="D263" s="114" t="str">
        <f>VLOOKUP(B263,'Insumos e Serviços'!$A:$F,4,0)</f>
        <v>SERVENTE COM ENCARGOS COMPLEMENTARES</v>
      </c>
      <c r="E263" s="113" t="str">
        <f>VLOOKUP(B263,'Insumos e Serviços'!$A:$F,5,0)</f>
        <v>H</v>
      </c>
      <c r="F263" s="189">
        <v>0.55649999999999999</v>
      </c>
      <c r="G263" s="115">
        <f>VLOOKUP(B263,'Insumos e Serviços'!$A:$F,6,0)</f>
        <v>17.170000000000002</v>
      </c>
      <c r="H263" s="115">
        <f t="shared" si="34"/>
        <v>9.5500000000000007</v>
      </c>
    </row>
    <row r="264" spans="1:8" x14ac:dyDescent="0.2">
      <c r="A264" s="114" t="str">
        <f>VLOOKUP(B264,'Insumos e Serviços'!$A:$F,3,0)</f>
        <v>Insumo</v>
      </c>
      <c r="B264" s="109" t="s">
        <v>864</v>
      </c>
      <c r="C264" s="113" t="str">
        <f>VLOOKUP(B264,'Insumos e Serviços'!$A:$F,2,0)</f>
        <v>SINAPI</v>
      </c>
      <c r="D264" s="114" t="str">
        <f>VLOOKUP(B264,'Insumos e Serviços'!$A:$F,4,0)</f>
        <v>VEDACAO PVC, 100 MM, PARA SAIDA VASO SANITARIO</v>
      </c>
      <c r="E264" s="113" t="str">
        <f>VLOOKUP(B264,'Insumos e Serviços'!$A:$F,5,0)</f>
        <v>UN</v>
      </c>
      <c r="F264" s="189">
        <v>1</v>
      </c>
      <c r="G264" s="115">
        <f>VLOOKUP(B264,'Insumos e Serviços'!$A:$F,6,0)</f>
        <v>2.89</v>
      </c>
      <c r="H264" s="115">
        <f t="shared" si="34"/>
        <v>2.89</v>
      </c>
    </row>
    <row r="265" spans="1:8" ht="22.5" x14ac:dyDescent="0.2">
      <c r="A265" s="114" t="str">
        <f>VLOOKUP(B265,'Insumos e Serviços'!$A:$F,3,0)</f>
        <v>Insumo</v>
      </c>
      <c r="B265" s="109" t="s">
        <v>876</v>
      </c>
      <c r="C265" s="113" t="str">
        <f>VLOOKUP(B265,'Insumos e Serviços'!$A:$F,2,0)</f>
        <v>SINAPI</v>
      </c>
      <c r="D265" s="114" t="str">
        <f>VLOOKUP(B265,'Insumos e Serviços'!$A:$F,4,0)</f>
        <v>CONJUNTO DE LIGACAO PARA BACIA SANITARIA EM PLASTICO BRANCO COM TUBO, CANOPLA E ANEL DE EXPANSAO (TUBO 1.1/2 '' X 20 CM)</v>
      </c>
      <c r="E265" s="113" t="str">
        <f>VLOOKUP(B265,'Insumos e Serviços'!$A:$F,5,0)</f>
        <v>UN</v>
      </c>
      <c r="F265" s="189">
        <v>1</v>
      </c>
      <c r="G265" s="115">
        <f>VLOOKUP(B265,'Insumos e Serviços'!$A:$F,6,0)</f>
        <v>9.9700000000000006</v>
      </c>
      <c r="H265" s="115">
        <f t="shared" si="34"/>
        <v>9.9700000000000006</v>
      </c>
    </row>
    <row r="266" spans="1:8" ht="22.5" x14ac:dyDescent="0.2">
      <c r="A266" s="114" t="str">
        <f>VLOOKUP(B266,'Insumos e Serviços'!$A:$F,3,0)</f>
        <v>Material</v>
      </c>
      <c r="B266" s="109" t="s">
        <v>866</v>
      </c>
      <c r="C266" s="113" t="str">
        <f>VLOOKUP(B266,'Insumos e Serviços'!$A:$F,2,0)</f>
        <v>SINAPI</v>
      </c>
      <c r="D266" s="114" t="str">
        <f>VLOOKUP(B266,'Insumos e Serviços'!$A:$F,4,0)</f>
        <v>PARAFUSO NIQUELADO COM ACABAMENTO CROMADO PARA FIXAR PECA SANITARIA, INCLUI PORCA CEGA, ARRUELA E BUCHA DE NYLON TAMANHO S-10</v>
      </c>
      <c r="E266" s="113" t="str">
        <f>VLOOKUP(B266,'Insumos e Serviços'!$A:$F,5,0)</f>
        <v>UN</v>
      </c>
      <c r="F266" s="189">
        <v>2</v>
      </c>
      <c r="G266" s="115" t="str">
        <f>VLOOKUP(B266,'Insumos e Serviços'!$A:$F,6,0)</f>
        <v xml:space="preserve"> 11,53</v>
      </c>
      <c r="H266" s="115">
        <f t="shared" si="34"/>
        <v>23.06</v>
      </c>
    </row>
    <row r="267" spans="1:8" x14ac:dyDescent="0.2">
      <c r="A267" s="114" t="str">
        <f>VLOOKUP(B267,'Insumos e Serviços'!$A:$F,3,0)</f>
        <v>Insumo</v>
      </c>
      <c r="B267" s="109" t="s">
        <v>868</v>
      </c>
      <c r="C267" s="113" t="str">
        <f>VLOOKUP(B267,'Insumos e Serviços'!$A:$F,2,0)</f>
        <v>SINAPI</v>
      </c>
      <c r="D267" s="114" t="str">
        <f>VLOOKUP(B267,'Insumos e Serviços'!$A:$F,4,0)</f>
        <v>REJUNTE EPOXI, QUALQUER COR</v>
      </c>
      <c r="E267" s="113" t="str">
        <f>VLOOKUP(B267,'Insumos e Serviços'!$A:$F,5,0)</f>
        <v>KG</v>
      </c>
      <c r="F267" s="189">
        <v>8.8099999999999998E-2</v>
      </c>
      <c r="G267" s="115">
        <f>VLOOKUP(B267,'Insumos e Serviços'!$A:$F,6,0)</f>
        <v>55.65</v>
      </c>
      <c r="H267" s="115">
        <f t="shared" si="34"/>
        <v>4.9000000000000004</v>
      </c>
    </row>
    <row r="268" spans="1:8" x14ac:dyDescent="0.2">
      <c r="A268" s="114" t="str">
        <f>VLOOKUP(B268,'Insumos e Serviços'!$A:$F,3,0)</f>
        <v>Insumo</v>
      </c>
      <c r="B268" s="109" t="s">
        <v>882</v>
      </c>
      <c r="C268" s="113" t="str">
        <f>VLOOKUP(B268,'Insumos e Serviços'!$A:$F,2,0)</f>
        <v>Próprio</v>
      </c>
      <c r="D268" s="114" t="str">
        <f>VLOOKUP(B268,'Insumos e Serviços'!$A:$F,4,0)</f>
        <v>Bacia sanitária, Linha Vogue Plus Conforto, cor branco gelo, código P. 510, fab. Deca</v>
      </c>
      <c r="E268" s="113" t="str">
        <f>VLOOKUP(B268,'Insumos e Serviços'!$A:$F,5,0)</f>
        <v>un</v>
      </c>
      <c r="F268" s="189">
        <v>1</v>
      </c>
      <c r="G268" s="115" t="str">
        <f>VLOOKUP(B268,'Insumos e Serviços'!$A:$F,6,0)</f>
        <v xml:space="preserve"> 588,70</v>
      </c>
      <c r="H268" s="115">
        <f t="shared" si="34"/>
        <v>588.70000000000005</v>
      </c>
    </row>
    <row r="269" spans="1:8" x14ac:dyDescent="0.2">
      <c r="A269" s="114" t="str">
        <f>VLOOKUP(B269,'Insumos e Serviços'!$A:$F,3,0)</f>
        <v>Insumo</v>
      </c>
      <c r="B269" s="109" t="s">
        <v>884</v>
      </c>
      <c r="C269" s="113" t="str">
        <f>VLOOKUP(B269,'Insumos e Serviços'!$A:$F,2,0)</f>
        <v>Próprio</v>
      </c>
      <c r="D269" s="114" t="str">
        <f>VLOOKUP(B269,'Insumos e Serviços'!$A:$F,4,0)</f>
        <v>Assento plástico Vogue Plus AP.50.17 Deca</v>
      </c>
      <c r="E269" s="113" t="str">
        <f>VLOOKUP(B269,'Insumos e Serviços'!$A:$F,5,0)</f>
        <v>un</v>
      </c>
      <c r="F269" s="189">
        <v>1</v>
      </c>
      <c r="G269" s="115">
        <f>VLOOKUP(B269,'Insumos e Serviços'!$A:$F,6,0)</f>
        <v>98.5</v>
      </c>
      <c r="H269" s="115">
        <f t="shared" si="34"/>
        <v>98.5</v>
      </c>
    </row>
    <row r="270" spans="1:8" x14ac:dyDescent="0.2">
      <c r="A270" s="205"/>
      <c r="B270" s="205"/>
      <c r="C270" s="205"/>
      <c r="D270" s="206"/>
      <c r="E270" s="207"/>
      <c r="F270" s="208"/>
      <c r="G270" s="205"/>
      <c r="H270" s="205"/>
    </row>
    <row r="271" spans="1:8" ht="33.75" x14ac:dyDescent="0.2">
      <c r="A271" s="204" t="s">
        <v>234</v>
      </c>
      <c r="B271" s="54" t="str">
        <f>VLOOKUP(A271,'Orçamento Sintético'!$A:$H,2,0)</f>
        <v xml:space="preserve"> MPDFT0259 </v>
      </c>
      <c r="C271" s="54" t="str">
        <f>VLOOKUP(A271,'Orçamento Sintético'!$A:$H,3,0)</f>
        <v>Próprio</v>
      </c>
      <c r="D271" s="55" t="str">
        <f>VLOOKUP(A271,'Orçamento Sintético'!$A:$H,4,0)</f>
        <v>Copia da (SINAPI 99635+SBC 190802) - Válvula de descarga com acabamento cromado duplo acionamento, antivandalismo, Linha Hidra Duo 1 1/2”, cód. 2545.C.112PRO e 4900.C.DUO.PRO, fab. Deca ou similar equivalente</v>
      </c>
      <c r="E271" s="54" t="str">
        <f>VLOOKUP(A271,'Orçamento Sintético'!$A:$H,5,0)</f>
        <v>UN</v>
      </c>
      <c r="F271" s="183"/>
      <c r="G271" s="184"/>
      <c r="H271" s="185">
        <f>SUM(H272:H276)</f>
        <v>414.44</v>
      </c>
    </row>
    <row r="272" spans="1:8" x14ac:dyDescent="0.2">
      <c r="A272" s="114" t="str">
        <f>VLOOKUP(B272,'Insumos e Serviços'!$A:$F,3,0)</f>
        <v>Composição</v>
      </c>
      <c r="B272" s="109" t="s">
        <v>627</v>
      </c>
      <c r="C272" s="113" t="str">
        <f>VLOOKUP(B272,'Insumos e Serviços'!$A:$F,2,0)</f>
        <v>SINAPI</v>
      </c>
      <c r="D272" s="114" t="str">
        <f>VLOOKUP(B272,'Insumos e Serviços'!$A:$F,4,0)</f>
        <v>AUXILIAR DE ENCANADOR OU BOMBEIRO HIDRÁULICO COM ENCARGOS COMPLEMENTARES</v>
      </c>
      <c r="E272" s="113" t="str">
        <f>VLOOKUP(B272,'Insumos e Serviços'!$A:$F,5,0)</f>
        <v>H</v>
      </c>
      <c r="F272" s="189">
        <v>1.64</v>
      </c>
      <c r="G272" s="115">
        <f>VLOOKUP(B272,'Insumos e Serviços'!$A:$F,6,0)</f>
        <v>17.78</v>
      </c>
      <c r="H272" s="115">
        <f t="shared" ref="H272:H276" si="35">TRUNC(F272*G272,2)</f>
        <v>29.15</v>
      </c>
    </row>
    <row r="273" spans="1:8" x14ac:dyDescent="0.2">
      <c r="A273" s="114" t="str">
        <f>VLOOKUP(B273,'Insumos e Serviços'!$A:$F,3,0)</f>
        <v>Composição</v>
      </c>
      <c r="B273" s="109" t="s">
        <v>625</v>
      </c>
      <c r="C273" s="113" t="str">
        <f>VLOOKUP(B273,'Insumos e Serviços'!$A:$F,2,0)</f>
        <v>SINAPI</v>
      </c>
      <c r="D273" s="114" t="str">
        <f>VLOOKUP(B273,'Insumos e Serviços'!$A:$F,4,0)</f>
        <v>ENCANADOR OU BOMBEIRO HIDRÁULICO COM ENCARGOS COMPLEMENTARES</v>
      </c>
      <c r="E273" s="113" t="str">
        <f>VLOOKUP(B273,'Insumos e Serviços'!$A:$F,5,0)</f>
        <v>H</v>
      </c>
      <c r="F273" s="189">
        <v>1.64</v>
      </c>
      <c r="G273" s="115">
        <f>VLOOKUP(B273,'Insumos e Serviços'!$A:$F,6,0)</f>
        <v>22.76</v>
      </c>
      <c r="H273" s="115">
        <f t="shared" si="35"/>
        <v>37.32</v>
      </c>
    </row>
    <row r="274" spans="1:8" x14ac:dyDescent="0.2">
      <c r="A274" s="114" t="str">
        <f>VLOOKUP(B274,'Insumos e Serviços'!$A:$F,3,0)</f>
        <v>Material</v>
      </c>
      <c r="B274" s="109" t="s">
        <v>886</v>
      </c>
      <c r="C274" s="113" t="str">
        <f>VLOOKUP(B274,'Insumos e Serviços'!$A:$F,2,0)</f>
        <v>SINAPI</v>
      </c>
      <c r="D274" s="114" t="str">
        <f>VLOOKUP(B274,'Insumos e Serviços'!$A:$F,4,0)</f>
        <v>FITA VEDA ROSCA EM ROLOS DE 18 MM X 50 M (L X C)</v>
      </c>
      <c r="E274" s="113" t="str">
        <f>VLOOKUP(B274,'Insumos e Serviços'!$A:$F,5,0)</f>
        <v>UN</v>
      </c>
      <c r="F274" s="189">
        <v>1.9E-2</v>
      </c>
      <c r="G274" s="115" t="str">
        <f>VLOOKUP(B274,'Insumos e Serviços'!$A:$F,6,0)</f>
        <v xml:space="preserve"> 14,38</v>
      </c>
      <c r="H274" s="115">
        <f t="shared" si="35"/>
        <v>0.27</v>
      </c>
    </row>
    <row r="275" spans="1:8" x14ac:dyDescent="0.2">
      <c r="A275" s="114" t="str">
        <f>VLOOKUP(B275,'Insumos e Serviços'!$A:$F,3,0)</f>
        <v>Insumo</v>
      </c>
      <c r="B275" s="109" t="s">
        <v>888</v>
      </c>
      <c r="C275" s="113" t="str">
        <f>VLOOKUP(B275,'Insumos e Serviços'!$A:$F,2,0)</f>
        <v>Próprio</v>
      </c>
      <c r="D275" s="114" t="str">
        <f>VLOOKUP(B275,'Insumos e Serviços'!$A:$F,4,0)</f>
        <v>Válvula de descarga antivandalismo 1 1/2", 4900.C.DUO.PRO, fabricação Deca</v>
      </c>
      <c r="E275" s="113" t="str">
        <f>VLOOKUP(B275,'Insumos e Serviços'!$A:$F,5,0)</f>
        <v>un</v>
      </c>
      <c r="F275" s="189">
        <v>1</v>
      </c>
      <c r="G275" s="115">
        <f>VLOOKUP(B275,'Insumos e Serviços'!$A:$F,6,0)</f>
        <v>324.39999999999998</v>
      </c>
      <c r="H275" s="115">
        <f t="shared" si="35"/>
        <v>324.39999999999998</v>
      </c>
    </row>
    <row r="276" spans="1:8" ht="22.5" x14ac:dyDescent="0.2">
      <c r="A276" s="114" t="str">
        <f>VLOOKUP(B276,'Insumos e Serviços'!$A:$F,3,0)</f>
        <v>Insumo</v>
      </c>
      <c r="B276" s="109" t="s">
        <v>890</v>
      </c>
      <c r="C276" s="113" t="str">
        <f>VLOOKUP(B276,'Insumos e Serviços'!$A:$F,2,0)</f>
        <v>SINAPI</v>
      </c>
      <c r="D276" s="114" t="str">
        <f>VLOOKUP(B276,'Insumos e Serviços'!$A:$F,4,0)</f>
        <v>TUBO DE DESCARGA PVC, PARA LIGACAO CAIXA DE DESCARGA - EMBUTIR, 40 MM X 150 CM</v>
      </c>
      <c r="E276" s="113" t="str">
        <f>VLOOKUP(B276,'Insumos e Serviços'!$A:$F,5,0)</f>
        <v>UN</v>
      </c>
      <c r="F276" s="189">
        <v>1</v>
      </c>
      <c r="G276" s="115">
        <f>VLOOKUP(B276,'Insumos e Serviços'!$A:$F,6,0)</f>
        <v>23.3</v>
      </c>
      <c r="H276" s="115">
        <f t="shared" si="35"/>
        <v>23.3</v>
      </c>
    </row>
    <row r="277" spans="1:8" x14ac:dyDescent="0.2">
      <c r="A277" s="205"/>
      <c r="B277" s="205"/>
      <c r="C277" s="205"/>
      <c r="D277" s="206"/>
      <c r="E277" s="207"/>
      <c r="F277" s="208"/>
      <c r="G277" s="205"/>
      <c r="H277" s="205"/>
    </row>
    <row r="278" spans="1:8" ht="22.5" x14ac:dyDescent="0.2">
      <c r="A278" s="204" t="s">
        <v>237</v>
      </c>
      <c r="B278" s="54" t="str">
        <f>VLOOKUP(A278,'Orçamento Sintético'!$A:$H,2,0)</f>
        <v xml:space="preserve"> MPDFT0261 </v>
      </c>
      <c r="C278" s="54" t="str">
        <f>VLOOKUP(A278,'Orçamento Sintético'!$A:$H,3,0)</f>
        <v>Próprio</v>
      </c>
      <c r="D278" s="55" t="str">
        <f>VLOOKUP(A278,'Orçamento Sintético'!$A:$H,4,0)</f>
        <v>Copia da Sinapi (100858) - Mictório branco com sifão integrado, cód. M 715.17, fab. Deca - completo</v>
      </c>
      <c r="E278" s="54" t="str">
        <f>VLOOKUP(A278,'Orçamento Sintético'!$A:$H,5,0)</f>
        <v>un</v>
      </c>
      <c r="F278" s="183"/>
      <c r="G278" s="184"/>
      <c r="H278" s="185">
        <f>SUM(H279:H284)</f>
        <v>1297.0200000000002</v>
      </c>
    </row>
    <row r="279" spans="1:8" ht="22.5" x14ac:dyDescent="0.2">
      <c r="A279" s="114" t="str">
        <f>VLOOKUP(B279,'Insumos e Serviços'!$A:$F,3,0)</f>
        <v>Composição</v>
      </c>
      <c r="B279" s="109" t="s">
        <v>892</v>
      </c>
      <c r="C279" s="113" t="str">
        <f>VLOOKUP(B279,'Insumos e Serviços'!$A:$F,2,0)</f>
        <v>SINAPI</v>
      </c>
      <c r="D279" s="114" t="str">
        <f>VLOOKUP(B279,'Insumos e Serviços'!$A:$F,4,0)</f>
        <v>MICTÓRIO SIFONADO LOUÇA BRANCA  PADRÃO MÉDIO  FORNECIMENTO E INSTALAÇÃO. AF_01/2020</v>
      </c>
      <c r="E279" s="113" t="str">
        <f>VLOOKUP(B279,'Insumos e Serviços'!$A:$F,5,0)</f>
        <v>UN</v>
      </c>
      <c r="F279" s="189">
        <v>1</v>
      </c>
      <c r="G279" s="115">
        <f>VLOOKUP(B279,'Insumos e Serviços'!$A:$F,6,0)</f>
        <v>551.76</v>
      </c>
      <c r="H279" s="115">
        <f t="shared" ref="H279:H284" si="36">TRUNC(F279*G279,2)</f>
        <v>551.76</v>
      </c>
    </row>
    <row r="280" spans="1:8" x14ac:dyDescent="0.2">
      <c r="A280" s="114" t="str">
        <f>VLOOKUP(B280,'Insumos e Serviços'!$A:$F,3,0)</f>
        <v>Composição</v>
      </c>
      <c r="B280" s="109" t="s">
        <v>625</v>
      </c>
      <c r="C280" s="113" t="str">
        <f>VLOOKUP(B280,'Insumos e Serviços'!$A:$F,2,0)</f>
        <v>SINAPI</v>
      </c>
      <c r="D280" s="114" t="str">
        <f>VLOOKUP(B280,'Insumos e Serviços'!$A:$F,4,0)</f>
        <v>ENCANADOR OU BOMBEIRO HIDRÁULICO COM ENCARGOS COMPLEMENTARES</v>
      </c>
      <c r="E280" s="113" t="str">
        <f>VLOOKUP(B280,'Insumos e Serviços'!$A:$F,5,0)</f>
        <v>H</v>
      </c>
      <c r="F280" s="189">
        <v>0.3</v>
      </c>
      <c r="G280" s="115">
        <f>VLOOKUP(B280,'Insumos e Serviços'!$A:$F,6,0)</f>
        <v>22.76</v>
      </c>
      <c r="H280" s="115">
        <f t="shared" si="36"/>
        <v>6.82</v>
      </c>
    </row>
    <row r="281" spans="1:8" x14ac:dyDescent="0.2">
      <c r="A281" s="114" t="str">
        <f>VLOOKUP(B281,'Insumos e Serviços'!$A:$F,3,0)</f>
        <v>Composição</v>
      </c>
      <c r="B281" s="109" t="s">
        <v>627</v>
      </c>
      <c r="C281" s="113" t="str">
        <f>VLOOKUP(B281,'Insumos e Serviços'!$A:$F,2,0)</f>
        <v>SINAPI</v>
      </c>
      <c r="D281" s="114" t="str">
        <f>VLOOKUP(B281,'Insumos e Serviços'!$A:$F,4,0)</f>
        <v>AUXILIAR DE ENCANADOR OU BOMBEIRO HIDRÁULICO COM ENCARGOS COMPLEMENTARES</v>
      </c>
      <c r="E281" s="113" t="str">
        <f>VLOOKUP(B281,'Insumos e Serviços'!$A:$F,5,0)</f>
        <v>H</v>
      </c>
      <c r="F281" s="189">
        <v>0.3</v>
      </c>
      <c r="G281" s="115">
        <f>VLOOKUP(B281,'Insumos e Serviços'!$A:$F,6,0)</f>
        <v>17.78</v>
      </c>
      <c r="H281" s="115">
        <f t="shared" si="36"/>
        <v>5.33</v>
      </c>
    </row>
    <row r="282" spans="1:8" ht="22.5" x14ac:dyDescent="0.2">
      <c r="A282" s="114" t="str">
        <f>VLOOKUP(B282,'Insumos e Serviços'!$A:$F,3,0)</f>
        <v>Insumo</v>
      </c>
      <c r="B282" s="109" t="s">
        <v>894</v>
      </c>
      <c r="C282" s="113" t="str">
        <f>VLOOKUP(B282,'Insumos e Serviços'!$A:$F,2,0)</f>
        <v>Próprio</v>
      </c>
      <c r="D282" s="114" t="str">
        <f>VLOOKUP(B282,'Insumos e Serviços'!$A:$F,4,0)</f>
        <v>Válvula para mictório de fechamento automático, fab. Deca, Linha Decamatic, código 2570 C, acabamento cromado</v>
      </c>
      <c r="E282" s="113" t="str">
        <f>VLOOKUP(B282,'Insumos e Serviços'!$A:$F,5,0)</f>
        <v>un</v>
      </c>
      <c r="F282" s="189">
        <v>1</v>
      </c>
      <c r="G282" s="115" t="str">
        <f>VLOOKUP(B282,'Insumos e Serviços'!$A:$F,6,0)</f>
        <v xml:space="preserve"> 723,00</v>
      </c>
      <c r="H282" s="115">
        <f t="shared" si="36"/>
        <v>723</v>
      </c>
    </row>
    <row r="283" spans="1:8" ht="22.5" x14ac:dyDescent="0.2">
      <c r="A283" s="114" t="str">
        <f>VLOOKUP(B283,'Insumos e Serviços'!$A:$F,3,0)</f>
        <v>Insumo</v>
      </c>
      <c r="B283" s="109" t="s">
        <v>876</v>
      </c>
      <c r="C283" s="113" t="str">
        <f>VLOOKUP(B283,'Insumos e Serviços'!$A:$F,2,0)</f>
        <v>SINAPI</v>
      </c>
      <c r="D283" s="114" t="str">
        <f>VLOOKUP(B283,'Insumos e Serviços'!$A:$F,4,0)</f>
        <v>CONJUNTO DE LIGACAO PARA BACIA SANITARIA EM PLASTICO BRANCO COM TUBO, CANOPLA E ANEL DE EXPANSAO (TUBO 1.1/2 '' X 20 CM)</v>
      </c>
      <c r="E283" s="113" t="str">
        <f>VLOOKUP(B283,'Insumos e Serviços'!$A:$F,5,0)</f>
        <v>UN</v>
      </c>
      <c r="F283" s="189">
        <v>1</v>
      </c>
      <c r="G283" s="115">
        <f>VLOOKUP(B283,'Insumos e Serviços'!$A:$F,6,0)</f>
        <v>9.9700000000000006</v>
      </c>
      <c r="H283" s="115">
        <f t="shared" si="36"/>
        <v>9.9700000000000006</v>
      </c>
    </row>
    <row r="284" spans="1:8" x14ac:dyDescent="0.2">
      <c r="A284" s="114" t="str">
        <f>VLOOKUP(B284,'Insumos e Serviços'!$A:$F,3,0)</f>
        <v>Insumo</v>
      </c>
      <c r="B284" s="109" t="s">
        <v>896</v>
      </c>
      <c r="C284" s="113" t="str">
        <f>VLOOKUP(B284,'Insumos e Serviços'!$A:$F,2,0)</f>
        <v>SINAPI</v>
      </c>
      <c r="D284" s="114" t="str">
        <f>VLOOKUP(B284,'Insumos e Serviços'!$A:$F,4,0)</f>
        <v>FITA VEDA ROSCA EM ROLOS DE 18 MM X 10 M (L X C)</v>
      </c>
      <c r="E284" s="113" t="str">
        <f>VLOOKUP(B284,'Insumos e Serviços'!$A:$F,5,0)</f>
        <v>UN</v>
      </c>
      <c r="F284" s="189">
        <v>3.6499999999999998E-2</v>
      </c>
      <c r="G284" s="115">
        <f>VLOOKUP(B284,'Insumos e Serviços'!$A:$F,6,0)</f>
        <v>3.9</v>
      </c>
      <c r="H284" s="115">
        <f t="shared" si="36"/>
        <v>0.14000000000000001</v>
      </c>
    </row>
    <row r="285" spans="1:8" x14ac:dyDescent="0.2">
      <c r="A285" s="205"/>
      <c r="B285" s="205"/>
      <c r="C285" s="205"/>
      <c r="D285" s="206"/>
      <c r="E285" s="207"/>
      <c r="F285" s="208"/>
      <c r="G285" s="205"/>
      <c r="H285" s="205"/>
    </row>
    <row r="286" spans="1:8" ht="22.5" x14ac:dyDescent="0.2">
      <c r="A286" s="204" t="s">
        <v>240</v>
      </c>
      <c r="B286" s="54" t="str">
        <f>VLOOKUP(A286,'Orçamento Sintético'!$A:$H,2,0)</f>
        <v xml:space="preserve"> MPDFT0304 </v>
      </c>
      <c r="C286" s="54" t="str">
        <f>VLOOKUP(A286,'Orçamento Sintético'!$A:$H,3,0)</f>
        <v>Próprio</v>
      </c>
      <c r="D286" s="55" t="str">
        <f>VLOOKUP(A286,'Orçamento Sintético'!$A:$H,4,0)</f>
        <v>Copia da SINAPI (86904) - Lavatório de semi-encaixe (padrão), branco, fixado sobre a bancada. Linha Monte Carlo, cód.:L82.17, fab. Deca ou similar equivalante</v>
      </c>
      <c r="E286" s="54" t="str">
        <f>VLOOKUP(A286,'Orçamento Sintético'!$A:$H,5,0)</f>
        <v>UN</v>
      </c>
      <c r="F286" s="183"/>
      <c r="G286" s="184"/>
      <c r="H286" s="185">
        <f>SUM(H287:H291)</f>
        <v>337.68</v>
      </c>
    </row>
    <row r="287" spans="1:8" x14ac:dyDescent="0.2">
      <c r="A287" s="114" t="str">
        <f>VLOOKUP(B287,'Insumos e Serviços'!$A:$F,3,0)</f>
        <v>Composição</v>
      </c>
      <c r="B287" s="109" t="s">
        <v>625</v>
      </c>
      <c r="C287" s="113" t="str">
        <f>VLOOKUP(B287,'Insumos e Serviços'!$A:$F,2,0)</f>
        <v>SINAPI</v>
      </c>
      <c r="D287" s="114" t="str">
        <f>VLOOKUP(B287,'Insumos e Serviços'!$A:$F,4,0)</f>
        <v>ENCANADOR OU BOMBEIRO HIDRÁULICO COM ENCARGOS COMPLEMENTARES</v>
      </c>
      <c r="E287" s="113" t="str">
        <f>VLOOKUP(B287,'Insumos e Serviços'!$A:$F,5,0)</f>
        <v>H</v>
      </c>
      <c r="F287" s="189">
        <v>0.38700000000000001</v>
      </c>
      <c r="G287" s="115">
        <f>VLOOKUP(B287,'Insumos e Serviços'!$A:$F,6,0)</f>
        <v>22.76</v>
      </c>
      <c r="H287" s="115">
        <f t="shared" ref="H287:H291" si="37">TRUNC(F287*G287,2)</f>
        <v>8.8000000000000007</v>
      </c>
    </row>
    <row r="288" spans="1:8" x14ac:dyDescent="0.2">
      <c r="A288" s="114" t="str">
        <f>VLOOKUP(B288,'Insumos e Serviços'!$A:$F,3,0)</f>
        <v>Composição</v>
      </c>
      <c r="B288" s="109" t="s">
        <v>597</v>
      </c>
      <c r="C288" s="113" t="str">
        <f>VLOOKUP(B288,'Insumos e Serviços'!$A:$F,2,0)</f>
        <v>SINAPI</v>
      </c>
      <c r="D288" s="114" t="str">
        <f>VLOOKUP(B288,'Insumos e Serviços'!$A:$F,4,0)</f>
        <v>SERVENTE COM ENCARGOS COMPLEMENTARES</v>
      </c>
      <c r="E288" s="113" t="str">
        <f>VLOOKUP(B288,'Insumos e Serviços'!$A:$F,5,0)</f>
        <v>H</v>
      </c>
      <c r="F288" s="189">
        <v>0.18859999999999999</v>
      </c>
      <c r="G288" s="115">
        <f>VLOOKUP(B288,'Insumos e Serviços'!$A:$F,6,0)</f>
        <v>17.170000000000002</v>
      </c>
      <c r="H288" s="115">
        <f t="shared" si="37"/>
        <v>3.23</v>
      </c>
    </row>
    <row r="289" spans="1:8" ht="22.5" x14ac:dyDescent="0.2">
      <c r="A289" s="114" t="str">
        <f>VLOOKUP(B289,'Insumos e Serviços'!$A:$F,3,0)</f>
        <v>Insumo</v>
      </c>
      <c r="B289" s="109" t="s">
        <v>898</v>
      </c>
      <c r="C289" s="113" t="str">
        <f>VLOOKUP(B289,'Insumos e Serviços'!$A:$F,2,0)</f>
        <v>SINAPI</v>
      </c>
      <c r="D289" s="114" t="str">
        <f>VLOOKUP(B289,'Insumos e Serviços'!$A:$F,4,0)</f>
        <v>PARAFUSO NIQUELADO 3 1/2" COM ACABAMENTO CROMADO PARA FIXAR PECA SANITARIA, INCLUI PORCA CEGA, ARRUELA E BUCHA DE NYLON TAMANHO S-8</v>
      </c>
      <c r="E289" s="113" t="str">
        <f>VLOOKUP(B289,'Insumos e Serviços'!$A:$F,5,0)</f>
        <v>UN</v>
      </c>
      <c r="F289" s="189">
        <v>2</v>
      </c>
      <c r="G289" s="115">
        <f>VLOOKUP(B289,'Insumos e Serviços'!$A:$F,6,0)</f>
        <v>8.5500000000000007</v>
      </c>
      <c r="H289" s="115">
        <f t="shared" si="37"/>
        <v>17.100000000000001</v>
      </c>
    </row>
    <row r="290" spans="1:8" x14ac:dyDescent="0.2">
      <c r="A290" s="114" t="str">
        <f>VLOOKUP(B290,'Insumos e Serviços'!$A:$F,3,0)</f>
        <v>Insumo</v>
      </c>
      <c r="B290" s="109" t="s">
        <v>868</v>
      </c>
      <c r="C290" s="113" t="str">
        <f>VLOOKUP(B290,'Insumos e Serviços'!$A:$F,2,0)</f>
        <v>SINAPI</v>
      </c>
      <c r="D290" s="114" t="str">
        <f>VLOOKUP(B290,'Insumos e Serviços'!$A:$F,4,0)</f>
        <v>REJUNTE EPOXI, QUALQUER COR</v>
      </c>
      <c r="E290" s="113" t="str">
        <f>VLOOKUP(B290,'Insumos e Serviços'!$A:$F,5,0)</f>
        <v>KG</v>
      </c>
      <c r="F290" s="189">
        <v>3.04E-2</v>
      </c>
      <c r="G290" s="115">
        <f>VLOOKUP(B290,'Insumos e Serviços'!$A:$F,6,0)</f>
        <v>55.65</v>
      </c>
      <c r="H290" s="115">
        <f t="shared" si="37"/>
        <v>1.69</v>
      </c>
    </row>
    <row r="291" spans="1:8" x14ac:dyDescent="0.2">
      <c r="A291" s="114" t="str">
        <f>VLOOKUP(B291,'Insumos e Serviços'!$A:$F,3,0)</f>
        <v>Insumo</v>
      </c>
      <c r="B291" s="109" t="s">
        <v>900</v>
      </c>
      <c r="C291" s="113" t="str">
        <f>VLOOKUP(B291,'Insumos e Serviços'!$A:$F,2,0)</f>
        <v>Próprio</v>
      </c>
      <c r="D291" s="114" t="str">
        <f>VLOOKUP(B291,'Insumos e Serviços'!$A:$F,4,0)</f>
        <v>Lavatório de semi-encaixe de louça, linha Monte Carlo, cor branco gelo, código L82, fab. Deca</v>
      </c>
      <c r="E291" s="113" t="str">
        <f>VLOOKUP(B291,'Insumos e Serviços'!$A:$F,5,0)</f>
        <v>un</v>
      </c>
      <c r="F291" s="189">
        <v>1</v>
      </c>
      <c r="G291" s="115" t="str">
        <f>VLOOKUP(B291,'Insumos e Serviços'!$A:$F,6,0)</f>
        <v xml:space="preserve"> 306,86</v>
      </c>
      <c r="H291" s="115">
        <f t="shared" si="37"/>
        <v>306.86</v>
      </c>
    </row>
    <row r="292" spans="1:8" x14ac:dyDescent="0.2">
      <c r="A292" s="205"/>
      <c r="B292" s="205"/>
      <c r="C292" s="205"/>
      <c r="D292" s="206"/>
      <c r="E292" s="207"/>
      <c r="F292" s="208"/>
      <c r="G292" s="205"/>
      <c r="H292" s="205"/>
    </row>
    <row r="293" spans="1:8" x14ac:dyDescent="0.2">
      <c r="A293" s="204" t="s">
        <v>243</v>
      </c>
      <c r="B293" s="54" t="str">
        <f>VLOOKUP(A293,'Orçamento Sintético'!$A:$H,2,0)</f>
        <v xml:space="preserve"> MPDFT0270 </v>
      </c>
      <c r="C293" s="54" t="str">
        <f>VLOOKUP(A293,'Orçamento Sintético'!$A:$H,3,0)</f>
        <v>Próprio</v>
      </c>
      <c r="D293" s="55" t="str">
        <f>VLOOKUP(A293,'Orçamento Sintético'!$A:$H,4,0)</f>
        <v>Conjunto de metais para lavatório em bancada de granito</v>
      </c>
      <c r="E293" s="54" t="str">
        <f>VLOOKUP(A293,'Orçamento Sintético'!$A:$H,5,0)</f>
        <v>cj</v>
      </c>
      <c r="F293" s="183"/>
      <c r="G293" s="184"/>
      <c r="H293" s="185">
        <f>SUM(H294:H300)</f>
        <v>599.73</v>
      </c>
    </row>
    <row r="294" spans="1:8" x14ac:dyDescent="0.2">
      <c r="A294" s="114" t="str">
        <f>VLOOKUP(B294,'Insumos e Serviços'!$A:$F,3,0)</f>
        <v>Composição</v>
      </c>
      <c r="B294" s="109" t="s">
        <v>625</v>
      </c>
      <c r="C294" s="113" t="str">
        <f>VLOOKUP(B294,'Insumos e Serviços'!$A:$F,2,0)</f>
        <v>SINAPI</v>
      </c>
      <c r="D294" s="114" t="str">
        <f>VLOOKUP(B294,'Insumos e Serviços'!$A:$F,4,0)</f>
        <v>ENCANADOR OU BOMBEIRO HIDRÁULICO COM ENCARGOS COMPLEMENTARES</v>
      </c>
      <c r="E294" s="113" t="str">
        <f>VLOOKUP(B294,'Insumos e Serviços'!$A:$F,5,0)</f>
        <v>H</v>
      </c>
      <c r="F294" s="189">
        <v>0.76600000000000001</v>
      </c>
      <c r="G294" s="115">
        <f>VLOOKUP(B294,'Insumos e Serviços'!$A:$F,6,0)</f>
        <v>22.76</v>
      </c>
      <c r="H294" s="115">
        <f t="shared" ref="H294:H300" si="38">TRUNC(F294*G294,2)</f>
        <v>17.43</v>
      </c>
    </row>
    <row r="295" spans="1:8" x14ac:dyDescent="0.2">
      <c r="A295" s="114" t="str">
        <f>VLOOKUP(B295,'Insumos e Serviços'!$A:$F,3,0)</f>
        <v>Composição</v>
      </c>
      <c r="B295" s="109" t="s">
        <v>597</v>
      </c>
      <c r="C295" s="113" t="str">
        <f>VLOOKUP(B295,'Insumos e Serviços'!$A:$F,2,0)</f>
        <v>SINAPI</v>
      </c>
      <c r="D295" s="114" t="str">
        <f>VLOOKUP(B295,'Insumos e Serviços'!$A:$F,4,0)</f>
        <v>SERVENTE COM ENCARGOS COMPLEMENTARES</v>
      </c>
      <c r="E295" s="113" t="str">
        <f>VLOOKUP(B295,'Insumos e Serviços'!$A:$F,5,0)</f>
        <v>H</v>
      </c>
      <c r="F295" s="189">
        <v>0.73480000000000001</v>
      </c>
      <c r="G295" s="115">
        <f>VLOOKUP(B295,'Insumos e Serviços'!$A:$F,6,0)</f>
        <v>17.170000000000002</v>
      </c>
      <c r="H295" s="115">
        <f t="shared" si="38"/>
        <v>12.61</v>
      </c>
    </row>
    <row r="296" spans="1:8" x14ac:dyDescent="0.2">
      <c r="A296" s="114" t="str">
        <f>VLOOKUP(B296,'Insumos e Serviços'!$A:$F,3,0)</f>
        <v>Insumo</v>
      </c>
      <c r="B296" s="109" t="s">
        <v>902</v>
      </c>
      <c r="C296" s="113" t="str">
        <f>VLOOKUP(B296,'Insumos e Serviços'!$A:$F,2,0)</f>
        <v>Próprio</v>
      </c>
      <c r="D296" s="114" t="str">
        <f>VLOOKUP(B296,'Insumos e Serviços'!$A:$F,4,0)</f>
        <v>Válvula de escoamento, cromada, cod.1601C, fab. Deca</v>
      </c>
      <c r="E296" s="113" t="str">
        <f>VLOOKUP(B296,'Insumos e Serviços'!$A:$F,5,0)</f>
        <v>un</v>
      </c>
      <c r="F296" s="189">
        <v>1</v>
      </c>
      <c r="G296" s="115" t="str">
        <f>VLOOKUP(B296,'Insumos e Serviços'!$A:$F,6,0)</f>
        <v xml:space="preserve"> 118,65</v>
      </c>
      <c r="H296" s="115">
        <f t="shared" si="38"/>
        <v>118.65</v>
      </c>
    </row>
    <row r="297" spans="1:8" x14ac:dyDescent="0.2">
      <c r="A297" s="114" t="str">
        <f>VLOOKUP(B297,'Insumos e Serviços'!$A:$F,3,0)</f>
        <v>Insumo</v>
      </c>
      <c r="B297" s="109" t="s">
        <v>904</v>
      </c>
      <c r="C297" s="113" t="str">
        <f>VLOOKUP(B297,'Insumos e Serviços'!$A:$F,2,0)</f>
        <v>Próprio</v>
      </c>
      <c r="D297" s="114" t="str">
        <f>VLOOKUP(B297,'Insumos e Serviços'!$A:$F,4,0)</f>
        <v>Ligação flexível de malha de aço 50cm, ref. 4607C 050, fab. Deca</v>
      </c>
      <c r="E297" s="113" t="str">
        <f>VLOOKUP(B297,'Insumos e Serviços'!$A:$F,5,0)</f>
        <v>un</v>
      </c>
      <c r="F297" s="189">
        <v>1</v>
      </c>
      <c r="G297" s="115">
        <f>VLOOKUP(B297,'Insumos e Serviços'!$A:$F,6,0)</f>
        <v>60.92</v>
      </c>
      <c r="H297" s="115">
        <f t="shared" si="38"/>
        <v>60.92</v>
      </c>
    </row>
    <row r="298" spans="1:8" x14ac:dyDescent="0.2">
      <c r="A298" s="114" t="str">
        <f>VLOOKUP(B298,'Insumos e Serviços'!$A:$F,3,0)</f>
        <v>Insumo</v>
      </c>
      <c r="B298" s="109" t="s">
        <v>896</v>
      </c>
      <c r="C298" s="113" t="str">
        <f>VLOOKUP(B298,'Insumos e Serviços'!$A:$F,2,0)</f>
        <v>SINAPI</v>
      </c>
      <c r="D298" s="114" t="str">
        <f>VLOOKUP(B298,'Insumos e Serviços'!$A:$F,4,0)</f>
        <v>FITA VEDA ROSCA EM ROLOS DE 18 MM X 10 M (L X C)</v>
      </c>
      <c r="E298" s="113" t="str">
        <f>VLOOKUP(B298,'Insumos e Serviços'!$A:$F,5,0)</f>
        <v>UN</v>
      </c>
      <c r="F298" s="189">
        <v>0.12130000000000001</v>
      </c>
      <c r="G298" s="115">
        <f>VLOOKUP(B298,'Insumos e Serviços'!$A:$F,6,0)</f>
        <v>3.9</v>
      </c>
      <c r="H298" s="115">
        <f t="shared" si="38"/>
        <v>0.47</v>
      </c>
    </row>
    <row r="299" spans="1:8" ht="22.5" x14ac:dyDescent="0.2">
      <c r="A299" s="114" t="str">
        <f>VLOOKUP(B299,'Insumos e Serviços'!$A:$F,3,0)</f>
        <v>Insumo</v>
      </c>
      <c r="B299" s="109" t="s">
        <v>906</v>
      </c>
      <c r="C299" s="113" t="str">
        <f>VLOOKUP(B299,'Insumos e Serviços'!$A:$F,2,0)</f>
        <v>Próprio</v>
      </c>
      <c r="D299" s="114" t="str">
        <f>VLOOKUP(B299,'Insumos e Serviços'!$A:$F,4,0)</f>
        <v>Torneira para lavatório de mesa, cromada, fechamento automático, Decamatic Eco, Código 1173.C, fab. Deca</v>
      </c>
      <c r="E299" s="113" t="str">
        <f>VLOOKUP(B299,'Insumos e Serviços'!$A:$F,5,0)</f>
        <v>un</v>
      </c>
      <c r="F299" s="189">
        <v>1</v>
      </c>
      <c r="G299" s="115">
        <f>VLOOKUP(B299,'Insumos e Serviços'!$A:$F,6,0)</f>
        <v>254.5</v>
      </c>
      <c r="H299" s="115">
        <f t="shared" si="38"/>
        <v>254.5</v>
      </c>
    </row>
    <row r="300" spans="1:8" x14ac:dyDescent="0.2">
      <c r="A300" s="114" t="str">
        <f>VLOOKUP(B300,'Insumos e Serviços'!$A:$F,3,0)</f>
        <v>Insumo</v>
      </c>
      <c r="B300" s="109" t="s">
        <v>908</v>
      </c>
      <c r="C300" s="113" t="str">
        <f>VLOOKUP(B300,'Insumos e Serviços'!$A:$F,2,0)</f>
        <v>Próprio</v>
      </c>
      <c r="D300" s="114" t="str">
        <f>VLOOKUP(B300,'Insumos e Serviços'!$A:$F,4,0)</f>
        <v>Sifão regulável com tubo de saída corrugável 1x1.1/2", VSM 182, fabricação Esteves</v>
      </c>
      <c r="E300" s="113" t="str">
        <f>VLOOKUP(B300,'Insumos e Serviços'!$A:$F,5,0)</f>
        <v>un</v>
      </c>
      <c r="F300" s="189">
        <v>1</v>
      </c>
      <c r="G300" s="115">
        <f>VLOOKUP(B300,'Insumos e Serviços'!$A:$F,6,0)</f>
        <v>135.15</v>
      </c>
      <c r="H300" s="115">
        <f t="shared" si="38"/>
        <v>135.15</v>
      </c>
    </row>
    <row r="301" spans="1:8" x14ac:dyDescent="0.2">
      <c r="A301" s="205"/>
      <c r="B301" s="205"/>
      <c r="C301" s="205"/>
      <c r="D301" s="206"/>
      <c r="E301" s="207"/>
      <c r="F301" s="208"/>
      <c r="G301" s="205"/>
      <c r="H301" s="205"/>
    </row>
    <row r="302" spans="1:8" ht="22.5" x14ac:dyDescent="0.2">
      <c r="A302" s="204" t="s">
        <v>247</v>
      </c>
      <c r="B302" s="54" t="str">
        <f>VLOOKUP(A302,'Orçamento Sintético'!$A:$H,2,0)</f>
        <v xml:space="preserve"> MPDFT0303 </v>
      </c>
      <c r="C302" s="54" t="str">
        <f>VLOOKUP(A302,'Orçamento Sintético'!$A:$H,3,0)</f>
        <v>Próprio</v>
      </c>
      <c r="D302" s="55" t="str">
        <f>VLOOKUP(A302,'Orçamento Sintético'!$A:$H,4,0)</f>
        <v>Copia da SINAPI (86903) - Lavatório com coluna suspensa (PCD), branco. Linha Vogue Plus, cód.:L51.17 (lavatório) e cód.: CS1.17 (coluna suspensa), fab. Deca</v>
      </c>
      <c r="E302" s="54" t="str">
        <f>VLOOKUP(A302,'Orçamento Sintético'!$A:$H,5,0)</f>
        <v>UN</v>
      </c>
      <c r="F302" s="183"/>
      <c r="G302" s="184"/>
      <c r="H302" s="185">
        <f>SUM(H303:H308)</f>
        <v>590.82000000000005</v>
      </c>
    </row>
    <row r="303" spans="1:8" x14ac:dyDescent="0.2">
      <c r="A303" s="114" t="str">
        <f>VLOOKUP(B303,'Insumos e Serviços'!$A:$F,3,0)</f>
        <v>Composição</v>
      </c>
      <c r="B303" s="109" t="s">
        <v>625</v>
      </c>
      <c r="C303" s="113" t="str">
        <f>VLOOKUP(B303,'Insumos e Serviços'!$A:$F,2,0)</f>
        <v>SINAPI</v>
      </c>
      <c r="D303" s="114" t="str">
        <f>VLOOKUP(B303,'Insumos e Serviços'!$A:$F,4,0)</f>
        <v>ENCANADOR OU BOMBEIRO HIDRÁULICO COM ENCARGOS COMPLEMENTARES</v>
      </c>
      <c r="E303" s="113" t="str">
        <f>VLOOKUP(B303,'Insumos e Serviços'!$A:$F,5,0)</f>
        <v>H</v>
      </c>
      <c r="F303" s="189">
        <v>1.4666999999999999</v>
      </c>
      <c r="G303" s="115">
        <f>VLOOKUP(B303,'Insumos e Serviços'!$A:$F,6,0)</f>
        <v>22.76</v>
      </c>
      <c r="H303" s="115">
        <f t="shared" ref="H303:H308" si="39">TRUNC(F303*G303,2)</f>
        <v>33.380000000000003</v>
      </c>
    </row>
    <row r="304" spans="1:8" x14ac:dyDescent="0.2">
      <c r="A304" s="114" t="str">
        <f>VLOOKUP(B304,'Insumos e Serviços'!$A:$F,3,0)</f>
        <v>Composição</v>
      </c>
      <c r="B304" s="109" t="s">
        <v>597</v>
      </c>
      <c r="C304" s="113" t="str">
        <f>VLOOKUP(B304,'Insumos e Serviços'!$A:$F,2,0)</f>
        <v>SINAPI</v>
      </c>
      <c r="D304" s="114" t="str">
        <f>VLOOKUP(B304,'Insumos e Serviços'!$A:$F,4,0)</f>
        <v>SERVENTE COM ENCARGOS COMPLEMENTARES</v>
      </c>
      <c r="E304" s="113" t="str">
        <f>VLOOKUP(B304,'Insumos e Serviços'!$A:$F,5,0)</f>
        <v>H</v>
      </c>
      <c r="F304" s="189">
        <v>0.65169999999999995</v>
      </c>
      <c r="G304" s="115">
        <f>VLOOKUP(B304,'Insumos e Serviços'!$A:$F,6,0)</f>
        <v>17.170000000000002</v>
      </c>
      <c r="H304" s="115">
        <f t="shared" si="39"/>
        <v>11.18</v>
      </c>
    </row>
    <row r="305" spans="1:8" ht="22.5" x14ac:dyDescent="0.2">
      <c r="A305" s="114" t="str">
        <f>VLOOKUP(B305,'Insumos e Serviços'!$A:$F,3,0)</f>
        <v>Insumo</v>
      </c>
      <c r="B305" s="109" t="s">
        <v>898</v>
      </c>
      <c r="C305" s="113" t="str">
        <f>VLOOKUP(B305,'Insumos e Serviços'!$A:$F,2,0)</f>
        <v>SINAPI</v>
      </c>
      <c r="D305" s="114" t="str">
        <f>VLOOKUP(B305,'Insumos e Serviços'!$A:$F,4,0)</f>
        <v>PARAFUSO NIQUELADO 3 1/2" COM ACABAMENTO CROMADO PARA FIXAR PECA SANITARIA, INCLUI PORCA CEGA, ARRUELA E BUCHA DE NYLON TAMANHO S-8</v>
      </c>
      <c r="E305" s="113" t="str">
        <f>VLOOKUP(B305,'Insumos e Serviços'!$A:$F,5,0)</f>
        <v>UN</v>
      </c>
      <c r="F305" s="189">
        <v>4</v>
      </c>
      <c r="G305" s="115">
        <f>VLOOKUP(B305,'Insumos e Serviços'!$A:$F,6,0)</f>
        <v>8.5500000000000007</v>
      </c>
      <c r="H305" s="115">
        <f t="shared" si="39"/>
        <v>34.200000000000003</v>
      </c>
    </row>
    <row r="306" spans="1:8" x14ac:dyDescent="0.2">
      <c r="A306" s="114" t="str">
        <f>VLOOKUP(B306,'Insumos e Serviços'!$A:$F,3,0)</f>
        <v>Insumo</v>
      </c>
      <c r="B306" s="109" t="s">
        <v>868</v>
      </c>
      <c r="C306" s="113" t="str">
        <f>VLOOKUP(B306,'Insumos e Serviços'!$A:$F,2,0)</f>
        <v>SINAPI</v>
      </c>
      <c r="D306" s="114" t="str">
        <f>VLOOKUP(B306,'Insumos e Serviços'!$A:$F,4,0)</f>
        <v>REJUNTE EPOXI, QUALQUER COR</v>
      </c>
      <c r="E306" s="113" t="str">
        <f>VLOOKUP(B306,'Insumos e Serviços'!$A:$F,5,0)</f>
        <v>KG</v>
      </c>
      <c r="F306" s="189">
        <v>8.6599999999999996E-2</v>
      </c>
      <c r="G306" s="115">
        <f>VLOOKUP(B306,'Insumos e Serviços'!$A:$F,6,0)</f>
        <v>55.65</v>
      </c>
      <c r="H306" s="115">
        <f t="shared" si="39"/>
        <v>4.8099999999999996</v>
      </c>
    </row>
    <row r="307" spans="1:8" x14ac:dyDescent="0.2">
      <c r="A307" s="114" t="str">
        <f>VLOOKUP(B307,'Insumos e Serviços'!$A:$F,3,0)</f>
        <v>Insumo</v>
      </c>
      <c r="B307" s="109" t="s">
        <v>910</v>
      </c>
      <c r="C307" s="113" t="str">
        <f>VLOOKUP(B307,'Insumos e Serviços'!$A:$F,2,0)</f>
        <v>Próprio</v>
      </c>
      <c r="D307" s="114" t="str">
        <f>VLOOKUP(B307,'Insumos e Serviços'!$A:$F,4,0)</f>
        <v>Lavatório com coluna suspensa, marca Deca, Modelo Vogue Plus, código L.51.17, cor branco</v>
      </c>
      <c r="E307" s="113" t="str">
        <f>VLOOKUP(B307,'Insumos e Serviços'!$A:$F,5,0)</f>
        <v>un</v>
      </c>
      <c r="F307" s="189">
        <v>1</v>
      </c>
      <c r="G307" s="115">
        <f>VLOOKUP(B307,'Insumos e Serviços'!$A:$F,6,0)</f>
        <v>466.61</v>
      </c>
      <c r="H307" s="115">
        <f t="shared" si="39"/>
        <v>466.61</v>
      </c>
    </row>
    <row r="308" spans="1:8" x14ac:dyDescent="0.2">
      <c r="A308" s="114" t="str">
        <f>VLOOKUP(B308,'Insumos e Serviços'!$A:$F,3,0)</f>
        <v>Insumo</v>
      </c>
      <c r="B308" s="109" t="s">
        <v>912</v>
      </c>
      <c r="C308" s="113" t="str">
        <f>VLOOKUP(B308,'Insumos e Serviços'!$A:$F,2,0)</f>
        <v>Próprio</v>
      </c>
      <c r="D308" s="114" t="str">
        <f>VLOOKUP(B308,'Insumos e Serviços'!$A:$F,4,0)</f>
        <v>Coluna para lavatório Monte Carlo/Village/Vogue Plus C1 Deca</v>
      </c>
      <c r="E308" s="113" t="str">
        <f>VLOOKUP(B308,'Insumos e Serviços'!$A:$F,5,0)</f>
        <v>un</v>
      </c>
      <c r="F308" s="189">
        <v>1</v>
      </c>
      <c r="G308" s="115" t="str">
        <f>VLOOKUP(B308,'Insumos e Serviços'!$A:$F,6,0)</f>
        <v xml:space="preserve"> 40,64</v>
      </c>
      <c r="H308" s="115">
        <f t="shared" si="39"/>
        <v>40.64</v>
      </c>
    </row>
    <row r="309" spans="1:8" x14ac:dyDescent="0.2">
      <c r="A309" s="205"/>
      <c r="B309" s="205"/>
      <c r="C309" s="205"/>
      <c r="D309" s="206"/>
      <c r="E309" s="207"/>
      <c r="F309" s="208"/>
      <c r="G309" s="205"/>
      <c r="H309" s="205"/>
    </row>
    <row r="310" spans="1:8" ht="22.5" x14ac:dyDescent="0.2">
      <c r="A310" s="204" t="s">
        <v>250</v>
      </c>
      <c r="B310" s="54" t="str">
        <f>VLOOKUP(A310,'Orçamento Sintético'!$A:$H,2,0)</f>
        <v xml:space="preserve"> MPDFT0260 </v>
      </c>
      <c r="C310" s="54" t="str">
        <f>VLOOKUP(A310,'Orçamento Sintético'!$A:$H,3,0)</f>
        <v>Próprio</v>
      </c>
      <c r="D310" s="55" t="str">
        <f>VLOOKUP(A310,'Orçamento Sintético'!$A:$H,4,0)</f>
        <v>Conjunto de metais para lavatório com coluna suspensa (PCD) ou semi-encaixe, inclusive torneira de mesa com alavanca</v>
      </c>
      <c r="E310" s="54" t="str">
        <f>VLOOKUP(A310,'Orçamento Sintético'!$A:$H,5,0)</f>
        <v>un</v>
      </c>
      <c r="F310" s="183"/>
      <c r="G310" s="184"/>
      <c r="H310" s="185">
        <f>SUM(H311:H318)</f>
        <v>652.21</v>
      </c>
    </row>
    <row r="311" spans="1:8" x14ac:dyDescent="0.2">
      <c r="A311" s="114" t="str">
        <f>VLOOKUP(B311,'Insumos e Serviços'!$A:$F,3,0)</f>
        <v>Composição</v>
      </c>
      <c r="B311" s="109" t="s">
        <v>627</v>
      </c>
      <c r="C311" s="113" t="str">
        <f>VLOOKUP(B311,'Insumos e Serviços'!$A:$F,2,0)</f>
        <v>SINAPI</v>
      </c>
      <c r="D311" s="114" t="str">
        <f>VLOOKUP(B311,'Insumos e Serviços'!$A:$F,4,0)</f>
        <v>AUXILIAR DE ENCANADOR OU BOMBEIRO HIDRÁULICO COM ENCARGOS COMPLEMENTARES</v>
      </c>
      <c r="E311" s="113" t="str">
        <f>VLOOKUP(B311,'Insumos e Serviços'!$A:$F,5,0)</f>
        <v>H</v>
      </c>
      <c r="F311" s="189">
        <v>0.74480000000000002</v>
      </c>
      <c r="G311" s="115">
        <f>VLOOKUP(B311,'Insumos e Serviços'!$A:$F,6,0)</f>
        <v>17.78</v>
      </c>
      <c r="H311" s="115">
        <f t="shared" ref="H311:H318" si="40">TRUNC(F311*G311,2)</f>
        <v>13.24</v>
      </c>
    </row>
    <row r="312" spans="1:8" x14ac:dyDescent="0.2">
      <c r="A312" s="114" t="str">
        <f>VLOOKUP(B312,'Insumos e Serviços'!$A:$F,3,0)</f>
        <v>Composição</v>
      </c>
      <c r="B312" s="109" t="s">
        <v>625</v>
      </c>
      <c r="C312" s="113" t="str">
        <f>VLOOKUP(B312,'Insumos e Serviços'!$A:$F,2,0)</f>
        <v>SINAPI</v>
      </c>
      <c r="D312" s="114" t="str">
        <f>VLOOKUP(B312,'Insumos e Serviços'!$A:$F,4,0)</f>
        <v>ENCANADOR OU BOMBEIRO HIDRÁULICO COM ENCARGOS COMPLEMENTARES</v>
      </c>
      <c r="E312" s="113" t="str">
        <f>VLOOKUP(B312,'Insumos e Serviços'!$A:$F,5,0)</f>
        <v>H</v>
      </c>
      <c r="F312" s="189">
        <v>0.76659999999999995</v>
      </c>
      <c r="G312" s="115">
        <f>VLOOKUP(B312,'Insumos e Serviços'!$A:$F,6,0)</f>
        <v>22.76</v>
      </c>
      <c r="H312" s="115">
        <f t="shared" si="40"/>
        <v>17.440000000000001</v>
      </c>
    </row>
    <row r="313" spans="1:8" x14ac:dyDescent="0.2">
      <c r="A313" s="114" t="str">
        <f>VLOOKUP(B313,'Insumos e Serviços'!$A:$F,3,0)</f>
        <v>Insumo</v>
      </c>
      <c r="B313" s="109" t="s">
        <v>902</v>
      </c>
      <c r="C313" s="113" t="str">
        <f>VLOOKUP(B313,'Insumos e Serviços'!$A:$F,2,0)</f>
        <v>Próprio</v>
      </c>
      <c r="D313" s="114" t="str">
        <f>VLOOKUP(B313,'Insumos e Serviços'!$A:$F,4,0)</f>
        <v>Válvula de escoamento, cromada, cod.1601C, fab. Deca</v>
      </c>
      <c r="E313" s="113" t="str">
        <f>VLOOKUP(B313,'Insumos e Serviços'!$A:$F,5,0)</f>
        <v>un</v>
      </c>
      <c r="F313" s="189">
        <v>1</v>
      </c>
      <c r="G313" s="115" t="str">
        <f>VLOOKUP(B313,'Insumos e Serviços'!$A:$F,6,0)</f>
        <v xml:space="preserve"> 118,65</v>
      </c>
      <c r="H313" s="115">
        <f t="shared" si="40"/>
        <v>118.65</v>
      </c>
    </row>
    <row r="314" spans="1:8" x14ac:dyDescent="0.2">
      <c r="A314" s="114" t="str">
        <f>VLOOKUP(B314,'Insumos e Serviços'!$A:$F,3,0)</f>
        <v>Insumo</v>
      </c>
      <c r="B314" s="109" t="s">
        <v>904</v>
      </c>
      <c r="C314" s="113" t="str">
        <f>VLOOKUP(B314,'Insumos e Serviços'!$A:$F,2,0)</f>
        <v>Próprio</v>
      </c>
      <c r="D314" s="114" t="str">
        <f>VLOOKUP(B314,'Insumos e Serviços'!$A:$F,4,0)</f>
        <v>Ligação flexível de malha de aço 50cm, ref. 4607C 050, fab. Deca</v>
      </c>
      <c r="E314" s="113" t="str">
        <f>VLOOKUP(B314,'Insumos e Serviços'!$A:$F,5,0)</f>
        <v>un</v>
      </c>
      <c r="F314" s="189">
        <v>1</v>
      </c>
      <c r="G314" s="115">
        <f>VLOOKUP(B314,'Insumos e Serviços'!$A:$F,6,0)</f>
        <v>60.92</v>
      </c>
      <c r="H314" s="115">
        <f t="shared" si="40"/>
        <v>60.92</v>
      </c>
    </row>
    <row r="315" spans="1:8" x14ac:dyDescent="0.2">
      <c r="A315" s="114" t="str">
        <f>VLOOKUP(B315,'Insumos e Serviços'!$A:$F,3,0)</f>
        <v>Insumo</v>
      </c>
      <c r="B315" s="109" t="s">
        <v>896</v>
      </c>
      <c r="C315" s="113" t="str">
        <f>VLOOKUP(B315,'Insumos e Serviços'!$A:$F,2,0)</f>
        <v>SINAPI</v>
      </c>
      <c r="D315" s="114" t="str">
        <f>VLOOKUP(B315,'Insumos e Serviços'!$A:$F,4,0)</f>
        <v>FITA VEDA ROSCA EM ROLOS DE 18 MM X 10 M (L X C)</v>
      </c>
      <c r="E315" s="113" t="str">
        <f>VLOOKUP(B315,'Insumos e Serviços'!$A:$F,5,0)</f>
        <v>UN</v>
      </c>
      <c r="F315" s="189">
        <v>0.1232</v>
      </c>
      <c r="G315" s="115">
        <f>VLOOKUP(B315,'Insumos e Serviços'!$A:$F,6,0)</f>
        <v>3.9</v>
      </c>
      <c r="H315" s="115">
        <f t="shared" si="40"/>
        <v>0.48</v>
      </c>
    </row>
    <row r="316" spans="1:8" ht="22.5" x14ac:dyDescent="0.2">
      <c r="A316" s="114" t="str">
        <f>VLOOKUP(B316,'Insumos e Serviços'!$A:$F,3,0)</f>
        <v>Insumo</v>
      </c>
      <c r="B316" s="109" t="s">
        <v>914</v>
      </c>
      <c r="C316" s="113" t="str">
        <f>VLOOKUP(B316,'Insumos e Serviços'!$A:$F,2,0)</f>
        <v>Próprio</v>
      </c>
      <c r="D316" s="114" t="str">
        <f>VLOOKUP(B316,'Insumos e Serviços'!$A:$F,4,0)</f>
        <v>Torneira para lavatório de mesa com alavanca, cromada, fechamento automático, Linha Pressmatic Benefit, Código 00490706, fab. Docol</v>
      </c>
      <c r="E316" s="113" t="str">
        <f>VLOOKUP(B316,'Insumos e Serviços'!$A:$F,5,0)</f>
        <v>un</v>
      </c>
      <c r="F316" s="189">
        <v>1</v>
      </c>
      <c r="G316" s="115">
        <f>VLOOKUP(B316,'Insumos e Serviços'!$A:$F,6,0)</f>
        <v>409.95</v>
      </c>
      <c r="H316" s="115">
        <f t="shared" si="40"/>
        <v>409.95</v>
      </c>
    </row>
    <row r="317" spans="1:8" x14ac:dyDescent="0.2">
      <c r="A317" s="114" t="str">
        <f>VLOOKUP(B317,'Insumos e Serviços'!$A:$F,3,0)</f>
        <v>Insumo</v>
      </c>
      <c r="B317" s="109" t="s">
        <v>916</v>
      </c>
      <c r="C317" s="113" t="str">
        <f>VLOOKUP(B317,'Insumos e Serviços'!$A:$F,2,0)</f>
        <v>Próprio</v>
      </c>
      <c r="D317" s="114" t="str">
        <f>VLOOKUP(B317,'Insumos e Serviços'!$A:$F,4,0)</f>
        <v>Sifão com tubo extensivo cromado 1x1/2", fabricação Astra</v>
      </c>
      <c r="E317" s="113" t="str">
        <f>VLOOKUP(B317,'Insumos e Serviços'!$A:$F,5,0)</f>
        <v>un</v>
      </c>
      <c r="F317" s="189">
        <v>1</v>
      </c>
      <c r="G317" s="115" t="str">
        <f>VLOOKUP(B317,'Insumos e Serviços'!$A:$F,6,0)</f>
        <v xml:space="preserve"> 17,20</v>
      </c>
      <c r="H317" s="115">
        <f t="shared" si="40"/>
        <v>17.2</v>
      </c>
    </row>
    <row r="318" spans="1:8" ht="22.5" x14ac:dyDescent="0.2">
      <c r="A318" s="114" t="str">
        <f>VLOOKUP(B318,'Insumos e Serviços'!$A:$F,3,0)</f>
        <v>Serviços</v>
      </c>
      <c r="B318" s="109" t="s">
        <v>918</v>
      </c>
      <c r="C318" s="113" t="str">
        <f>VLOOKUP(B318,'Insumos e Serviços'!$A:$F,2,0)</f>
        <v>SINAPI</v>
      </c>
      <c r="D318" s="114" t="str">
        <f>VLOOKUP(B318,'Insumos e Serviços'!$A:$F,4,0)</f>
        <v>FURO PARA TORNEIRA OU OUTROS ACESSORIOS  EM BANCADA DE MARMORE/ GRANITO OU OUTRO TIPO DE PEDRA NATURAL</v>
      </c>
      <c r="E318" s="113" t="str">
        <f>VLOOKUP(B318,'Insumos e Serviços'!$A:$F,5,0)</f>
        <v>UN</v>
      </c>
      <c r="F318" s="189">
        <v>1</v>
      </c>
      <c r="G318" s="115" t="str">
        <f>VLOOKUP(B318,'Insumos e Serviços'!$A:$F,6,0)</f>
        <v xml:space="preserve"> 14,33</v>
      </c>
      <c r="H318" s="115">
        <f t="shared" si="40"/>
        <v>14.33</v>
      </c>
    </row>
    <row r="319" spans="1:8" x14ac:dyDescent="0.2">
      <c r="A319" s="205"/>
      <c r="B319" s="205"/>
      <c r="C319" s="205"/>
      <c r="D319" s="206"/>
      <c r="E319" s="207"/>
      <c r="F319" s="208"/>
      <c r="G319" s="205"/>
      <c r="H319" s="205"/>
    </row>
    <row r="320" spans="1:8" ht="22.5" x14ac:dyDescent="0.2">
      <c r="A320" s="204" t="s">
        <v>253</v>
      </c>
      <c r="B320" s="54" t="str">
        <f>VLOOKUP(A320,'Orçamento Sintético'!$A:$H,2,0)</f>
        <v xml:space="preserve"> MPDFT0138 </v>
      </c>
      <c r="C320" s="54" t="str">
        <f>VLOOKUP(A320,'Orçamento Sintético'!$A:$H,3,0)</f>
        <v>Próprio</v>
      </c>
      <c r="D320" s="55" t="str">
        <f>VLOOKUP(A320,'Orçamento Sintético'!$A:$H,4,0)</f>
        <v>Copia da SINAPI (86914) - Torneira de parede uso geral com arejador, metálica com acabamento cromado, Linha Standard, cód. 1154.C39, fab. Deca ou similar</v>
      </c>
      <c r="E320" s="54" t="str">
        <f>VLOOKUP(A320,'Orçamento Sintético'!$A:$H,5,0)</f>
        <v>UN</v>
      </c>
      <c r="F320" s="183"/>
      <c r="G320" s="184"/>
      <c r="H320" s="185">
        <f>SUM(H321:H324)</f>
        <v>140.30000000000001</v>
      </c>
    </row>
    <row r="321" spans="1:8" x14ac:dyDescent="0.2">
      <c r="A321" s="114" t="str">
        <f>VLOOKUP(B321,'Insumos e Serviços'!$A:$F,3,0)</f>
        <v>Composição</v>
      </c>
      <c r="B321" s="109" t="s">
        <v>625</v>
      </c>
      <c r="C321" s="113" t="str">
        <f>VLOOKUP(B321,'Insumos e Serviços'!$A:$F,2,0)</f>
        <v>SINAPI</v>
      </c>
      <c r="D321" s="114" t="str">
        <f>VLOOKUP(B321,'Insumos e Serviços'!$A:$F,4,0)</f>
        <v>ENCANADOR OU BOMBEIRO HIDRÁULICO COM ENCARGOS COMPLEMENTARES</v>
      </c>
      <c r="E321" s="113" t="str">
        <f>VLOOKUP(B321,'Insumos e Serviços'!$A:$F,5,0)</f>
        <v>H</v>
      </c>
      <c r="F321" s="189">
        <v>0.1525</v>
      </c>
      <c r="G321" s="115">
        <f>VLOOKUP(B321,'Insumos e Serviços'!$A:$F,6,0)</f>
        <v>22.76</v>
      </c>
      <c r="H321" s="115">
        <f t="shared" ref="H321:H324" si="41">TRUNC(F321*G321,2)</f>
        <v>3.47</v>
      </c>
    </row>
    <row r="322" spans="1:8" x14ac:dyDescent="0.2">
      <c r="A322" s="114" t="str">
        <f>VLOOKUP(B322,'Insumos e Serviços'!$A:$F,3,0)</f>
        <v>Composição</v>
      </c>
      <c r="B322" s="109" t="s">
        <v>597</v>
      </c>
      <c r="C322" s="113" t="str">
        <f>VLOOKUP(B322,'Insumos e Serviços'!$A:$F,2,0)</f>
        <v>SINAPI</v>
      </c>
      <c r="D322" s="114" t="str">
        <f>VLOOKUP(B322,'Insumos e Serviços'!$A:$F,4,0)</f>
        <v>SERVENTE COM ENCARGOS COMPLEMENTARES</v>
      </c>
      <c r="E322" s="113" t="str">
        <f>VLOOKUP(B322,'Insumos e Serviços'!$A:$F,5,0)</f>
        <v>H</v>
      </c>
      <c r="F322" s="189">
        <v>4.8099999999999997E-2</v>
      </c>
      <c r="G322" s="115">
        <f>VLOOKUP(B322,'Insumos e Serviços'!$A:$F,6,0)</f>
        <v>17.170000000000002</v>
      </c>
      <c r="H322" s="115">
        <f t="shared" si="41"/>
        <v>0.82</v>
      </c>
    </row>
    <row r="323" spans="1:8" x14ac:dyDescent="0.2">
      <c r="A323" s="114" t="str">
        <f>VLOOKUP(B323,'Insumos e Serviços'!$A:$F,3,0)</f>
        <v>Insumo</v>
      </c>
      <c r="B323" s="109" t="s">
        <v>896</v>
      </c>
      <c r="C323" s="113" t="str">
        <f>VLOOKUP(B323,'Insumos e Serviços'!$A:$F,2,0)</f>
        <v>SINAPI</v>
      </c>
      <c r="D323" s="114" t="str">
        <f>VLOOKUP(B323,'Insumos e Serviços'!$A:$F,4,0)</f>
        <v>FITA VEDA ROSCA EM ROLOS DE 18 MM X 10 M (L X C)</v>
      </c>
      <c r="E323" s="113" t="str">
        <f>VLOOKUP(B323,'Insumos e Serviços'!$A:$F,5,0)</f>
        <v>UN</v>
      </c>
      <c r="F323" s="189">
        <v>2.1000000000000001E-2</v>
      </c>
      <c r="G323" s="115">
        <f>VLOOKUP(B323,'Insumos e Serviços'!$A:$F,6,0)</f>
        <v>3.9</v>
      </c>
      <c r="H323" s="115">
        <f t="shared" si="41"/>
        <v>0.08</v>
      </c>
    </row>
    <row r="324" spans="1:8" ht="22.5" x14ac:dyDescent="0.2">
      <c r="A324" s="114" t="str">
        <f>VLOOKUP(B324,'Insumos e Serviços'!$A:$F,3,0)</f>
        <v>Insumo</v>
      </c>
      <c r="B324" s="109" t="s">
        <v>920</v>
      </c>
      <c r="C324" s="113" t="str">
        <f>VLOOKUP(B324,'Insumos e Serviços'!$A:$F,2,0)</f>
        <v>Próprio</v>
      </c>
      <c r="D324" s="114" t="str">
        <f>VLOOKUP(B324,'Insumos e Serviços'!$A:$F,4,0)</f>
        <v>Torneira de parede uso geral com arejador, metálica com acabamento cromado, fab. Deca, Linha Standard, código 1154.C39</v>
      </c>
      <c r="E324" s="113" t="str">
        <f>VLOOKUP(B324,'Insumos e Serviços'!$A:$F,5,0)</f>
        <v>un</v>
      </c>
      <c r="F324" s="189">
        <v>1</v>
      </c>
      <c r="G324" s="115">
        <f>VLOOKUP(B324,'Insumos e Serviços'!$A:$F,6,0)</f>
        <v>135.93</v>
      </c>
      <c r="H324" s="115">
        <f t="shared" si="41"/>
        <v>135.93</v>
      </c>
    </row>
    <row r="325" spans="1:8" x14ac:dyDescent="0.2">
      <c r="A325" s="205"/>
      <c r="B325" s="205"/>
      <c r="C325" s="205"/>
      <c r="D325" s="206"/>
      <c r="E325" s="207"/>
      <c r="F325" s="208"/>
      <c r="G325" s="205"/>
      <c r="H325" s="205"/>
    </row>
    <row r="326" spans="1:8" ht="33.75" x14ac:dyDescent="0.2">
      <c r="A326" s="204" t="s">
        <v>256</v>
      </c>
      <c r="B326" s="54" t="str">
        <f>VLOOKUP(A326,'Orçamento Sintético'!$A:$H,2,0)</f>
        <v xml:space="preserve"> MPDFT0274 </v>
      </c>
      <c r="C326" s="54" t="str">
        <f>VLOOKUP(A326,'Orçamento Sintético'!$A:$H,3,0)</f>
        <v>Próprio</v>
      </c>
      <c r="D326" s="55" t="str">
        <f>VLOOKUP(A326,'Orçamento Sintético'!$A:$H,4,0)</f>
        <v>Copia da SBC (190832) -Barra de apoio tubular reta 80cm, Ø31,75mm e=2mm, em alumínio, acabamento com pintura epóxi branca, Linha Acessibilidade, fab. Leve Vida</v>
      </c>
      <c r="E326" s="54" t="str">
        <f>VLOOKUP(A326,'Orçamento Sintético'!$A:$H,5,0)</f>
        <v>UN</v>
      </c>
      <c r="F326" s="183"/>
      <c r="G326" s="184"/>
      <c r="H326" s="185">
        <f>SUM(H327:H329)</f>
        <v>161.1</v>
      </c>
    </row>
    <row r="327" spans="1:8" x14ac:dyDescent="0.2">
      <c r="A327" s="114" t="str">
        <f>VLOOKUP(B327,'Insumos e Serviços'!$A:$F,3,0)</f>
        <v>Composição</v>
      </c>
      <c r="B327" s="109" t="s">
        <v>627</v>
      </c>
      <c r="C327" s="113" t="str">
        <f>VLOOKUP(B327,'Insumos e Serviços'!$A:$F,2,0)</f>
        <v>SINAPI</v>
      </c>
      <c r="D327" s="114" t="str">
        <f>VLOOKUP(B327,'Insumos e Serviços'!$A:$F,4,0)</f>
        <v>AUXILIAR DE ENCANADOR OU BOMBEIRO HIDRÁULICO COM ENCARGOS COMPLEMENTARES</v>
      </c>
      <c r="E327" s="113" t="str">
        <f>VLOOKUP(B327,'Insumos e Serviços'!$A:$F,5,0)</f>
        <v>H</v>
      </c>
      <c r="F327" s="189">
        <v>0.3</v>
      </c>
      <c r="G327" s="115">
        <f>VLOOKUP(B327,'Insumos e Serviços'!$A:$F,6,0)</f>
        <v>17.78</v>
      </c>
      <c r="H327" s="115">
        <f t="shared" ref="H327:H329" si="42">TRUNC(F327*G327,2)</f>
        <v>5.33</v>
      </c>
    </row>
    <row r="328" spans="1:8" x14ac:dyDescent="0.2">
      <c r="A328" s="114" t="str">
        <f>VLOOKUP(B328,'Insumos e Serviços'!$A:$F,3,0)</f>
        <v>Composição</v>
      </c>
      <c r="B328" s="109" t="s">
        <v>625</v>
      </c>
      <c r="C328" s="113" t="str">
        <f>VLOOKUP(B328,'Insumos e Serviços'!$A:$F,2,0)</f>
        <v>SINAPI</v>
      </c>
      <c r="D328" s="114" t="str">
        <f>VLOOKUP(B328,'Insumos e Serviços'!$A:$F,4,0)</f>
        <v>ENCANADOR OU BOMBEIRO HIDRÁULICO COM ENCARGOS COMPLEMENTARES</v>
      </c>
      <c r="E328" s="113" t="str">
        <f>VLOOKUP(B328,'Insumos e Serviços'!$A:$F,5,0)</f>
        <v>H</v>
      </c>
      <c r="F328" s="189">
        <v>0.3</v>
      </c>
      <c r="G328" s="115">
        <f>VLOOKUP(B328,'Insumos e Serviços'!$A:$F,6,0)</f>
        <v>22.76</v>
      </c>
      <c r="H328" s="115">
        <f t="shared" si="42"/>
        <v>6.82</v>
      </c>
    </row>
    <row r="329" spans="1:8" x14ac:dyDescent="0.2">
      <c r="A329" s="114" t="str">
        <f>VLOOKUP(B329,'Insumos e Serviços'!$A:$F,3,0)</f>
        <v>Insumo</v>
      </c>
      <c r="B329" s="109" t="s">
        <v>922</v>
      </c>
      <c r="C329" s="113" t="str">
        <f>VLOOKUP(B329,'Insumos e Serviços'!$A:$F,2,0)</f>
        <v>SINAPI</v>
      </c>
      <c r="D329" s="114" t="str">
        <f>VLOOKUP(B329,'Insumos e Serviços'!$A:$F,4,0)</f>
        <v>BARRA DE APOIO RETA, EM ALUMINIO, COMPRIMENTO 80 CM, DIAMETRO MINIMO 3 CM</v>
      </c>
      <c r="E329" s="113" t="str">
        <f>VLOOKUP(B329,'Insumos e Serviços'!$A:$F,5,0)</f>
        <v>UN</v>
      </c>
      <c r="F329" s="189">
        <v>1</v>
      </c>
      <c r="G329" s="115">
        <f>VLOOKUP(B329,'Insumos e Serviços'!$A:$F,6,0)</f>
        <v>148.94999999999999</v>
      </c>
      <c r="H329" s="115">
        <f t="shared" si="42"/>
        <v>148.94999999999999</v>
      </c>
    </row>
    <row r="330" spans="1:8" x14ac:dyDescent="0.2">
      <c r="A330" s="205"/>
      <c r="B330" s="205"/>
      <c r="C330" s="205"/>
      <c r="D330" s="206"/>
      <c r="E330" s="207"/>
      <c r="F330" s="208"/>
      <c r="G330" s="205"/>
      <c r="H330" s="205"/>
    </row>
    <row r="331" spans="1:8" ht="33.75" x14ac:dyDescent="0.2">
      <c r="A331" s="204" t="s">
        <v>259</v>
      </c>
      <c r="B331" s="54" t="str">
        <f>VLOOKUP(A331,'Orçamento Sintético'!$A:$H,2,0)</f>
        <v xml:space="preserve"> MPDFT0275 </v>
      </c>
      <c r="C331" s="54" t="str">
        <f>VLOOKUP(A331,'Orçamento Sintético'!$A:$H,3,0)</f>
        <v>Próprio</v>
      </c>
      <c r="D331" s="55" t="str">
        <f>VLOOKUP(A331,'Orçamento Sintético'!$A:$H,4,0)</f>
        <v>Copia da ORSE (12133) - Barra de apoio tubular reta 70cm, Ø31,75mm e=2mm, em alumínio, acabamento com pintura epóxi branca, Linha Acessibilidade, fab. Leve Vida</v>
      </c>
      <c r="E331" s="54" t="str">
        <f>VLOOKUP(A331,'Orçamento Sintético'!$A:$H,5,0)</f>
        <v>UN</v>
      </c>
      <c r="F331" s="183"/>
      <c r="G331" s="184"/>
      <c r="H331" s="185">
        <f>SUM(H332:H334)</f>
        <v>149.85</v>
      </c>
    </row>
    <row r="332" spans="1:8" x14ac:dyDescent="0.2">
      <c r="A332" s="114" t="str">
        <f>VLOOKUP(B332,'Insumos e Serviços'!$A:$F,3,0)</f>
        <v>Composição</v>
      </c>
      <c r="B332" s="109" t="s">
        <v>627</v>
      </c>
      <c r="C332" s="113" t="str">
        <f>VLOOKUP(B332,'Insumos e Serviços'!$A:$F,2,0)</f>
        <v>SINAPI</v>
      </c>
      <c r="D332" s="114" t="str">
        <f>VLOOKUP(B332,'Insumos e Serviços'!$A:$F,4,0)</f>
        <v>AUXILIAR DE ENCANADOR OU BOMBEIRO HIDRÁULICO COM ENCARGOS COMPLEMENTARES</v>
      </c>
      <c r="E332" s="113" t="str">
        <f>VLOOKUP(B332,'Insumos e Serviços'!$A:$F,5,0)</f>
        <v>H</v>
      </c>
      <c r="F332" s="189">
        <v>0.3</v>
      </c>
      <c r="G332" s="115">
        <f>VLOOKUP(B332,'Insumos e Serviços'!$A:$F,6,0)</f>
        <v>17.78</v>
      </c>
      <c r="H332" s="115">
        <f t="shared" ref="H332:H334" si="43">TRUNC(F332*G332,2)</f>
        <v>5.33</v>
      </c>
    </row>
    <row r="333" spans="1:8" x14ac:dyDescent="0.2">
      <c r="A333" s="114" t="str">
        <f>VLOOKUP(B333,'Insumos e Serviços'!$A:$F,3,0)</f>
        <v>Composição</v>
      </c>
      <c r="B333" s="109" t="s">
        <v>625</v>
      </c>
      <c r="C333" s="113" t="str">
        <f>VLOOKUP(B333,'Insumos e Serviços'!$A:$F,2,0)</f>
        <v>SINAPI</v>
      </c>
      <c r="D333" s="114" t="str">
        <f>VLOOKUP(B333,'Insumos e Serviços'!$A:$F,4,0)</f>
        <v>ENCANADOR OU BOMBEIRO HIDRÁULICO COM ENCARGOS COMPLEMENTARES</v>
      </c>
      <c r="E333" s="113" t="str">
        <f>VLOOKUP(B333,'Insumos e Serviços'!$A:$F,5,0)</f>
        <v>H</v>
      </c>
      <c r="F333" s="189">
        <v>0.3</v>
      </c>
      <c r="G333" s="115">
        <f>VLOOKUP(B333,'Insumos e Serviços'!$A:$F,6,0)</f>
        <v>22.76</v>
      </c>
      <c r="H333" s="115">
        <f t="shared" si="43"/>
        <v>6.82</v>
      </c>
    </row>
    <row r="334" spans="1:8" x14ac:dyDescent="0.2">
      <c r="A334" s="114" t="str">
        <f>VLOOKUP(B334,'Insumos e Serviços'!$A:$F,3,0)</f>
        <v>Material</v>
      </c>
      <c r="B334" s="109" t="s">
        <v>924</v>
      </c>
      <c r="C334" s="113" t="str">
        <f>VLOOKUP(B334,'Insumos e Serviços'!$A:$F,2,0)</f>
        <v>SINAPI</v>
      </c>
      <c r="D334" s="114" t="str">
        <f>VLOOKUP(B334,'Insumos e Serviços'!$A:$F,4,0)</f>
        <v>BARRA DE APOIO RETA, EM ALUMINIO, COMPRIMENTO 70CM, DIAMETRO MINIMO 3 CM</v>
      </c>
      <c r="E334" s="113" t="str">
        <f>VLOOKUP(B334,'Insumos e Serviços'!$A:$F,5,0)</f>
        <v>UN</v>
      </c>
      <c r="F334" s="189">
        <v>1</v>
      </c>
      <c r="G334" s="115" t="str">
        <f>VLOOKUP(B334,'Insumos e Serviços'!$A:$F,6,0)</f>
        <v xml:space="preserve"> 137,70</v>
      </c>
      <c r="H334" s="115">
        <f t="shared" si="43"/>
        <v>137.69999999999999</v>
      </c>
    </row>
    <row r="335" spans="1:8" x14ac:dyDescent="0.2">
      <c r="A335" s="205"/>
      <c r="B335" s="205"/>
      <c r="C335" s="205"/>
      <c r="D335" s="206"/>
      <c r="E335" s="207"/>
      <c r="F335" s="208"/>
      <c r="G335" s="205"/>
      <c r="H335" s="205"/>
    </row>
    <row r="336" spans="1:8" ht="33.75" x14ac:dyDescent="0.2">
      <c r="A336" s="204" t="s">
        <v>262</v>
      </c>
      <c r="B336" s="54" t="str">
        <f>VLOOKUP(A336,'Orçamento Sintético'!$A:$H,2,0)</f>
        <v xml:space="preserve"> MPDFT0276 </v>
      </c>
      <c r="C336" s="54" t="str">
        <f>VLOOKUP(A336,'Orçamento Sintético'!$A:$H,3,0)</f>
        <v>Próprio</v>
      </c>
      <c r="D336" s="55" t="str">
        <f>VLOOKUP(A336,'Orçamento Sintético'!$A:$H,4,0)</f>
        <v>Copia da ORSE (12122) - Barra de apoio tubular reta 40cm, Ø31,75mm e=2mm, em alumínio, acabamento com pintura epóxi branca, Linha Acessibilidade, fab. Leve Vida</v>
      </c>
      <c r="E336" s="54" t="str">
        <f>VLOOKUP(A336,'Orçamento Sintético'!$A:$H,5,0)</f>
        <v>UN</v>
      </c>
      <c r="F336" s="183"/>
      <c r="G336" s="184"/>
      <c r="H336" s="185">
        <f>SUM(H337:H339)</f>
        <v>64.48</v>
      </c>
    </row>
    <row r="337" spans="1:8" x14ac:dyDescent="0.2">
      <c r="A337" s="114" t="str">
        <f>VLOOKUP(B337,'Insumos e Serviços'!$A:$F,3,0)</f>
        <v>Composição</v>
      </c>
      <c r="B337" s="109" t="s">
        <v>627</v>
      </c>
      <c r="C337" s="113" t="str">
        <f>VLOOKUP(B337,'Insumos e Serviços'!$A:$F,2,0)</f>
        <v>SINAPI</v>
      </c>
      <c r="D337" s="114" t="str">
        <f>VLOOKUP(B337,'Insumos e Serviços'!$A:$F,4,0)</f>
        <v>AUXILIAR DE ENCANADOR OU BOMBEIRO HIDRÁULICO COM ENCARGOS COMPLEMENTARES</v>
      </c>
      <c r="E337" s="113" t="str">
        <f>VLOOKUP(B337,'Insumos e Serviços'!$A:$F,5,0)</f>
        <v>H</v>
      </c>
      <c r="F337" s="189">
        <v>0.3</v>
      </c>
      <c r="G337" s="115">
        <f>VLOOKUP(B337,'Insumos e Serviços'!$A:$F,6,0)</f>
        <v>17.78</v>
      </c>
      <c r="H337" s="115">
        <f t="shared" ref="H337:H339" si="44">TRUNC(F337*G337,2)</f>
        <v>5.33</v>
      </c>
    </row>
    <row r="338" spans="1:8" x14ac:dyDescent="0.2">
      <c r="A338" s="114" t="str">
        <f>VLOOKUP(B338,'Insumos e Serviços'!$A:$F,3,0)</f>
        <v>Composição</v>
      </c>
      <c r="B338" s="109" t="s">
        <v>625</v>
      </c>
      <c r="C338" s="113" t="str">
        <f>VLOOKUP(B338,'Insumos e Serviços'!$A:$F,2,0)</f>
        <v>SINAPI</v>
      </c>
      <c r="D338" s="114" t="str">
        <f>VLOOKUP(B338,'Insumos e Serviços'!$A:$F,4,0)</f>
        <v>ENCANADOR OU BOMBEIRO HIDRÁULICO COM ENCARGOS COMPLEMENTARES</v>
      </c>
      <c r="E338" s="113" t="str">
        <f>VLOOKUP(B338,'Insumos e Serviços'!$A:$F,5,0)</f>
        <v>H</v>
      </c>
      <c r="F338" s="189">
        <v>0.3</v>
      </c>
      <c r="G338" s="115">
        <f>VLOOKUP(B338,'Insumos e Serviços'!$A:$F,6,0)</f>
        <v>22.76</v>
      </c>
      <c r="H338" s="115">
        <f t="shared" si="44"/>
        <v>6.82</v>
      </c>
    </row>
    <row r="339" spans="1:8" ht="22.5" x14ac:dyDescent="0.2">
      <c r="A339" s="114" t="str">
        <f>VLOOKUP(B339,'Insumos e Serviços'!$A:$F,3,0)</f>
        <v>Insumo</v>
      </c>
      <c r="B339" s="109" t="s">
        <v>926</v>
      </c>
      <c r="C339" s="113" t="str">
        <f>VLOOKUP(B339,'Insumos e Serviços'!$A:$F,2,0)</f>
        <v>Próprio</v>
      </c>
      <c r="D339" s="114" t="str">
        <f>VLOOKUP(B339,'Insumos e Serviços'!$A:$F,4,0)</f>
        <v>Barra de apoio reta 40cm, em tubo de alumínio e=2mm, Ø31,75mm, tratamento de superfície e pintura epóxi, na cor branca, fab. Leve Vida</v>
      </c>
      <c r="E339" s="113" t="str">
        <f>VLOOKUP(B339,'Insumos e Serviços'!$A:$F,5,0)</f>
        <v>un</v>
      </c>
      <c r="F339" s="189">
        <v>1</v>
      </c>
      <c r="G339" s="115" t="str">
        <f>VLOOKUP(B339,'Insumos e Serviços'!$A:$F,6,0)</f>
        <v xml:space="preserve"> 52,33</v>
      </c>
      <c r="H339" s="115">
        <f t="shared" si="44"/>
        <v>52.33</v>
      </c>
    </row>
    <row r="340" spans="1:8" x14ac:dyDescent="0.2">
      <c r="A340" s="205"/>
      <c r="B340" s="205"/>
      <c r="C340" s="205"/>
      <c r="D340" s="206"/>
      <c r="E340" s="207"/>
      <c r="F340" s="208"/>
      <c r="G340" s="205"/>
      <c r="H340" s="205"/>
    </row>
    <row r="341" spans="1:8" ht="33.75" x14ac:dyDescent="0.2">
      <c r="A341" s="204" t="s">
        <v>265</v>
      </c>
      <c r="B341" s="54" t="str">
        <f>VLOOKUP(A341,'Orçamento Sintético'!$A:$H,2,0)</f>
        <v xml:space="preserve"> MPDFT0277 </v>
      </c>
      <c r="C341" s="54" t="str">
        <f>VLOOKUP(A341,'Orçamento Sintético'!$A:$H,3,0)</f>
        <v>Próprio</v>
      </c>
      <c r="D341" s="55" t="str">
        <f>VLOOKUP(A341,'Orçamento Sintético'!$A:$H,4,0)</f>
        <v>Copia - Copia da ORSE (12123) - Barra de apoio tubular curva de 30cm para lavatório, Ø31,75mm e=2mm, em alumínio, acabamento com pintura epóxi branca, Linha Acessibilidade, fab. Leve Vida ou similar equivalente</v>
      </c>
      <c r="E341" s="54" t="str">
        <f>VLOOKUP(A341,'Orçamento Sintético'!$A:$H,5,0)</f>
        <v>UN</v>
      </c>
      <c r="F341" s="183"/>
      <c r="G341" s="184"/>
      <c r="H341" s="185">
        <f>SUM(H342:H344)</f>
        <v>90.23</v>
      </c>
    </row>
    <row r="342" spans="1:8" x14ac:dyDescent="0.2">
      <c r="A342" s="114" t="str">
        <f>VLOOKUP(B342,'Insumos e Serviços'!$A:$F,3,0)</f>
        <v>Composição</v>
      </c>
      <c r="B342" s="109" t="s">
        <v>599</v>
      </c>
      <c r="C342" s="113" t="str">
        <f>VLOOKUP(B342,'Insumos e Serviços'!$A:$F,2,0)</f>
        <v>SINAPI</v>
      </c>
      <c r="D342" s="114" t="str">
        <f>VLOOKUP(B342,'Insumos e Serviços'!$A:$F,4,0)</f>
        <v>PEDREIRO COM ENCARGOS COMPLEMENTARES</v>
      </c>
      <c r="E342" s="113" t="str">
        <f>VLOOKUP(B342,'Insumos e Serviços'!$A:$F,5,0)</f>
        <v>H</v>
      </c>
      <c r="F342" s="189">
        <v>0.3</v>
      </c>
      <c r="G342" s="115">
        <f>VLOOKUP(B342,'Insumos e Serviços'!$A:$F,6,0)</f>
        <v>23.25</v>
      </c>
      <c r="H342" s="115">
        <f t="shared" ref="H342:H344" si="45">TRUNC(F342*G342,2)</f>
        <v>6.97</v>
      </c>
    </row>
    <row r="343" spans="1:8" x14ac:dyDescent="0.2">
      <c r="A343" s="114" t="str">
        <f>VLOOKUP(B343,'Insumos e Serviços'!$A:$F,3,0)</f>
        <v>Composição</v>
      </c>
      <c r="B343" s="109" t="s">
        <v>597</v>
      </c>
      <c r="C343" s="113" t="str">
        <f>VLOOKUP(B343,'Insumos e Serviços'!$A:$F,2,0)</f>
        <v>SINAPI</v>
      </c>
      <c r="D343" s="114" t="str">
        <f>VLOOKUP(B343,'Insumos e Serviços'!$A:$F,4,0)</f>
        <v>SERVENTE COM ENCARGOS COMPLEMENTARES</v>
      </c>
      <c r="E343" s="113" t="str">
        <f>VLOOKUP(B343,'Insumos e Serviços'!$A:$F,5,0)</f>
        <v>H</v>
      </c>
      <c r="F343" s="189">
        <v>0.3</v>
      </c>
      <c r="G343" s="115">
        <f>VLOOKUP(B343,'Insumos e Serviços'!$A:$F,6,0)</f>
        <v>17.170000000000002</v>
      </c>
      <c r="H343" s="115">
        <f t="shared" si="45"/>
        <v>5.15</v>
      </c>
    </row>
    <row r="344" spans="1:8" ht="22.5" x14ac:dyDescent="0.2">
      <c r="A344" s="114" t="str">
        <f>VLOOKUP(B344,'Insumos e Serviços'!$A:$F,3,0)</f>
        <v>Insumo</v>
      </c>
      <c r="B344" s="109" t="s">
        <v>928</v>
      </c>
      <c r="C344" s="113" t="str">
        <f>VLOOKUP(B344,'Insumos e Serviços'!$A:$F,2,0)</f>
        <v>Próprio</v>
      </c>
      <c r="D344" s="114" t="str">
        <f>VLOOKUP(B344,'Insumos e Serviços'!$A:$F,4,0)</f>
        <v>Barra de apoio curva lateral para lavatório 30cm, em tubo de alumínio e=2mm, Ø31,75mm, tratamento de superfície e pintura epóxi, na cor branca, fab. Leve Vida</v>
      </c>
      <c r="E344" s="113" t="str">
        <f>VLOOKUP(B344,'Insumos e Serviços'!$A:$F,5,0)</f>
        <v>un</v>
      </c>
      <c r="F344" s="189">
        <v>1</v>
      </c>
      <c r="G344" s="115">
        <f>VLOOKUP(B344,'Insumos e Serviços'!$A:$F,6,0)</f>
        <v>78.11</v>
      </c>
      <c r="H344" s="115">
        <f t="shared" si="45"/>
        <v>78.11</v>
      </c>
    </row>
    <row r="345" spans="1:8" x14ac:dyDescent="0.2">
      <c r="A345" s="205"/>
      <c r="B345" s="205"/>
      <c r="C345" s="205"/>
      <c r="D345" s="206"/>
      <c r="E345" s="207"/>
      <c r="F345" s="208"/>
      <c r="G345" s="205"/>
      <c r="H345" s="205"/>
    </row>
    <row r="346" spans="1:8" ht="33.75" x14ac:dyDescent="0.2">
      <c r="A346" s="204" t="s">
        <v>268</v>
      </c>
      <c r="B346" s="54" t="str">
        <f>VLOOKUP(A346,'Orçamento Sintético'!$A:$H,2,0)</f>
        <v xml:space="preserve"> MPDFT0279 </v>
      </c>
      <c r="C346" s="54" t="str">
        <f>VLOOKUP(A346,'Orçamento Sintético'!$A:$H,3,0)</f>
        <v>Próprio</v>
      </c>
      <c r="D346" s="55" t="str">
        <f>VLOOKUP(A346,'Orçamento Sintético'!$A:$H,4,0)</f>
        <v>Copia da SEINFRA (C4642) - Banco articulado para banho, DM 70x45cm, assento em polipropileno com espessura de 30mm, articulações em aço inoxidável e sistema de travamento vertical, cor branco, Linha Acessibilidade, fab. Leve Vida</v>
      </c>
      <c r="E346" s="54" t="str">
        <f>VLOOKUP(A346,'Orçamento Sintético'!$A:$H,5,0)</f>
        <v>un</v>
      </c>
      <c r="F346" s="183"/>
      <c r="G346" s="184"/>
      <c r="H346" s="185">
        <f>SUM(H347:H349)</f>
        <v>694.09</v>
      </c>
    </row>
    <row r="347" spans="1:8" x14ac:dyDescent="0.2">
      <c r="A347" s="114" t="str">
        <f>VLOOKUP(B347,'Insumos e Serviços'!$A:$F,3,0)</f>
        <v>Composição</v>
      </c>
      <c r="B347" s="109" t="s">
        <v>599</v>
      </c>
      <c r="C347" s="113" t="str">
        <f>VLOOKUP(B347,'Insumos e Serviços'!$A:$F,2,0)</f>
        <v>SINAPI</v>
      </c>
      <c r="D347" s="114" t="str">
        <f>VLOOKUP(B347,'Insumos e Serviços'!$A:$F,4,0)</f>
        <v>PEDREIRO COM ENCARGOS COMPLEMENTARES</v>
      </c>
      <c r="E347" s="113" t="str">
        <f>VLOOKUP(B347,'Insumos e Serviços'!$A:$F,5,0)</f>
        <v>H</v>
      </c>
      <c r="F347" s="189">
        <v>0.25</v>
      </c>
      <c r="G347" s="115">
        <f>VLOOKUP(B347,'Insumos e Serviços'!$A:$F,6,0)</f>
        <v>23.25</v>
      </c>
      <c r="H347" s="115">
        <f t="shared" ref="H347:H349" si="46">TRUNC(F347*G347,2)</f>
        <v>5.81</v>
      </c>
    </row>
    <row r="348" spans="1:8" x14ac:dyDescent="0.2">
      <c r="A348" s="114" t="str">
        <f>VLOOKUP(B348,'Insumos e Serviços'!$A:$F,3,0)</f>
        <v>Composição</v>
      </c>
      <c r="B348" s="109" t="s">
        <v>597</v>
      </c>
      <c r="C348" s="113" t="str">
        <f>VLOOKUP(B348,'Insumos e Serviços'!$A:$F,2,0)</f>
        <v>SINAPI</v>
      </c>
      <c r="D348" s="114" t="str">
        <f>VLOOKUP(B348,'Insumos e Serviços'!$A:$F,4,0)</f>
        <v>SERVENTE COM ENCARGOS COMPLEMENTARES</v>
      </c>
      <c r="E348" s="113" t="str">
        <f>VLOOKUP(B348,'Insumos e Serviços'!$A:$F,5,0)</f>
        <v>H</v>
      </c>
      <c r="F348" s="189">
        <v>0.25</v>
      </c>
      <c r="G348" s="115">
        <f>VLOOKUP(B348,'Insumos e Serviços'!$A:$F,6,0)</f>
        <v>17.170000000000002</v>
      </c>
      <c r="H348" s="115">
        <f t="shared" si="46"/>
        <v>4.29</v>
      </c>
    </row>
    <row r="349" spans="1:8" x14ac:dyDescent="0.2">
      <c r="A349" s="114" t="str">
        <f>VLOOKUP(B349,'Insumos e Serviços'!$A:$F,3,0)</f>
        <v>Insumo</v>
      </c>
      <c r="B349" s="109" t="s">
        <v>930</v>
      </c>
      <c r="C349" s="113" t="str">
        <f>VLOOKUP(B349,'Insumos e Serviços'!$A:$F,2,0)</f>
        <v>SINAPI</v>
      </c>
      <c r="D349" s="114" t="str">
        <f>VLOOKUP(B349,'Insumos e Serviços'!$A:$F,4,0)</f>
        <v>BANCO ARTICULADO PARA BANHO, EM ACO INOX POLIDO, 70* CM X 45* CM</v>
      </c>
      <c r="E349" s="113" t="str">
        <f>VLOOKUP(B349,'Insumos e Serviços'!$A:$F,5,0)</f>
        <v>UN</v>
      </c>
      <c r="F349" s="189">
        <v>1</v>
      </c>
      <c r="G349" s="115">
        <f>VLOOKUP(B349,'Insumos e Serviços'!$A:$F,6,0)</f>
        <v>683.99</v>
      </c>
      <c r="H349" s="115">
        <f t="shared" si="46"/>
        <v>683.99</v>
      </c>
    </row>
    <row r="350" spans="1:8" x14ac:dyDescent="0.2">
      <c r="A350" s="205"/>
      <c r="B350" s="205"/>
      <c r="C350" s="205"/>
      <c r="D350" s="206"/>
      <c r="E350" s="207"/>
      <c r="F350" s="208"/>
      <c r="G350" s="205"/>
      <c r="H350" s="205"/>
    </row>
    <row r="351" spans="1:8" x14ac:dyDescent="0.2">
      <c r="A351" s="205"/>
      <c r="B351" s="205"/>
      <c r="C351" s="205"/>
      <c r="D351" s="206"/>
      <c r="E351" s="207"/>
      <c r="F351" s="208"/>
      <c r="G351" s="205"/>
      <c r="H351" s="205"/>
    </row>
    <row r="352" spans="1:8" ht="22.5" x14ac:dyDescent="0.2">
      <c r="A352" s="204" t="s">
        <v>277</v>
      </c>
      <c r="B352" s="54" t="str">
        <f>VLOOKUP(A352,'Orçamento Sintético'!$A:$H,2,0)</f>
        <v xml:space="preserve"> MPDFT0904 </v>
      </c>
      <c r="C352" s="54" t="str">
        <f>VLOOKUP(A352,'Orçamento Sintético'!$A:$H,3,0)</f>
        <v>Próprio</v>
      </c>
      <c r="D352" s="55" t="str">
        <f>VLOOKUP(A352,'Orçamento Sintético'!$A:$H,4,0)</f>
        <v>Cópia da CPOS (49.11.140) - Ralo linear em alumínio com grelha, dimensões 46x900mm, com saída central vertical, anodizado fosco, fab. Sekabox / Sekapiso</v>
      </c>
      <c r="E352" s="54" t="str">
        <f>VLOOKUP(A352,'Orçamento Sintético'!$A:$H,5,0)</f>
        <v>un</v>
      </c>
      <c r="F352" s="183"/>
      <c r="G352" s="184"/>
      <c r="H352" s="185">
        <f>SUM(H353:H355)</f>
        <v>203.42</v>
      </c>
    </row>
    <row r="353" spans="1:8" x14ac:dyDescent="0.2">
      <c r="A353" s="114" t="str">
        <f>VLOOKUP(B353,'Insumos e Serviços'!$A:$F,3,0)</f>
        <v>Composição</v>
      </c>
      <c r="B353" s="109" t="s">
        <v>599</v>
      </c>
      <c r="C353" s="113" t="str">
        <f>VLOOKUP(B353,'Insumos e Serviços'!$A:$F,2,0)</f>
        <v>SINAPI</v>
      </c>
      <c r="D353" s="114" t="str">
        <f>VLOOKUP(B353,'Insumos e Serviços'!$A:$F,4,0)</f>
        <v>PEDREIRO COM ENCARGOS COMPLEMENTARES</v>
      </c>
      <c r="E353" s="113" t="str">
        <f>VLOOKUP(B353,'Insumos e Serviços'!$A:$F,5,0)</f>
        <v>H</v>
      </c>
      <c r="F353" s="189">
        <v>0.25</v>
      </c>
      <c r="G353" s="115">
        <f>VLOOKUP(B353,'Insumos e Serviços'!$A:$F,6,0)</f>
        <v>23.25</v>
      </c>
      <c r="H353" s="115">
        <f t="shared" ref="H353:H355" si="47">TRUNC(F353*G353,2)</f>
        <v>5.81</v>
      </c>
    </row>
    <row r="354" spans="1:8" x14ac:dyDescent="0.2">
      <c r="A354" s="114" t="str">
        <f>VLOOKUP(B354,'Insumos e Serviços'!$A:$F,3,0)</f>
        <v>Composição</v>
      </c>
      <c r="B354" s="109" t="s">
        <v>597</v>
      </c>
      <c r="C354" s="113" t="str">
        <f>VLOOKUP(B354,'Insumos e Serviços'!$A:$F,2,0)</f>
        <v>SINAPI</v>
      </c>
      <c r="D354" s="114" t="str">
        <f>VLOOKUP(B354,'Insumos e Serviços'!$A:$F,4,0)</f>
        <v>SERVENTE COM ENCARGOS COMPLEMENTARES</v>
      </c>
      <c r="E354" s="113" t="str">
        <f>VLOOKUP(B354,'Insumos e Serviços'!$A:$F,5,0)</f>
        <v>H</v>
      </c>
      <c r="F354" s="189">
        <v>0.25</v>
      </c>
      <c r="G354" s="115">
        <f>VLOOKUP(B354,'Insumos e Serviços'!$A:$F,6,0)</f>
        <v>17.170000000000002</v>
      </c>
      <c r="H354" s="115">
        <f t="shared" si="47"/>
        <v>4.29</v>
      </c>
    </row>
    <row r="355" spans="1:8" ht="22.5" x14ac:dyDescent="0.2">
      <c r="A355" s="114" t="str">
        <f>VLOOKUP(B355,'Insumos e Serviços'!$A:$F,3,0)</f>
        <v>Insumo</v>
      </c>
      <c r="B355" s="109" t="s">
        <v>932</v>
      </c>
      <c r="C355" s="113" t="str">
        <f>VLOOKUP(B355,'Insumos e Serviços'!$A:$F,2,0)</f>
        <v>Próprio</v>
      </c>
      <c r="D355" s="114" t="str">
        <f>VLOOKUP(B355,'Insumos e Serviços'!$A:$F,4,0)</f>
        <v>Ralo linear em alumínio com grelha, dimensões 46x900mm, com saída central vertical, anodizado fosco, fab. Sekabox / Sekapiso</v>
      </c>
      <c r="E355" s="113" t="str">
        <f>VLOOKUP(B355,'Insumos e Serviços'!$A:$F,5,0)</f>
        <v>un</v>
      </c>
      <c r="F355" s="189">
        <v>1</v>
      </c>
      <c r="G355" s="115" t="str">
        <f>VLOOKUP(B355,'Insumos e Serviços'!$A:$F,6,0)</f>
        <v xml:space="preserve"> 193,32</v>
      </c>
      <c r="H355" s="115">
        <f t="shared" si="47"/>
        <v>193.32</v>
      </c>
    </row>
    <row r="356" spans="1:8" x14ac:dyDescent="0.2">
      <c r="A356" s="205"/>
      <c r="B356" s="205"/>
      <c r="C356" s="205"/>
      <c r="D356" s="206"/>
      <c r="E356" s="207"/>
      <c r="F356" s="208"/>
      <c r="G356" s="205"/>
      <c r="H356" s="205"/>
    </row>
    <row r="357" spans="1:8" ht="22.5" x14ac:dyDescent="0.2">
      <c r="A357" s="204" t="s">
        <v>280</v>
      </c>
      <c r="B357" s="54" t="str">
        <f>VLOOKUP(A357,'Orçamento Sintético'!$A:$H,2,0)</f>
        <v xml:space="preserve"> MPDFT0908 </v>
      </c>
      <c r="C357" s="54" t="str">
        <f>VLOOKUP(A357,'Orçamento Sintético'!$A:$H,3,0)</f>
        <v>Próprio</v>
      </c>
      <c r="D357" s="55" t="str">
        <f>VLOOKUP(A357,'Orçamento Sintético'!$A:$H,4,0)</f>
        <v>Copia da SINAPI (86895) - Bancada para lavatório em granito Branco Itaúnas, largura 0,30m, com saia e rodabanca, inclusive mão francesa</v>
      </c>
      <c r="E357" s="54" t="str">
        <f>VLOOKUP(A357,'Orçamento Sintético'!$A:$H,5,0)</f>
        <v>m</v>
      </c>
      <c r="F357" s="183"/>
      <c r="G357" s="184"/>
      <c r="H357" s="185">
        <f>SUM(H358:H365)</f>
        <v>454.39000000000004</v>
      </c>
    </row>
    <row r="358" spans="1:8" x14ac:dyDescent="0.2">
      <c r="A358" s="114" t="str">
        <f>VLOOKUP(B358,'Insumos e Serviços'!$A:$F,3,0)</f>
        <v>Composição</v>
      </c>
      <c r="B358" s="109" t="s">
        <v>851</v>
      </c>
      <c r="C358" s="113" t="str">
        <f>VLOOKUP(B358,'Insumos e Serviços'!$A:$F,2,0)</f>
        <v>SINAPI</v>
      </c>
      <c r="D358" s="114" t="str">
        <f>VLOOKUP(B358,'Insumos e Serviços'!$A:$F,4,0)</f>
        <v>MARMORISTA/GRANITEIRO COM ENCARGOS COMPLEMENTARES</v>
      </c>
      <c r="E358" s="113" t="str">
        <f>VLOOKUP(B358,'Insumos e Serviços'!$A:$F,5,0)</f>
        <v>H</v>
      </c>
      <c r="F358" s="189">
        <v>2.6749999999999998</v>
      </c>
      <c r="G358" s="115">
        <f>VLOOKUP(B358,'Insumos e Serviços'!$A:$F,6,0)</f>
        <v>19.39</v>
      </c>
      <c r="H358" s="115">
        <f t="shared" ref="H358:H365" si="48">TRUNC(F358*G358,2)</f>
        <v>51.86</v>
      </c>
    </row>
    <row r="359" spans="1:8" x14ac:dyDescent="0.2">
      <c r="A359" s="114" t="str">
        <f>VLOOKUP(B359,'Insumos e Serviços'!$A:$F,3,0)</f>
        <v>Composição</v>
      </c>
      <c r="B359" s="109" t="s">
        <v>597</v>
      </c>
      <c r="C359" s="113" t="str">
        <f>VLOOKUP(B359,'Insumos e Serviços'!$A:$F,2,0)</f>
        <v>SINAPI</v>
      </c>
      <c r="D359" s="114" t="str">
        <f>VLOOKUP(B359,'Insumos e Serviços'!$A:$F,4,0)</f>
        <v>SERVENTE COM ENCARGOS COMPLEMENTARES</v>
      </c>
      <c r="E359" s="113" t="str">
        <f>VLOOKUP(B359,'Insumos e Serviços'!$A:$F,5,0)</f>
        <v>H</v>
      </c>
      <c r="F359" s="189">
        <v>1.3660000000000001</v>
      </c>
      <c r="G359" s="115">
        <f>VLOOKUP(B359,'Insumos e Serviços'!$A:$F,6,0)</f>
        <v>17.170000000000002</v>
      </c>
      <c r="H359" s="115">
        <f t="shared" si="48"/>
        <v>23.45</v>
      </c>
    </row>
    <row r="360" spans="1:8" x14ac:dyDescent="0.2">
      <c r="A360" s="114" t="str">
        <f>VLOOKUP(B360,'Insumos e Serviços'!$A:$F,3,0)</f>
        <v>Material</v>
      </c>
      <c r="B360" s="109" t="s">
        <v>934</v>
      </c>
      <c r="C360" s="113" t="str">
        <f>VLOOKUP(B360,'Insumos e Serviços'!$A:$F,2,0)</f>
        <v>SINAPI</v>
      </c>
      <c r="D360" s="114" t="str">
        <f>VLOOKUP(B360,'Insumos e Serviços'!$A:$F,4,0)</f>
        <v>MASSA PLASTICA PARA MARMORE/GRANITO</v>
      </c>
      <c r="E360" s="113" t="str">
        <f>VLOOKUP(B360,'Insumos e Serviços'!$A:$F,5,0)</f>
        <v>KG</v>
      </c>
      <c r="F360" s="189">
        <v>0.5353</v>
      </c>
      <c r="G360" s="115" t="str">
        <f>VLOOKUP(B360,'Insumos e Serviços'!$A:$F,6,0)</f>
        <v xml:space="preserve"> 28,09</v>
      </c>
      <c r="H360" s="115">
        <f t="shared" si="48"/>
        <v>15.03</v>
      </c>
    </row>
    <row r="361" spans="1:8" ht="22.5" x14ac:dyDescent="0.2">
      <c r="A361" s="114" t="str">
        <f>VLOOKUP(B361,'Insumos e Serviços'!$A:$F,3,0)</f>
        <v>Insumo</v>
      </c>
      <c r="B361" s="109" t="s">
        <v>853</v>
      </c>
      <c r="C361" s="113" t="str">
        <f>VLOOKUP(B361,'Insumos e Serviços'!$A:$F,2,0)</f>
        <v>SINAPI</v>
      </c>
      <c r="D361" s="114" t="str">
        <f>VLOOKUP(B361,'Insumos e Serviços'!$A:$F,4,0)</f>
        <v>BUCHA DE NYLON SEM ABA S10, COM PARAFUSO DE 6,10 X 65 MM EM ACO ZINCADO COM ROSCA SOBERBA, CABECA CHATA E FENDA PHILLIPS</v>
      </c>
      <c r="E361" s="113" t="str">
        <f>VLOOKUP(B361,'Insumos e Serviços'!$A:$F,5,0)</f>
        <v>UN</v>
      </c>
      <c r="F361" s="189">
        <v>6</v>
      </c>
      <c r="G361" s="115">
        <f>VLOOKUP(B361,'Insumos e Serviços'!$A:$F,6,0)</f>
        <v>0.79</v>
      </c>
      <c r="H361" s="115">
        <f t="shared" si="48"/>
        <v>4.74</v>
      </c>
    </row>
    <row r="362" spans="1:8" ht="22.5" x14ac:dyDescent="0.2">
      <c r="A362" s="114" t="str">
        <f>VLOOKUP(B362,'Insumos e Serviços'!$A:$F,3,0)</f>
        <v>Insumo</v>
      </c>
      <c r="B362" s="109" t="s">
        <v>936</v>
      </c>
      <c r="C362" s="113" t="str">
        <f>VLOOKUP(B362,'Insumos e Serviços'!$A:$F,2,0)</f>
        <v>SINAPI</v>
      </c>
      <c r="D362" s="114" t="str">
        <f>VLOOKUP(B362,'Insumos e Serviços'!$A:$F,4,0)</f>
        <v>GRANITO PARA BANCADA, POLIDO, TIPO ANDORINHA/ QUARTZ/ CASTELO/ CORUMBA OU OUTROS EQUIVALENTES DA REGIAO, E=  *2,5* CM</v>
      </c>
      <c r="E362" s="113" t="str">
        <f>VLOOKUP(B362,'Insumos e Serviços'!$A:$F,5,0)</f>
        <v>m²</v>
      </c>
      <c r="F362" s="189">
        <v>0.52500000000000002</v>
      </c>
      <c r="G362" s="115">
        <f>VLOOKUP(B362,'Insumos e Serviços'!$A:$F,6,0)</f>
        <v>597.73</v>
      </c>
      <c r="H362" s="115">
        <f t="shared" si="48"/>
        <v>313.8</v>
      </c>
    </row>
    <row r="363" spans="1:8" x14ac:dyDescent="0.2">
      <c r="A363" s="114" t="str">
        <f>VLOOKUP(B363,'Insumos e Serviços'!$A:$F,3,0)</f>
        <v>Insumo</v>
      </c>
      <c r="B363" s="109" t="s">
        <v>868</v>
      </c>
      <c r="C363" s="113" t="str">
        <f>VLOOKUP(B363,'Insumos e Serviços'!$A:$F,2,0)</f>
        <v>SINAPI</v>
      </c>
      <c r="D363" s="114" t="str">
        <f>VLOOKUP(B363,'Insumos e Serviços'!$A:$F,4,0)</f>
        <v>REJUNTE EPOXI, QUALQUER COR</v>
      </c>
      <c r="E363" s="113" t="str">
        <f>VLOOKUP(B363,'Insumos e Serviços'!$A:$F,5,0)</f>
        <v>KG</v>
      </c>
      <c r="F363" s="189">
        <v>1.54E-2</v>
      </c>
      <c r="G363" s="115">
        <f>VLOOKUP(B363,'Insumos e Serviços'!$A:$F,6,0)</f>
        <v>55.65</v>
      </c>
      <c r="H363" s="115">
        <f t="shared" si="48"/>
        <v>0.85</v>
      </c>
    </row>
    <row r="364" spans="1:8" ht="22.5" x14ac:dyDescent="0.2">
      <c r="A364" s="114" t="str">
        <f>VLOOKUP(B364,'Insumos e Serviços'!$A:$F,3,0)</f>
        <v>Insumo</v>
      </c>
      <c r="B364" s="109" t="s">
        <v>938</v>
      </c>
      <c r="C364" s="113" t="str">
        <f>VLOOKUP(B364,'Insumos e Serviços'!$A:$F,2,0)</f>
        <v>SINAPI</v>
      </c>
      <c r="D364" s="114" t="str">
        <f>VLOOKUP(B364,'Insumos e Serviços'!$A:$F,4,0)</f>
        <v>SUPORTE MAO-FRANCESA EM ACO, ABAS IGUAIS 30 CM, CAPACIDADE MINIMA 60 KG, BRANCO</v>
      </c>
      <c r="E364" s="113" t="str">
        <f>VLOOKUP(B364,'Insumos e Serviços'!$A:$F,5,0)</f>
        <v>UN</v>
      </c>
      <c r="F364" s="189">
        <v>2</v>
      </c>
      <c r="G364" s="115">
        <f>VLOOKUP(B364,'Insumos e Serviços'!$A:$F,6,0)</f>
        <v>18.18</v>
      </c>
      <c r="H364" s="115">
        <f t="shared" si="48"/>
        <v>36.36</v>
      </c>
    </row>
    <row r="365" spans="1:8" x14ac:dyDescent="0.2">
      <c r="A365" s="114" t="str">
        <f>VLOOKUP(B365,'Insumos e Serviços'!$A:$F,3,0)</f>
        <v>Insumo</v>
      </c>
      <c r="B365" s="109" t="s">
        <v>940</v>
      </c>
      <c r="C365" s="113" t="str">
        <f>VLOOKUP(B365,'Insumos e Serviços'!$A:$F,2,0)</f>
        <v>Próprio</v>
      </c>
      <c r="D365" s="114" t="str">
        <f>VLOOKUP(B365,'Insumos e Serviços'!$A:$F,4,0)</f>
        <v>Solução hidrofugante à base de silano-siloxano Nitoprimer 40, fab. Anchortec Quartzolit</v>
      </c>
      <c r="E365" s="113" t="str">
        <f>VLOOKUP(B365,'Insumos e Serviços'!$A:$F,5,0)</f>
        <v>l</v>
      </c>
      <c r="F365" s="189">
        <v>0.24</v>
      </c>
      <c r="G365" s="115" t="str">
        <f>VLOOKUP(B365,'Insumos e Serviços'!$A:$F,6,0)</f>
        <v xml:space="preserve"> 34,61</v>
      </c>
      <c r="H365" s="115">
        <f t="shared" si="48"/>
        <v>8.3000000000000007</v>
      </c>
    </row>
    <row r="366" spans="1:8" x14ac:dyDescent="0.2">
      <c r="A366" s="205"/>
      <c r="B366" s="205"/>
      <c r="C366" s="205"/>
      <c r="D366" s="206"/>
      <c r="E366" s="207"/>
      <c r="F366" s="208"/>
      <c r="G366" s="205"/>
      <c r="H366" s="205"/>
    </row>
    <row r="367" spans="1:8" ht="22.5" x14ac:dyDescent="0.2">
      <c r="A367" s="204" t="s">
        <v>283</v>
      </c>
      <c r="B367" s="54" t="str">
        <f>VLOOKUP(A367,'Orçamento Sintético'!$A:$H,2,0)</f>
        <v xml:space="preserve"> MPDFT0911 </v>
      </c>
      <c r="C367" s="54" t="str">
        <f>VLOOKUP(A367,'Orçamento Sintético'!$A:$H,3,0)</f>
        <v>Próprio</v>
      </c>
      <c r="D367" s="55" t="str">
        <f>VLOOKUP(A367,'Orçamento Sintético'!$A:$H,4,0)</f>
        <v>Copia da ORSE (2425) - Porta objetos em laminado melamínico (0,15 x 0,4 cm), cor Polar L190, linha Alcoplac Normatizado, Fab. Neocom</v>
      </c>
      <c r="E367" s="54" t="str">
        <f>VLOOKUP(A367,'Orçamento Sintético'!$A:$H,5,0)</f>
        <v>un</v>
      </c>
      <c r="F367" s="183"/>
      <c r="G367" s="184"/>
      <c r="H367" s="185">
        <f>SUM(H368:H370)</f>
        <v>452.8</v>
      </c>
    </row>
    <row r="368" spans="1:8" x14ac:dyDescent="0.2">
      <c r="A368" s="114" t="str">
        <f>VLOOKUP(B368,'Insumos e Serviços'!$A:$F,3,0)</f>
        <v>Composição</v>
      </c>
      <c r="B368" s="109" t="s">
        <v>735</v>
      </c>
      <c r="C368" s="113" t="str">
        <f>VLOOKUP(B368,'Insumos e Serviços'!$A:$F,2,0)</f>
        <v>SINAPI</v>
      </c>
      <c r="D368" s="114" t="str">
        <f>VLOOKUP(B368,'Insumos e Serviços'!$A:$F,4,0)</f>
        <v>CARPINTEIRO DE FORMAS COM ENCARGOS COMPLEMENTARES</v>
      </c>
      <c r="E368" s="113" t="str">
        <f>VLOOKUP(B368,'Insumos e Serviços'!$A:$F,5,0)</f>
        <v>H</v>
      </c>
      <c r="F368" s="189">
        <v>0.17</v>
      </c>
      <c r="G368" s="115">
        <f>VLOOKUP(B368,'Insumos e Serviços'!$A:$F,6,0)</f>
        <v>23.03</v>
      </c>
      <c r="H368" s="115">
        <f t="shared" ref="H368:H370" si="49">TRUNC(F368*G368,2)</f>
        <v>3.91</v>
      </c>
    </row>
    <row r="369" spans="1:8" x14ac:dyDescent="0.2">
      <c r="A369" s="114" t="str">
        <f>VLOOKUP(B369,'Insumos e Serviços'!$A:$F,3,0)</f>
        <v>Composição</v>
      </c>
      <c r="B369" s="109" t="s">
        <v>597</v>
      </c>
      <c r="C369" s="113" t="str">
        <f>VLOOKUP(B369,'Insumos e Serviços'!$A:$F,2,0)</f>
        <v>SINAPI</v>
      </c>
      <c r="D369" s="114" t="str">
        <f>VLOOKUP(B369,'Insumos e Serviços'!$A:$F,4,0)</f>
        <v>SERVENTE COM ENCARGOS COMPLEMENTARES</v>
      </c>
      <c r="E369" s="113" t="str">
        <f>VLOOKUP(B369,'Insumos e Serviços'!$A:$F,5,0)</f>
        <v>H</v>
      </c>
      <c r="F369" s="189">
        <v>0.17</v>
      </c>
      <c r="G369" s="115">
        <f>VLOOKUP(B369,'Insumos e Serviços'!$A:$F,6,0)</f>
        <v>17.170000000000002</v>
      </c>
      <c r="H369" s="115">
        <f t="shared" si="49"/>
        <v>2.91</v>
      </c>
    </row>
    <row r="370" spans="1:8" ht="22.5" x14ac:dyDescent="0.2">
      <c r="A370" s="114" t="str">
        <f>VLOOKUP(B370,'Insumos e Serviços'!$A:$F,3,0)</f>
        <v>Insumo</v>
      </c>
      <c r="B370" s="109" t="s">
        <v>943</v>
      </c>
      <c r="C370" s="113" t="str">
        <f>VLOOKUP(B370,'Insumos e Serviços'!$A:$F,2,0)</f>
        <v>Próprio</v>
      </c>
      <c r="D370" s="114" t="str">
        <f>VLOOKUP(B370,'Insumos e Serviços'!$A:$F,4,0)</f>
        <v>Porta objetos em laminado melamínico (0,15 x 0,4 cm), cor Polar L190, linha Alcoplac Normatizado, Fab. Neocom</v>
      </c>
      <c r="E370" s="113" t="str">
        <f>VLOOKUP(B370,'Insumos e Serviços'!$A:$F,5,0)</f>
        <v>un</v>
      </c>
      <c r="F370" s="189">
        <v>1</v>
      </c>
      <c r="G370" s="115">
        <f>VLOOKUP(B370,'Insumos e Serviços'!$A:$F,6,0)</f>
        <v>445.98</v>
      </c>
      <c r="H370" s="115">
        <f t="shared" si="49"/>
        <v>445.98</v>
      </c>
    </row>
    <row r="371" spans="1:8" x14ac:dyDescent="0.2">
      <c r="A371" s="205"/>
      <c r="B371" s="205"/>
      <c r="C371" s="205"/>
      <c r="D371" s="206"/>
      <c r="E371" s="207"/>
      <c r="F371" s="208"/>
      <c r="G371" s="205"/>
      <c r="H371" s="205"/>
    </row>
    <row r="372" spans="1:8" ht="22.5" x14ac:dyDescent="0.2">
      <c r="A372" s="204" t="s">
        <v>286</v>
      </c>
      <c r="B372" s="54" t="str">
        <f>VLOOKUP(A372,'Orçamento Sintético'!$A:$H,2,0)</f>
        <v xml:space="preserve"> MPDFT0912 </v>
      </c>
      <c r="C372" s="54" t="str">
        <f>VLOOKUP(A372,'Orçamento Sintético'!$A:$H,3,0)</f>
        <v>Próprio</v>
      </c>
      <c r="D372" s="55" t="str">
        <f>VLOOKUP(A372,'Orçamento Sintético'!$A:$H,4,0)</f>
        <v>Copia da SBC (190085) - Cabide para divisória, em inox escovado, linha Alcoplac Normatizado, Fab. Neocom</v>
      </c>
      <c r="E372" s="54" t="str">
        <f>VLOOKUP(A372,'Orçamento Sintético'!$A:$H,5,0)</f>
        <v>UN</v>
      </c>
      <c r="F372" s="183"/>
      <c r="G372" s="184"/>
      <c r="H372" s="185">
        <f>SUM(H373:H375)</f>
        <v>239.01</v>
      </c>
    </row>
    <row r="373" spans="1:8" x14ac:dyDescent="0.2">
      <c r="A373" s="114" t="str">
        <f>VLOOKUP(B373,'Insumos e Serviços'!$A:$F,3,0)</f>
        <v>Composição</v>
      </c>
      <c r="B373" s="109" t="s">
        <v>597</v>
      </c>
      <c r="C373" s="113" t="str">
        <f>VLOOKUP(B373,'Insumos e Serviços'!$A:$F,2,0)</f>
        <v>SINAPI</v>
      </c>
      <c r="D373" s="114" t="str">
        <f>VLOOKUP(B373,'Insumos e Serviços'!$A:$F,4,0)</f>
        <v>SERVENTE COM ENCARGOS COMPLEMENTARES</v>
      </c>
      <c r="E373" s="113" t="str">
        <f>VLOOKUP(B373,'Insumos e Serviços'!$A:$F,5,0)</f>
        <v>H</v>
      </c>
      <c r="F373" s="189">
        <v>0.41199999999999998</v>
      </c>
      <c r="G373" s="115">
        <f>VLOOKUP(B373,'Insumos e Serviços'!$A:$F,6,0)</f>
        <v>17.170000000000002</v>
      </c>
      <c r="H373" s="115">
        <f t="shared" ref="H373:H374" si="50">TRUNC(F373*G373,2)</f>
        <v>7.07</v>
      </c>
    </row>
    <row r="374" spans="1:8" x14ac:dyDescent="0.2">
      <c r="A374" s="114" t="str">
        <f>VLOOKUP(B374,'Insumos e Serviços'!$A:$F,3,0)</f>
        <v>Insumo</v>
      </c>
      <c r="B374" s="109" t="s">
        <v>945</v>
      </c>
      <c r="C374" s="113" t="str">
        <f>VLOOKUP(B374,'Insumos e Serviços'!$A:$F,2,0)</f>
        <v>Próprio</v>
      </c>
      <c r="D374" s="114" t="str">
        <f>VLOOKUP(B374,'Insumos e Serviços'!$A:$F,4,0)</f>
        <v>Cabide para divisória, em inox escovado, linha Alcoplac Normatizado, Fab. Neocom</v>
      </c>
      <c r="E374" s="113" t="str">
        <f>VLOOKUP(B374,'Insumos e Serviços'!$A:$F,5,0)</f>
        <v>un</v>
      </c>
      <c r="F374" s="189">
        <v>1</v>
      </c>
      <c r="G374" s="115" t="str">
        <f>VLOOKUP(B374,'Insumos e Serviços'!$A:$F,6,0)</f>
        <v xml:space="preserve"> 231,94</v>
      </c>
      <c r="H374" s="115">
        <f t="shared" si="50"/>
        <v>231.94</v>
      </c>
    </row>
    <row r="375" spans="1:8" x14ac:dyDescent="0.2">
      <c r="A375" s="205"/>
      <c r="B375" s="205"/>
      <c r="C375" s="205"/>
      <c r="D375" s="206"/>
      <c r="E375" s="207"/>
      <c r="F375" s="208"/>
      <c r="G375" s="205"/>
      <c r="H375" s="205"/>
    </row>
    <row r="376" spans="1:8" ht="22.5" x14ac:dyDescent="0.2">
      <c r="A376" s="204" t="s">
        <v>289</v>
      </c>
      <c r="B376" s="54" t="str">
        <f>VLOOKUP(A376,'Orçamento Sintético'!$A:$H,2,0)</f>
        <v xml:space="preserve"> MPDFT0900 </v>
      </c>
      <c r="C376" s="54" t="str">
        <f>VLOOKUP(A376,'Orçamento Sintético'!$A:$H,3,0)</f>
        <v>Próprio</v>
      </c>
      <c r="D376" s="55" t="str">
        <f>VLOOKUP(A376,'Orçamento Sintético'!$A:$H,4,0)</f>
        <v>Copia da SEINFRA (C4642) - Trocador de fraldas horizontal, retrátil, dimensões: 85x55x10cm, linha Clean Horizontal, marca Ampliando o Espaço</v>
      </c>
      <c r="E376" s="54" t="str">
        <f>VLOOKUP(A376,'Orçamento Sintético'!$A:$H,5,0)</f>
        <v>un</v>
      </c>
      <c r="F376" s="183"/>
      <c r="G376" s="184"/>
      <c r="H376" s="185">
        <f>SUM(H377:H379)</f>
        <v>745.1</v>
      </c>
    </row>
    <row r="377" spans="1:8" x14ac:dyDescent="0.2">
      <c r="A377" s="114" t="str">
        <f>VLOOKUP(B377,'Insumos e Serviços'!$A:$F,3,0)</f>
        <v>Composição</v>
      </c>
      <c r="B377" s="109" t="s">
        <v>599</v>
      </c>
      <c r="C377" s="113" t="str">
        <f>VLOOKUP(B377,'Insumos e Serviços'!$A:$F,2,0)</f>
        <v>SINAPI</v>
      </c>
      <c r="D377" s="114" t="str">
        <f>VLOOKUP(B377,'Insumos e Serviços'!$A:$F,4,0)</f>
        <v>PEDREIRO COM ENCARGOS COMPLEMENTARES</v>
      </c>
      <c r="E377" s="113" t="str">
        <f>VLOOKUP(B377,'Insumos e Serviços'!$A:$F,5,0)</f>
        <v>H</v>
      </c>
      <c r="F377" s="189">
        <v>0.25</v>
      </c>
      <c r="G377" s="115">
        <f>VLOOKUP(B377,'Insumos e Serviços'!$A:$F,6,0)</f>
        <v>23.25</v>
      </c>
      <c r="H377" s="115">
        <f t="shared" ref="H377:H379" si="51">TRUNC(F377*G377,2)</f>
        <v>5.81</v>
      </c>
    </row>
    <row r="378" spans="1:8" x14ac:dyDescent="0.2">
      <c r="A378" s="114" t="str">
        <f>VLOOKUP(B378,'Insumos e Serviços'!$A:$F,3,0)</f>
        <v>Composição</v>
      </c>
      <c r="B378" s="109" t="s">
        <v>597</v>
      </c>
      <c r="C378" s="113" t="str">
        <f>VLOOKUP(B378,'Insumos e Serviços'!$A:$F,2,0)</f>
        <v>SINAPI</v>
      </c>
      <c r="D378" s="114" t="str">
        <f>VLOOKUP(B378,'Insumos e Serviços'!$A:$F,4,0)</f>
        <v>SERVENTE COM ENCARGOS COMPLEMENTARES</v>
      </c>
      <c r="E378" s="113" t="str">
        <f>VLOOKUP(B378,'Insumos e Serviços'!$A:$F,5,0)</f>
        <v>H</v>
      </c>
      <c r="F378" s="189">
        <v>0.25</v>
      </c>
      <c r="G378" s="115">
        <f>VLOOKUP(B378,'Insumos e Serviços'!$A:$F,6,0)</f>
        <v>17.170000000000002</v>
      </c>
      <c r="H378" s="115">
        <f t="shared" si="51"/>
        <v>4.29</v>
      </c>
    </row>
    <row r="379" spans="1:8" ht="22.5" x14ac:dyDescent="0.2">
      <c r="A379" s="114" t="str">
        <f>VLOOKUP(B379,'Insumos e Serviços'!$A:$F,3,0)</f>
        <v>Insumo</v>
      </c>
      <c r="B379" s="109" t="s">
        <v>947</v>
      </c>
      <c r="C379" s="113" t="str">
        <f>VLOOKUP(B379,'Insumos e Serviços'!$A:$F,2,0)</f>
        <v>Próprio</v>
      </c>
      <c r="D379" s="114" t="str">
        <f>VLOOKUP(B379,'Insumos e Serviços'!$A:$F,4,0)</f>
        <v>Trocador de fraldas horizontal, retrátil, dimensões: 85x55x10cm, linha Clean Horizontal, marca Ampliando Espaço</v>
      </c>
      <c r="E379" s="113" t="str">
        <f>VLOOKUP(B379,'Insumos e Serviços'!$A:$F,5,0)</f>
        <v>un</v>
      </c>
      <c r="F379" s="189">
        <v>1</v>
      </c>
      <c r="G379" s="115" t="str">
        <f>VLOOKUP(B379,'Insumos e Serviços'!$A:$F,6,0)</f>
        <v xml:space="preserve"> 735,00</v>
      </c>
      <c r="H379" s="115">
        <f t="shared" si="51"/>
        <v>735</v>
      </c>
    </row>
    <row r="380" spans="1:8" x14ac:dyDescent="0.2">
      <c r="A380" s="205"/>
      <c r="B380" s="205"/>
      <c r="C380" s="205"/>
      <c r="D380" s="206"/>
      <c r="E380" s="207"/>
      <c r="F380" s="208"/>
      <c r="G380" s="205"/>
      <c r="H380" s="205"/>
    </row>
    <row r="381" spans="1:8" ht="22.5" x14ac:dyDescent="0.2">
      <c r="A381" s="204" t="s">
        <v>292</v>
      </c>
      <c r="B381" s="54" t="str">
        <f>VLOOKUP(A381,'Orçamento Sintético'!$A:$H,2,0)</f>
        <v xml:space="preserve"> MPDFT0901 </v>
      </c>
      <c r="C381" s="54" t="str">
        <f>VLOOKUP(A381,'Orçamento Sintético'!$A:$H,3,0)</f>
        <v>Próprio</v>
      </c>
      <c r="D381" s="55" t="str">
        <f>VLOOKUP(A381,'Orçamento Sintético'!$A:$H,4,0)</f>
        <v>Copia da SEINFRA (C4642) - Trocador de fraldas vertical, retrátil, dimensões: 53x69x10cm, linha Ultra Clean, marca Ampliando Espaço</v>
      </c>
      <c r="E381" s="54" t="str">
        <f>VLOOKUP(A381,'Orçamento Sintético'!$A:$H,5,0)</f>
        <v>un</v>
      </c>
      <c r="F381" s="183"/>
      <c r="G381" s="184"/>
      <c r="H381" s="185">
        <f>SUM(H382:H384)</f>
        <v>725.1</v>
      </c>
    </row>
    <row r="382" spans="1:8" x14ac:dyDescent="0.2">
      <c r="A382" s="114" t="str">
        <f>VLOOKUP(B382,'Insumos e Serviços'!$A:$F,3,0)</f>
        <v>Composição</v>
      </c>
      <c r="B382" s="109" t="s">
        <v>599</v>
      </c>
      <c r="C382" s="113" t="str">
        <f>VLOOKUP(B382,'Insumos e Serviços'!$A:$F,2,0)</f>
        <v>SINAPI</v>
      </c>
      <c r="D382" s="114" t="str">
        <f>VLOOKUP(B382,'Insumos e Serviços'!$A:$F,4,0)</f>
        <v>PEDREIRO COM ENCARGOS COMPLEMENTARES</v>
      </c>
      <c r="E382" s="113" t="str">
        <f>VLOOKUP(B382,'Insumos e Serviços'!$A:$F,5,0)</f>
        <v>H</v>
      </c>
      <c r="F382" s="189">
        <v>0.25</v>
      </c>
      <c r="G382" s="115">
        <f>VLOOKUP(B382,'Insumos e Serviços'!$A:$F,6,0)</f>
        <v>23.25</v>
      </c>
      <c r="H382" s="115">
        <f t="shared" ref="H382:H384" si="52">TRUNC(F382*G382,2)</f>
        <v>5.81</v>
      </c>
    </row>
    <row r="383" spans="1:8" x14ac:dyDescent="0.2">
      <c r="A383" s="214" t="str">
        <f>VLOOKUP(B383,'Insumos e Serviços'!$A:$F,3,0)</f>
        <v>Composição</v>
      </c>
      <c r="B383" s="215" t="s">
        <v>597</v>
      </c>
      <c r="C383" s="229" t="str">
        <f>VLOOKUP(B383,'Insumos e Serviços'!$A:$F,2,0)</f>
        <v>SINAPI</v>
      </c>
      <c r="D383" s="229" t="str">
        <f>VLOOKUP(B383,'Insumos e Serviços'!$A:$F,4,0)</f>
        <v>SERVENTE COM ENCARGOS COMPLEMENTARES</v>
      </c>
      <c r="E383" s="230" t="str">
        <f>VLOOKUP(B383,'Insumos e Serviços'!$A:$F,5,0)</f>
        <v>H</v>
      </c>
      <c r="F383" s="218">
        <v>0.25</v>
      </c>
      <c r="G383" s="231">
        <f>VLOOKUP(B383,'Insumos e Serviços'!$A:$F,6,0)</f>
        <v>17.170000000000002</v>
      </c>
      <c r="H383" s="219">
        <f t="shared" si="52"/>
        <v>4.29</v>
      </c>
    </row>
    <row r="384" spans="1:8" ht="22.5" x14ac:dyDescent="0.2">
      <c r="A384" s="214" t="str">
        <f>VLOOKUP(B384,'Insumos e Serviços'!$A:$F,3,0)</f>
        <v>Insumo</v>
      </c>
      <c r="B384" s="215" t="s">
        <v>949</v>
      </c>
      <c r="C384" s="229" t="str">
        <f>VLOOKUP(B384,'Insumos e Serviços'!$A:$F,2,0)</f>
        <v>Próprio</v>
      </c>
      <c r="D384" s="229" t="str">
        <f>VLOOKUP(B384,'Insumos e Serviços'!$A:$F,4,0)</f>
        <v>Trocador de fraldas vertical, retrátil, dimensões: 53x69x10cm, linha Ultra Clean, marca Ampliando Espaço</v>
      </c>
      <c r="E384" s="230" t="str">
        <f>VLOOKUP(B384,'Insumos e Serviços'!$A:$F,5,0)</f>
        <v>un</v>
      </c>
      <c r="F384" s="218">
        <v>1</v>
      </c>
      <c r="G384" s="231">
        <f>VLOOKUP(B384,'Insumos e Serviços'!$A:$F,6,0)</f>
        <v>715</v>
      </c>
      <c r="H384" s="219">
        <f t="shared" si="52"/>
        <v>715</v>
      </c>
    </row>
    <row r="385" spans="1:8" x14ac:dyDescent="0.2">
      <c r="A385" s="205"/>
      <c r="B385" s="205"/>
      <c r="C385" s="205"/>
      <c r="D385" s="206"/>
      <c r="E385" s="207"/>
      <c r="F385" s="208"/>
      <c r="G385" s="205"/>
      <c r="H385" s="205"/>
    </row>
    <row r="386" spans="1:8" ht="33.75" x14ac:dyDescent="0.2">
      <c r="A386" s="204" t="s">
        <v>295</v>
      </c>
      <c r="B386" s="54" t="str">
        <f>VLOOKUP(A386,'Orçamento Sintético'!$A:$H,2,0)</f>
        <v xml:space="preserve"> MPDFT0919 </v>
      </c>
      <c r="C386" s="54" t="str">
        <f>VLOOKUP(A386,'Orçamento Sintético'!$A:$H,3,0)</f>
        <v>Próprio</v>
      </c>
      <c r="D386" s="55" t="str">
        <f>VLOOKUP(A386,'Orçamento Sintético'!$A:$H,4,0)</f>
        <v>Cópia da CAERN (1070222) - Grelha para ralo quadrado em aço inox AISI 304, fab. Tramontina, código 94535002, dimensões (comprimento x largura x altura) 100 x 100 x 4 mm</v>
      </c>
      <c r="E386" s="54" t="str">
        <f>VLOOKUP(A386,'Orçamento Sintético'!$A:$H,5,0)</f>
        <v>un</v>
      </c>
      <c r="F386" s="183"/>
      <c r="G386" s="184"/>
      <c r="H386" s="185">
        <f>SUM(H387:H389)</f>
        <v>14.219999999999999</v>
      </c>
    </row>
    <row r="387" spans="1:8" x14ac:dyDescent="0.2">
      <c r="A387" s="114" t="str">
        <f>VLOOKUP(B387,'Insumos e Serviços'!$A:$F,3,0)</f>
        <v>Composição</v>
      </c>
      <c r="B387" s="109" t="s">
        <v>631</v>
      </c>
      <c r="C387" s="113" t="str">
        <f>VLOOKUP(B387,'Insumos e Serviços'!$A:$F,2,0)</f>
        <v>SINAPI</v>
      </c>
      <c r="D387" s="114" t="str">
        <f>VLOOKUP(B387,'Insumos e Serviços'!$A:$F,4,0)</f>
        <v>AJUDANTE ESPECIALIZADO COM ENCARGOS COMPLEMENTARES</v>
      </c>
      <c r="E387" s="113" t="str">
        <f>VLOOKUP(B387,'Insumos e Serviços'!$A:$F,5,0)</f>
        <v>H</v>
      </c>
      <c r="F387" s="189">
        <v>0.3</v>
      </c>
      <c r="G387" s="115">
        <f>VLOOKUP(B387,'Insumos e Serviços'!$A:$F,6,0)</f>
        <v>20.39</v>
      </c>
      <c r="H387" s="115">
        <f t="shared" ref="H387:H388" si="53">TRUNC(F387*G387,2)</f>
        <v>6.11</v>
      </c>
    </row>
    <row r="388" spans="1:8" ht="22.5" x14ac:dyDescent="0.2">
      <c r="A388" s="114" t="str">
        <f>VLOOKUP(B388,'Insumos e Serviços'!$A:$F,3,0)</f>
        <v>Insumo</v>
      </c>
      <c r="B388" s="109" t="s">
        <v>951</v>
      </c>
      <c r="C388" s="113" t="str">
        <f>VLOOKUP(B388,'Insumos e Serviços'!$A:$F,2,0)</f>
        <v>Próprio</v>
      </c>
      <c r="D388" s="114" t="str">
        <f>VLOOKUP(B388,'Insumos e Serviços'!$A:$F,4,0)</f>
        <v>Grelha para ralo quadrado em aço inox AISI 304, fab. Tramontina, código 94535002, dimensões (comprimento x largura x altura) 100 x 100 x 4 mm</v>
      </c>
      <c r="E388" s="113" t="str">
        <f>VLOOKUP(B388,'Insumos e Serviços'!$A:$F,5,0)</f>
        <v>un</v>
      </c>
      <c r="F388" s="189">
        <v>1</v>
      </c>
      <c r="G388" s="115" t="str">
        <f>VLOOKUP(B388,'Insumos e Serviços'!$A:$F,6,0)</f>
        <v xml:space="preserve"> 8,11</v>
      </c>
      <c r="H388" s="115">
        <f t="shared" si="53"/>
        <v>8.11</v>
      </c>
    </row>
    <row r="389" spans="1:8" x14ac:dyDescent="0.2">
      <c r="A389" s="205"/>
      <c r="B389" s="205"/>
      <c r="C389" s="205"/>
      <c r="D389" s="206"/>
      <c r="E389" s="207"/>
      <c r="F389" s="208"/>
      <c r="G389" s="205"/>
      <c r="H389" s="205"/>
    </row>
    <row r="390" spans="1:8" ht="22.5" x14ac:dyDescent="0.2">
      <c r="A390" s="204" t="s">
        <v>298</v>
      </c>
      <c r="B390" s="54" t="str">
        <f>VLOOKUP(A390,'Orçamento Sintético'!$A:$H,2,0)</f>
        <v xml:space="preserve"> MPDFT0920 </v>
      </c>
      <c r="C390" s="54" t="str">
        <f>VLOOKUP(A390,'Orçamento Sintético'!$A:$H,3,0)</f>
        <v>Próprio</v>
      </c>
      <c r="D390" s="55" t="str">
        <f>VLOOKUP(A390,'Orçamento Sintético'!$A:$H,4,0)</f>
        <v>Cópia da CAERN (1070207) - Grelha quadrada para ralo 15x15cm, em aço inox AISI 304, ref. 94535103, fab. Tramontina</v>
      </c>
      <c r="E390" s="54" t="str">
        <f>VLOOKUP(A390,'Orçamento Sintético'!$A:$H,5,0)</f>
        <v>un</v>
      </c>
      <c r="F390" s="183"/>
      <c r="G390" s="184"/>
      <c r="H390" s="185">
        <f>SUM(H391:H393)</f>
        <v>16.21</v>
      </c>
    </row>
    <row r="391" spans="1:8" x14ac:dyDescent="0.2">
      <c r="A391" s="114" t="str">
        <f>VLOOKUP(B391,'Insumos e Serviços'!$A:$F,3,0)</f>
        <v>Composição</v>
      </c>
      <c r="B391" s="109" t="s">
        <v>631</v>
      </c>
      <c r="C391" s="113" t="str">
        <f>VLOOKUP(B391,'Insumos e Serviços'!$A:$F,2,0)</f>
        <v>SINAPI</v>
      </c>
      <c r="D391" s="114" t="str">
        <f>VLOOKUP(B391,'Insumos e Serviços'!$A:$F,4,0)</f>
        <v>AJUDANTE ESPECIALIZADO COM ENCARGOS COMPLEMENTARES</v>
      </c>
      <c r="E391" s="113" t="str">
        <f>VLOOKUP(B391,'Insumos e Serviços'!$A:$F,5,0)</f>
        <v>H</v>
      </c>
      <c r="F391" s="189">
        <v>0.2</v>
      </c>
      <c r="G391" s="115">
        <f>VLOOKUP(B391,'Insumos e Serviços'!$A:$F,6,0)</f>
        <v>20.39</v>
      </c>
      <c r="H391" s="115">
        <f t="shared" ref="H391:H392" si="54">TRUNC(F391*G391,2)</f>
        <v>4.07</v>
      </c>
    </row>
    <row r="392" spans="1:8" x14ac:dyDescent="0.2">
      <c r="A392" s="114" t="str">
        <f>VLOOKUP(B392,'Insumos e Serviços'!$A:$F,3,0)</f>
        <v>Insumo</v>
      </c>
      <c r="B392" s="109" t="s">
        <v>953</v>
      </c>
      <c r="C392" s="113" t="str">
        <f>VLOOKUP(B392,'Insumos e Serviços'!$A:$F,2,0)</f>
        <v>Próprio</v>
      </c>
      <c r="D392" s="114" t="str">
        <f>VLOOKUP(B392,'Insumos e Serviços'!$A:$F,4,0)</f>
        <v>Grelha quadrada para ralo 15x15cm, em aço inox AISI 304, ref. 94535103, fab. Tramontina</v>
      </c>
      <c r="E392" s="113" t="str">
        <f>VLOOKUP(B392,'Insumos e Serviços'!$A:$F,5,0)</f>
        <v>un</v>
      </c>
      <c r="F392" s="189">
        <v>1</v>
      </c>
      <c r="G392" s="115">
        <f>VLOOKUP(B392,'Insumos e Serviços'!$A:$F,6,0)</f>
        <v>12.14</v>
      </c>
      <c r="H392" s="115">
        <f t="shared" si="54"/>
        <v>12.14</v>
      </c>
    </row>
    <row r="393" spans="1:8" x14ac:dyDescent="0.2">
      <c r="A393" s="205"/>
      <c r="B393" s="205"/>
      <c r="C393" s="205"/>
      <c r="D393" s="206"/>
      <c r="E393" s="207"/>
      <c r="F393" s="208"/>
      <c r="G393" s="205"/>
      <c r="H393" s="205"/>
    </row>
    <row r="394" spans="1:8" x14ac:dyDescent="0.2">
      <c r="A394" s="199" t="s">
        <v>301</v>
      </c>
      <c r="B394" s="199"/>
      <c r="C394" s="199"/>
      <c r="D394" s="200" t="s">
        <v>302</v>
      </c>
      <c r="E394" s="201"/>
      <c r="F394" s="202"/>
      <c r="G394" s="199"/>
      <c r="H394" s="203"/>
    </row>
    <row r="395" spans="1:8" ht="33.75" x14ac:dyDescent="0.2">
      <c r="A395" s="204" t="s">
        <v>303</v>
      </c>
      <c r="B395" s="54" t="str">
        <f>VLOOKUP(A395,'Orçamento Sintético'!$A:$H,2,0)</f>
        <v xml:space="preserve"> MPDFT0263 </v>
      </c>
      <c r="C395" s="54" t="str">
        <f>VLOOKUP(A395,'Orçamento Sintético'!$A:$H,3,0)</f>
        <v>Próprio</v>
      </c>
      <c r="D395" s="55" t="str">
        <f>VLOOKUP(A395,'Orçamento Sintético'!$A:$H,4,0)</f>
        <v>Copia da SINAPI (86872 + 86914 + 86883 + 86877) - Tanque de louça 40 litros com coluna e acessórios de metal, cor branco gelo GE17, cód. TQ.03 (tanque) e CT25 (coluna), fab. Deca</v>
      </c>
      <c r="E395" s="54" t="str">
        <f>VLOOKUP(A395,'Orçamento Sintético'!$A:$H,5,0)</f>
        <v>un</v>
      </c>
      <c r="F395" s="183"/>
      <c r="G395" s="184"/>
      <c r="H395" s="185">
        <f>SUM(H396:H405)</f>
        <v>864.42000000000007</v>
      </c>
    </row>
    <row r="396" spans="1:8" x14ac:dyDescent="0.2">
      <c r="A396" s="114" t="str">
        <f>VLOOKUP(B396,'Insumos e Serviços'!$A:$F,3,0)</f>
        <v>Composição</v>
      </c>
      <c r="B396" s="109" t="s">
        <v>625</v>
      </c>
      <c r="C396" s="113" t="str">
        <f>VLOOKUP(B396,'Insumos e Serviços'!$A:$F,2,0)</f>
        <v>SINAPI</v>
      </c>
      <c r="D396" s="114" t="str">
        <f>VLOOKUP(B396,'Insumos e Serviços'!$A:$F,4,0)</f>
        <v>ENCANADOR OU BOMBEIRO HIDRÁULICO COM ENCARGOS COMPLEMENTARES</v>
      </c>
      <c r="E396" s="113" t="str">
        <f>VLOOKUP(B396,'Insumos e Serviços'!$A:$F,5,0)</f>
        <v>H</v>
      </c>
      <c r="F396" s="189">
        <v>2.1699000000000002</v>
      </c>
      <c r="G396" s="115">
        <f>VLOOKUP(B396,'Insumos e Serviços'!$A:$F,6,0)</f>
        <v>22.76</v>
      </c>
      <c r="H396" s="115">
        <f t="shared" ref="H396:H405" si="55">TRUNC(F396*G396,2)</f>
        <v>49.38</v>
      </c>
    </row>
    <row r="397" spans="1:8" x14ac:dyDescent="0.2">
      <c r="A397" s="114" t="str">
        <f>VLOOKUP(B397,'Insumos e Serviços'!$A:$F,3,0)</f>
        <v>Composição</v>
      </c>
      <c r="B397" s="109" t="s">
        <v>627</v>
      </c>
      <c r="C397" s="113" t="str">
        <f>VLOOKUP(B397,'Insumos e Serviços'!$A:$F,2,0)</f>
        <v>SINAPI</v>
      </c>
      <c r="D397" s="114" t="str">
        <f>VLOOKUP(B397,'Insumos e Serviços'!$A:$F,4,0)</f>
        <v>AUXILIAR DE ENCANADOR OU BOMBEIRO HIDRÁULICO COM ENCARGOS COMPLEMENTARES</v>
      </c>
      <c r="E397" s="113" t="str">
        <f>VLOOKUP(B397,'Insumos e Serviços'!$A:$F,5,0)</f>
        <v>H</v>
      </c>
      <c r="F397" s="189">
        <v>0.84060000000000001</v>
      </c>
      <c r="G397" s="115">
        <f>VLOOKUP(B397,'Insumos e Serviços'!$A:$F,6,0)</f>
        <v>17.78</v>
      </c>
      <c r="H397" s="115">
        <f t="shared" si="55"/>
        <v>14.94</v>
      </c>
    </row>
    <row r="398" spans="1:8" x14ac:dyDescent="0.2">
      <c r="A398" s="114" t="str">
        <f>VLOOKUP(B398,'Insumos e Serviços'!$A:$F,3,0)</f>
        <v>Insumo</v>
      </c>
      <c r="B398" s="109" t="s">
        <v>955</v>
      </c>
      <c r="C398" s="113" t="str">
        <f>VLOOKUP(B398,'Insumos e Serviços'!$A:$F,2,0)</f>
        <v>Próprio</v>
      </c>
      <c r="D398" s="114" t="str">
        <f>VLOOKUP(B398,'Insumos e Serviços'!$A:$F,4,0)</f>
        <v>Coluna de louça para tanque TQ 03 fab. Deca, código CT25</v>
      </c>
      <c r="E398" s="113" t="str">
        <f>VLOOKUP(B398,'Insumos e Serviços'!$A:$F,5,0)</f>
        <v>un</v>
      </c>
      <c r="F398" s="189">
        <v>1</v>
      </c>
      <c r="G398" s="115">
        <f>VLOOKUP(B398,'Insumos e Serviços'!$A:$F,6,0)</f>
        <v>112.51</v>
      </c>
      <c r="H398" s="115">
        <f t="shared" si="55"/>
        <v>112.51</v>
      </c>
    </row>
    <row r="399" spans="1:8" x14ac:dyDescent="0.2">
      <c r="A399" s="114" t="str">
        <f>VLOOKUP(B399,'Insumos e Serviços'!$A:$F,3,0)</f>
        <v>Insumo</v>
      </c>
      <c r="B399" s="109" t="s">
        <v>957</v>
      </c>
      <c r="C399" s="113" t="str">
        <f>VLOOKUP(B399,'Insumos e Serviços'!$A:$F,2,0)</f>
        <v>Próprio</v>
      </c>
      <c r="D399" s="114" t="str">
        <f>VLOOKUP(B399,'Insumos e Serviços'!$A:$F,4,0)</f>
        <v>Válvula de escoamento (sem ladrão), 1 ½”, ref. 1606 C, cromada, fab. Deca</v>
      </c>
      <c r="E399" s="113" t="str">
        <f>VLOOKUP(B399,'Insumos e Serviços'!$A:$F,5,0)</f>
        <v>un</v>
      </c>
      <c r="F399" s="189">
        <v>1</v>
      </c>
      <c r="G399" s="115" t="str">
        <f>VLOOKUP(B399,'Insumos e Serviços'!$A:$F,6,0)</f>
        <v xml:space="preserve"> 56,42</v>
      </c>
      <c r="H399" s="115">
        <f t="shared" si="55"/>
        <v>56.42</v>
      </c>
    </row>
    <row r="400" spans="1:8" x14ac:dyDescent="0.2">
      <c r="A400" s="114" t="str">
        <f>VLOOKUP(B400,'Insumos e Serviços'!$A:$F,3,0)</f>
        <v>Insumo</v>
      </c>
      <c r="B400" s="109" t="s">
        <v>959</v>
      </c>
      <c r="C400" s="113" t="str">
        <f>VLOOKUP(B400,'Insumos e Serviços'!$A:$F,2,0)</f>
        <v>SINAPI</v>
      </c>
      <c r="D400" s="114" t="str">
        <f>VLOOKUP(B400,'Insumos e Serviços'!$A:$F,4,0)</f>
        <v>SIFAO PLASTICO EXTENSIVEL UNIVERSAL, TIPO COPO</v>
      </c>
      <c r="E400" s="113" t="str">
        <f>VLOOKUP(B400,'Insumos e Serviços'!$A:$F,5,0)</f>
        <v>UN</v>
      </c>
      <c r="F400" s="189">
        <v>1</v>
      </c>
      <c r="G400" s="115">
        <f>VLOOKUP(B400,'Insumos e Serviços'!$A:$F,6,0)</f>
        <v>10.16</v>
      </c>
      <c r="H400" s="115">
        <f t="shared" si="55"/>
        <v>10.16</v>
      </c>
    </row>
    <row r="401" spans="1:8" ht="22.5" x14ac:dyDescent="0.2">
      <c r="A401" s="114" t="str">
        <f>VLOOKUP(B401,'Insumos e Serviços'!$A:$F,3,0)</f>
        <v>Material</v>
      </c>
      <c r="B401" s="109" t="s">
        <v>866</v>
      </c>
      <c r="C401" s="113" t="str">
        <f>VLOOKUP(B401,'Insumos e Serviços'!$A:$F,2,0)</f>
        <v>SINAPI</v>
      </c>
      <c r="D401" s="114" t="str">
        <f>VLOOKUP(B401,'Insumos e Serviços'!$A:$F,4,0)</f>
        <v>PARAFUSO NIQUELADO COM ACABAMENTO CROMADO PARA FIXAR PECA SANITARIA, INCLUI PORCA CEGA, ARRUELA E BUCHA DE NYLON TAMANHO S-10</v>
      </c>
      <c r="E401" s="113" t="str">
        <f>VLOOKUP(B401,'Insumos e Serviços'!$A:$F,5,0)</f>
        <v>UN</v>
      </c>
      <c r="F401" s="189">
        <v>6</v>
      </c>
      <c r="G401" s="115" t="str">
        <f>VLOOKUP(B401,'Insumos e Serviços'!$A:$F,6,0)</f>
        <v xml:space="preserve"> 11,53</v>
      </c>
      <c r="H401" s="115">
        <f t="shared" si="55"/>
        <v>69.180000000000007</v>
      </c>
    </row>
    <row r="402" spans="1:8" x14ac:dyDescent="0.2">
      <c r="A402" s="114" t="str">
        <f>VLOOKUP(B402,'Insumos e Serviços'!$A:$F,3,0)</f>
        <v>Insumo</v>
      </c>
      <c r="B402" s="109" t="s">
        <v>896</v>
      </c>
      <c r="C402" s="113" t="str">
        <f>VLOOKUP(B402,'Insumos e Serviços'!$A:$F,2,0)</f>
        <v>SINAPI</v>
      </c>
      <c r="D402" s="114" t="str">
        <f>VLOOKUP(B402,'Insumos e Serviços'!$A:$F,4,0)</f>
        <v>FITA VEDA ROSCA EM ROLOS DE 18 MM X 10 M (L X C)</v>
      </c>
      <c r="E402" s="113" t="str">
        <f>VLOOKUP(B402,'Insumos e Serviços'!$A:$F,5,0)</f>
        <v>UN</v>
      </c>
      <c r="F402" s="189">
        <v>0.1022</v>
      </c>
      <c r="G402" s="115">
        <f>VLOOKUP(B402,'Insumos e Serviços'!$A:$F,6,0)</f>
        <v>3.9</v>
      </c>
      <c r="H402" s="115">
        <f t="shared" si="55"/>
        <v>0.39</v>
      </c>
    </row>
    <row r="403" spans="1:8" ht="22.5" x14ac:dyDescent="0.2">
      <c r="A403" s="114" t="str">
        <f>VLOOKUP(B403,'Insumos e Serviços'!$A:$F,3,0)</f>
        <v>Insumo</v>
      </c>
      <c r="B403" s="109" t="s">
        <v>961</v>
      </c>
      <c r="C403" s="113" t="str">
        <f>VLOOKUP(B403,'Insumos e Serviços'!$A:$F,2,0)</f>
        <v>Próprio</v>
      </c>
      <c r="D403" s="114" t="str">
        <f>VLOOKUP(B403,'Insumos e Serviços'!$A:$F,4,0)</f>
        <v>Tanque de louça 40 litros para coluna, cor branco; fabricação Deca, código TQ.03 (tanque) cor branco gelo GE17</v>
      </c>
      <c r="E403" s="113" t="str">
        <f>VLOOKUP(B403,'Insumos e Serviços'!$A:$F,5,0)</f>
        <v>un</v>
      </c>
      <c r="F403" s="189">
        <v>1</v>
      </c>
      <c r="G403" s="115">
        <f>VLOOKUP(B403,'Insumos e Serviços'!$A:$F,6,0)</f>
        <v>411.61</v>
      </c>
      <c r="H403" s="115">
        <f t="shared" si="55"/>
        <v>411.61</v>
      </c>
    </row>
    <row r="404" spans="1:8" x14ac:dyDescent="0.2">
      <c r="A404" s="114" t="str">
        <f>VLOOKUP(B404,'Insumos e Serviços'!$A:$F,3,0)</f>
        <v>Insumo</v>
      </c>
      <c r="B404" s="109" t="s">
        <v>868</v>
      </c>
      <c r="C404" s="113" t="str">
        <f>VLOOKUP(B404,'Insumos e Serviços'!$A:$F,2,0)</f>
        <v>SINAPI</v>
      </c>
      <c r="D404" s="114" t="str">
        <f>VLOOKUP(B404,'Insumos e Serviços'!$A:$F,4,0)</f>
        <v>REJUNTE EPOXI, QUALQUER COR</v>
      </c>
      <c r="E404" s="113" t="str">
        <f>VLOOKUP(B404,'Insumos e Serviços'!$A:$F,5,0)</f>
        <v>KG</v>
      </c>
      <c r="F404" s="189">
        <v>7.0199999999999999E-2</v>
      </c>
      <c r="G404" s="115">
        <f>VLOOKUP(B404,'Insumos e Serviços'!$A:$F,6,0)</f>
        <v>55.65</v>
      </c>
      <c r="H404" s="115">
        <f t="shared" si="55"/>
        <v>3.9</v>
      </c>
    </row>
    <row r="405" spans="1:8" ht="22.5" x14ac:dyDescent="0.2">
      <c r="A405" s="114" t="str">
        <f>VLOOKUP(B405,'Insumos e Serviços'!$A:$F,3,0)</f>
        <v>Insumo</v>
      </c>
      <c r="B405" s="109" t="s">
        <v>920</v>
      </c>
      <c r="C405" s="113" t="str">
        <f>VLOOKUP(B405,'Insumos e Serviços'!$A:$F,2,0)</f>
        <v>Próprio</v>
      </c>
      <c r="D405" s="114" t="str">
        <f>VLOOKUP(B405,'Insumos e Serviços'!$A:$F,4,0)</f>
        <v>Torneira de parede uso geral com arejador, metálica com acabamento cromado, fab. Deca, Linha Standard, código 1154.C39</v>
      </c>
      <c r="E405" s="113" t="str">
        <f>VLOOKUP(B405,'Insumos e Serviços'!$A:$F,5,0)</f>
        <v>un</v>
      </c>
      <c r="F405" s="189">
        <v>1</v>
      </c>
      <c r="G405" s="115">
        <f>VLOOKUP(B405,'Insumos e Serviços'!$A:$F,6,0)</f>
        <v>135.93</v>
      </c>
      <c r="H405" s="115">
        <f t="shared" si="55"/>
        <v>135.93</v>
      </c>
    </row>
    <row r="406" spans="1:8" x14ac:dyDescent="0.2">
      <c r="A406" s="205"/>
      <c r="B406" s="205"/>
      <c r="C406" s="205"/>
      <c r="D406" s="206"/>
      <c r="E406" s="207"/>
      <c r="F406" s="208"/>
      <c r="G406" s="205"/>
      <c r="H406" s="205"/>
    </row>
    <row r="407" spans="1:8" ht="22.5" x14ac:dyDescent="0.2">
      <c r="A407" s="204" t="s">
        <v>306</v>
      </c>
      <c r="B407" s="54" t="str">
        <f>VLOOKUP(A407,'Orçamento Sintético'!$A:$H,2,0)</f>
        <v xml:space="preserve"> MPDFT0356 </v>
      </c>
      <c r="C407" s="54" t="str">
        <f>VLOOKUP(A407,'Orçamento Sintético'!$A:$H,3,0)</f>
        <v>Próprio</v>
      </c>
      <c r="D407" s="55" t="str">
        <f>VLOOKUP(A407,'Orçamento Sintético'!$A:$H,4,0)</f>
        <v>Copia da SINAPI (86900) - Cuba de aço inox, DM 34x56x17 cm, linha Prime, mod. Retangular BL, ref. 94024206, fab. Tramontina, inclusive furo e colagem</v>
      </c>
      <c r="E407" s="54" t="str">
        <f>VLOOKUP(A407,'Orçamento Sintético'!$A:$H,5,0)</f>
        <v>UN</v>
      </c>
      <c r="F407" s="183"/>
      <c r="G407" s="184"/>
      <c r="H407" s="185">
        <f>SUM(H408:H412)</f>
        <v>427.79</v>
      </c>
    </row>
    <row r="408" spans="1:8" x14ac:dyDescent="0.2">
      <c r="A408" s="114" t="str">
        <f>VLOOKUP(B408,'Insumos e Serviços'!$A:$F,3,0)</f>
        <v>Composição</v>
      </c>
      <c r="B408" s="109" t="s">
        <v>851</v>
      </c>
      <c r="C408" s="113" t="str">
        <f>VLOOKUP(B408,'Insumos e Serviços'!$A:$F,2,0)</f>
        <v>SINAPI</v>
      </c>
      <c r="D408" s="114" t="str">
        <f>VLOOKUP(B408,'Insumos e Serviços'!$A:$F,4,0)</f>
        <v>MARMORISTA/GRANITEIRO COM ENCARGOS COMPLEMENTARES</v>
      </c>
      <c r="E408" s="113" t="str">
        <f>VLOOKUP(B408,'Insumos e Serviços'!$A:$F,5,0)</f>
        <v>H</v>
      </c>
      <c r="F408" s="189">
        <v>0.48</v>
      </c>
      <c r="G408" s="115">
        <f>VLOOKUP(B408,'Insumos e Serviços'!$A:$F,6,0)</f>
        <v>19.39</v>
      </c>
      <c r="H408" s="115">
        <f t="shared" ref="H408:H412" si="56">TRUNC(F408*G408,2)</f>
        <v>9.3000000000000007</v>
      </c>
    </row>
    <row r="409" spans="1:8" x14ac:dyDescent="0.2">
      <c r="A409" s="114" t="str">
        <f>VLOOKUP(B409,'Insumos e Serviços'!$A:$F,3,0)</f>
        <v>Composição</v>
      </c>
      <c r="B409" s="109" t="s">
        <v>597</v>
      </c>
      <c r="C409" s="113" t="str">
        <f>VLOOKUP(B409,'Insumos e Serviços'!$A:$F,2,0)</f>
        <v>SINAPI</v>
      </c>
      <c r="D409" s="114" t="str">
        <f>VLOOKUP(B409,'Insumos e Serviços'!$A:$F,4,0)</f>
        <v>SERVENTE COM ENCARGOS COMPLEMENTARES</v>
      </c>
      <c r="E409" s="113" t="str">
        <f>VLOOKUP(B409,'Insumos e Serviços'!$A:$F,5,0)</f>
        <v>H</v>
      </c>
      <c r="F409" s="189">
        <v>0.15</v>
      </c>
      <c r="G409" s="115">
        <f>VLOOKUP(B409,'Insumos e Serviços'!$A:$F,6,0)</f>
        <v>17.170000000000002</v>
      </c>
      <c r="H409" s="115">
        <f t="shared" si="56"/>
        <v>2.57</v>
      </c>
    </row>
    <row r="410" spans="1:8" x14ac:dyDescent="0.2">
      <c r="A410" s="114" t="str">
        <f>VLOOKUP(B410,'Insumos e Serviços'!$A:$F,3,0)</f>
        <v>Material</v>
      </c>
      <c r="B410" s="109" t="s">
        <v>934</v>
      </c>
      <c r="C410" s="113" t="str">
        <f>VLOOKUP(B410,'Insumos e Serviços'!$A:$F,2,0)</f>
        <v>SINAPI</v>
      </c>
      <c r="D410" s="114" t="str">
        <f>VLOOKUP(B410,'Insumos e Serviços'!$A:$F,4,0)</f>
        <v>MASSA PLASTICA PARA MARMORE/GRANITO</v>
      </c>
      <c r="E410" s="113" t="str">
        <f>VLOOKUP(B410,'Insumos e Serviços'!$A:$F,5,0)</f>
        <v>KG</v>
      </c>
      <c r="F410" s="189">
        <v>0.2974</v>
      </c>
      <c r="G410" s="115" t="str">
        <f>VLOOKUP(B410,'Insumos e Serviços'!$A:$F,6,0)</f>
        <v xml:space="preserve"> 28,09</v>
      </c>
      <c r="H410" s="115">
        <f t="shared" si="56"/>
        <v>8.35</v>
      </c>
    </row>
    <row r="411" spans="1:8" ht="22.5" x14ac:dyDescent="0.2">
      <c r="A411" s="114" t="str">
        <f>VLOOKUP(B411,'Insumos e Serviços'!$A:$F,3,0)</f>
        <v>Insumo</v>
      </c>
      <c r="B411" s="109" t="s">
        <v>963</v>
      </c>
      <c r="C411" s="113" t="str">
        <f>VLOOKUP(B411,'Insumos e Serviços'!$A:$F,2,0)</f>
        <v>Próprio</v>
      </c>
      <c r="D411" s="114" t="str">
        <f>VLOOKUP(B411,'Insumos e Serviços'!$A:$F,4,0)</f>
        <v>Cuba de aço inox, DM 34x56x17 cm, linha Prime, mod. Retangular BL, ref. 94024206, fab. Tramontina</v>
      </c>
      <c r="E411" s="113" t="str">
        <f>VLOOKUP(B411,'Insumos e Serviços'!$A:$F,5,0)</f>
        <v>un</v>
      </c>
      <c r="F411" s="189">
        <v>1</v>
      </c>
      <c r="G411" s="115">
        <f>VLOOKUP(B411,'Insumos e Serviços'!$A:$F,6,0)</f>
        <v>312.01</v>
      </c>
      <c r="H411" s="115">
        <f t="shared" si="56"/>
        <v>312.01</v>
      </c>
    </row>
    <row r="412" spans="1:8" ht="22.5" x14ac:dyDescent="0.2">
      <c r="A412" s="114" t="str">
        <f>VLOOKUP(B412,'Insumos e Serviços'!$A:$F,3,0)</f>
        <v>Insumo</v>
      </c>
      <c r="B412" s="109" t="s">
        <v>965</v>
      </c>
      <c r="C412" s="113" t="str">
        <f>VLOOKUP(B412,'Insumos e Serviços'!$A:$F,2,0)</f>
        <v>SINAPI</v>
      </c>
      <c r="D412" s="114" t="str">
        <f>VLOOKUP(B412,'Insumos e Serviços'!$A:$F,4,0)</f>
        <v>ABERTURA PARA ENCAIXE DE CUBA OU LAVATORIO EM BANCADA DE MARMORE/ GRANITO OU OUTRO TIPO DE PEDRA NATURAL</v>
      </c>
      <c r="E412" s="113" t="str">
        <f>VLOOKUP(B412,'Insumos e Serviços'!$A:$F,5,0)</f>
        <v>UN</v>
      </c>
      <c r="F412" s="189">
        <v>1</v>
      </c>
      <c r="G412" s="115">
        <f>VLOOKUP(B412,'Insumos e Serviços'!$A:$F,6,0)</f>
        <v>95.56</v>
      </c>
      <c r="H412" s="115">
        <f t="shared" si="56"/>
        <v>95.56</v>
      </c>
    </row>
    <row r="413" spans="1:8" x14ac:dyDescent="0.2">
      <c r="A413" s="205"/>
      <c r="B413" s="205"/>
      <c r="C413" s="205"/>
      <c r="D413" s="206"/>
      <c r="E413" s="207"/>
      <c r="F413" s="208"/>
      <c r="G413" s="205"/>
      <c r="H413" s="205"/>
    </row>
    <row r="414" spans="1:8" ht="22.5" x14ac:dyDescent="0.2">
      <c r="A414" s="204" t="s">
        <v>309</v>
      </c>
      <c r="B414" s="54" t="str">
        <f>VLOOKUP(A414,'Orçamento Sintético'!$A:$H,2,0)</f>
        <v xml:space="preserve"> MPDFT0357 </v>
      </c>
      <c r="C414" s="54" t="str">
        <f>VLOOKUP(A414,'Orçamento Sintético'!$A:$H,3,0)</f>
        <v>Próprio</v>
      </c>
      <c r="D414" s="55" t="str">
        <f>VLOOKUP(A414,'Orçamento Sintético'!$A:$H,4,0)</f>
        <v>Copia da SINAPI (86909 + 86887 + 86877 + 86881) - Conjunto de metais para pia com cuba inox</v>
      </c>
      <c r="E414" s="54" t="str">
        <f>VLOOKUP(A414,'Orçamento Sintético'!$A:$H,5,0)</f>
        <v>UN</v>
      </c>
      <c r="F414" s="183"/>
      <c r="G414" s="184"/>
      <c r="H414" s="185">
        <f>SUM(H415:H422)</f>
        <v>617.7600000000001</v>
      </c>
    </row>
    <row r="415" spans="1:8" x14ac:dyDescent="0.2">
      <c r="A415" s="114" t="str">
        <f>VLOOKUP(B415,'Insumos e Serviços'!$A:$F,3,0)</f>
        <v>Composição</v>
      </c>
      <c r="B415" s="109" t="s">
        <v>625</v>
      </c>
      <c r="C415" s="113" t="str">
        <f>VLOOKUP(B415,'Insumos e Serviços'!$A:$F,2,0)</f>
        <v>SINAPI</v>
      </c>
      <c r="D415" s="114" t="str">
        <f>VLOOKUP(B415,'Insumos e Serviços'!$A:$F,4,0)</f>
        <v>ENCANADOR OU BOMBEIRO HIDRÁULICO COM ENCARGOS COMPLEMENTARES</v>
      </c>
      <c r="E415" s="113" t="str">
        <f>VLOOKUP(B415,'Insumos e Serviços'!$A:$F,5,0)</f>
        <v>H</v>
      </c>
      <c r="F415" s="189">
        <v>0.76659999999999995</v>
      </c>
      <c r="G415" s="115">
        <f>VLOOKUP(B415,'Insumos e Serviços'!$A:$F,6,0)</f>
        <v>22.76</v>
      </c>
      <c r="H415" s="115">
        <f t="shared" ref="H415:H422" si="57">TRUNC(F415*G415,2)</f>
        <v>17.440000000000001</v>
      </c>
    </row>
    <row r="416" spans="1:8" x14ac:dyDescent="0.2">
      <c r="A416" s="114" t="str">
        <f>VLOOKUP(B416,'Insumos e Serviços'!$A:$F,3,0)</f>
        <v>Composição</v>
      </c>
      <c r="B416" s="109" t="s">
        <v>597</v>
      </c>
      <c r="C416" s="113" t="str">
        <f>VLOOKUP(B416,'Insumos e Serviços'!$A:$F,2,0)</f>
        <v>SINAPI</v>
      </c>
      <c r="D416" s="114" t="str">
        <f>VLOOKUP(B416,'Insumos e Serviços'!$A:$F,4,0)</f>
        <v>SERVENTE COM ENCARGOS COMPLEMENTARES</v>
      </c>
      <c r="E416" s="113" t="str">
        <f>VLOOKUP(B416,'Insumos e Serviços'!$A:$F,5,0)</f>
        <v>H</v>
      </c>
      <c r="F416" s="189">
        <v>0.24160000000000001</v>
      </c>
      <c r="G416" s="115">
        <f>VLOOKUP(B416,'Insumos e Serviços'!$A:$F,6,0)</f>
        <v>17.170000000000002</v>
      </c>
      <c r="H416" s="115">
        <f t="shared" si="57"/>
        <v>4.1399999999999997</v>
      </c>
    </row>
    <row r="417" spans="1:8" x14ac:dyDescent="0.2">
      <c r="A417" s="114" t="str">
        <f>VLOOKUP(B417,'Insumos e Serviços'!$A:$F,3,0)</f>
        <v>Insumo</v>
      </c>
      <c r="B417" s="109" t="s">
        <v>896</v>
      </c>
      <c r="C417" s="113" t="str">
        <f>VLOOKUP(B417,'Insumos e Serviços'!$A:$F,2,0)</f>
        <v>SINAPI</v>
      </c>
      <c r="D417" s="114" t="str">
        <f>VLOOKUP(B417,'Insumos e Serviços'!$A:$F,4,0)</f>
        <v>FITA VEDA ROSCA EM ROLOS DE 18 MM X 10 M (L X C)</v>
      </c>
      <c r="E417" s="113" t="str">
        <f>VLOOKUP(B417,'Insumos e Serviços'!$A:$F,5,0)</f>
        <v>UN</v>
      </c>
      <c r="F417" s="189">
        <v>0.1232</v>
      </c>
      <c r="G417" s="115">
        <f>VLOOKUP(B417,'Insumos e Serviços'!$A:$F,6,0)</f>
        <v>3.9</v>
      </c>
      <c r="H417" s="115">
        <f t="shared" si="57"/>
        <v>0.48</v>
      </c>
    </row>
    <row r="418" spans="1:8" ht="22.5" x14ac:dyDescent="0.2">
      <c r="A418" s="114" t="str">
        <f>VLOOKUP(B418,'Insumos e Serviços'!$A:$F,3,0)</f>
        <v>Insumo</v>
      </c>
      <c r="B418" s="109" t="s">
        <v>967</v>
      </c>
      <c r="C418" s="113" t="str">
        <f>VLOOKUP(B418,'Insumos e Serviços'!$A:$F,2,0)</f>
        <v>Próprio</v>
      </c>
      <c r="D418" s="114" t="str">
        <f>VLOOKUP(B418,'Insumos e Serviços'!$A:$F,4,0)</f>
        <v>Torneira para cozinha de mesa, bica móvel com arejador, cromada, altura total 289 mm, linha Fast, cód. 1167.C59, fab. Deca</v>
      </c>
      <c r="E418" s="113" t="str">
        <f>VLOOKUP(B418,'Insumos e Serviços'!$A:$F,5,0)</f>
        <v>un</v>
      </c>
      <c r="F418" s="189">
        <v>1</v>
      </c>
      <c r="G418" s="115">
        <f>VLOOKUP(B418,'Insumos e Serviços'!$A:$F,6,0)</f>
        <v>377.9</v>
      </c>
      <c r="H418" s="115">
        <f t="shared" si="57"/>
        <v>377.9</v>
      </c>
    </row>
    <row r="419" spans="1:8" x14ac:dyDescent="0.2">
      <c r="A419" s="114" t="str">
        <f>VLOOKUP(B419,'Insumos e Serviços'!$A:$F,3,0)</f>
        <v>Insumo</v>
      </c>
      <c r="B419" s="109" t="s">
        <v>904</v>
      </c>
      <c r="C419" s="113" t="str">
        <f>VLOOKUP(B419,'Insumos e Serviços'!$A:$F,2,0)</f>
        <v>Próprio</v>
      </c>
      <c r="D419" s="114" t="str">
        <f>VLOOKUP(B419,'Insumos e Serviços'!$A:$F,4,0)</f>
        <v>Ligação flexível de malha de aço 50cm, ref. 4607C 050, fab. Deca</v>
      </c>
      <c r="E419" s="113" t="str">
        <f>VLOOKUP(B419,'Insumos e Serviços'!$A:$F,5,0)</f>
        <v>un</v>
      </c>
      <c r="F419" s="189">
        <v>1</v>
      </c>
      <c r="G419" s="115">
        <f>VLOOKUP(B419,'Insumos e Serviços'!$A:$F,6,0)</f>
        <v>60.92</v>
      </c>
      <c r="H419" s="115">
        <f t="shared" si="57"/>
        <v>60.92</v>
      </c>
    </row>
    <row r="420" spans="1:8" x14ac:dyDescent="0.2">
      <c r="A420" s="114" t="str">
        <f>VLOOKUP(B420,'Insumos e Serviços'!$A:$F,3,0)</f>
        <v>Insumo</v>
      </c>
      <c r="B420" s="109" t="s">
        <v>969</v>
      </c>
      <c r="C420" s="113" t="str">
        <f>VLOOKUP(B420,'Insumos e Serviços'!$A:$F,2,0)</f>
        <v>Próprio</v>
      </c>
      <c r="D420" s="114" t="str">
        <f>VLOOKUP(B420,'Insumos e Serviços'!$A:$F,4,0)</f>
        <v>Sifão simples com polipropileno com fecho hídrico, ref. 94525100, fab. Tramontina</v>
      </c>
      <c r="E420" s="113" t="str">
        <f>VLOOKUP(B420,'Insumos e Serviços'!$A:$F,5,0)</f>
        <v>un</v>
      </c>
      <c r="F420" s="189">
        <v>1</v>
      </c>
      <c r="G420" s="115" t="str">
        <f>VLOOKUP(B420,'Insumos e Serviços'!$A:$F,6,0)</f>
        <v xml:space="preserve"> 81,95</v>
      </c>
      <c r="H420" s="115">
        <f t="shared" si="57"/>
        <v>81.95</v>
      </c>
    </row>
    <row r="421" spans="1:8" ht="22.5" x14ac:dyDescent="0.2">
      <c r="A421" s="114" t="str">
        <f>VLOOKUP(B421,'Insumos e Serviços'!$A:$F,3,0)</f>
        <v>Serviços</v>
      </c>
      <c r="B421" s="109" t="s">
        <v>918</v>
      </c>
      <c r="C421" s="113" t="str">
        <f>VLOOKUP(B421,'Insumos e Serviços'!$A:$F,2,0)</f>
        <v>SINAPI</v>
      </c>
      <c r="D421" s="114" t="str">
        <f>VLOOKUP(B421,'Insumos e Serviços'!$A:$F,4,0)</f>
        <v>FURO PARA TORNEIRA OU OUTROS ACESSORIOS  EM BANCADA DE MARMORE/ GRANITO OU OUTRO TIPO DE PEDRA NATURAL</v>
      </c>
      <c r="E421" s="113" t="str">
        <f>VLOOKUP(B421,'Insumos e Serviços'!$A:$F,5,0)</f>
        <v>UN</v>
      </c>
      <c r="F421" s="189">
        <v>1</v>
      </c>
      <c r="G421" s="115" t="str">
        <f>VLOOKUP(B421,'Insumos e Serviços'!$A:$F,6,0)</f>
        <v xml:space="preserve"> 14,33</v>
      </c>
      <c r="H421" s="115">
        <f t="shared" si="57"/>
        <v>14.33</v>
      </c>
    </row>
    <row r="422" spans="1:8" x14ac:dyDescent="0.2">
      <c r="A422" s="114" t="str">
        <f>VLOOKUP(B422,'Insumos e Serviços'!$A:$F,3,0)</f>
        <v>Insumo</v>
      </c>
      <c r="B422" s="109" t="s">
        <v>971</v>
      </c>
      <c r="C422" s="113" t="str">
        <f>VLOOKUP(B422,'Insumos e Serviços'!$A:$F,2,0)</f>
        <v>SINAPI</v>
      </c>
      <c r="D422" s="114" t="str">
        <f>VLOOKUP(B422,'Insumos e Serviços'!$A:$F,4,0)</f>
        <v>VALVULA EM METAL CROMADO PARA PIA AMERICANA 3.1/2 X 1.1/2 "</v>
      </c>
      <c r="E422" s="113" t="str">
        <f>VLOOKUP(B422,'Insumos e Serviços'!$A:$F,5,0)</f>
        <v>UN</v>
      </c>
      <c r="F422" s="189">
        <v>1</v>
      </c>
      <c r="G422" s="115">
        <f>VLOOKUP(B422,'Insumos e Serviços'!$A:$F,6,0)</f>
        <v>60.6</v>
      </c>
      <c r="H422" s="115">
        <f t="shared" si="57"/>
        <v>60.6</v>
      </c>
    </row>
    <row r="423" spans="1:8" x14ac:dyDescent="0.2">
      <c r="A423" s="205"/>
      <c r="B423" s="205"/>
      <c r="C423" s="205"/>
      <c r="D423" s="206"/>
      <c r="E423" s="207"/>
      <c r="F423" s="208"/>
      <c r="G423" s="205"/>
      <c r="H423" s="205"/>
    </row>
    <row r="424" spans="1:8" x14ac:dyDescent="0.2">
      <c r="A424" s="204" t="s">
        <v>312</v>
      </c>
      <c r="B424" s="54" t="str">
        <f>VLOOKUP(A424,'Orçamento Sintético'!$A:$H,2,0)</f>
        <v xml:space="preserve"> MPDFT0272 </v>
      </c>
      <c r="C424" s="54" t="str">
        <f>VLOOKUP(A424,'Orçamento Sintético'!$A:$H,3,0)</f>
        <v>Próprio</v>
      </c>
      <c r="D424" s="55" t="str">
        <f>VLOOKUP(A424,'Orçamento Sintético'!$A:$H,4,0)</f>
        <v>Copia da SINAPI (86895) - Prateleira em granito, incluindo mão francesa</v>
      </c>
      <c r="E424" s="54" t="str">
        <f>VLOOKUP(A424,'Orçamento Sintético'!$A:$H,5,0)</f>
        <v>m²</v>
      </c>
      <c r="F424" s="183"/>
      <c r="G424" s="184"/>
      <c r="H424" s="185">
        <f>SUM(H425:H433)</f>
        <v>949.13</v>
      </c>
    </row>
    <row r="425" spans="1:8" x14ac:dyDescent="0.2">
      <c r="A425" s="114" t="str">
        <f>VLOOKUP(B425,'Insumos e Serviços'!$A:$F,3,0)</f>
        <v>Composição</v>
      </c>
      <c r="B425" s="109" t="s">
        <v>851</v>
      </c>
      <c r="C425" s="113" t="str">
        <f>VLOOKUP(B425,'Insumos e Serviços'!$A:$F,2,0)</f>
        <v>SINAPI</v>
      </c>
      <c r="D425" s="114" t="str">
        <f>VLOOKUP(B425,'Insumos e Serviços'!$A:$F,4,0)</f>
        <v>MARMORISTA/GRANITEIRO COM ENCARGOS COMPLEMENTARES</v>
      </c>
      <c r="E425" s="113" t="str">
        <f>VLOOKUP(B425,'Insumos e Serviços'!$A:$F,5,0)</f>
        <v>H</v>
      </c>
      <c r="F425" s="189">
        <v>1.9209000000000001</v>
      </c>
      <c r="G425" s="115">
        <f>VLOOKUP(B425,'Insumos e Serviços'!$A:$F,6,0)</f>
        <v>19.39</v>
      </c>
      <c r="H425" s="115">
        <f t="shared" ref="H425:H433" si="58">TRUNC(F425*G425,2)</f>
        <v>37.24</v>
      </c>
    </row>
    <row r="426" spans="1:8" x14ac:dyDescent="0.2">
      <c r="A426" s="114" t="str">
        <f>VLOOKUP(B426,'Insumos e Serviços'!$A:$F,3,0)</f>
        <v>Composição</v>
      </c>
      <c r="B426" s="109" t="s">
        <v>597</v>
      </c>
      <c r="C426" s="113" t="str">
        <f>VLOOKUP(B426,'Insumos e Serviços'!$A:$F,2,0)</f>
        <v>SINAPI</v>
      </c>
      <c r="D426" s="114" t="str">
        <f>VLOOKUP(B426,'Insumos e Serviços'!$A:$F,4,0)</f>
        <v>SERVENTE COM ENCARGOS COMPLEMENTARES</v>
      </c>
      <c r="E426" s="113" t="str">
        <f>VLOOKUP(B426,'Insumos e Serviços'!$A:$F,5,0)</f>
        <v>H</v>
      </c>
      <c r="F426" s="189">
        <v>0.98109999999999997</v>
      </c>
      <c r="G426" s="115">
        <f>VLOOKUP(B426,'Insumos e Serviços'!$A:$F,6,0)</f>
        <v>17.170000000000002</v>
      </c>
      <c r="H426" s="115">
        <f t="shared" si="58"/>
        <v>16.84</v>
      </c>
    </row>
    <row r="427" spans="1:8" x14ac:dyDescent="0.2">
      <c r="A427" s="114" t="str">
        <f>VLOOKUP(B427,'Insumos e Serviços'!$A:$F,3,0)</f>
        <v>Composição</v>
      </c>
      <c r="B427" s="109" t="s">
        <v>847</v>
      </c>
      <c r="C427" s="113" t="str">
        <f>VLOOKUP(B427,'Insumos e Serviços'!$A:$F,2,0)</f>
        <v>SINAPI</v>
      </c>
      <c r="D427" s="114" t="str">
        <f>VLOOKUP(B427,'Insumos e Serviços'!$A:$F,4,0)</f>
        <v>IMPERMEABILIZADOR COM ENCARGOS COMPLEMENTARES</v>
      </c>
      <c r="E427" s="113" t="str">
        <f>VLOOKUP(B427,'Insumos e Serviços'!$A:$F,5,0)</f>
        <v>H</v>
      </c>
      <c r="F427" s="189">
        <v>9.11E-2</v>
      </c>
      <c r="G427" s="115">
        <f>VLOOKUP(B427,'Insumos e Serviços'!$A:$F,6,0)</f>
        <v>23.25</v>
      </c>
      <c r="H427" s="115">
        <f t="shared" si="58"/>
        <v>2.11</v>
      </c>
    </row>
    <row r="428" spans="1:8" ht="22.5" x14ac:dyDescent="0.2">
      <c r="A428" s="114" t="str">
        <f>VLOOKUP(B428,'Insumos e Serviços'!$A:$F,3,0)</f>
        <v>Insumo</v>
      </c>
      <c r="B428" s="109" t="s">
        <v>853</v>
      </c>
      <c r="C428" s="113" t="str">
        <f>VLOOKUP(B428,'Insumos e Serviços'!$A:$F,2,0)</f>
        <v>SINAPI</v>
      </c>
      <c r="D428" s="114" t="str">
        <f>VLOOKUP(B428,'Insumos e Serviços'!$A:$F,4,0)</f>
        <v>BUCHA DE NYLON SEM ABA S10, COM PARAFUSO DE 6,10 X 65 MM EM ACO ZINCADO COM ROSCA SOBERBA, CABECA CHATA E FENDA PHILLIPS</v>
      </c>
      <c r="E428" s="113" t="str">
        <f>VLOOKUP(B428,'Insumos e Serviços'!$A:$F,5,0)</f>
        <v>UN</v>
      </c>
      <c r="F428" s="189">
        <v>60</v>
      </c>
      <c r="G428" s="115">
        <f>VLOOKUP(B428,'Insumos e Serviços'!$A:$F,6,0)</f>
        <v>0.79</v>
      </c>
      <c r="H428" s="115">
        <f t="shared" si="58"/>
        <v>47.4</v>
      </c>
    </row>
    <row r="429" spans="1:8" x14ac:dyDescent="0.2">
      <c r="A429" s="114" t="str">
        <f>VLOOKUP(B429,'Insumos e Serviços'!$A:$F,3,0)</f>
        <v>Insumo</v>
      </c>
      <c r="B429" s="109" t="s">
        <v>868</v>
      </c>
      <c r="C429" s="113" t="str">
        <f>VLOOKUP(B429,'Insumos e Serviços'!$A:$F,2,0)</f>
        <v>SINAPI</v>
      </c>
      <c r="D429" s="114" t="str">
        <f>VLOOKUP(B429,'Insumos e Serviços'!$A:$F,4,0)</f>
        <v>REJUNTE EPOXI, QUALQUER COR</v>
      </c>
      <c r="E429" s="113" t="str">
        <f>VLOOKUP(B429,'Insumos e Serviços'!$A:$F,5,0)</f>
        <v>KG</v>
      </c>
      <c r="F429" s="189">
        <v>4.2799999999999998E-2</v>
      </c>
      <c r="G429" s="115">
        <f>VLOOKUP(B429,'Insumos e Serviços'!$A:$F,6,0)</f>
        <v>55.65</v>
      </c>
      <c r="H429" s="115">
        <f t="shared" si="58"/>
        <v>2.38</v>
      </c>
    </row>
    <row r="430" spans="1:8" ht="22.5" x14ac:dyDescent="0.2">
      <c r="A430" s="114" t="str">
        <f>VLOOKUP(B430,'Insumos e Serviços'!$A:$F,3,0)</f>
        <v>Insumo</v>
      </c>
      <c r="B430" s="109" t="s">
        <v>938</v>
      </c>
      <c r="C430" s="113" t="str">
        <f>VLOOKUP(B430,'Insumos e Serviços'!$A:$F,2,0)</f>
        <v>SINAPI</v>
      </c>
      <c r="D430" s="114" t="str">
        <f>VLOOKUP(B430,'Insumos e Serviços'!$A:$F,4,0)</f>
        <v>SUPORTE MAO-FRANCESA EM ACO, ABAS IGUAIS 30 CM, CAPACIDADE MINIMA 60 KG, BRANCO</v>
      </c>
      <c r="E430" s="113" t="str">
        <f>VLOOKUP(B430,'Insumos e Serviços'!$A:$F,5,0)</f>
        <v>UN</v>
      </c>
      <c r="F430" s="189">
        <v>10</v>
      </c>
      <c r="G430" s="115">
        <f>VLOOKUP(B430,'Insumos e Serviços'!$A:$F,6,0)</f>
        <v>18.18</v>
      </c>
      <c r="H430" s="115">
        <f t="shared" si="58"/>
        <v>181.8</v>
      </c>
    </row>
    <row r="431" spans="1:8" x14ac:dyDescent="0.2">
      <c r="A431" s="114" t="str">
        <f>VLOOKUP(B431,'Insumos e Serviços'!$A:$F,3,0)</f>
        <v>Insumo</v>
      </c>
      <c r="B431" s="109" t="s">
        <v>940</v>
      </c>
      <c r="C431" s="113" t="str">
        <f>VLOOKUP(B431,'Insumos e Serviços'!$A:$F,2,0)</f>
        <v>Próprio</v>
      </c>
      <c r="D431" s="114" t="str">
        <f>VLOOKUP(B431,'Insumos e Serviços'!$A:$F,4,0)</f>
        <v>Solução hidrofugante à base de silano-siloxano Nitoprimer 40, fab. Anchortec Quartzolit</v>
      </c>
      <c r="E431" s="113" t="str">
        <f>VLOOKUP(B431,'Insumos e Serviços'!$A:$F,5,0)</f>
        <v>l</v>
      </c>
      <c r="F431" s="189">
        <v>0.4556</v>
      </c>
      <c r="G431" s="115" t="str">
        <f>VLOOKUP(B431,'Insumos e Serviços'!$A:$F,6,0)</f>
        <v xml:space="preserve"> 34,61</v>
      </c>
      <c r="H431" s="115">
        <f t="shared" si="58"/>
        <v>15.76</v>
      </c>
    </row>
    <row r="432" spans="1:8" x14ac:dyDescent="0.2">
      <c r="A432" s="114" t="str">
        <f>VLOOKUP(B432,'Insumos e Serviços'!$A:$F,3,0)</f>
        <v>Material</v>
      </c>
      <c r="B432" s="109" t="s">
        <v>934</v>
      </c>
      <c r="C432" s="113" t="str">
        <f>VLOOKUP(B432,'Insumos e Serviços'!$A:$F,2,0)</f>
        <v>SINAPI</v>
      </c>
      <c r="D432" s="114" t="str">
        <f>VLOOKUP(B432,'Insumos e Serviços'!$A:$F,4,0)</f>
        <v>MASSA PLASTICA PARA MARMORE/GRANITO</v>
      </c>
      <c r="E432" s="113" t="str">
        <f>VLOOKUP(B432,'Insumos e Serviços'!$A:$F,5,0)</f>
        <v>KG</v>
      </c>
      <c r="F432" s="189">
        <v>0.64070000000000005</v>
      </c>
      <c r="G432" s="115" t="str">
        <f>VLOOKUP(B432,'Insumos e Serviços'!$A:$F,6,0)</f>
        <v xml:space="preserve"> 28,09</v>
      </c>
      <c r="H432" s="115">
        <f t="shared" si="58"/>
        <v>17.989999999999998</v>
      </c>
    </row>
    <row r="433" spans="1:8" ht="22.5" x14ac:dyDescent="0.2">
      <c r="A433" s="114" t="str">
        <f>VLOOKUP(B433,'Insumos e Serviços'!$A:$F,3,0)</f>
        <v>Insumo</v>
      </c>
      <c r="B433" s="109" t="s">
        <v>936</v>
      </c>
      <c r="C433" s="113" t="str">
        <f>VLOOKUP(B433,'Insumos e Serviços'!$A:$F,2,0)</f>
        <v>SINAPI</v>
      </c>
      <c r="D433" s="114" t="str">
        <f>VLOOKUP(B433,'Insumos e Serviços'!$A:$F,4,0)</f>
        <v>GRANITO PARA BANCADA, POLIDO, TIPO ANDORINHA/ QUARTZ/ CASTELO/ CORUMBA OU OUTROS EQUIVALENTES DA REGIAO, E=  *2,5* CM</v>
      </c>
      <c r="E433" s="113" t="str">
        <f>VLOOKUP(B433,'Insumos e Serviços'!$A:$F,5,0)</f>
        <v>m²</v>
      </c>
      <c r="F433" s="189">
        <v>1.05</v>
      </c>
      <c r="G433" s="115">
        <f>VLOOKUP(B433,'Insumos e Serviços'!$A:$F,6,0)</f>
        <v>597.73</v>
      </c>
      <c r="H433" s="115">
        <f t="shared" si="58"/>
        <v>627.61</v>
      </c>
    </row>
    <row r="434" spans="1:8" x14ac:dyDescent="0.2">
      <c r="A434" s="205"/>
      <c r="B434" s="205"/>
      <c r="C434" s="205"/>
      <c r="D434" s="206"/>
      <c r="E434" s="207"/>
      <c r="F434" s="208"/>
      <c r="G434" s="205"/>
      <c r="H434" s="205"/>
    </row>
    <row r="435" spans="1:8" ht="22.5" x14ac:dyDescent="0.2">
      <c r="A435" s="204" t="s">
        <v>315</v>
      </c>
      <c r="B435" s="54" t="str">
        <f>VLOOKUP(A435,'Orçamento Sintético'!$A:$H,2,0)</f>
        <v xml:space="preserve"> MPDFT0909 </v>
      </c>
      <c r="C435" s="54" t="str">
        <f>VLOOKUP(A435,'Orçamento Sintético'!$A:$H,3,0)</f>
        <v>Próprio</v>
      </c>
      <c r="D435" s="55" t="str">
        <f>VLOOKUP(A435,'Orçamento Sintético'!$A:$H,4,0)</f>
        <v>Copia da SINAPI (86889) -  Bancada para copa/ refeitório em granito Preto São Gabriel, largura 0,55m, com saia e rodabanca, inclusive mão francesa</v>
      </c>
      <c r="E435" s="54" t="str">
        <f>VLOOKUP(A435,'Orçamento Sintético'!$A:$H,5,0)</f>
        <v>m</v>
      </c>
      <c r="F435" s="183"/>
      <c r="G435" s="184"/>
      <c r="H435" s="185">
        <f>SUM(H436:H443)</f>
        <v>563.75000000000011</v>
      </c>
    </row>
    <row r="436" spans="1:8" x14ac:dyDescent="0.2">
      <c r="A436" s="114" t="str">
        <f>VLOOKUP(B436,'Insumos e Serviços'!$A:$F,3,0)</f>
        <v>Composição</v>
      </c>
      <c r="B436" s="109" t="s">
        <v>851</v>
      </c>
      <c r="C436" s="113" t="str">
        <f>VLOOKUP(B436,'Insumos e Serviços'!$A:$F,2,0)</f>
        <v>SINAPI</v>
      </c>
      <c r="D436" s="114" t="str">
        <f>VLOOKUP(B436,'Insumos e Serviços'!$A:$F,4,0)</f>
        <v>MARMORISTA/GRANITEIRO COM ENCARGOS COMPLEMENTARES</v>
      </c>
      <c r="E436" s="113" t="str">
        <f>VLOOKUP(B436,'Insumos e Serviços'!$A:$F,5,0)</f>
        <v>H</v>
      </c>
      <c r="F436" s="189">
        <v>1.0909120000000001</v>
      </c>
      <c r="G436" s="115">
        <f>VLOOKUP(B436,'Insumos e Serviços'!$A:$F,6,0)</f>
        <v>19.39</v>
      </c>
      <c r="H436" s="115">
        <f t="shared" ref="H436:H443" si="59">TRUNC(F436*G436,2)</f>
        <v>21.15</v>
      </c>
    </row>
    <row r="437" spans="1:8" x14ac:dyDescent="0.2">
      <c r="A437" s="114" t="str">
        <f>VLOOKUP(B437,'Insumos e Serviços'!$A:$F,3,0)</f>
        <v>Composição</v>
      </c>
      <c r="B437" s="109" t="s">
        <v>597</v>
      </c>
      <c r="C437" s="113" t="str">
        <f>VLOOKUP(B437,'Insumos e Serviços'!$A:$F,2,0)</f>
        <v>SINAPI</v>
      </c>
      <c r="D437" s="114" t="str">
        <f>VLOOKUP(B437,'Insumos e Serviços'!$A:$F,4,0)</f>
        <v>SERVENTE COM ENCARGOS COMPLEMENTARES</v>
      </c>
      <c r="E437" s="113" t="str">
        <f>VLOOKUP(B437,'Insumos e Serviços'!$A:$F,5,0)</f>
        <v>H</v>
      </c>
      <c r="F437" s="189">
        <v>0.71788200000000002</v>
      </c>
      <c r="G437" s="115">
        <f>VLOOKUP(B437,'Insumos e Serviços'!$A:$F,6,0)</f>
        <v>17.170000000000002</v>
      </c>
      <c r="H437" s="115">
        <f t="shared" si="59"/>
        <v>12.32</v>
      </c>
    </row>
    <row r="438" spans="1:8" x14ac:dyDescent="0.2">
      <c r="A438" s="114" t="str">
        <f>VLOOKUP(B438,'Insumos e Serviços'!$A:$F,3,0)</f>
        <v>Material</v>
      </c>
      <c r="B438" s="109" t="s">
        <v>934</v>
      </c>
      <c r="C438" s="113" t="str">
        <f>VLOOKUP(B438,'Insumos e Serviços'!$A:$F,2,0)</f>
        <v>SINAPI</v>
      </c>
      <c r="D438" s="114" t="str">
        <f>VLOOKUP(B438,'Insumos e Serviços'!$A:$F,4,0)</f>
        <v>MASSA PLASTICA PARA MARMORE/GRANITO</v>
      </c>
      <c r="E438" s="113" t="str">
        <f>VLOOKUP(B438,'Insumos e Serviços'!$A:$F,5,0)</f>
        <v>KG</v>
      </c>
      <c r="F438" s="189">
        <v>0.38164399999999998</v>
      </c>
      <c r="G438" s="115" t="str">
        <f>VLOOKUP(B438,'Insumos e Serviços'!$A:$F,6,0)</f>
        <v xml:space="preserve"> 28,09</v>
      </c>
      <c r="H438" s="115">
        <f t="shared" si="59"/>
        <v>10.72</v>
      </c>
    </row>
    <row r="439" spans="1:8" ht="22.5" x14ac:dyDescent="0.2">
      <c r="A439" s="114" t="str">
        <f>VLOOKUP(B439,'Insumos e Serviços'!$A:$F,3,0)</f>
        <v>Insumo</v>
      </c>
      <c r="B439" s="109" t="s">
        <v>853</v>
      </c>
      <c r="C439" s="113" t="str">
        <f>VLOOKUP(B439,'Insumos e Serviços'!$A:$F,2,0)</f>
        <v>SINAPI</v>
      </c>
      <c r="D439" s="114" t="str">
        <f>VLOOKUP(B439,'Insumos e Serviços'!$A:$F,4,0)</f>
        <v>BUCHA DE NYLON SEM ABA S10, COM PARAFUSO DE 6,10 X 65 MM EM ACO ZINCADO COM ROSCA SOBERBA, CABECA CHATA E FENDA PHILLIPS</v>
      </c>
      <c r="E439" s="113" t="str">
        <f>VLOOKUP(B439,'Insumos e Serviços'!$A:$F,5,0)</f>
        <v>UN</v>
      </c>
      <c r="F439" s="189">
        <v>6</v>
      </c>
      <c r="G439" s="115">
        <f>VLOOKUP(B439,'Insumos e Serviços'!$A:$F,6,0)</f>
        <v>0.79</v>
      </c>
      <c r="H439" s="115">
        <f t="shared" si="59"/>
        <v>4.74</v>
      </c>
    </row>
    <row r="440" spans="1:8" ht="22.5" x14ac:dyDescent="0.2">
      <c r="A440" s="114" t="str">
        <f>VLOOKUP(B440,'Insumos e Serviços'!$A:$F,3,0)</f>
        <v>Insumo</v>
      </c>
      <c r="B440" s="109" t="s">
        <v>936</v>
      </c>
      <c r="C440" s="113" t="str">
        <f>VLOOKUP(B440,'Insumos e Serviços'!$A:$F,2,0)</f>
        <v>SINAPI</v>
      </c>
      <c r="D440" s="114" t="str">
        <f>VLOOKUP(B440,'Insumos e Serviços'!$A:$F,4,0)</f>
        <v>GRANITO PARA BANCADA, POLIDO, TIPO ANDORINHA/ QUARTZ/ CASTELO/ CORUMBA OU OUTROS EQUIVALENTES DA REGIAO, E=  *2,5* CM</v>
      </c>
      <c r="E440" s="113" t="str">
        <f>VLOOKUP(B440,'Insumos e Serviços'!$A:$F,5,0)</f>
        <v>m²</v>
      </c>
      <c r="F440" s="189">
        <v>0.76649999999999996</v>
      </c>
      <c r="G440" s="115">
        <f>VLOOKUP(B440,'Insumos e Serviços'!$A:$F,6,0)</f>
        <v>597.73</v>
      </c>
      <c r="H440" s="115">
        <f t="shared" si="59"/>
        <v>458.16</v>
      </c>
    </row>
    <row r="441" spans="1:8" x14ac:dyDescent="0.2">
      <c r="A441" s="114" t="str">
        <f>VLOOKUP(B441,'Insumos e Serviços'!$A:$F,3,0)</f>
        <v>Insumo</v>
      </c>
      <c r="B441" s="109" t="s">
        <v>868</v>
      </c>
      <c r="C441" s="113" t="str">
        <f>VLOOKUP(B441,'Insumos e Serviços'!$A:$F,2,0)</f>
        <v>SINAPI</v>
      </c>
      <c r="D441" s="114" t="str">
        <f>VLOOKUP(B441,'Insumos e Serviços'!$A:$F,4,0)</f>
        <v>REJUNTE EPOXI, QUALQUER COR</v>
      </c>
      <c r="E441" s="113" t="str">
        <f>VLOOKUP(B441,'Insumos e Serviços'!$A:$F,5,0)</f>
        <v>KG</v>
      </c>
      <c r="F441" s="189">
        <v>1.5403E-2</v>
      </c>
      <c r="G441" s="115">
        <f>VLOOKUP(B441,'Insumos e Serviços'!$A:$F,6,0)</f>
        <v>55.65</v>
      </c>
      <c r="H441" s="115">
        <f t="shared" si="59"/>
        <v>0.85</v>
      </c>
    </row>
    <row r="442" spans="1:8" ht="22.5" x14ac:dyDescent="0.2">
      <c r="A442" s="114" t="str">
        <f>VLOOKUP(B442,'Insumos e Serviços'!$A:$F,3,0)</f>
        <v>Material</v>
      </c>
      <c r="B442" s="109" t="s">
        <v>973</v>
      </c>
      <c r="C442" s="113" t="str">
        <f>VLOOKUP(B442,'Insumos e Serviços'!$A:$F,2,0)</f>
        <v>SINAPI</v>
      </c>
      <c r="D442" s="114" t="str">
        <f>VLOOKUP(B442,'Insumos e Serviços'!$A:$F,4,0)</f>
        <v>SUPORTE MAO-FRANCESA EM ACO, ABAS IGUAIS 40 CM, CAPACIDADE MINIMA 70 KG, BRANCO</v>
      </c>
      <c r="E442" s="113" t="str">
        <f>VLOOKUP(B442,'Insumos e Serviços'!$A:$F,5,0)</f>
        <v>UN</v>
      </c>
      <c r="F442" s="189">
        <v>2</v>
      </c>
      <c r="G442" s="115" t="str">
        <f>VLOOKUP(B442,'Insumos e Serviços'!$A:$F,6,0)</f>
        <v xml:space="preserve"> 21,85</v>
      </c>
      <c r="H442" s="115">
        <f t="shared" si="59"/>
        <v>43.7</v>
      </c>
    </row>
    <row r="443" spans="1:8" x14ac:dyDescent="0.2">
      <c r="A443" s="114" t="str">
        <f>VLOOKUP(B443,'Insumos e Serviços'!$A:$F,3,0)</f>
        <v>Insumo</v>
      </c>
      <c r="B443" s="109" t="s">
        <v>940</v>
      </c>
      <c r="C443" s="113" t="str">
        <f>VLOOKUP(B443,'Insumos e Serviços'!$A:$F,2,0)</f>
        <v>Próprio</v>
      </c>
      <c r="D443" s="114" t="str">
        <f>VLOOKUP(B443,'Insumos e Serviços'!$A:$F,4,0)</f>
        <v>Solução hidrofugante à base de silano-siloxano Nitoprimer 40, fab. Anchortec Quartzolit</v>
      </c>
      <c r="E443" s="113" t="str">
        <f>VLOOKUP(B443,'Insumos e Serviços'!$A:$F,5,0)</f>
        <v>l</v>
      </c>
      <c r="F443" s="189">
        <v>0.35</v>
      </c>
      <c r="G443" s="115" t="str">
        <f>VLOOKUP(B443,'Insumos e Serviços'!$A:$F,6,0)</f>
        <v xml:space="preserve"> 34,61</v>
      </c>
      <c r="H443" s="115">
        <f t="shared" si="59"/>
        <v>12.11</v>
      </c>
    </row>
    <row r="444" spans="1:8" x14ac:dyDescent="0.2">
      <c r="A444" s="205"/>
      <c r="B444" s="205"/>
      <c r="C444" s="205"/>
      <c r="D444" s="206"/>
      <c r="E444" s="207"/>
      <c r="F444" s="208"/>
      <c r="G444" s="205"/>
      <c r="H444" s="205"/>
    </row>
    <row r="445" spans="1:8" x14ac:dyDescent="0.2">
      <c r="A445" s="194" t="s">
        <v>318</v>
      </c>
      <c r="B445" s="194"/>
      <c r="C445" s="194"/>
      <c r="D445" s="195" t="s">
        <v>319</v>
      </c>
      <c r="E445" s="196"/>
      <c r="F445" s="197"/>
      <c r="G445" s="194"/>
      <c r="H445" s="198"/>
    </row>
    <row r="446" spans="1:8" x14ac:dyDescent="0.2">
      <c r="A446" s="199" t="s">
        <v>320</v>
      </c>
      <c r="B446" s="199"/>
      <c r="C446" s="199"/>
      <c r="D446" s="200" t="s">
        <v>321</v>
      </c>
      <c r="E446" s="201"/>
      <c r="F446" s="202"/>
      <c r="G446" s="199"/>
      <c r="H446" s="203"/>
    </row>
    <row r="447" spans="1:8" x14ac:dyDescent="0.2">
      <c r="A447" s="209" t="s">
        <v>322</v>
      </c>
      <c r="B447" s="209"/>
      <c r="C447" s="209"/>
      <c r="D447" s="210" t="s">
        <v>323</v>
      </c>
      <c r="E447" s="211"/>
      <c r="F447" s="212"/>
      <c r="G447" s="209"/>
      <c r="H447" s="213"/>
    </row>
    <row r="448" spans="1:8" ht="22.5" x14ac:dyDescent="0.2">
      <c r="A448" s="204" t="s">
        <v>330</v>
      </c>
      <c r="B448" s="54" t="str">
        <f>VLOOKUP(A448,'Orçamento Sintético'!$A:$H,2,0)</f>
        <v xml:space="preserve"> MPDFT0924 </v>
      </c>
      <c r="C448" s="54" t="str">
        <f>VLOOKUP(A448,'Orçamento Sintético'!$A:$H,3,0)</f>
        <v>Próprio</v>
      </c>
      <c r="D448" s="55" t="str">
        <f>VLOOKUP(A448,'Orçamento Sintético'!$A:$H,4,0)</f>
        <v>Copia da SINAPI (91788) - (Composição representativa) do serviço de instalação de tubos de PVC, soldável, água fria, DO 75 mm, inclusive conexões, cortes e fixações</v>
      </c>
      <c r="E448" s="54" t="str">
        <f>VLOOKUP(A448,'Orçamento Sintético'!$A:$H,5,0)</f>
        <v>M</v>
      </c>
      <c r="F448" s="183"/>
      <c r="G448" s="184"/>
      <c r="H448" s="185">
        <f>SUM(H449:H458)</f>
        <v>118.95999999999998</v>
      </c>
    </row>
    <row r="449" spans="1:8" ht="22.5" x14ac:dyDescent="0.2">
      <c r="A449" s="114" t="str">
        <f>VLOOKUP(B449,'Insumos e Serviços'!$A:$F,3,0)</f>
        <v>Composição</v>
      </c>
      <c r="B449" s="109" t="s">
        <v>975</v>
      </c>
      <c r="C449" s="113" t="str">
        <f>VLOOKUP(B449,'Insumos e Serviços'!$A:$F,2,0)</f>
        <v>SINAPI</v>
      </c>
      <c r="D449" s="114" t="str">
        <f>VLOOKUP(B449,'Insumos e Serviços'!$A:$F,4,0)</f>
        <v>FURO EM ALVENARIA PARA DIÂMETROS MAIORES QUE 40 MM E MENORES OU IGUAIS A 75 MM. AF_05/2015</v>
      </c>
      <c r="E449" s="113" t="str">
        <f>VLOOKUP(B449,'Insumos e Serviços'!$A:$F,5,0)</f>
        <v>UN</v>
      </c>
      <c r="F449" s="189">
        <v>4.1799999999999997E-2</v>
      </c>
      <c r="G449" s="115">
        <f>VLOOKUP(B449,'Insumos e Serviços'!$A:$F,6,0)</f>
        <v>30.63</v>
      </c>
      <c r="H449" s="115">
        <f t="shared" ref="H449:H458" si="60">TRUNC(F449*G449,2)</f>
        <v>1.28</v>
      </c>
    </row>
    <row r="450" spans="1:8" ht="22.5" x14ac:dyDescent="0.2">
      <c r="A450" s="114" t="str">
        <f>VLOOKUP(B450,'Insumos e Serviços'!$A:$F,3,0)</f>
        <v>Composição</v>
      </c>
      <c r="B450" s="109" t="s">
        <v>977</v>
      </c>
      <c r="C450" s="113" t="str">
        <f>VLOOKUP(B450,'Insumos e Serviços'!$A:$F,2,0)</f>
        <v>SINAPI</v>
      </c>
      <c r="D450" s="114" t="str">
        <f>VLOOKUP(B450,'Insumos e Serviços'!$A:$F,4,0)</f>
        <v>PASSANTE TIPO TUBO DE DIÂMETRO MAIORES QUE 40 MM E MENORES OU IGUAIS A 75 MM, FIXADO EM LAJE. AF_05/2015</v>
      </c>
      <c r="E450" s="113" t="str">
        <f>VLOOKUP(B450,'Insumos e Serviços'!$A:$F,5,0)</f>
        <v>UN</v>
      </c>
      <c r="F450" s="189">
        <v>0.1023</v>
      </c>
      <c r="G450" s="115">
        <f>VLOOKUP(B450,'Insumos e Serviços'!$A:$F,6,0)</f>
        <v>4.51</v>
      </c>
      <c r="H450" s="115">
        <f t="shared" si="60"/>
        <v>0.46</v>
      </c>
    </row>
    <row r="451" spans="1:8" ht="33.75" x14ac:dyDescent="0.2">
      <c r="A451" s="114" t="str">
        <f>VLOOKUP(B451,'Insumos e Serviços'!$A:$F,3,0)</f>
        <v>Composição</v>
      </c>
      <c r="B451" s="109" t="s">
        <v>623</v>
      </c>
      <c r="C451" s="113" t="str">
        <f>VLOOKUP(B451,'Insumos e Serviços'!$A:$F,2,0)</f>
        <v>SINAPI</v>
      </c>
      <c r="D451" s="114" t="str">
        <f>VLOOKUP(B451,'Insumos e Serviços'!$A:$F,4,0)</f>
        <v>FIXAÇÃO DE TUBOS HORIZONTAIS DE PVC, CPVC OU COBRE DIÂMETROS MAIORES QUE 40 MM E MENORES OU IGUAIS A 75 MM COM ABRAÇADEIRA METÁLICA FLEXÍVEL 18 MM, FIXADA DIRETAMENTE NA LAJE. AF_05/2015</v>
      </c>
      <c r="E451" s="113" t="str">
        <f>VLOOKUP(B451,'Insumos e Serviços'!$A:$F,5,0)</f>
        <v>M</v>
      </c>
      <c r="F451" s="189">
        <v>0.44569999999999999</v>
      </c>
      <c r="G451" s="115">
        <f>VLOOKUP(B451,'Insumos e Serviços'!$A:$F,6,0)</f>
        <v>4.9400000000000004</v>
      </c>
      <c r="H451" s="115">
        <f t="shared" si="60"/>
        <v>2.2000000000000002</v>
      </c>
    </row>
    <row r="452" spans="1:8" ht="22.5" x14ac:dyDescent="0.2">
      <c r="A452" s="114" t="str">
        <f>VLOOKUP(B452,'Insumos e Serviços'!$A:$F,3,0)</f>
        <v>Composição</v>
      </c>
      <c r="B452" s="109" t="s">
        <v>979</v>
      </c>
      <c r="C452" s="113" t="str">
        <f>VLOOKUP(B452,'Insumos e Serviços'!$A:$F,2,0)</f>
        <v>SINAPI</v>
      </c>
      <c r="D452" s="114" t="str">
        <f>VLOOKUP(B452,'Insumos e Serviços'!$A:$F,4,0)</f>
        <v>CHUMBAMENTO PONTUAL EM PASSAGEM DE TUBO COM DIÂMETROS ENTRE 40 MM E 75 MM. AF_05/2015</v>
      </c>
      <c r="E452" s="113" t="str">
        <f>VLOOKUP(B452,'Insumos e Serviços'!$A:$F,5,0)</f>
        <v>UN</v>
      </c>
      <c r="F452" s="189">
        <v>4.1799999999999997E-2</v>
      </c>
      <c r="G452" s="115">
        <f>VLOOKUP(B452,'Insumos e Serviços'!$A:$F,6,0)</f>
        <v>4.66</v>
      </c>
      <c r="H452" s="115">
        <f t="shared" si="60"/>
        <v>0.19</v>
      </c>
    </row>
    <row r="453" spans="1:8" ht="22.5" x14ac:dyDescent="0.2">
      <c r="A453" s="114" t="str">
        <f>VLOOKUP(B453,'Insumos e Serviços'!$A:$F,3,0)</f>
        <v>Composição</v>
      </c>
      <c r="B453" s="109" t="s">
        <v>981</v>
      </c>
      <c r="C453" s="113" t="str">
        <f>VLOOKUP(B453,'Insumos e Serviços'!$A:$F,2,0)</f>
        <v>SINAPI</v>
      </c>
      <c r="D453" s="114" t="str">
        <f>VLOOKUP(B453,'Insumos e Serviços'!$A:$F,4,0)</f>
        <v>TUBO, PVC, SOLDÁVEL, DN 75MM, INSTALADO EM PRUMADA DE ÁGUA - FORNECIMENTO E INSTALAÇÃO. AF_12/2014</v>
      </c>
      <c r="E453" s="113" t="str">
        <f>VLOOKUP(B453,'Insumos e Serviços'!$A:$F,5,0)</f>
        <v>M</v>
      </c>
      <c r="F453" s="189">
        <v>1</v>
      </c>
      <c r="G453" s="115">
        <f>VLOOKUP(B453,'Insumos e Serviços'!$A:$F,6,0)</f>
        <v>47.18</v>
      </c>
      <c r="H453" s="115">
        <f t="shared" si="60"/>
        <v>47.18</v>
      </c>
    </row>
    <row r="454" spans="1:8" ht="22.5" x14ac:dyDescent="0.2">
      <c r="A454" s="114" t="str">
        <f>VLOOKUP(B454,'Insumos e Serviços'!$A:$F,3,0)</f>
        <v>Composição</v>
      </c>
      <c r="B454" s="109" t="s">
        <v>364</v>
      </c>
      <c r="C454" s="113" t="str">
        <f>VLOOKUP(B454,'Insumos e Serviços'!$A:$F,2,0)</f>
        <v>SINAPI</v>
      </c>
      <c r="D454" s="114" t="str">
        <f>VLOOKUP(B454,'Insumos e Serviços'!$A:$F,4,0)</f>
        <v>JOELHO 45 GRAUS, PVC, SOLDÁVEL, DN 75MM, INSTALADO EM PRUMADA DE ÁGUA - FORNECIMENTO E INSTALAÇÃO. AF_12/2014</v>
      </c>
      <c r="E454" s="113" t="str">
        <f>VLOOKUP(B454,'Insumos e Serviços'!$A:$F,5,0)</f>
        <v>UN</v>
      </c>
      <c r="F454" s="189">
        <v>0.1948</v>
      </c>
      <c r="G454" s="115">
        <f>VLOOKUP(B454,'Insumos e Serviços'!$A:$F,6,0)</f>
        <v>84.81</v>
      </c>
      <c r="H454" s="115">
        <f t="shared" si="60"/>
        <v>16.52</v>
      </c>
    </row>
    <row r="455" spans="1:8" ht="22.5" x14ac:dyDescent="0.2">
      <c r="A455" s="114" t="str">
        <f>VLOOKUP(B455,'Insumos e Serviços'!$A:$F,3,0)</f>
        <v>Composição</v>
      </c>
      <c r="B455" s="109" t="s">
        <v>983</v>
      </c>
      <c r="C455" s="113" t="str">
        <f>VLOOKUP(B455,'Insumos e Serviços'!$A:$F,2,0)</f>
        <v>SINAPI</v>
      </c>
      <c r="D455" s="114" t="str">
        <f>VLOOKUP(B455,'Insumos e Serviços'!$A:$F,4,0)</f>
        <v>LUVA, PVC, SOLDÁVEL, DN 75MM, INSTALADO EM PRUMADA DE ÁGUA - FORNECIMENTO E INSTALAÇÃO. AF_12/2014</v>
      </c>
      <c r="E455" s="113" t="str">
        <f>VLOOKUP(B455,'Insumos e Serviços'!$A:$F,5,0)</f>
        <v>UN</v>
      </c>
      <c r="F455" s="189">
        <v>0.21460000000000001</v>
      </c>
      <c r="G455" s="115">
        <f>VLOOKUP(B455,'Insumos e Serviços'!$A:$F,6,0)</f>
        <v>33.74</v>
      </c>
      <c r="H455" s="115">
        <f t="shared" si="60"/>
        <v>7.24</v>
      </c>
    </row>
    <row r="456" spans="1:8" ht="22.5" x14ac:dyDescent="0.2">
      <c r="A456" s="114" t="str">
        <f>VLOOKUP(B456,'Insumos e Serviços'!$A:$F,3,0)</f>
        <v>Composição</v>
      </c>
      <c r="B456" s="109" t="s">
        <v>985</v>
      </c>
      <c r="C456" s="113" t="str">
        <f>VLOOKUP(B456,'Insumos e Serviços'!$A:$F,2,0)</f>
        <v>SINAPI</v>
      </c>
      <c r="D456" s="114" t="str">
        <f>VLOOKUP(B456,'Insumos e Serviços'!$A:$F,4,0)</f>
        <v>UNIÃO, PVC, SOLDÁVEL, DN 75MM, INSTALADO EM PRUMADA DE ÁGUA - FORNECIMENTO E INSTALAÇÃO. AF_12/2014</v>
      </c>
      <c r="E456" s="113" t="str">
        <f>VLOOKUP(B456,'Insumos e Serviços'!$A:$F,5,0)</f>
        <v>UN</v>
      </c>
      <c r="F456" s="189">
        <v>0.22700000000000001</v>
      </c>
      <c r="G456" s="115">
        <f>VLOOKUP(B456,'Insumos e Serviços'!$A:$F,6,0)</f>
        <v>181.77</v>
      </c>
      <c r="H456" s="115">
        <f t="shared" si="60"/>
        <v>41.26</v>
      </c>
    </row>
    <row r="457" spans="1:8" ht="22.5" x14ac:dyDescent="0.2">
      <c r="A457" s="114" t="str">
        <f>VLOOKUP(B457,'Insumos e Serviços'!$A:$F,3,0)</f>
        <v>Composição</v>
      </c>
      <c r="B457" s="109" t="s">
        <v>987</v>
      </c>
      <c r="C457" s="113" t="str">
        <f>VLOOKUP(B457,'Insumos e Serviços'!$A:$F,2,0)</f>
        <v>SINAPI</v>
      </c>
      <c r="D457" s="114" t="str">
        <f>VLOOKUP(B457,'Insumos e Serviços'!$A:$F,4,0)</f>
        <v>ADAPTADOR CURTO COM BOLSA E ROSCA PARA REGISTRO, PVC, SOLDÁVEL, DN 75MM X 2.1/2, INSTALADO EM PRUMADA DE ÁGUA - FORNECIMENTO E INSTALAÇÃO. AF_12/2014</v>
      </c>
      <c r="E457" s="113" t="str">
        <f>VLOOKUP(B457,'Insumos e Serviços'!$A:$F,5,0)</f>
        <v>UN</v>
      </c>
      <c r="F457" s="189">
        <v>7.51E-2</v>
      </c>
      <c r="G457" s="115">
        <f>VLOOKUP(B457,'Insumos e Serviços'!$A:$F,6,0)</f>
        <v>30.04</v>
      </c>
      <c r="H457" s="115">
        <f t="shared" si="60"/>
        <v>2.25</v>
      </c>
    </row>
    <row r="458" spans="1:8" ht="22.5" x14ac:dyDescent="0.2">
      <c r="A458" s="114" t="str">
        <f>VLOOKUP(B458,'Insumos e Serviços'!$A:$F,3,0)</f>
        <v>Composição</v>
      </c>
      <c r="B458" s="109" t="s">
        <v>349</v>
      </c>
      <c r="C458" s="113" t="str">
        <f>VLOOKUP(B458,'Insumos e Serviços'!$A:$F,2,0)</f>
        <v>SINAPI</v>
      </c>
      <c r="D458" s="114" t="str">
        <f>VLOOKUP(B458,'Insumos e Serviços'!$A:$F,4,0)</f>
        <v>TE, PVC, SOLDÁVEL, DN 75MM, INSTALADO EM PRUMADA DE ÁGUA - FORNECIMENTO E INSTALAÇÃO. AF_12/2014</v>
      </c>
      <c r="E458" s="113" t="str">
        <f>VLOOKUP(B458,'Insumos e Serviços'!$A:$F,5,0)</f>
        <v>UN</v>
      </c>
      <c r="F458" s="189">
        <v>4.5999999999999999E-3</v>
      </c>
      <c r="G458" s="115">
        <f>VLOOKUP(B458,'Insumos e Serviços'!$A:$F,6,0)</f>
        <v>84.39</v>
      </c>
      <c r="H458" s="115">
        <f t="shared" si="60"/>
        <v>0.38</v>
      </c>
    </row>
    <row r="459" spans="1:8" x14ac:dyDescent="0.2">
      <c r="A459" s="205"/>
      <c r="B459" s="205"/>
      <c r="C459" s="205"/>
      <c r="D459" s="206"/>
      <c r="E459" s="207"/>
      <c r="F459" s="208"/>
      <c r="G459" s="205"/>
      <c r="H459" s="205"/>
    </row>
    <row r="460" spans="1:8" ht="33.75" x14ac:dyDescent="0.2">
      <c r="A460" s="204" t="s">
        <v>333</v>
      </c>
      <c r="B460" s="54" t="str">
        <f>VLOOKUP(A460,'Orçamento Sintético'!$A:$H,2,0)</f>
        <v xml:space="preserve"> MPDFT0513 </v>
      </c>
      <c r="C460" s="54" t="str">
        <f>VLOOKUP(A460,'Orçamento Sintético'!$A:$H,3,0)</f>
        <v>Próprio</v>
      </c>
      <c r="D460" s="55" t="str">
        <f>VLOOKUP(A460,'Orçamento Sintético'!$A:$H,4,0)</f>
        <v>Cópia da Sinapi (91794) - (Composição representativa) do serviço de instalação de tubos de PVC, soldável, água fria, DN 60mm (instalado em prumada), inclusive conexões, cortes e fixações, para prédios.</v>
      </c>
      <c r="E460" s="54" t="str">
        <f>VLOOKUP(A460,'Orçamento Sintético'!$A:$H,5,0)</f>
        <v>m</v>
      </c>
      <c r="F460" s="183"/>
      <c r="G460" s="184"/>
      <c r="H460" s="185">
        <f>SUM(H461:H471)</f>
        <v>77.769999999999982</v>
      </c>
    </row>
    <row r="461" spans="1:8" ht="22.5" x14ac:dyDescent="0.2">
      <c r="A461" s="114" t="str">
        <f>VLOOKUP(B461,'Insumos e Serviços'!$A:$F,3,0)</f>
        <v>Composição</v>
      </c>
      <c r="B461" s="109" t="s">
        <v>989</v>
      </c>
      <c r="C461" s="113" t="str">
        <f>VLOOKUP(B461,'Insumos e Serviços'!$A:$F,2,0)</f>
        <v>SINAPI</v>
      </c>
      <c r="D461" s="114" t="str">
        <f>VLOOKUP(B461,'Insumos e Serviços'!$A:$F,4,0)</f>
        <v>TUBO, PVC, SOLDÁVEL, DN 60MM, INSTALADO EM PRUMADA DE ÁGUA - FORNECIMENTO E INSTALAÇÃO. AF_12/2014</v>
      </c>
      <c r="E461" s="113" t="str">
        <f>VLOOKUP(B461,'Insumos e Serviços'!$A:$F,5,0)</f>
        <v>M</v>
      </c>
      <c r="F461" s="189">
        <v>1</v>
      </c>
      <c r="G461" s="115">
        <f>VLOOKUP(B461,'Insumos e Serviços'!$A:$F,6,0)</f>
        <v>28.54</v>
      </c>
      <c r="H461" s="115">
        <f t="shared" ref="H461:H471" si="61">TRUNC(F461*G461,2)</f>
        <v>28.54</v>
      </c>
    </row>
    <row r="462" spans="1:8" ht="22.5" x14ac:dyDescent="0.2">
      <c r="A462" s="114" t="str">
        <f>VLOOKUP(B462,'Insumos e Serviços'!$A:$F,3,0)</f>
        <v>Composição</v>
      </c>
      <c r="B462" s="109" t="s">
        <v>991</v>
      </c>
      <c r="C462" s="113" t="str">
        <f>VLOOKUP(B462,'Insumos e Serviços'!$A:$F,2,0)</f>
        <v>SINAPI</v>
      </c>
      <c r="D462" s="114" t="str">
        <f>VLOOKUP(B462,'Insumos e Serviços'!$A:$F,4,0)</f>
        <v>JOELHO 90 GRAUS, PVC, SOLDÁVEL, DN 60MM, INSTALADO EM PRUMADA DE ÁGUA - FORNECIMENTO E INSTALAÇÃO. AF_12/2014</v>
      </c>
      <c r="E462" s="113" t="str">
        <f>VLOOKUP(B462,'Insumos e Serviços'!$A:$F,5,0)</f>
        <v>UN</v>
      </c>
      <c r="F462" s="189">
        <v>0.28510000000000002</v>
      </c>
      <c r="G462" s="115">
        <f>VLOOKUP(B462,'Insumos e Serviços'!$A:$F,6,0)</f>
        <v>35.76</v>
      </c>
      <c r="H462" s="115">
        <f t="shared" si="61"/>
        <v>10.19</v>
      </c>
    </row>
    <row r="463" spans="1:8" ht="22.5" x14ac:dyDescent="0.2">
      <c r="A463" s="114" t="str">
        <f>VLOOKUP(B463,'Insumos e Serviços'!$A:$F,3,0)</f>
        <v>Composição</v>
      </c>
      <c r="B463" s="109" t="s">
        <v>993</v>
      </c>
      <c r="C463" s="113" t="str">
        <f>VLOOKUP(B463,'Insumos e Serviços'!$A:$F,2,0)</f>
        <v>SINAPI</v>
      </c>
      <c r="D463" s="114" t="str">
        <f>VLOOKUP(B463,'Insumos e Serviços'!$A:$F,4,0)</f>
        <v>JOELHO 45 GRAUS, PVC, SOLDÁVEL, DN 60MM, INSTALADO EM PRUMADA DE ÁGUA - FORNECIMENTO E INSTALAÇÃO. AF_12/2014</v>
      </c>
      <c r="E463" s="113" t="str">
        <f>VLOOKUP(B463,'Insumos e Serviços'!$A:$F,5,0)</f>
        <v>UN</v>
      </c>
      <c r="F463" s="189">
        <v>0.1948</v>
      </c>
      <c r="G463" s="115">
        <f>VLOOKUP(B463,'Insumos e Serviços'!$A:$F,6,0)</f>
        <v>40.369999999999997</v>
      </c>
      <c r="H463" s="115">
        <f t="shared" si="61"/>
        <v>7.86</v>
      </c>
    </row>
    <row r="464" spans="1:8" ht="22.5" x14ac:dyDescent="0.2">
      <c r="A464" s="114" t="str">
        <f>VLOOKUP(B464,'Insumos e Serviços'!$A:$F,3,0)</f>
        <v>Composição</v>
      </c>
      <c r="B464" s="109" t="s">
        <v>995</v>
      </c>
      <c r="C464" s="113" t="str">
        <f>VLOOKUP(B464,'Insumos e Serviços'!$A:$F,2,0)</f>
        <v>SINAPI</v>
      </c>
      <c r="D464" s="114" t="str">
        <f>VLOOKUP(B464,'Insumos e Serviços'!$A:$F,4,0)</f>
        <v>LUVA, PVC, SOLDÁVEL, DN 60MM, INSTALADO EM PRUMADA DE ÁGUA - FORNECIMENTO E INSTALAÇÃO. AF_12/2014</v>
      </c>
      <c r="E464" s="113" t="str">
        <f>VLOOKUP(B464,'Insumos e Serviços'!$A:$F,5,0)</f>
        <v>UN</v>
      </c>
      <c r="F464" s="189">
        <v>0.21460000000000001</v>
      </c>
      <c r="G464" s="115">
        <f>VLOOKUP(B464,'Insumos e Serviços'!$A:$F,6,0)</f>
        <v>20.52</v>
      </c>
      <c r="H464" s="115">
        <f t="shared" si="61"/>
        <v>4.4000000000000004</v>
      </c>
    </row>
    <row r="465" spans="1:8" ht="22.5" x14ac:dyDescent="0.2">
      <c r="A465" s="114" t="str">
        <f>VLOOKUP(B465,'Insumos e Serviços'!$A:$F,3,0)</f>
        <v>Composição</v>
      </c>
      <c r="B465" s="109" t="s">
        <v>997</v>
      </c>
      <c r="C465" s="113" t="str">
        <f>VLOOKUP(B465,'Insumos e Serviços'!$A:$F,2,0)</f>
        <v>SINAPI</v>
      </c>
      <c r="D465" s="114" t="str">
        <f>VLOOKUP(B465,'Insumos e Serviços'!$A:$F,4,0)</f>
        <v>UNIÃO, PVC, SOLDÁVEL, DN 60MM, INSTALADO EM PRUMADA DE ÁGUA - FORNECIMENTO E INSTALAÇÃO. AF_12/2014</v>
      </c>
      <c r="E465" s="113" t="str">
        <f>VLOOKUP(B465,'Insumos e Serviços'!$A:$F,5,0)</f>
        <v>UN</v>
      </c>
      <c r="F465" s="189">
        <v>0.22700000000000001</v>
      </c>
      <c r="G465" s="115">
        <f>VLOOKUP(B465,'Insumos e Serviços'!$A:$F,6,0)</f>
        <v>92.08</v>
      </c>
      <c r="H465" s="115">
        <f t="shared" si="61"/>
        <v>20.9</v>
      </c>
    </row>
    <row r="466" spans="1:8" ht="22.5" x14ac:dyDescent="0.2">
      <c r="A466" s="114" t="str">
        <f>VLOOKUP(B466,'Insumos e Serviços'!$A:$F,3,0)</f>
        <v>Composição</v>
      </c>
      <c r="B466" s="109" t="s">
        <v>999</v>
      </c>
      <c r="C466" s="113" t="str">
        <f>VLOOKUP(B466,'Insumos e Serviços'!$A:$F,2,0)</f>
        <v>SINAPI</v>
      </c>
      <c r="D466" s="114" t="str">
        <f>VLOOKUP(B466,'Insumos e Serviços'!$A:$F,4,0)</f>
        <v>ADAPTADOR CURTO COM BOLSA E ROSCA PARA REGISTRO, PVC, SOLDÁVEL, DN 60MM X 2, INSTALADO EM PRUMADA DE ÁGUA - FORNECIMENTO E INSTALAÇÃO. AF_12/2014</v>
      </c>
      <c r="E466" s="113" t="str">
        <f>VLOOKUP(B466,'Insumos e Serviços'!$A:$F,5,0)</f>
        <v>UN</v>
      </c>
      <c r="F466" s="189">
        <v>7.51E-2</v>
      </c>
      <c r="G466" s="115">
        <f>VLOOKUP(B466,'Insumos e Serviços'!$A:$F,6,0)</f>
        <v>20.54</v>
      </c>
      <c r="H466" s="115">
        <f t="shared" si="61"/>
        <v>1.54</v>
      </c>
    </row>
    <row r="467" spans="1:8" ht="22.5" x14ac:dyDescent="0.2">
      <c r="A467" s="114" t="str">
        <f>VLOOKUP(B467,'Insumos e Serviços'!$A:$F,3,0)</f>
        <v>Composição</v>
      </c>
      <c r="B467" s="109" t="s">
        <v>1001</v>
      </c>
      <c r="C467" s="113" t="str">
        <f>VLOOKUP(B467,'Insumos e Serviços'!$A:$F,2,0)</f>
        <v>SINAPI</v>
      </c>
      <c r="D467" s="114" t="str">
        <f>VLOOKUP(B467,'Insumos e Serviços'!$A:$F,4,0)</f>
        <v>TE, PVC, SOLDÁVEL, DN 60MM, INSTALADO EM PRUMADA DE ÁGUA - FORNECIMENTO E INSTALAÇÃO. AF_12/2014</v>
      </c>
      <c r="E467" s="113" t="str">
        <f>VLOOKUP(B467,'Insumos e Serviços'!$A:$F,5,0)</f>
        <v>UN</v>
      </c>
      <c r="F467" s="189">
        <v>4.5999999999999999E-3</v>
      </c>
      <c r="G467" s="115">
        <f>VLOOKUP(B467,'Insumos e Serviços'!$A:$F,6,0)</f>
        <v>45.68</v>
      </c>
      <c r="H467" s="115">
        <f t="shared" si="61"/>
        <v>0.21</v>
      </c>
    </row>
    <row r="468" spans="1:8" ht="22.5" x14ac:dyDescent="0.2">
      <c r="A468" s="114" t="str">
        <f>VLOOKUP(B468,'Insumos e Serviços'!$A:$F,3,0)</f>
        <v>Composição</v>
      </c>
      <c r="B468" s="109" t="s">
        <v>975</v>
      </c>
      <c r="C468" s="113" t="str">
        <f>VLOOKUP(B468,'Insumos e Serviços'!$A:$F,2,0)</f>
        <v>SINAPI</v>
      </c>
      <c r="D468" s="114" t="str">
        <f>VLOOKUP(B468,'Insumos e Serviços'!$A:$F,4,0)</f>
        <v>FURO EM ALVENARIA PARA DIÂMETROS MAIORES QUE 40 MM E MENORES OU IGUAIS A 75 MM. AF_05/2015</v>
      </c>
      <c r="E468" s="113" t="str">
        <f>VLOOKUP(B468,'Insumos e Serviços'!$A:$F,5,0)</f>
        <v>UN</v>
      </c>
      <c r="F468" s="189">
        <v>4.1799999999999997E-2</v>
      </c>
      <c r="G468" s="115">
        <f>VLOOKUP(B468,'Insumos e Serviços'!$A:$F,6,0)</f>
        <v>30.63</v>
      </c>
      <c r="H468" s="115">
        <f t="shared" si="61"/>
        <v>1.28</v>
      </c>
    </row>
    <row r="469" spans="1:8" ht="22.5" x14ac:dyDescent="0.2">
      <c r="A469" s="114" t="str">
        <f>VLOOKUP(B469,'Insumos e Serviços'!$A:$F,3,0)</f>
        <v>Composição</v>
      </c>
      <c r="B469" s="109" t="s">
        <v>977</v>
      </c>
      <c r="C469" s="113" t="str">
        <f>VLOOKUP(B469,'Insumos e Serviços'!$A:$F,2,0)</f>
        <v>SINAPI</v>
      </c>
      <c r="D469" s="114" t="str">
        <f>VLOOKUP(B469,'Insumos e Serviços'!$A:$F,4,0)</f>
        <v>PASSANTE TIPO TUBO DE DIÂMETRO MAIORES QUE 40 MM E MENORES OU IGUAIS A 75 MM, FIXADO EM LAJE. AF_05/2015</v>
      </c>
      <c r="E469" s="113" t="str">
        <f>VLOOKUP(B469,'Insumos e Serviços'!$A:$F,5,0)</f>
        <v>UN</v>
      </c>
      <c r="F469" s="189">
        <v>0.1023</v>
      </c>
      <c r="G469" s="115">
        <f>VLOOKUP(B469,'Insumos e Serviços'!$A:$F,6,0)</f>
        <v>4.51</v>
      </c>
      <c r="H469" s="115">
        <f t="shared" si="61"/>
        <v>0.46</v>
      </c>
    </row>
    <row r="470" spans="1:8" ht="33.75" x14ac:dyDescent="0.2">
      <c r="A470" s="114" t="str">
        <f>VLOOKUP(B470,'Insumos e Serviços'!$A:$F,3,0)</f>
        <v>Composição</v>
      </c>
      <c r="B470" s="109" t="s">
        <v>623</v>
      </c>
      <c r="C470" s="113" t="str">
        <f>VLOOKUP(B470,'Insumos e Serviços'!$A:$F,2,0)</f>
        <v>SINAPI</v>
      </c>
      <c r="D470" s="114" t="str">
        <f>VLOOKUP(B470,'Insumos e Serviços'!$A:$F,4,0)</f>
        <v>FIXAÇÃO DE TUBOS HORIZONTAIS DE PVC, CPVC OU COBRE DIÂMETROS MAIORES QUE 40 MM E MENORES OU IGUAIS A 75 MM COM ABRAÇADEIRA METÁLICA FLEXÍVEL 18 MM, FIXADA DIRETAMENTE NA LAJE. AF_05/2015</v>
      </c>
      <c r="E470" s="113" t="str">
        <f>VLOOKUP(B470,'Insumos e Serviços'!$A:$F,5,0)</f>
        <v>M</v>
      </c>
      <c r="F470" s="189">
        <v>0.44569999999999999</v>
      </c>
      <c r="G470" s="115">
        <f>VLOOKUP(B470,'Insumos e Serviços'!$A:$F,6,0)</f>
        <v>4.9400000000000004</v>
      </c>
      <c r="H470" s="115">
        <f t="shared" si="61"/>
        <v>2.2000000000000002</v>
      </c>
    </row>
    <row r="471" spans="1:8" ht="22.5" x14ac:dyDescent="0.2">
      <c r="A471" s="114" t="str">
        <f>VLOOKUP(B471,'Insumos e Serviços'!$A:$F,3,0)</f>
        <v>Composição</v>
      </c>
      <c r="B471" s="109" t="s">
        <v>979</v>
      </c>
      <c r="C471" s="113" t="str">
        <f>VLOOKUP(B471,'Insumos e Serviços'!$A:$F,2,0)</f>
        <v>SINAPI</v>
      </c>
      <c r="D471" s="114" t="str">
        <f>VLOOKUP(B471,'Insumos e Serviços'!$A:$F,4,0)</f>
        <v>CHUMBAMENTO PONTUAL EM PASSAGEM DE TUBO COM DIÂMETROS ENTRE 40 MM E 75 MM. AF_05/2015</v>
      </c>
      <c r="E471" s="113" t="str">
        <f>VLOOKUP(B471,'Insumos e Serviços'!$A:$F,5,0)</f>
        <v>UN</v>
      </c>
      <c r="F471" s="189">
        <v>4.1799999999999997E-2</v>
      </c>
      <c r="G471" s="115">
        <f>VLOOKUP(B471,'Insumos e Serviços'!$A:$F,6,0)</f>
        <v>4.66</v>
      </c>
      <c r="H471" s="115">
        <f t="shared" si="61"/>
        <v>0.19</v>
      </c>
    </row>
    <row r="472" spans="1:8" x14ac:dyDescent="0.2">
      <c r="A472" s="214"/>
      <c r="B472" s="215"/>
      <c r="C472" s="214"/>
      <c r="D472" s="216"/>
      <c r="E472" s="217"/>
      <c r="F472" s="218"/>
      <c r="G472" s="219"/>
      <c r="H472" s="219"/>
    </row>
    <row r="473" spans="1:8" x14ac:dyDescent="0.2">
      <c r="A473" s="204" t="s">
        <v>366</v>
      </c>
      <c r="B473" s="54" t="str">
        <f>VLOOKUP(A473,'Orçamento Sintético'!$A:$H,2,0)</f>
        <v xml:space="preserve"> MPDFT0875 </v>
      </c>
      <c r="C473" s="54" t="str">
        <f>VLOOKUP(A473,'Orçamento Sintético'!$A:$H,3,0)</f>
        <v>Próprio</v>
      </c>
      <c r="D473" s="55" t="str">
        <f>VLOOKUP(A473,'Orçamento Sintético'!$A:$H,4,0)</f>
        <v>Copia da SBC (052598) - BUCHA REDUCAO PVC SOLDAVEL DIAM. 110x85mm</v>
      </c>
      <c r="E473" s="54" t="str">
        <f>VLOOKUP(A473,'Orçamento Sintético'!$A:$H,5,0)</f>
        <v>UN</v>
      </c>
      <c r="F473" s="183"/>
      <c r="G473" s="184"/>
      <c r="H473" s="185">
        <f>SUM(H474:H479)</f>
        <v>108.75999999999999</v>
      </c>
    </row>
    <row r="474" spans="1:8" x14ac:dyDescent="0.2">
      <c r="A474" s="114" t="str">
        <f>VLOOKUP(B474,'Insumos e Serviços'!$A:$F,3,0)</f>
        <v>Composição</v>
      </c>
      <c r="B474" s="109" t="s">
        <v>627</v>
      </c>
      <c r="C474" s="113" t="str">
        <f>VLOOKUP(B474,'Insumos e Serviços'!$A:$F,2,0)</f>
        <v>SINAPI</v>
      </c>
      <c r="D474" s="114" t="str">
        <f>VLOOKUP(B474,'Insumos e Serviços'!$A:$F,4,0)</f>
        <v>AUXILIAR DE ENCANADOR OU BOMBEIRO HIDRÁULICO COM ENCARGOS COMPLEMENTARES</v>
      </c>
      <c r="E474" s="113" t="str">
        <f>VLOOKUP(B474,'Insumos e Serviços'!$A:$F,5,0)</f>
        <v>H</v>
      </c>
      <c r="F474" s="189">
        <v>0.39900000000000002</v>
      </c>
      <c r="G474" s="115">
        <f>VLOOKUP(B474,'Insumos e Serviços'!$A:$F,6,0)</f>
        <v>17.78</v>
      </c>
      <c r="H474" s="115">
        <f t="shared" ref="H474:H479" si="62">TRUNC(F474*G474,2)</f>
        <v>7.09</v>
      </c>
    </row>
    <row r="475" spans="1:8" x14ac:dyDescent="0.2">
      <c r="A475" s="114" t="str">
        <f>VLOOKUP(B475,'Insumos e Serviços'!$A:$F,3,0)</f>
        <v>Composição</v>
      </c>
      <c r="B475" s="109" t="s">
        <v>625</v>
      </c>
      <c r="C475" s="113" t="str">
        <f>VLOOKUP(B475,'Insumos e Serviços'!$A:$F,2,0)</f>
        <v>SINAPI</v>
      </c>
      <c r="D475" s="114" t="str">
        <f>VLOOKUP(B475,'Insumos e Serviços'!$A:$F,4,0)</f>
        <v>ENCANADOR OU BOMBEIRO HIDRÁULICO COM ENCARGOS COMPLEMENTARES</v>
      </c>
      <c r="E475" s="113" t="str">
        <f>VLOOKUP(B475,'Insumos e Serviços'!$A:$F,5,0)</f>
        <v>H</v>
      </c>
      <c r="F475" s="189">
        <v>0.39900000000000002</v>
      </c>
      <c r="G475" s="115">
        <f>VLOOKUP(B475,'Insumos e Serviços'!$A:$F,6,0)</f>
        <v>22.76</v>
      </c>
      <c r="H475" s="115">
        <f t="shared" si="62"/>
        <v>9.08</v>
      </c>
    </row>
    <row r="476" spans="1:8" x14ac:dyDescent="0.2">
      <c r="A476" s="114" t="str">
        <f>VLOOKUP(B476,'Insumos e Serviços'!$A:$F,3,0)</f>
        <v>Insumo</v>
      </c>
      <c r="B476" s="109">
        <v>119</v>
      </c>
      <c r="C476" s="113" t="str">
        <f>VLOOKUP(B476,'Insumos e Serviços'!$A:$F,2,0)</f>
        <v>SINAPI</v>
      </c>
      <c r="D476" s="114" t="str">
        <f>VLOOKUP(B476,'Insumos e Serviços'!$A:$F,4,0)</f>
        <v>ADESIVO PLASTICO PARA PVC, BISNAGA COM 75 GR</v>
      </c>
      <c r="E476" s="113" t="str">
        <f>VLOOKUP(B476,'Insumos e Serviços'!$A:$F,5,0)</f>
        <v>UN</v>
      </c>
      <c r="F476" s="189">
        <v>0.66700000000000004</v>
      </c>
      <c r="G476" s="115">
        <f>VLOOKUP(B476,'Insumos e Serviços'!$A:$F,6,0)</f>
        <v>8.8000000000000007</v>
      </c>
      <c r="H476" s="115">
        <f t="shared" si="62"/>
        <v>5.86</v>
      </c>
    </row>
    <row r="477" spans="1:8" x14ac:dyDescent="0.2">
      <c r="A477" s="114" t="str">
        <f>VLOOKUP(B477,'Insumos e Serviços'!$A:$F,3,0)</f>
        <v>Material</v>
      </c>
      <c r="B477" s="109" t="s">
        <v>731</v>
      </c>
      <c r="C477" s="113" t="str">
        <f>VLOOKUP(B477,'Insumos e Serviços'!$A:$F,2,0)</f>
        <v>SINAPI</v>
      </c>
      <c r="D477" s="114" t="str">
        <f>VLOOKUP(B477,'Insumos e Serviços'!$A:$F,4,0)</f>
        <v>LIXA D'AGUA EM FOLHA, GRAO 100</v>
      </c>
      <c r="E477" s="113" t="str">
        <f>VLOOKUP(B477,'Insumos e Serviços'!$A:$F,5,0)</f>
        <v>UN</v>
      </c>
      <c r="F477" s="189">
        <v>5.3999999999999999E-2</v>
      </c>
      <c r="G477" s="115" t="str">
        <f>VLOOKUP(B477,'Insumos e Serviços'!$A:$F,6,0)</f>
        <v xml:space="preserve"> 2,05</v>
      </c>
      <c r="H477" s="115">
        <f t="shared" si="62"/>
        <v>0.11</v>
      </c>
    </row>
    <row r="478" spans="1:8" x14ac:dyDescent="0.2">
      <c r="A478" s="114" t="str">
        <f>VLOOKUP(B478,'Insumos e Serviços'!$A:$F,3,0)</f>
        <v>Insumo</v>
      </c>
      <c r="B478" s="109" t="s">
        <v>728</v>
      </c>
      <c r="C478" s="113" t="str">
        <f>VLOOKUP(B478,'Insumos e Serviços'!$A:$F,2,0)</f>
        <v>SINAPI</v>
      </c>
      <c r="D478" s="114" t="str">
        <f>VLOOKUP(B478,'Insumos e Serviços'!$A:$F,4,0)</f>
        <v>SOLUCAO LIMPADORA PARA PVC, FRASCO COM 1000 CM3</v>
      </c>
      <c r="E478" s="113" t="str">
        <f>VLOOKUP(B478,'Insumos e Serviços'!$A:$F,5,0)</f>
        <v>UN</v>
      </c>
      <c r="F478" s="189">
        <v>7.5999999999999998E-2</v>
      </c>
      <c r="G478" s="115">
        <f>VLOOKUP(B478,'Insumos e Serviços'!$A:$F,6,0)</f>
        <v>69.03</v>
      </c>
      <c r="H478" s="115">
        <f t="shared" si="62"/>
        <v>5.24</v>
      </c>
    </row>
    <row r="479" spans="1:8" ht="22.5" x14ac:dyDescent="0.2">
      <c r="A479" s="114" t="str">
        <f>VLOOKUP(B479,'Insumos e Serviços'!$A:$F,3,0)</f>
        <v>Material</v>
      </c>
      <c r="B479" s="109" t="s">
        <v>1004</v>
      </c>
      <c r="C479" s="113" t="str">
        <f>VLOOKUP(B479,'Insumos e Serviços'!$A:$F,2,0)</f>
        <v>SINAPI</v>
      </c>
      <c r="D479" s="114" t="str">
        <f>VLOOKUP(B479,'Insumos e Serviços'!$A:$F,4,0)</f>
        <v>BUCHA DE REDUCAO DE PVC, SOLDAVEL, CURTA, COM 110 X 85 MM, PARA AGUA FRIA PREDIAL</v>
      </c>
      <c r="E479" s="113" t="str">
        <f>VLOOKUP(B479,'Insumos e Serviços'!$A:$F,5,0)</f>
        <v>UN</v>
      </c>
      <c r="F479" s="189">
        <v>1</v>
      </c>
      <c r="G479" s="115" t="str">
        <f>VLOOKUP(B479,'Insumos e Serviços'!$A:$F,6,0)</f>
        <v xml:space="preserve"> 81,38</v>
      </c>
      <c r="H479" s="115">
        <f t="shared" si="62"/>
        <v>81.38</v>
      </c>
    </row>
    <row r="480" spans="1:8" x14ac:dyDescent="0.2">
      <c r="A480" s="205"/>
      <c r="B480" s="205"/>
      <c r="C480" s="205"/>
      <c r="D480" s="206"/>
      <c r="E480" s="207"/>
      <c r="F480" s="208"/>
      <c r="G480" s="205"/>
      <c r="H480" s="205"/>
    </row>
    <row r="481" spans="1:8" x14ac:dyDescent="0.2">
      <c r="A481" s="204" t="s">
        <v>369</v>
      </c>
      <c r="B481" s="54" t="str">
        <f>VLOOKUP(A481,'Orçamento Sintético'!$A:$H,2,0)</f>
        <v xml:space="preserve"> MPDFT0876 </v>
      </c>
      <c r="C481" s="54" t="str">
        <f>VLOOKUP(A481,'Orçamento Sintético'!$A:$H,3,0)</f>
        <v>Próprio</v>
      </c>
      <c r="D481" s="55" t="str">
        <f>VLOOKUP(A481,'Orçamento Sintético'!$A:$H,4,0)</f>
        <v>Copia da SBC (055125) - BUCHA DE REDUCAO PVC SOLDAVEL 85X75MM</v>
      </c>
      <c r="E481" s="54" t="str">
        <f>VLOOKUP(A481,'Orçamento Sintético'!$A:$H,5,0)</f>
        <v>UN</v>
      </c>
      <c r="F481" s="183"/>
      <c r="G481" s="184"/>
      <c r="H481" s="185">
        <f>SUM(H482:H487)</f>
        <v>35.650000000000006</v>
      </c>
    </row>
    <row r="482" spans="1:8" x14ac:dyDescent="0.2">
      <c r="A482" s="114" t="str">
        <f>VLOOKUP(B482,'Insumos e Serviços'!$A:$F,3,0)</f>
        <v>Composição</v>
      </c>
      <c r="B482" s="109" t="s">
        <v>627</v>
      </c>
      <c r="C482" s="113" t="str">
        <f>VLOOKUP(B482,'Insumos e Serviços'!$A:$F,2,0)</f>
        <v>SINAPI</v>
      </c>
      <c r="D482" s="114" t="str">
        <f>VLOOKUP(B482,'Insumos e Serviços'!$A:$F,4,0)</f>
        <v>AUXILIAR DE ENCANADOR OU BOMBEIRO HIDRÁULICO COM ENCARGOS COMPLEMENTARES</v>
      </c>
      <c r="E482" s="113" t="str">
        <f>VLOOKUP(B482,'Insumos e Serviços'!$A:$F,5,0)</f>
        <v>H</v>
      </c>
      <c r="F482" s="189">
        <v>0.45800000000000002</v>
      </c>
      <c r="G482" s="115">
        <f>VLOOKUP(B482,'Insumos e Serviços'!$A:$F,6,0)</f>
        <v>17.78</v>
      </c>
      <c r="H482" s="115">
        <f t="shared" ref="H482:H487" si="63">TRUNC(F482*G482,2)</f>
        <v>8.14</v>
      </c>
    </row>
    <row r="483" spans="1:8" x14ac:dyDescent="0.2">
      <c r="A483" s="114" t="str">
        <f>VLOOKUP(B483,'Insumos e Serviços'!$A:$F,3,0)</f>
        <v>Composição</v>
      </c>
      <c r="B483" s="109" t="s">
        <v>625</v>
      </c>
      <c r="C483" s="113" t="str">
        <f>VLOOKUP(B483,'Insumos e Serviços'!$A:$F,2,0)</f>
        <v>SINAPI</v>
      </c>
      <c r="D483" s="114" t="str">
        <f>VLOOKUP(B483,'Insumos e Serviços'!$A:$F,4,0)</f>
        <v>ENCANADOR OU BOMBEIRO HIDRÁULICO COM ENCARGOS COMPLEMENTARES</v>
      </c>
      <c r="E483" s="113" t="str">
        <f>VLOOKUP(B483,'Insumos e Serviços'!$A:$F,5,0)</f>
        <v>H</v>
      </c>
      <c r="F483" s="189">
        <v>0.45800000000000002</v>
      </c>
      <c r="G483" s="115">
        <f>VLOOKUP(B483,'Insumos e Serviços'!$A:$F,6,0)</f>
        <v>22.76</v>
      </c>
      <c r="H483" s="115">
        <f t="shared" si="63"/>
        <v>10.42</v>
      </c>
    </row>
    <row r="484" spans="1:8" x14ac:dyDescent="0.2">
      <c r="A484" s="114" t="str">
        <f>VLOOKUP(B484,'Insumos e Serviços'!$A:$F,3,0)</f>
        <v>Insumo</v>
      </c>
      <c r="B484" s="109">
        <v>119</v>
      </c>
      <c r="C484" s="113" t="str">
        <f>VLOOKUP(B484,'Insumos e Serviços'!$A:$F,2,0)</f>
        <v>SINAPI</v>
      </c>
      <c r="D484" s="114" t="str">
        <f>VLOOKUP(B484,'Insumos e Serviços'!$A:$F,4,0)</f>
        <v>ADESIVO PLASTICO PARA PVC, BISNAGA COM 75 GR</v>
      </c>
      <c r="E484" s="113" t="str">
        <f>VLOOKUP(B484,'Insumos e Serviços'!$A:$F,5,0)</f>
        <v>UN</v>
      </c>
      <c r="F484" s="189">
        <v>3.2000000000000001E-2</v>
      </c>
      <c r="G484" s="115">
        <f>VLOOKUP(B484,'Insumos e Serviços'!$A:$F,6,0)</f>
        <v>8.8000000000000007</v>
      </c>
      <c r="H484" s="115">
        <f t="shared" si="63"/>
        <v>0.28000000000000003</v>
      </c>
    </row>
    <row r="485" spans="1:8" x14ac:dyDescent="0.2">
      <c r="A485" s="114" t="str">
        <f>VLOOKUP(B485,'Insumos e Serviços'!$A:$F,3,0)</f>
        <v>Material</v>
      </c>
      <c r="B485" s="109" t="s">
        <v>731</v>
      </c>
      <c r="C485" s="113" t="str">
        <f>VLOOKUP(B485,'Insumos e Serviços'!$A:$F,2,0)</f>
        <v>SINAPI</v>
      </c>
      <c r="D485" s="114" t="str">
        <f>VLOOKUP(B485,'Insumos e Serviços'!$A:$F,4,0)</f>
        <v>LIXA D'AGUA EM FOLHA, GRAO 100</v>
      </c>
      <c r="E485" s="113" t="str">
        <f>VLOOKUP(B485,'Insumos e Serviços'!$A:$F,5,0)</f>
        <v>UN</v>
      </c>
      <c r="F485" s="189">
        <v>0.01</v>
      </c>
      <c r="G485" s="115" t="str">
        <f>VLOOKUP(B485,'Insumos e Serviços'!$A:$F,6,0)</f>
        <v xml:space="preserve"> 2,05</v>
      </c>
      <c r="H485" s="115">
        <f t="shared" si="63"/>
        <v>0.02</v>
      </c>
    </row>
    <row r="486" spans="1:8" x14ac:dyDescent="0.2">
      <c r="A486" s="114" t="str">
        <f>VLOOKUP(B486,'Insumos e Serviços'!$A:$F,3,0)</f>
        <v>Insumo</v>
      </c>
      <c r="B486" s="109" t="s">
        <v>728</v>
      </c>
      <c r="C486" s="113" t="str">
        <f>VLOOKUP(B486,'Insumos e Serviços'!$A:$F,2,0)</f>
        <v>SINAPI</v>
      </c>
      <c r="D486" s="114" t="str">
        <f>VLOOKUP(B486,'Insumos e Serviços'!$A:$F,4,0)</f>
        <v>SOLUCAO LIMPADORA PARA PVC, FRASCO COM 1000 CM3</v>
      </c>
      <c r="E486" s="113" t="str">
        <f>VLOOKUP(B486,'Insumos e Serviços'!$A:$F,5,0)</f>
        <v>UN</v>
      </c>
      <c r="F486" s="189">
        <v>3.1E-2</v>
      </c>
      <c r="G486" s="115">
        <f>VLOOKUP(B486,'Insumos e Serviços'!$A:$F,6,0)</f>
        <v>69.03</v>
      </c>
      <c r="H486" s="115">
        <f t="shared" si="63"/>
        <v>2.13</v>
      </c>
    </row>
    <row r="487" spans="1:8" ht="22.5" x14ac:dyDescent="0.2">
      <c r="A487" s="114" t="str">
        <f>VLOOKUP(B487,'Insumos e Serviços'!$A:$F,3,0)</f>
        <v>Insumo</v>
      </c>
      <c r="B487" s="109" t="s">
        <v>1006</v>
      </c>
      <c r="C487" s="113" t="str">
        <f>VLOOKUP(B487,'Insumos e Serviços'!$A:$F,2,0)</f>
        <v>SINAPI</v>
      </c>
      <c r="D487" s="114" t="str">
        <f>VLOOKUP(B487,'Insumos e Serviços'!$A:$F,4,0)</f>
        <v>BUCHA DE REDUCAO DE PVC, SOLDAVEL, CURTA, COM 85 X 75 MM, PARA AGUA FRIA PREDIAL</v>
      </c>
      <c r="E487" s="113" t="str">
        <f>VLOOKUP(B487,'Insumos e Serviços'!$A:$F,5,0)</f>
        <v>UN</v>
      </c>
      <c r="F487" s="189">
        <v>1</v>
      </c>
      <c r="G487" s="115">
        <f>VLOOKUP(B487,'Insumos e Serviços'!$A:$F,6,0)</f>
        <v>14.66</v>
      </c>
      <c r="H487" s="115">
        <f t="shared" si="63"/>
        <v>14.66</v>
      </c>
    </row>
    <row r="488" spans="1:8" x14ac:dyDescent="0.2">
      <c r="A488" s="205"/>
      <c r="B488" s="205"/>
      <c r="C488" s="205"/>
      <c r="D488" s="206"/>
      <c r="E488" s="207"/>
      <c r="F488" s="208"/>
      <c r="G488" s="205"/>
      <c r="H488" s="205"/>
    </row>
    <row r="489" spans="1:8" x14ac:dyDescent="0.2">
      <c r="A489" s="204" t="s">
        <v>372</v>
      </c>
      <c r="B489" s="54" t="str">
        <f>VLOOKUP(A489,'Orçamento Sintético'!$A:$H,2,0)</f>
        <v xml:space="preserve"> MPDFT0877 </v>
      </c>
      <c r="C489" s="54" t="str">
        <f>VLOOKUP(A489,'Orçamento Sintético'!$A:$H,3,0)</f>
        <v>Próprio</v>
      </c>
      <c r="D489" s="55" t="str">
        <f>VLOOKUP(A489,'Orçamento Sintético'!$A:$H,4,0)</f>
        <v>Copia da SBC (052237) - BUCHA REDUCAO SOLDAVEL PVC 75x60mm</v>
      </c>
      <c r="E489" s="54" t="str">
        <f>VLOOKUP(A489,'Orçamento Sintético'!$A:$H,5,0)</f>
        <v>UN</v>
      </c>
      <c r="F489" s="183"/>
      <c r="G489" s="184"/>
      <c r="H489" s="185">
        <f>SUM(H490:H494)</f>
        <v>44.17</v>
      </c>
    </row>
    <row r="490" spans="1:8" x14ac:dyDescent="0.2">
      <c r="A490" s="114" t="str">
        <f>VLOOKUP(B490,'Insumos e Serviços'!$A:$F,3,0)</f>
        <v>Composição</v>
      </c>
      <c r="B490" s="109" t="s">
        <v>627</v>
      </c>
      <c r="C490" s="113" t="str">
        <f>VLOOKUP(B490,'Insumos e Serviços'!$A:$F,2,0)</f>
        <v>SINAPI</v>
      </c>
      <c r="D490" s="114" t="str">
        <f>VLOOKUP(B490,'Insumos e Serviços'!$A:$F,4,0)</f>
        <v>AUXILIAR DE ENCANADOR OU BOMBEIRO HIDRÁULICO COM ENCARGOS COMPLEMENTARES</v>
      </c>
      <c r="E490" s="113" t="str">
        <f>VLOOKUP(B490,'Insumos e Serviços'!$A:$F,5,0)</f>
        <v>H</v>
      </c>
      <c r="F490" s="189">
        <v>0.51</v>
      </c>
      <c r="G490" s="115">
        <f>VLOOKUP(B490,'Insumos e Serviços'!$A:$F,6,0)</f>
        <v>17.78</v>
      </c>
      <c r="H490" s="115">
        <f t="shared" ref="H490:H494" si="64">TRUNC(F490*G490,2)</f>
        <v>9.06</v>
      </c>
    </row>
    <row r="491" spans="1:8" x14ac:dyDescent="0.2">
      <c r="A491" s="114" t="str">
        <f>VLOOKUP(B491,'Insumos e Serviços'!$A:$F,3,0)</f>
        <v>Composição</v>
      </c>
      <c r="B491" s="109" t="s">
        <v>625</v>
      </c>
      <c r="C491" s="113" t="str">
        <f>VLOOKUP(B491,'Insumos e Serviços'!$A:$F,2,0)</f>
        <v>SINAPI</v>
      </c>
      <c r="D491" s="114" t="str">
        <f>VLOOKUP(B491,'Insumos e Serviços'!$A:$F,4,0)</f>
        <v>ENCANADOR OU BOMBEIRO HIDRÁULICO COM ENCARGOS COMPLEMENTARES</v>
      </c>
      <c r="E491" s="113" t="str">
        <f>VLOOKUP(B491,'Insumos e Serviços'!$A:$F,5,0)</f>
        <v>H</v>
      </c>
      <c r="F491" s="189">
        <v>0.51</v>
      </c>
      <c r="G491" s="115">
        <f>VLOOKUP(B491,'Insumos e Serviços'!$A:$F,6,0)</f>
        <v>22.76</v>
      </c>
      <c r="H491" s="115">
        <f t="shared" si="64"/>
        <v>11.6</v>
      </c>
    </row>
    <row r="492" spans="1:8" x14ac:dyDescent="0.2">
      <c r="A492" s="114" t="str">
        <f>VLOOKUP(B492,'Insumos e Serviços'!$A:$F,3,0)</f>
        <v>Insumo</v>
      </c>
      <c r="B492" s="109" t="s">
        <v>728</v>
      </c>
      <c r="C492" s="113" t="str">
        <f>VLOOKUP(B492,'Insumos e Serviços'!$A:$F,2,0)</f>
        <v>SINAPI</v>
      </c>
      <c r="D492" s="114" t="str">
        <f>VLOOKUP(B492,'Insumos e Serviços'!$A:$F,4,0)</f>
        <v>SOLUCAO LIMPADORA PARA PVC, FRASCO COM 1000 CM3</v>
      </c>
      <c r="E492" s="113" t="str">
        <f>VLOOKUP(B492,'Insumos e Serviços'!$A:$F,5,0)</f>
        <v>UN</v>
      </c>
      <c r="F492" s="189">
        <v>3.6999999999999998E-2</v>
      </c>
      <c r="G492" s="115">
        <f>VLOOKUP(B492,'Insumos e Serviços'!$A:$F,6,0)</f>
        <v>69.03</v>
      </c>
      <c r="H492" s="115">
        <f t="shared" si="64"/>
        <v>2.5499999999999998</v>
      </c>
    </row>
    <row r="493" spans="1:8" ht="22.5" x14ac:dyDescent="0.2">
      <c r="A493" s="114" t="str">
        <f>VLOOKUP(B493,'Insumos e Serviços'!$A:$F,3,0)</f>
        <v>Material</v>
      </c>
      <c r="B493" s="109" t="s">
        <v>1008</v>
      </c>
      <c r="C493" s="113" t="str">
        <f>VLOOKUP(B493,'Insumos e Serviços'!$A:$F,2,0)</f>
        <v>SINAPI</v>
      </c>
      <c r="D493" s="114" t="str">
        <f>VLOOKUP(B493,'Insumos e Serviços'!$A:$F,4,0)</f>
        <v>BUCHA DE REDUCAO DE PVC, SOLDAVEL, CURTA, COM 75 X 60 MM, PARA AGUA FRIA PREDIAL</v>
      </c>
      <c r="E493" s="113" t="str">
        <f>VLOOKUP(B493,'Insumos e Serviços'!$A:$F,5,0)</f>
        <v>UN</v>
      </c>
      <c r="F493" s="189">
        <v>1</v>
      </c>
      <c r="G493" s="115" t="str">
        <f>VLOOKUP(B493,'Insumos e Serviços'!$A:$F,6,0)</f>
        <v xml:space="preserve"> 17,80</v>
      </c>
      <c r="H493" s="115">
        <f t="shared" si="64"/>
        <v>17.8</v>
      </c>
    </row>
    <row r="494" spans="1:8" x14ac:dyDescent="0.2">
      <c r="A494" s="114" t="str">
        <f>VLOOKUP(B494,'Insumos e Serviços'!$A:$F,3,0)</f>
        <v>Insumo</v>
      </c>
      <c r="B494" s="109">
        <v>119</v>
      </c>
      <c r="C494" s="113" t="str">
        <f>VLOOKUP(B494,'Insumos e Serviços'!$A:$F,2,0)</f>
        <v>SINAPI</v>
      </c>
      <c r="D494" s="114" t="str">
        <f>VLOOKUP(B494,'Insumos e Serviços'!$A:$F,4,0)</f>
        <v>ADESIVO PLASTICO PARA PVC, BISNAGA COM 75 GR</v>
      </c>
      <c r="E494" s="113" t="str">
        <f>VLOOKUP(B494,'Insumos e Serviços'!$A:$F,5,0)</f>
        <v>UN</v>
      </c>
      <c r="F494" s="189">
        <v>0.36</v>
      </c>
      <c r="G494" s="115">
        <f>VLOOKUP(B494,'Insumos e Serviços'!$A:$F,6,0)</f>
        <v>8.8000000000000007</v>
      </c>
      <c r="H494" s="115">
        <f t="shared" si="64"/>
        <v>3.16</v>
      </c>
    </row>
    <row r="495" spans="1:8" x14ac:dyDescent="0.2">
      <c r="A495" s="205"/>
      <c r="B495" s="205"/>
      <c r="C495" s="205"/>
      <c r="D495" s="206"/>
      <c r="E495" s="207"/>
      <c r="F495" s="208"/>
      <c r="G495" s="205"/>
      <c r="H495" s="205"/>
    </row>
    <row r="496" spans="1:8" x14ac:dyDescent="0.2">
      <c r="A496" s="209" t="s">
        <v>375</v>
      </c>
      <c r="B496" s="209"/>
      <c r="C496" s="209"/>
      <c r="D496" s="210" t="s">
        <v>376</v>
      </c>
      <c r="E496" s="211"/>
      <c r="F496" s="212"/>
      <c r="G496" s="209"/>
      <c r="H496" s="213"/>
    </row>
    <row r="497" spans="1:8" ht="33.75" x14ac:dyDescent="0.2">
      <c r="A497" s="204" t="s">
        <v>383</v>
      </c>
      <c r="B497" s="54" t="str">
        <f>VLOOKUP(A497,'Orçamento Sintético'!$A:$H,2,0)</f>
        <v xml:space="preserve"> MPDFT0887 </v>
      </c>
      <c r="C497" s="54" t="str">
        <f>VLOOKUP(A497,'Orçamento Sintético'!$A:$H,3,0)</f>
        <v>Próprio</v>
      </c>
      <c r="D497" s="55" t="str">
        <f>VLOOKUP(A497,'Orçamento Sintético'!$A:$H,4,0)</f>
        <v>Copia da SINAPI (89987) - REGISTRO DE GAVETA BRUTO, LATÃO, ROSCÁVEL, 1", COM ACABAMENTO E CANOPLA CROMADOS. FORNECIDO E INSTALADO EM RAMAL DE ÁGUA.</v>
      </c>
      <c r="E497" s="54" t="str">
        <f>VLOOKUP(A497,'Orçamento Sintético'!$A:$H,5,0)</f>
        <v>UN</v>
      </c>
      <c r="F497" s="183"/>
      <c r="G497" s="184"/>
      <c r="H497" s="185">
        <f>SUM(H498:H501)</f>
        <v>102.89</v>
      </c>
    </row>
    <row r="498" spans="1:8" x14ac:dyDescent="0.2">
      <c r="A498" s="114" t="str">
        <f>VLOOKUP(B498,'Insumos e Serviços'!$A:$F,3,0)</f>
        <v>Composição</v>
      </c>
      <c r="B498" s="109" t="s">
        <v>627</v>
      </c>
      <c r="C498" s="113" t="str">
        <f>VLOOKUP(B498,'Insumos e Serviços'!$A:$F,2,0)</f>
        <v>SINAPI</v>
      </c>
      <c r="D498" s="114" t="str">
        <f>VLOOKUP(B498,'Insumos e Serviços'!$A:$F,4,0)</f>
        <v>AUXILIAR DE ENCANADOR OU BOMBEIRO HIDRÁULICO COM ENCARGOS COMPLEMENTARES</v>
      </c>
      <c r="E498" s="113" t="str">
        <f>VLOOKUP(B498,'Insumos e Serviços'!$A:$F,5,0)</f>
        <v>H</v>
      </c>
      <c r="F498" s="189">
        <v>0.23</v>
      </c>
      <c r="G498" s="115">
        <f>VLOOKUP(B498,'Insumos e Serviços'!$A:$F,6,0)</f>
        <v>17.78</v>
      </c>
      <c r="H498" s="115">
        <f t="shared" ref="H498:H501" si="65">TRUNC(F498*G498,2)</f>
        <v>4.08</v>
      </c>
    </row>
    <row r="499" spans="1:8" x14ac:dyDescent="0.2">
      <c r="A499" s="114" t="str">
        <f>VLOOKUP(B499,'Insumos e Serviços'!$A:$F,3,0)</f>
        <v>Composição</v>
      </c>
      <c r="B499" s="109" t="s">
        <v>625</v>
      </c>
      <c r="C499" s="113" t="str">
        <f>VLOOKUP(B499,'Insumos e Serviços'!$A:$F,2,0)</f>
        <v>SINAPI</v>
      </c>
      <c r="D499" s="114" t="str">
        <f>VLOOKUP(B499,'Insumos e Serviços'!$A:$F,4,0)</f>
        <v>ENCANADOR OU BOMBEIRO HIDRÁULICO COM ENCARGOS COMPLEMENTARES</v>
      </c>
      <c r="E499" s="113" t="str">
        <f>VLOOKUP(B499,'Insumos e Serviços'!$A:$F,5,0)</f>
        <v>H</v>
      </c>
      <c r="F499" s="189">
        <v>0.3</v>
      </c>
      <c r="G499" s="115">
        <f>VLOOKUP(B499,'Insumos e Serviços'!$A:$F,6,0)</f>
        <v>22.76</v>
      </c>
      <c r="H499" s="115">
        <f t="shared" si="65"/>
        <v>6.82</v>
      </c>
    </row>
    <row r="500" spans="1:8" x14ac:dyDescent="0.2">
      <c r="A500" s="114" t="str">
        <f>VLOOKUP(B500,'Insumos e Serviços'!$A:$F,3,0)</f>
        <v>Material</v>
      </c>
      <c r="B500" s="109" t="s">
        <v>886</v>
      </c>
      <c r="C500" s="113" t="str">
        <f>VLOOKUP(B500,'Insumos e Serviços'!$A:$F,2,0)</f>
        <v>SINAPI</v>
      </c>
      <c r="D500" s="114" t="str">
        <f>VLOOKUP(B500,'Insumos e Serviços'!$A:$F,4,0)</f>
        <v>FITA VEDA ROSCA EM ROLOS DE 18 MM X 50 M (L X C)</v>
      </c>
      <c r="E500" s="113" t="str">
        <f>VLOOKUP(B500,'Insumos e Serviços'!$A:$F,5,0)</f>
        <v>UN</v>
      </c>
      <c r="F500" s="189">
        <v>1.2999999999999999E-2</v>
      </c>
      <c r="G500" s="115" t="str">
        <f>VLOOKUP(B500,'Insumos e Serviços'!$A:$F,6,0)</f>
        <v xml:space="preserve"> 14,38</v>
      </c>
      <c r="H500" s="115">
        <f t="shared" si="65"/>
        <v>0.18</v>
      </c>
    </row>
    <row r="501" spans="1:8" ht="22.5" x14ac:dyDescent="0.2">
      <c r="A501" s="114" t="str">
        <f>VLOOKUP(B501,'Insumos e Serviços'!$A:$F,3,0)</f>
        <v>Material</v>
      </c>
      <c r="B501" s="109" t="s">
        <v>1010</v>
      </c>
      <c r="C501" s="113" t="str">
        <f>VLOOKUP(B501,'Insumos e Serviços'!$A:$F,2,0)</f>
        <v>SINAPI</v>
      </c>
      <c r="D501" s="114" t="str">
        <f>VLOOKUP(B501,'Insumos e Serviços'!$A:$F,4,0)</f>
        <v>REGISTRO GAVETA COM ACABAMENTO E CANOPLA CROMADOS, SIMPLES, BITOLA 1 " (REF 1509)</v>
      </c>
      <c r="E501" s="113" t="str">
        <f>VLOOKUP(B501,'Insumos e Serviços'!$A:$F,5,0)</f>
        <v>UN</v>
      </c>
      <c r="F501" s="189">
        <v>1</v>
      </c>
      <c r="G501" s="115" t="str">
        <f>VLOOKUP(B501,'Insumos e Serviços'!$A:$F,6,0)</f>
        <v xml:space="preserve"> 91,81</v>
      </c>
      <c r="H501" s="115">
        <f t="shared" si="65"/>
        <v>91.81</v>
      </c>
    </row>
    <row r="502" spans="1:8" x14ac:dyDescent="0.2">
      <c r="A502" s="205"/>
      <c r="B502" s="205"/>
      <c r="C502" s="205"/>
      <c r="D502" s="206"/>
      <c r="E502" s="207"/>
      <c r="F502" s="208"/>
      <c r="G502" s="205"/>
      <c r="H502" s="205"/>
    </row>
    <row r="503" spans="1:8" x14ac:dyDescent="0.2">
      <c r="A503" s="199" t="s">
        <v>395</v>
      </c>
      <c r="B503" s="199"/>
      <c r="C503" s="199"/>
      <c r="D503" s="200" t="s">
        <v>396</v>
      </c>
      <c r="E503" s="201"/>
      <c r="F503" s="202"/>
      <c r="G503" s="199"/>
      <c r="H503" s="203"/>
    </row>
    <row r="504" spans="1:8" x14ac:dyDescent="0.2">
      <c r="A504" s="209" t="s">
        <v>397</v>
      </c>
      <c r="B504" s="209"/>
      <c r="C504" s="209"/>
      <c r="D504" s="210" t="s">
        <v>398</v>
      </c>
      <c r="E504" s="211"/>
      <c r="F504" s="212"/>
      <c r="G504" s="209"/>
      <c r="H504" s="213"/>
    </row>
    <row r="505" spans="1:8" ht="22.5" x14ac:dyDescent="0.2">
      <c r="A505" s="204" t="s">
        <v>416</v>
      </c>
      <c r="B505" s="54" t="str">
        <f>VLOOKUP(A505,'Orçamento Sintético'!$A:$H,2,0)</f>
        <v xml:space="preserve"> MPDFT0238 </v>
      </c>
      <c r="C505" s="54" t="str">
        <f>VLOOKUP(A505,'Orçamento Sintético'!$A:$H,3,0)</f>
        <v>Próprio</v>
      </c>
      <c r="D505" s="55" t="str">
        <f>VLOOKUP(A505,'Orçamento Sintético'!$A:$H,4,0)</f>
        <v>Copia da SINAPI (89708) - Caixa sifonada, PVC, DN 150x185x75mm, incluindo tampa hermética em aço inox - fornecimento e instalação</v>
      </c>
      <c r="E505" s="54" t="str">
        <f>VLOOKUP(A505,'Orçamento Sintético'!$A:$H,5,0)</f>
        <v>UN</v>
      </c>
      <c r="F505" s="183"/>
      <c r="G505" s="184"/>
      <c r="H505" s="185">
        <f>SUM(H506:H514)</f>
        <v>93.53</v>
      </c>
    </row>
    <row r="506" spans="1:8" x14ac:dyDescent="0.2">
      <c r="A506" s="114" t="str">
        <f>VLOOKUP(B506,'Insumos e Serviços'!$A:$F,3,0)</f>
        <v>Composição</v>
      </c>
      <c r="B506" s="109" t="s">
        <v>627</v>
      </c>
      <c r="C506" s="113" t="str">
        <f>VLOOKUP(B506,'Insumos e Serviços'!$A:$F,2,0)</f>
        <v>SINAPI</v>
      </c>
      <c r="D506" s="114" t="str">
        <f>VLOOKUP(B506,'Insumos e Serviços'!$A:$F,4,0)</f>
        <v>AUXILIAR DE ENCANADOR OU BOMBEIRO HIDRÁULICO COM ENCARGOS COMPLEMENTARES</v>
      </c>
      <c r="E506" s="113" t="str">
        <f>VLOOKUP(B506,'Insumos e Serviços'!$A:$F,5,0)</f>
        <v>H</v>
      </c>
      <c r="F506" s="189">
        <v>0.38</v>
      </c>
      <c r="G506" s="115">
        <f>VLOOKUP(B506,'Insumos e Serviços'!$A:$F,6,0)</f>
        <v>17.78</v>
      </c>
      <c r="H506" s="115">
        <f t="shared" ref="H506:H514" si="66">TRUNC(F506*G506,2)</f>
        <v>6.75</v>
      </c>
    </row>
    <row r="507" spans="1:8" x14ac:dyDescent="0.2">
      <c r="A507" s="114" t="str">
        <f>VLOOKUP(B507,'Insumos e Serviços'!$A:$F,3,0)</f>
        <v>Composição</v>
      </c>
      <c r="B507" s="109" t="s">
        <v>625</v>
      </c>
      <c r="C507" s="113" t="str">
        <f>VLOOKUP(B507,'Insumos e Serviços'!$A:$F,2,0)</f>
        <v>SINAPI</v>
      </c>
      <c r="D507" s="114" t="str">
        <f>VLOOKUP(B507,'Insumos e Serviços'!$A:$F,4,0)</f>
        <v>ENCANADOR OU BOMBEIRO HIDRÁULICO COM ENCARGOS COMPLEMENTARES</v>
      </c>
      <c r="E507" s="113" t="str">
        <f>VLOOKUP(B507,'Insumos e Serviços'!$A:$F,5,0)</f>
        <v>H</v>
      </c>
      <c r="F507" s="189">
        <v>0.38</v>
      </c>
      <c r="G507" s="115">
        <f>VLOOKUP(B507,'Insumos e Serviços'!$A:$F,6,0)</f>
        <v>22.76</v>
      </c>
      <c r="H507" s="115">
        <f t="shared" si="66"/>
        <v>8.64</v>
      </c>
    </row>
    <row r="508" spans="1:8" x14ac:dyDescent="0.2">
      <c r="A508" s="114" t="str">
        <f>VLOOKUP(B508,'Insumos e Serviços'!$A:$F,3,0)</f>
        <v>Material</v>
      </c>
      <c r="B508" s="109">
        <v>122</v>
      </c>
      <c r="C508" s="113" t="str">
        <f>VLOOKUP(B508,'Insumos e Serviços'!$A:$F,2,0)</f>
        <v>SINAPI</v>
      </c>
      <c r="D508" s="114" t="str">
        <f>VLOOKUP(B508,'Insumos e Serviços'!$A:$F,4,0)</f>
        <v>ADESIVO PLASTICO PARA PVC, FRASCO COM 850 GR</v>
      </c>
      <c r="E508" s="113" t="str">
        <f>VLOOKUP(B508,'Insumos e Serviços'!$A:$F,5,0)</f>
        <v>UN</v>
      </c>
      <c r="F508" s="189">
        <v>1.4800000000000001E-2</v>
      </c>
      <c r="G508" s="115" t="str">
        <f>VLOOKUP(B508,'Insumos e Serviços'!$A:$F,6,0)</f>
        <v xml:space="preserve"> 79,49</v>
      </c>
      <c r="H508" s="115">
        <f t="shared" si="66"/>
        <v>1.17</v>
      </c>
    </row>
    <row r="509" spans="1:8" x14ac:dyDescent="0.2">
      <c r="A509" s="114" t="str">
        <f>VLOOKUP(B509,'Insumos e Serviços'!$A:$F,3,0)</f>
        <v>Insumo</v>
      </c>
      <c r="B509" s="109">
        <v>297</v>
      </c>
      <c r="C509" s="113" t="str">
        <f>VLOOKUP(B509,'Insumos e Serviços'!$A:$F,2,0)</f>
        <v>SINAPI</v>
      </c>
      <c r="D509" s="114" t="str">
        <f>VLOOKUP(B509,'Insumos e Serviços'!$A:$F,4,0)</f>
        <v>ANEL BORRACHA PARA TUBO ESGOTO PREDIAL DN 75 MM (NBR 5688)</v>
      </c>
      <c r="E509" s="113" t="str">
        <f>VLOOKUP(B509,'Insumos e Serviços'!$A:$F,5,0)</f>
        <v>UN</v>
      </c>
      <c r="F509" s="189">
        <v>1</v>
      </c>
      <c r="G509" s="115">
        <f>VLOOKUP(B509,'Insumos e Serviços'!$A:$F,6,0)</f>
        <v>2.27</v>
      </c>
      <c r="H509" s="115">
        <f t="shared" si="66"/>
        <v>2.27</v>
      </c>
    </row>
    <row r="510" spans="1:8" ht="22.5" x14ac:dyDescent="0.2">
      <c r="A510" s="114" t="str">
        <f>VLOOKUP(B510,'Insumos e Serviços'!$A:$F,3,0)</f>
        <v>Insumo</v>
      </c>
      <c r="B510" s="109" t="s">
        <v>1012</v>
      </c>
      <c r="C510" s="113" t="str">
        <f>VLOOKUP(B510,'Insumos e Serviços'!$A:$F,2,0)</f>
        <v>SINAPI</v>
      </c>
      <c r="D510" s="114" t="str">
        <f>VLOOKUP(B510,'Insumos e Serviços'!$A:$F,4,0)</f>
        <v>PASTA LUBRIFICANTE PARA TUBOS E CONEXOES COM JUNTA ELASTICA (USO EM PVC, ACO, POLIETILENO E OUTROS) ( DE *400* G)</v>
      </c>
      <c r="E510" s="113" t="str">
        <f>VLOOKUP(B510,'Insumos e Serviços'!$A:$F,5,0)</f>
        <v>UN</v>
      </c>
      <c r="F510" s="189">
        <v>0.03</v>
      </c>
      <c r="G510" s="115">
        <f>VLOOKUP(B510,'Insumos e Serviços'!$A:$F,6,0)</f>
        <v>29.1</v>
      </c>
      <c r="H510" s="115">
        <f t="shared" si="66"/>
        <v>0.87</v>
      </c>
    </row>
    <row r="511" spans="1:8" x14ac:dyDescent="0.2">
      <c r="A511" s="114" t="str">
        <f>VLOOKUP(B511,'Insumos e Serviços'!$A:$F,3,0)</f>
        <v>Insumo</v>
      </c>
      <c r="B511" s="109" t="s">
        <v>728</v>
      </c>
      <c r="C511" s="113" t="str">
        <f>VLOOKUP(B511,'Insumos e Serviços'!$A:$F,2,0)</f>
        <v>SINAPI</v>
      </c>
      <c r="D511" s="114" t="str">
        <f>VLOOKUP(B511,'Insumos e Serviços'!$A:$F,4,0)</f>
        <v>SOLUCAO LIMPADORA PARA PVC, FRASCO COM 1000 CM3</v>
      </c>
      <c r="E511" s="113" t="str">
        <f>VLOOKUP(B511,'Insumos e Serviços'!$A:$F,5,0)</f>
        <v>UN</v>
      </c>
      <c r="F511" s="189">
        <v>2.2499999999999999E-2</v>
      </c>
      <c r="G511" s="115">
        <f>VLOOKUP(B511,'Insumos e Serviços'!$A:$F,6,0)</f>
        <v>69.03</v>
      </c>
      <c r="H511" s="115">
        <f t="shared" si="66"/>
        <v>1.55</v>
      </c>
    </row>
    <row r="512" spans="1:8" x14ac:dyDescent="0.2">
      <c r="A512" s="114" t="str">
        <f>VLOOKUP(B512,'Insumos e Serviços'!$A:$F,3,0)</f>
        <v>Material</v>
      </c>
      <c r="B512" s="109" t="s">
        <v>731</v>
      </c>
      <c r="C512" s="113" t="str">
        <f>VLOOKUP(B512,'Insumos e Serviços'!$A:$F,2,0)</f>
        <v>SINAPI</v>
      </c>
      <c r="D512" s="114" t="str">
        <f>VLOOKUP(B512,'Insumos e Serviços'!$A:$F,4,0)</f>
        <v>LIXA D'AGUA EM FOLHA, GRAO 100</v>
      </c>
      <c r="E512" s="113" t="str">
        <f>VLOOKUP(B512,'Insumos e Serviços'!$A:$F,5,0)</f>
        <v>UN</v>
      </c>
      <c r="F512" s="189">
        <v>5.7000000000000002E-2</v>
      </c>
      <c r="G512" s="115" t="str">
        <f>VLOOKUP(B512,'Insumos e Serviços'!$A:$F,6,0)</f>
        <v xml:space="preserve"> 2,05</v>
      </c>
      <c r="H512" s="115">
        <f t="shared" si="66"/>
        <v>0.11</v>
      </c>
    </row>
    <row r="513" spans="1:8" x14ac:dyDescent="0.2">
      <c r="A513" s="114" t="str">
        <f>VLOOKUP(B513,'Insumos e Serviços'!$A:$F,3,0)</f>
        <v>Insumo</v>
      </c>
      <c r="B513" s="109" t="s">
        <v>1015</v>
      </c>
      <c r="C513" s="113" t="str">
        <f>VLOOKUP(B513,'Insumos e Serviços'!$A:$F,2,0)</f>
        <v>Próprio</v>
      </c>
      <c r="D513" s="114" t="str">
        <f>VLOOKUP(B513,'Insumos e Serviços'!$A:$F,4,0)</f>
        <v>Tampa hermética em aço inox, DN 150mm, para fechamento de caixa sifonada</v>
      </c>
      <c r="E513" s="113" t="str">
        <f>VLOOKUP(B513,'Insumos e Serviços'!$A:$F,5,0)</f>
        <v>un</v>
      </c>
      <c r="F513" s="189">
        <v>1</v>
      </c>
      <c r="G513" s="115">
        <f>VLOOKUP(B513,'Insumos e Serviços'!$A:$F,6,0)</f>
        <v>14.47</v>
      </c>
      <c r="H513" s="115">
        <f t="shared" si="66"/>
        <v>14.47</v>
      </c>
    </row>
    <row r="514" spans="1:8" x14ac:dyDescent="0.2">
      <c r="A514" s="114" t="str">
        <f>VLOOKUP(B514,'Insumos e Serviços'!$A:$F,3,0)</f>
        <v>Material</v>
      </c>
      <c r="B514" s="109" t="s">
        <v>1017</v>
      </c>
      <c r="C514" s="113" t="str">
        <f>VLOOKUP(B514,'Insumos e Serviços'!$A:$F,2,0)</f>
        <v>SINAPI</v>
      </c>
      <c r="D514" s="114" t="str">
        <f>VLOOKUP(B514,'Insumos e Serviços'!$A:$F,4,0)</f>
        <v>CAIXA SIFONADA PVC, 150 X 185 X 75 MM, COM GRELHA QUADRADA BRANCA</v>
      </c>
      <c r="E514" s="113" t="str">
        <f>VLOOKUP(B514,'Insumos e Serviços'!$A:$F,5,0)</f>
        <v>UN</v>
      </c>
      <c r="F514" s="189">
        <v>1</v>
      </c>
      <c r="G514" s="115" t="str">
        <f>VLOOKUP(B514,'Insumos e Serviços'!$A:$F,6,0)</f>
        <v xml:space="preserve"> 57,70</v>
      </c>
      <c r="H514" s="115">
        <f t="shared" si="66"/>
        <v>57.7</v>
      </c>
    </row>
    <row r="515" spans="1:8" x14ac:dyDescent="0.2">
      <c r="A515" s="214"/>
      <c r="B515" s="215"/>
      <c r="C515" s="214"/>
      <c r="D515" s="216"/>
      <c r="E515" s="217"/>
      <c r="F515" s="218"/>
      <c r="G515" s="219"/>
      <c r="H515" s="219"/>
    </row>
    <row r="516" spans="1:8" ht="22.5" x14ac:dyDescent="0.2">
      <c r="A516" s="204" t="s">
        <v>425</v>
      </c>
      <c r="B516" s="54" t="str">
        <f>VLOOKUP(A516,'Orçamento Sintético'!$A:$H,2,0)</f>
        <v xml:space="preserve"> MPDFT0878 </v>
      </c>
      <c r="C516" s="54" t="str">
        <f>VLOOKUP(A516,'Orçamento Sintético'!$A:$H,3,0)</f>
        <v>Próprio</v>
      </c>
      <c r="D516" s="55" t="str">
        <f>VLOOKUP(A516,'Orçamento Sintético'!$A:$H,4,0)</f>
        <v>Caixa de inspeção em alvenaria 60x60 com tampa em ferro fundido T33, fundo e laje em concreto.</v>
      </c>
      <c r="E516" s="54" t="str">
        <f>VLOOKUP(A516,'Orçamento Sintético'!$A:$H,5,0)</f>
        <v>un</v>
      </c>
      <c r="F516" s="183"/>
      <c r="G516" s="184"/>
      <c r="H516" s="185">
        <f>SUM(H517:H523)</f>
        <v>954.86999999999989</v>
      </c>
    </row>
    <row r="517" spans="1:8" ht="22.5" x14ac:dyDescent="0.2">
      <c r="A517" s="114" t="str">
        <f>VLOOKUP(B517,'Insumos e Serviços'!$A:$F,3,0)</f>
        <v>Composição</v>
      </c>
      <c r="B517" s="109" t="s">
        <v>1019</v>
      </c>
      <c r="C517" s="113" t="str">
        <f>VLOOKUP(B517,'Insumos e Serviços'!$A:$F,2,0)</f>
        <v>SINAPI</v>
      </c>
      <c r="D517" s="114" t="str">
        <f>VLOOKUP(B517,'Insumos e Serviços'!$A:$F,4,0)</f>
        <v>ALVENARIA DE VEDAÇÃO DE BLOCOS CERÂMICOS MACIÇOS DE 5X10X20CM (ESPESSURA 10CM) E ARGAMASSA DE ASSENTAMENTO COM PREPARO EM BETONEIRA. AF_05/2020</v>
      </c>
      <c r="E517" s="113" t="str">
        <f>VLOOKUP(B517,'Insumos e Serviços'!$A:$F,5,0)</f>
        <v>m²</v>
      </c>
      <c r="F517" s="189">
        <v>2.1800000000000002</v>
      </c>
      <c r="G517" s="115">
        <f>VLOOKUP(B517,'Insumos e Serviços'!$A:$F,6,0)</f>
        <v>124.16</v>
      </c>
      <c r="H517" s="115">
        <f t="shared" ref="H517:H523" si="67">TRUNC(F517*G517,2)</f>
        <v>270.66000000000003</v>
      </c>
    </row>
    <row r="518" spans="1:8" ht="33.75" x14ac:dyDescent="0.2">
      <c r="A518" s="114" t="str">
        <f>VLOOKUP(B518,'Insumos e Serviços'!$A:$F,3,0)</f>
        <v>Composição</v>
      </c>
      <c r="B518" s="109" t="s">
        <v>1021</v>
      </c>
      <c r="C518" s="113" t="str">
        <f>VLOOKUP(B518,'Insumos e Serviços'!$A:$F,2,0)</f>
        <v>SINAPI</v>
      </c>
      <c r="D518" s="114" t="str">
        <f>VLOOKUP(B518,'Insumos e Serviços'!$A:$F,4,0)</f>
        <v>CHAPISCO APLICADO EM ALVENARIA (COM PRESENÇA DE VÃOS) E ESTRUTURAS DE CONCRETO DE FACHADA, COM COLHER DE PEDREIRO.  ARGAMASSA TRAÇO 1:3 COM PREPARO EM BETONEIRA 400L. AF_06/2014</v>
      </c>
      <c r="E518" s="113" t="str">
        <f>VLOOKUP(B518,'Insumos e Serviços'!$A:$F,5,0)</f>
        <v>m²</v>
      </c>
      <c r="F518" s="189">
        <v>1.8</v>
      </c>
      <c r="G518" s="115">
        <f>VLOOKUP(B518,'Insumos e Serviços'!$A:$F,6,0)</f>
        <v>7.5</v>
      </c>
      <c r="H518" s="115">
        <f t="shared" si="67"/>
        <v>13.5</v>
      </c>
    </row>
    <row r="519" spans="1:8" ht="22.5" x14ac:dyDescent="0.2">
      <c r="A519" s="114" t="str">
        <f>VLOOKUP(B519,'Insumos e Serviços'!$A:$F,3,0)</f>
        <v>Composição</v>
      </c>
      <c r="B519" s="109" t="s">
        <v>1023</v>
      </c>
      <c r="C519" s="113" t="str">
        <f>VLOOKUP(B519,'Insumos e Serviços'!$A:$F,2,0)</f>
        <v>SINAPI</v>
      </c>
      <c r="D519" s="114" t="str">
        <f>VLOOKUP(B519,'Insumos e Serviços'!$A:$F,4,0)</f>
        <v>(COMPOSIÇÃO REPRESENTATIVA) EXECUÇÃO DE ESTRUTURAS DE CONCRETO ARMADO, PARA EDIFICAÇÃO INSTITUCIONAL TÉRREA, FCK = 25 MPA. AF_01/2017</v>
      </c>
      <c r="E519" s="113" t="str">
        <f>VLOOKUP(B519,'Insumos e Serviços'!$A:$F,5,0)</f>
        <v>m³</v>
      </c>
      <c r="F519" s="189">
        <v>0.14449999999999999</v>
      </c>
      <c r="G519" s="115">
        <f>VLOOKUP(B519,'Insumos e Serviços'!$A:$F,6,0)</f>
        <v>2846.28</v>
      </c>
      <c r="H519" s="115">
        <f t="shared" si="67"/>
        <v>411.28</v>
      </c>
    </row>
    <row r="520" spans="1:8" ht="45" x14ac:dyDescent="0.2">
      <c r="A520" s="114" t="str">
        <f>VLOOKUP(B520,'Insumos e Serviços'!$A:$F,3,0)</f>
        <v>Composição</v>
      </c>
      <c r="B520" s="109" t="s">
        <v>1025</v>
      </c>
      <c r="C520" s="113" t="str">
        <f>VLOOKUP(B520,'Insumos e Serviços'!$A:$F,2,0)</f>
        <v>SINAPI</v>
      </c>
      <c r="D520" s="114" t="str">
        <f>VLOOKUP(B520,'Insumos e Serviços'!$A:$F,4,0)</f>
        <v>(COMPOSIÇÃO REPRESENTATIVA) DO SERVIÇO DE EMBOÇO/MASSA ÚNICA, TRAÇO 1:2:8, PREPARO MECÂNICO, COM BETONEIRA DE 400L, EM PAREDES DE AMBIENTES INTERNOS, COM EXECUÇÃO DE TALISCAS, PARA EDIFICAÇÃO HABITACIONAL MULTIFAMILIAR (PRÉDIO). AF_11/2014</v>
      </c>
      <c r="E520" s="113" t="str">
        <f>VLOOKUP(B520,'Insumos e Serviços'!$A:$F,5,0)</f>
        <v>m²</v>
      </c>
      <c r="F520" s="189">
        <v>1.8</v>
      </c>
      <c r="G520" s="115">
        <f>VLOOKUP(B520,'Insumos e Serviços'!$A:$F,6,0)</f>
        <v>31.28</v>
      </c>
      <c r="H520" s="115">
        <f t="shared" si="67"/>
        <v>56.3</v>
      </c>
    </row>
    <row r="521" spans="1:8" ht="22.5" x14ac:dyDescent="0.2">
      <c r="A521" s="114" t="str">
        <f>VLOOKUP(B521,'Insumos e Serviços'!$A:$F,3,0)</f>
        <v>Composição</v>
      </c>
      <c r="B521" s="109" t="s">
        <v>439</v>
      </c>
      <c r="C521" s="113" t="str">
        <f>VLOOKUP(B521,'Insumos e Serviços'!$A:$F,2,0)</f>
        <v>SINAPI</v>
      </c>
      <c r="D521" s="114" t="str">
        <f>VLOOKUP(B521,'Insumos e Serviços'!$A:$F,4,0)</f>
        <v>ESCAVAÇÃO MANUAL DE VALA COM PROFUNDIDADE MENOR OU IGUAL A 1,30 M. AF_03/2016</v>
      </c>
      <c r="E521" s="113" t="str">
        <f>VLOOKUP(B521,'Insumos e Serviços'!$A:$F,5,0)</f>
        <v>m³</v>
      </c>
      <c r="F521" s="189">
        <v>1</v>
      </c>
      <c r="G521" s="115">
        <f>VLOOKUP(B521,'Insumos e Serviços'!$A:$F,6,0)</f>
        <v>67.92</v>
      </c>
      <c r="H521" s="115">
        <f t="shared" si="67"/>
        <v>67.92</v>
      </c>
    </row>
    <row r="522" spans="1:8" ht="45" x14ac:dyDescent="0.2">
      <c r="A522" s="114" t="str">
        <f>VLOOKUP(B522,'Insumos e Serviços'!$A:$F,3,0)</f>
        <v>Composição</v>
      </c>
      <c r="B522" s="109" t="s">
        <v>400</v>
      </c>
      <c r="C522" s="113" t="str">
        <f>VLOOKUP(B522,'Insumos e Serviços'!$A:$F,2,0)</f>
        <v>SINAPI</v>
      </c>
      <c r="D522" s="114" t="str">
        <f>VLOOKUP(B522,'Insumos e Serviços'!$A:$F,4,0)</f>
        <v>(COMPOSIÇÃO REPRESENTATIVA) DO SERVIÇO DE INST. TUBO PVC, SÉRIE N, ESGOTO PREDIAL, 100 MM (INST. RAMAL DESCARGA, RAMAL DE ESG. SANIT., PRUMADA ESG. SANIT., VENTILAÇÃO OU SUB-COLETOR AÉREO), INCL. CONEXÕES E CORTES, FIXAÇÕES, P/ PRÉDIOS. AF_10/2015</v>
      </c>
      <c r="E522" s="113" t="str">
        <f>VLOOKUP(B522,'Insumos e Serviços'!$A:$F,5,0)</f>
        <v>M</v>
      </c>
      <c r="F522" s="189">
        <v>0.3</v>
      </c>
      <c r="G522" s="115">
        <f>VLOOKUP(B522,'Insumos e Serviços'!$A:$F,6,0)</f>
        <v>62.7</v>
      </c>
      <c r="H522" s="115">
        <f t="shared" si="67"/>
        <v>18.809999999999999</v>
      </c>
    </row>
    <row r="523" spans="1:8" x14ac:dyDescent="0.2">
      <c r="A523" s="114" t="str">
        <f>VLOOKUP(B523,'Insumos e Serviços'!$A:$F,3,0)</f>
        <v>Insumo</v>
      </c>
      <c r="B523" s="109" t="s">
        <v>1027</v>
      </c>
      <c r="C523" s="113" t="str">
        <f>VLOOKUP(B523,'Insumos e Serviços'!$A:$F,2,0)</f>
        <v>Próprio</v>
      </c>
      <c r="D523" s="114" t="str">
        <f>VLOOKUP(B523,'Insumos e Serviços'!$A:$F,4,0)</f>
        <v>Tampão Esgoto Simples T33 Ferro Fundido 52x42cm</v>
      </c>
      <c r="E523" s="113" t="str">
        <f>VLOOKUP(B523,'Insumos e Serviços'!$A:$F,5,0)</f>
        <v>un</v>
      </c>
      <c r="F523" s="189">
        <v>1</v>
      </c>
      <c r="G523" s="115" t="str">
        <f>VLOOKUP(B523,'Insumos e Serviços'!$A:$F,6,0)</f>
        <v xml:space="preserve"> 116,40</v>
      </c>
      <c r="H523" s="115">
        <f t="shared" si="67"/>
        <v>116.4</v>
      </c>
    </row>
    <row r="524" spans="1:8" x14ac:dyDescent="0.2">
      <c r="A524" s="214"/>
      <c r="B524" s="215"/>
      <c r="C524" s="229"/>
      <c r="D524" s="229"/>
      <c r="E524" s="230"/>
      <c r="F524" s="218"/>
      <c r="G524" s="231"/>
      <c r="H524" s="219"/>
    </row>
    <row r="525" spans="1:8" x14ac:dyDescent="0.2">
      <c r="A525" s="199" t="s">
        <v>428</v>
      </c>
      <c r="B525" s="199"/>
      <c r="C525" s="199"/>
      <c r="D525" s="200" t="s">
        <v>429</v>
      </c>
      <c r="E525" s="201"/>
      <c r="F525" s="202"/>
      <c r="G525" s="199"/>
      <c r="H525" s="203"/>
    </row>
    <row r="526" spans="1:8" x14ac:dyDescent="0.2">
      <c r="A526" s="209" t="s">
        <v>430</v>
      </c>
      <c r="B526" s="209"/>
      <c r="C526" s="209"/>
      <c r="D526" s="210" t="s">
        <v>431</v>
      </c>
      <c r="E526" s="211"/>
      <c r="F526" s="212"/>
      <c r="G526" s="209"/>
      <c r="H526" s="213"/>
    </row>
    <row r="527" spans="1:8" ht="22.5" x14ac:dyDescent="0.2">
      <c r="A527" s="204" t="s">
        <v>432</v>
      </c>
      <c r="B527" s="54" t="str">
        <f>VLOOKUP(A527,'Orçamento Sintético'!$A:$H,2,0)</f>
        <v xml:space="preserve"> MPDFT0109 </v>
      </c>
      <c r="C527" s="54" t="str">
        <f>VLOOKUP(A527,'Orçamento Sintético'!$A:$H,3,0)</f>
        <v>Próprio</v>
      </c>
      <c r="D527" s="55" t="str">
        <f>VLOOKUP(A527,'Orçamento Sintético'!$A:$H,4,0)</f>
        <v>Copia da CPOS (04.30.060) - Remoção de tubulação hidráulica em geral, incluindo conexões, caixas e ralos</v>
      </c>
      <c r="E527" s="54" t="str">
        <f>VLOOKUP(A527,'Orçamento Sintético'!$A:$H,5,0)</f>
        <v>m</v>
      </c>
      <c r="F527" s="183"/>
      <c r="G527" s="184"/>
      <c r="H527" s="185">
        <f>SUM(H528)</f>
        <v>6.86</v>
      </c>
    </row>
    <row r="528" spans="1:8" x14ac:dyDescent="0.2">
      <c r="A528" s="114" t="str">
        <f>VLOOKUP(B528,'Insumos e Serviços'!$A:$F,3,0)</f>
        <v>Composição</v>
      </c>
      <c r="B528" s="109" t="s">
        <v>597</v>
      </c>
      <c r="C528" s="113" t="str">
        <f>VLOOKUP(B528,'Insumos e Serviços'!$A:$F,2,0)</f>
        <v>SINAPI</v>
      </c>
      <c r="D528" s="114" t="str">
        <f>VLOOKUP(B528,'Insumos e Serviços'!$A:$F,4,0)</f>
        <v>SERVENTE COM ENCARGOS COMPLEMENTARES</v>
      </c>
      <c r="E528" s="113" t="str">
        <f>VLOOKUP(B528,'Insumos e Serviços'!$A:$F,5,0)</f>
        <v>H</v>
      </c>
      <c r="F528" s="189">
        <v>0.4</v>
      </c>
      <c r="G528" s="115">
        <f>VLOOKUP(B528,'Insumos e Serviços'!$A:$F,6,0)</f>
        <v>17.170000000000002</v>
      </c>
      <c r="H528" s="115">
        <f t="shared" ref="H528" si="68">TRUNC(F528*G528,2)</f>
        <v>6.86</v>
      </c>
    </row>
    <row r="529" spans="1:8" x14ac:dyDescent="0.2">
      <c r="A529" s="205"/>
      <c r="B529" s="205"/>
      <c r="C529" s="205"/>
      <c r="D529" s="206"/>
      <c r="E529" s="207"/>
      <c r="F529" s="208"/>
      <c r="G529" s="205"/>
      <c r="H529" s="205"/>
    </row>
    <row r="530" spans="1:8" x14ac:dyDescent="0.2">
      <c r="A530" s="194" t="s">
        <v>444</v>
      </c>
      <c r="B530" s="194"/>
      <c r="C530" s="194"/>
      <c r="D530" s="195" t="s">
        <v>445</v>
      </c>
      <c r="E530" s="196"/>
      <c r="F530" s="197"/>
      <c r="G530" s="194"/>
      <c r="H530" s="198"/>
    </row>
    <row r="531" spans="1:8" x14ac:dyDescent="0.2">
      <c r="A531" s="199" t="s">
        <v>446</v>
      </c>
      <c r="B531" s="199"/>
      <c r="C531" s="199"/>
      <c r="D531" s="200" t="s">
        <v>447</v>
      </c>
      <c r="E531" s="201"/>
      <c r="F531" s="202"/>
      <c r="G531" s="199"/>
      <c r="H531" s="203"/>
    </row>
    <row r="532" spans="1:8" x14ac:dyDescent="0.2">
      <c r="A532" s="209" t="s">
        <v>448</v>
      </c>
      <c r="B532" s="209"/>
      <c r="C532" s="209"/>
      <c r="D532" s="210" t="s">
        <v>449</v>
      </c>
      <c r="E532" s="211"/>
      <c r="F532" s="212"/>
      <c r="G532" s="209"/>
      <c r="H532" s="213"/>
    </row>
    <row r="533" spans="1:8" x14ac:dyDescent="0.2">
      <c r="A533" s="204" t="s">
        <v>450</v>
      </c>
      <c r="B533" s="54" t="str">
        <f>VLOOKUP(A533,'Orçamento Sintético'!$A:$H,2,0)</f>
        <v xml:space="preserve"> MPDFT0927 </v>
      </c>
      <c r="C533" s="54" t="str">
        <f>VLOOKUP(A533,'Orçamento Sintético'!$A:$H,3,0)</f>
        <v>Próprio</v>
      </c>
      <c r="D533" s="55" t="str">
        <f>VLOOKUP(A533,'Orçamento Sintético'!$A:$H,4,0)</f>
        <v>Quadro QT-N-SS - PJDIJ e PJSA</v>
      </c>
      <c r="E533" s="54" t="str">
        <f>VLOOKUP(A533,'Orçamento Sintético'!$A:$H,5,0)</f>
        <v>un</v>
      </c>
      <c r="F533" s="183"/>
      <c r="G533" s="184"/>
      <c r="H533" s="185">
        <f>SUM(H534:H536)</f>
        <v>8331.4</v>
      </c>
    </row>
    <row r="534" spans="1:8" x14ac:dyDescent="0.2">
      <c r="A534" s="114" t="str">
        <f>VLOOKUP(B534,'Insumos e Serviços'!$A:$F,3,0)</f>
        <v>Composição</v>
      </c>
      <c r="B534" s="109" t="s">
        <v>621</v>
      </c>
      <c r="C534" s="113" t="str">
        <f>VLOOKUP(B534,'Insumos e Serviços'!$A:$F,2,0)</f>
        <v>SINAPI</v>
      </c>
      <c r="D534" s="114" t="str">
        <f>VLOOKUP(B534,'Insumos e Serviços'!$A:$F,4,0)</f>
        <v>AUXILIAR DE ELETRICISTA COM ENCARGOS COMPLEMENTARES</v>
      </c>
      <c r="E534" s="113" t="str">
        <f>VLOOKUP(B534,'Insumos e Serviços'!$A:$F,5,0)</f>
        <v>H</v>
      </c>
      <c r="F534" s="189">
        <v>10</v>
      </c>
      <c r="G534" s="115">
        <f>VLOOKUP(B534,'Insumos e Serviços'!$A:$F,6,0)</f>
        <v>18.28</v>
      </c>
      <c r="H534" s="115">
        <f t="shared" ref="H534:H536" si="69">TRUNC(F534*G534,2)</f>
        <v>182.8</v>
      </c>
    </row>
    <row r="535" spans="1:8" x14ac:dyDescent="0.2">
      <c r="A535" s="114" t="str">
        <f>VLOOKUP(B535,'Insumos e Serviços'!$A:$F,3,0)</f>
        <v>Composição</v>
      </c>
      <c r="B535" s="109" t="s">
        <v>619</v>
      </c>
      <c r="C535" s="113" t="str">
        <f>VLOOKUP(B535,'Insumos e Serviços'!$A:$F,2,0)</f>
        <v>SINAPI</v>
      </c>
      <c r="D535" s="114" t="str">
        <f>VLOOKUP(B535,'Insumos e Serviços'!$A:$F,4,0)</f>
        <v>ELETRICISTA COM ENCARGOS COMPLEMENTARES</v>
      </c>
      <c r="E535" s="113" t="str">
        <f>VLOOKUP(B535,'Insumos e Serviços'!$A:$F,5,0)</f>
        <v>H</v>
      </c>
      <c r="F535" s="189">
        <v>10</v>
      </c>
      <c r="G535" s="115">
        <f>VLOOKUP(B535,'Insumos e Serviços'!$A:$F,6,0)</f>
        <v>23.44</v>
      </c>
      <c r="H535" s="115">
        <f t="shared" si="69"/>
        <v>234.4</v>
      </c>
    </row>
    <row r="536" spans="1:8" x14ac:dyDescent="0.2">
      <c r="A536" s="114" t="str">
        <f>VLOOKUP(B536,'Insumos e Serviços'!$A:$F,3,0)</f>
        <v>Insumo</v>
      </c>
      <c r="B536" s="109" t="s">
        <v>1029</v>
      </c>
      <c r="C536" s="113" t="str">
        <f>VLOOKUP(B536,'Insumos e Serviços'!$A:$F,2,0)</f>
        <v>Próprio</v>
      </c>
      <c r="D536" s="114" t="str">
        <f>VLOOKUP(B536,'Insumos e Serviços'!$A:$F,4,0)</f>
        <v>Quadro QT-N-SS - PJDIJ e PJSA</v>
      </c>
      <c r="E536" s="113" t="str">
        <f>VLOOKUP(B536,'Insumos e Serviços'!$A:$F,5,0)</f>
        <v>un</v>
      </c>
      <c r="F536" s="189">
        <v>1</v>
      </c>
      <c r="G536" s="115" t="str">
        <f>VLOOKUP(B536,'Insumos e Serviços'!$A:$F,6,0)</f>
        <v xml:space="preserve"> 7.914,20</v>
      </c>
      <c r="H536" s="115">
        <f t="shared" si="69"/>
        <v>7914.2</v>
      </c>
    </row>
    <row r="537" spans="1:8" x14ac:dyDescent="0.2">
      <c r="A537" s="205"/>
      <c r="B537" s="205"/>
      <c r="C537" s="205"/>
      <c r="D537" s="206"/>
      <c r="E537" s="207"/>
      <c r="F537" s="208"/>
      <c r="G537" s="205"/>
      <c r="H537" s="205"/>
    </row>
    <row r="538" spans="1:8" ht="22.5" x14ac:dyDescent="0.2">
      <c r="A538" s="204" t="s">
        <v>470</v>
      </c>
      <c r="B538" s="54" t="str">
        <f>VLOOKUP(A538,'Orçamento Sintético'!$A:$H,2,0)</f>
        <v xml:space="preserve"> MPDFT0352 </v>
      </c>
      <c r="C538" s="54" t="str">
        <f>VLOOKUP(A538,'Orçamento Sintético'!$A:$H,3,0)</f>
        <v>Próprio</v>
      </c>
      <c r="D538" s="55" t="str">
        <f>VLOOKUP(A538,'Orçamento Sintético'!$A:$H,4,0)</f>
        <v>Copia da SINAPI (95727) - Eletroduto rígido soldável, PVC cor cinza, dn 25mm (3/4”), aparente, instalado em teto – fornecimento e instalação</v>
      </c>
      <c r="E538" s="54" t="str">
        <f>VLOOKUP(A538,'Orçamento Sintético'!$A:$H,5,0)</f>
        <v>m</v>
      </c>
      <c r="F538" s="183"/>
      <c r="G538" s="184"/>
      <c r="H538" s="185">
        <f>SUM(H539:H542)</f>
        <v>15.93</v>
      </c>
    </row>
    <row r="539" spans="1:8" x14ac:dyDescent="0.2">
      <c r="A539" s="114" t="str">
        <f>VLOOKUP(B539,'Insumos e Serviços'!$A:$F,3,0)</f>
        <v>Composição</v>
      </c>
      <c r="B539" s="109" t="s">
        <v>621</v>
      </c>
      <c r="C539" s="113" t="str">
        <f>VLOOKUP(B539,'Insumos e Serviços'!$A:$F,2,0)</f>
        <v>SINAPI</v>
      </c>
      <c r="D539" s="114" t="str">
        <f>VLOOKUP(B539,'Insumos e Serviços'!$A:$F,4,0)</f>
        <v>AUXILIAR DE ELETRICISTA COM ENCARGOS COMPLEMENTARES</v>
      </c>
      <c r="E539" s="113" t="str">
        <f>VLOOKUP(B539,'Insumos e Serviços'!$A:$F,5,0)</f>
        <v>H</v>
      </c>
      <c r="F539" s="189">
        <v>3.9100000000000003E-2</v>
      </c>
      <c r="G539" s="115">
        <f>VLOOKUP(B539,'Insumos e Serviços'!$A:$F,6,0)</f>
        <v>18.28</v>
      </c>
      <c r="H539" s="115">
        <f t="shared" ref="H539:H542" si="70">TRUNC(F539*G539,2)</f>
        <v>0.71</v>
      </c>
    </row>
    <row r="540" spans="1:8" x14ac:dyDescent="0.2">
      <c r="A540" s="114" t="str">
        <f>VLOOKUP(B540,'Insumos e Serviços'!$A:$F,3,0)</f>
        <v>Composição</v>
      </c>
      <c r="B540" s="109" t="s">
        <v>619</v>
      </c>
      <c r="C540" s="113" t="str">
        <f>VLOOKUP(B540,'Insumos e Serviços'!$A:$F,2,0)</f>
        <v>SINAPI</v>
      </c>
      <c r="D540" s="114" t="str">
        <f>VLOOKUP(B540,'Insumos e Serviços'!$A:$F,4,0)</f>
        <v>ELETRICISTA COM ENCARGOS COMPLEMENTARES</v>
      </c>
      <c r="E540" s="113" t="str">
        <f>VLOOKUP(B540,'Insumos e Serviços'!$A:$F,5,0)</f>
        <v>H</v>
      </c>
      <c r="F540" s="189">
        <v>3.9100000000000003E-2</v>
      </c>
      <c r="G540" s="115">
        <f>VLOOKUP(B540,'Insumos e Serviços'!$A:$F,6,0)</f>
        <v>23.44</v>
      </c>
      <c r="H540" s="115">
        <f t="shared" si="70"/>
        <v>0.91</v>
      </c>
    </row>
    <row r="541" spans="1:8" ht="33.75" x14ac:dyDescent="0.2">
      <c r="A541" s="114" t="str">
        <f>VLOOKUP(B541,'Insumos e Serviços'!$A:$F,3,0)</f>
        <v>Composição</v>
      </c>
      <c r="B541" s="109" t="s">
        <v>1030</v>
      </c>
      <c r="C541" s="113" t="str">
        <f>VLOOKUP(B541,'Insumos e Serviços'!$A:$F,2,0)</f>
        <v>SINAPI</v>
      </c>
      <c r="D541" s="114" t="str">
        <f>VLOOKUP(B541,'Insumos e Serviços'!$A:$F,4,0)</f>
        <v>FIXAÇÃO DE TUBOS HORIZONTAIS DE PVC, CPVC OU COBRE DIÂMETROS MENORES OU IGUAIS A 40 MM OU ELETROCALHAS ATÉ 150MM DE LARGURA, COM ABRAÇADEIRA METÁLICA RÍGIDA TIPO D 1/2, FIXADA EM PERFILADO EM LAJE. AF_05/2015</v>
      </c>
      <c r="E541" s="113" t="str">
        <f>VLOOKUP(B541,'Insumos e Serviços'!$A:$F,5,0)</f>
        <v>M</v>
      </c>
      <c r="F541" s="189">
        <v>1</v>
      </c>
      <c r="G541" s="115">
        <f>VLOOKUP(B541,'Insumos e Serviços'!$A:$F,6,0)</f>
        <v>2.5</v>
      </c>
      <c r="H541" s="115">
        <f t="shared" si="70"/>
        <v>2.5</v>
      </c>
    </row>
    <row r="542" spans="1:8" ht="22.5" x14ac:dyDescent="0.2">
      <c r="A542" s="114" t="str">
        <f>VLOOKUP(B542,'Insumos e Serviços'!$A:$F,3,0)</f>
        <v>Insumo</v>
      </c>
      <c r="B542" s="109" t="s">
        <v>1032</v>
      </c>
      <c r="C542" s="113" t="str">
        <f>VLOOKUP(B542,'Insumos e Serviços'!$A:$F,2,0)</f>
        <v>SINAPI</v>
      </c>
      <c r="D542" s="114" t="str">
        <f>VLOOKUP(B542,'Insumos e Serviços'!$A:$F,4,0)</f>
        <v>ELETRODUTO/CONDULETE DE PVC RIGIDO, LISO, COR CINZA, DE 3/4", PARA INSTALACOES APARENTES (NBR 5410)</v>
      </c>
      <c r="E542" s="113" t="str">
        <f>VLOOKUP(B542,'Insumos e Serviços'!$A:$F,5,0)</f>
        <v>M</v>
      </c>
      <c r="F542" s="189">
        <v>1.0481</v>
      </c>
      <c r="G542" s="115">
        <f>VLOOKUP(B542,'Insumos e Serviços'!$A:$F,6,0)</f>
        <v>11.27</v>
      </c>
      <c r="H542" s="115">
        <f t="shared" si="70"/>
        <v>11.81</v>
      </c>
    </row>
    <row r="543" spans="1:8" x14ac:dyDescent="0.2">
      <c r="A543" s="205"/>
      <c r="B543" s="205"/>
      <c r="C543" s="205"/>
      <c r="D543" s="206"/>
      <c r="E543" s="207"/>
      <c r="F543" s="208"/>
      <c r="G543" s="205"/>
      <c r="H543" s="205"/>
    </row>
    <row r="544" spans="1:8" x14ac:dyDescent="0.2">
      <c r="A544" s="204" t="s">
        <v>473</v>
      </c>
      <c r="B544" s="54" t="str">
        <f>VLOOKUP(A544,'Orçamento Sintético'!$A:$H,2,0)</f>
        <v xml:space="preserve"> MPDFT0362 </v>
      </c>
      <c r="C544" s="54" t="str">
        <f>VLOOKUP(A544,'Orçamento Sintético'!$A:$H,3,0)</f>
        <v>Próprio</v>
      </c>
      <c r="D544" s="55" t="str">
        <f>VLOOKUP(A544,'Orçamento Sintético'!$A:$H,4,0)</f>
        <v>Ponto de tomada simples (PTS) média</v>
      </c>
      <c r="E544" s="54" t="str">
        <f>VLOOKUP(A544,'Orçamento Sintético'!$A:$H,5,0)</f>
        <v>un</v>
      </c>
      <c r="F544" s="183"/>
      <c r="G544" s="184"/>
      <c r="H544" s="185">
        <f>SUM(H545:H546)</f>
        <v>39.17</v>
      </c>
    </row>
    <row r="545" spans="1:8" ht="22.5" x14ac:dyDescent="0.2">
      <c r="A545" s="114" t="str">
        <f>VLOOKUP(B545,'Insumos e Serviços'!$A:$F,3,0)</f>
        <v>Composição</v>
      </c>
      <c r="B545" s="109" t="s">
        <v>1034</v>
      </c>
      <c r="C545" s="113" t="str">
        <f>VLOOKUP(B545,'Insumos e Serviços'!$A:$F,2,0)</f>
        <v>SINAPI</v>
      </c>
      <c r="D545" s="114" t="str">
        <f>VLOOKUP(B545,'Insumos e Serviços'!$A:$F,4,0)</f>
        <v>TOMADA MÉDIA DE EMBUTIR (1 MÓDULO), 2P+T 10 A, INCLUINDO SUPORTE E PLACA - FORNECIMENTO E INSTALAÇÃO. AF_12/2015</v>
      </c>
      <c r="E545" s="113" t="str">
        <f>VLOOKUP(B545,'Insumos e Serviços'!$A:$F,5,0)</f>
        <v>UN</v>
      </c>
      <c r="F545" s="189">
        <v>1</v>
      </c>
      <c r="G545" s="115">
        <f>VLOOKUP(B545,'Insumos e Serviços'!$A:$F,6,0)</f>
        <v>26.38</v>
      </c>
      <c r="H545" s="115">
        <f t="shared" ref="H545:H546" si="71">TRUNC(F545*G545,2)</f>
        <v>26.38</v>
      </c>
    </row>
    <row r="546" spans="1:8" ht="22.5" x14ac:dyDescent="0.2">
      <c r="A546" s="114" t="str">
        <f>VLOOKUP(B546,'Insumos e Serviços'!$A:$F,3,0)</f>
        <v>Composição</v>
      </c>
      <c r="B546" s="109" t="s">
        <v>492</v>
      </c>
      <c r="C546" s="113" t="str">
        <f>VLOOKUP(B546,'Insumos e Serviços'!$A:$F,2,0)</f>
        <v>SINAPI</v>
      </c>
      <c r="D546" s="114" t="str">
        <f>VLOOKUP(B546,'Insumos e Serviços'!$A:$F,4,0)</f>
        <v>CAIXA RETANGULAR 4" X 2" MÉDIA (1,30 M DO PISO), PVC, INSTALADA EM PAREDE - FORNECIMENTO E INSTALAÇÃO. AF_12/2015</v>
      </c>
      <c r="E546" s="113" t="str">
        <f>VLOOKUP(B546,'Insumos e Serviços'!$A:$F,5,0)</f>
        <v>UN</v>
      </c>
      <c r="F546" s="189">
        <v>1</v>
      </c>
      <c r="G546" s="115">
        <f>VLOOKUP(B546,'Insumos e Serviços'!$A:$F,6,0)</f>
        <v>12.79</v>
      </c>
      <c r="H546" s="115">
        <f t="shared" si="71"/>
        <v>12.79</v>
      </c>
    </row>
    <row r="547" spans="1:8" x14ac:dyDescent="0.2">
      <c r="A547" s="205"/>
      <c r="B547" s="205"/>
      <c r="C547" s="205"/>
      <c r="D547" s="206"/>
      <c r="E547" s="207"/>
      <c r="F547" s="208"/>
      <c r="G547" s="205"/>
      <c r="H547" s="205"/>
    </row>
    <row r="548" spans="1:8" ht="22.5" x14ac:dyDescent="0.2">
      <c r="A548" s="204" t="s">
        <v>476</v>
      </c>
      <c r="B548" s="54" t="str">
        <f>VLOOKUP(A548,'Orçamento Sintético'!$A:$H,2,0)</f>
        <v xml:space="preserve"> MPDFT0402 </v>
      </c>
      <c r="C548" s="54" t="str">
        <f>VLOOKUP(A548,'Orçamento Sintético'!$A:$H,3,0)</f>
        <v>Próprio</v>
      </c>
      <c r="D548" s="55" t="str">
        <f>VLOOKUP(A548,'Orçamento Sintético'!$A:$H,4,0)</f>
        <v>Copia da SINAPI (95728) - Eletroduto rígido soldável, PVC cor cinza, dn 32mm (1”), aparente, instalado em teto – fornecimento e instalação</v>
      </c>
      <c r="E548" s="54" t="str">
        <f>VLOOKUP(A548,'Orçamento Sintético'!$A:$H,5,0)</f>
        <v>m</v>
      </c>
      <c r="F548" s="183"/>
      <c r="G548" s="184"/>
      <c r="H548" s="185">
        <f>SUM(H549:H552)</f>
        <v>21.75</v>
      </c>
    </row>
    <row r="549" spans="1:8" x14ac:dyDescent="0.2">
      <c r="A549" s="114" t="str">
        <f>VLOOKUP(B549,'Insumos e Serviços'!$A:$F,3,0)</f>
        <v>Composição</v>
      </c>
      <c r="B549" s="109" t="s">
        <v>621</v>
      </c>
      <c r="C549" s="113" t="str">
        <f>VLOOKUP(B549,'Insumos e Serviços'!$A:$F,2,0)</f>
        <v>SINAPI</v>
      </c>
      <c r="D549" s="114" t="str">
        <f>VLOOKUP(B549,'Insumos e Serviços'!$A:$F,4,0)</f>
        <v>AUXILIAR DE ELETRICISTA COM ENCARGOS COMPLEMENTARES</v>
      </c>
      <c r="E549" s="113" t="str">
        <f>VLOOKUP(B549,'Insumos e Serviços'!$A:$F,5,0)</f>
        <v>H</v>
      </c>
      <c r="F549" s="189">
        <v>5.0599999999999999E-2</v>
      </c>
      <c r="G549" s="115">
        <f>VLOOKUP(B549,'Insumos e Serviços'!$A:$F,6,0)</f>
        <v>18.28</v>
      </c>
      <c r="H549" s="115">
        <f t="shared" ref="H549:H552" si="72">TRUNC(F549*G549,2)</f>
        <v>0.92</v>
      </c>
    </row>
    <row r="550" spans="1:8" x14ac:dyDescent="0.2">
      <c r="A550" s="114" t="str">
        <f>VLOOKUP(B550,'Insumos e Serviços'!$A:$F,3,0)</f>
        <v>Composição</v>
      </c>
      <c r="B550" s="109" t="s">
        <v>619</v>
      </c>
      <c r="C550" s="113" t="str">
        <f>VLOOKUP(B550,'Insumos e Serviços'!$A:$F,2,0)</f>
        <v>SINAPI</v>
      </c>
      <c r="D550" s="114" t="str">
        <f>VLOOKUP(B550,'Insumos e Serviços'!$A:$F,4,0)</f>
        <v>ELETRICISTA COM ENCARGOS COMPLEMENTARES</v>
      </c>
      <c r="E550" s="113" t="str">
        <f>VLOOKUP(B550,'Insumos e Serviços'!$A:$F,5,0)</f>
        <v>H</v>
      </c>
      <c r="F550" s="189">
        <v>5.0599999999999999E-2</v>
      </c>
      <c r="G550" s="115">
        <f>VLOOKUP(B550,'Insumos e Serviços'!$A:$F,6,0)</f>
        <v>23.44</v>
      </c>
      <c r="H550" s="115">
        <f t="shared" si="72"/>
        <v>1.18</v>
      </c>
    </row>
    <row r="551" spans="1:8" ht="33.75" x14ac:dyDescent="0.2">
      <c r="A551" s="114" t="str">
        <f>VLOOKUP(B551,'Insumos e Serviços'!$A:$F,3,0)</f>
        <v>Composição</v>
      </c>
      <c r="B551" s="109" t="s">
        <v>1030</v>
      </c>
      <c r="C551" s="113" t="str">
        <f>VLOOKUP(B551,'Insumos e Serviços'!$A:$F,2,0)</f>
        <v>SINAPI</v>
      </c>
      <c r="D551" s="114" t="str">
        <f>VLOOKUP(B551,'Insumos e Serviços'!$A:$F,4,0)</f>
        <v>FIXAÇÃO DE TUBOS HORIZONTAIS DE PVC, CPVC OU COBRE DIÂMETROS MENORES OU IGUAIS A 40 MM OU ELETROCALHAS ATÉ 150MM DE LARGURA, COM ABRAÇADEIRA METÁLICA RÍGIDA TIPO D 1/2, FIXADA EM PERFILADO EM LAJE. AF_05/2015</v>
      </c>
      <c r="E551" s="113" t="str">
        <f>VLOOKUP(B551,'Insumos e Serviços'!$A:$F,5,0)</f>
        <v>M</v>
      </c>
      <c r="F551" s="189">
        <v>1</v>
      </c>
      <c r="G551" s="115">
        <f>VLOOKUP(B551,'Insumos e Serviços'!$A:$F,6,0)</f>
        <v>2.5</v>
      </c>
      <c r="H551" s="115">
        <f t="shared" si="72"/>
        <v>2.5</v>
      </c>
    </row>
    <row r="552" spans="1:8" ht="22.5" x14ac:dyDescent="0.2">
      <c r="A552" s="114" t="str">
        <f>VLOOKUP(B552,'Insumos e Serviços'!$A:$F,3,0)</f>
        <v>Material</v>
      </c>
      <c r="B552" s="109" t="s">
        <v>1036</v>
      </c>
      <c r="C552" s="113" t="str">
        <f>VLOOKUP(B552,'Insumos e Serviços'!$A:$F,2,0)</f>
        <v>SINAPI</v>
      </c>
      <c r="D552" s="114" t="str">
        <f>VLOOKUP(B552,'Insumos e Serviços'!$A:$F,4,0)</f>
        <v>ELETRODUTO/CONDULETE DE PVC RIGIDO, LISO, COR CINZA, DE 1", PARA INSTALACOES APARENTES (NBR 5410)</v>
      </c>
      <c r="E552" s="113" t="str">
        <f>VLOOKUP(B552,'Insumos e Serviços'!$A:$F,5,0)</f>
        <v>M</v>
      </c>
      <c r="F552" s="189">
        <v>1.0481</v>
      </c>
      <c r="G552" s="115" t="str">
        <f>VLOOKUP(B552,'Insumos e Serviços'!$A:$F,6,0)</f>
        <v xml:space="preserve"> 16,37</v>
      </c>
      <c r="H552" s="115">
        <f t="shared" si="72"/>
        <v>17.149999999999999</v>
      </c>
    </row>
    <row r="553" spans="1:8" x14ac:dyDescent="0.2">
      <c r="A553" s="205"/>
      <c r="B553" s="205"/>
      <c r="C553" s="205"/>
      <c r="D553" s="206"/>
      <c r="E553" s="207"/>
      <c r="F553" s="208"/>
      <c r="G553" s="205"/>
      <c r="H553" s="205"/>
    </row>
    <row r="554" spans="1:8" x14ac:dyDescent="0.2">
      <c r="A554" s="204" t="s">
        <v>479</v>
      </c>
      <c r="B554" s="54" t="str">
        <f>VLOOKUP(A554,'Orçamento Sintético'!$A:$H,2,0)</f>
        <v xml:space="preserve"> MPDFT0366 </v>
      </c>
      <c r="C554" s="54" t="str">
        <f>VLOOKUP(A554,'Orçamento Sintético'!$A:$H,3,0)</f>
        <v>Próprio</v>
      </c>
      <c r="D554" s="55" t="str">
        <f>VLOOKUP(A554,'Orçamento Sintético'!$A:$H,4,0)</f>
        <v>Ponto de tomada de potência (PTP) alta</v>
      </c>
      <c r="E554" s="54" t="str">
        <f>VLOOKUP(A554,'Orçamento Sintético'!$A:$H,5,0)</f>
        <v>un</v>
      </c>
      <c r="F554" s="183"/>
      <c r="G554" s="184"/>
      <c r="H554" s="185">
        <f>SUM(H555:H556)</f>
        <v>60.26</v>
      </c>
    </row>
    <row r="555" spans="1:8" ht="22.5" x14ac:dyDescent="0.2">
      <c r="A555" s="114" t="str">
        <f>VLOOKUP(B555,'Insumos e Serviços'!$A:$F,3,0)</f>
        <v>Composição</v>
      </c>
      <c r="B555" s="109" t="s">
        <v>1038</v>
      </c>
      <c r="C555" s="113" t="str">
        <f>VLOOKUP(B555,'Insumos e Serviços'!$A:$F,2,0)</f>
        <v>SINAPI</v>
      </c>
      <c r="D555" s="114" t="str">
        <f>VLOOKUP(B555,'Insumos e Serviços'!$A:$F,4,0)</f>
        <v>TOMADA ALTA DE EMBUTIR (1 MÓDULO), 2P+T 20 A, INCLUINDO SUPORTE E PLACA - FORNECIMENTO E INSTALAÇÃO. AF_12/2015</v>
      </c>
      <c r="E555" s="113" t="str">
        <f>VLOOKUP(B555,'Insumos e Serviços'!$A:$F,5,0)</f>
        <v>UN</v>
      </c>
      <c r="F555" s="189">
        <v>1</v>
      </c>
      <c r="G555" s="115">
        <f>VLOOKUP(B555,'Insumos e Serviços'!$A:$F,6,0)</f>
        <v>36.119999999999997</v>
      </c>
      <c r="H555" s="115">
        <f t="shared" ref="H555:H556" si="73">TRUNC(F555*G555,2)</f>
        <v>36.119999999999997</v>
      </c>
    </row>
    <row r="556" spans="1:8" ht="22.5" x14ac:dyDescent="0.2">
      <c r="A556" s="114" t="str">
        <f>VLOOKUP(B556,'Insumos e Serviços'!$A:$F,3,0)</f>
        <v>Composição</v>
      </c>
      <c r="B556" s="109" t="s">
        <v>1040</v>
      </c>
      <c r="C556" s="113" t="str">
        <f>VLOOKUP(B556,'Insumos e Serviços'!$A:$F,2,0)</f>
        <v>SINAPI</v>
      </c>
      <c r="D556" s="114" t="str">
        <f>VLOOKUP(B556,'Insumos e Serviços'!$A:$F,4,0)</f>
        <v>CAIXA RETANGULAR 4" X 2" ALTA (2,00 M DO PISO), PVC, INSTALADA EM PAREDE - FORNECIMENTO E INSTALAÇÃO. AF_12/2015</v>
      </c>
      <c r="E556" s="113" t="str">
        <f>VLOOKUP(B556,'Insumos e Serviços'!$A:$F,5,0)</f>
        <v>UN</v>
      </c>
      <c r="F556" s="189">
        <v>1</v>
      </c>
      <c r="G556" s="115">
        <f>VLOOKUP(B556,'Insumos e Serviços'!$A:$F,6,0)</f>
        <v>24.14</v>
      </c>
      <c r="H556" s="115">
        <f t="shared" si="73"/>
        <v>24.14</v>
      </c>
    </row>
    <row r="557" spans="1:8" x14ac:dyDescent="0.2">
      <c r="A557" s="205"/>
      <c r="B557" s="205"/>
      <c r="C557" s="205"/>
      <c r="D557" s="206"/>
      <c r="E557" s="207"/>
      <c r="F557" s="208"/>
      <c r="G557" s="205"/>
      <c r="H557" s="205"/>
    </row>
    <row r="558" spans="1:8" x14ac:dyDescent="0.2">
      <c r="A558" s="204" t="s">
        <v>482</v>
      </c>
      <c r="B558" s="54" t="str">
        <f>VLOOKUP(A558,'Orçamento Sintético'!$A:$H,2,0)</f>
        <v xml:space="preserve"> MPDFT0915 </v>
      </c>
      <c r="C558" s="54" t="str">
        <f>VLOOKUP(A558,'Orçamento Sintético'!$A:$H,3,0)</f>
        <v>Próprio</v>
      </c>
      <c r="D558" s="55" t="str">
        <f>VLOOKUP(A558,'Orçamento Sintético'!$A:$H,4,0)</f>
        <v>Ponto de tomada dupla média</v>
      </c>
      <c r="E558" s="54" t="str">
        <f>VLOOKUP(A558,'Orçamento Sintético'!$A:$H,5,0)</f>
        <v>un</v>
      </c>
      <c r="F558" s="183"/>
      <c r="G558" s="184"/>
      <c r="H558" s="185">
        <f>SUM(H559:H560)</f>
        <v>56.269999999999996</v>
      </c>
    </row>
    <row r="559" spans="1:8" ht="22.5" x14ac:dyDescent="0.2">
      <c r="A559" s="114" t="str">
        <f>VLOOKUP(B559,'Insumos e Serviços'!$A:$F,3,0)</f>
        <v>Composição</v>
      </c>
      <c r="B559" s="109" t="s">
        <v>492</v>
      </c>
      <c r="C559" s="113" t="str">
        <f>VLOOKUP(B559,'Insumos e Serviços'!$A:$F,2,0)</f>
        <v>SINAPI</v>
      </c>
      <c r="D559" s="114" t="str">
        <f>VLOOKUP(B559,'Insumos e Serviços'!$A:$F,4,0)</f>
        <v>CAIXA RETANGULAR 4" X 2" MÉDIA (1,30 M DO PISO), PVC, INSTALADA EM PAREDE - FORNECIMENTO E INSTALAÇÃO. AF_12/2015</v>
      </c>
      <c r="E559" s="113" t="str">
        <f>VLOOKUP(B559,'Insumos e Serviços'!$A:$F,5,0)</f>
        <v>UN</v>
      </c>
      <c r="F559" s="189">
        <v>1</v>
      </c>
      <c r="G559" s="115">
        <f>VLOOKUP(B559,'Insumos e Serviços'!$A:$F,6,0)</f>
        <v>12.79</v>
      </c>
      <c r="H559" s="115">
        <f t="shared" ref="H559:H560" si="74">TRUNC(F559*G559,2)</f>
        <v>12.79</v>
      </c>
    </row>
    <row r="560" spans="1:8" ht="22.5" x14ac:dyDescent="0.2">
      <c r="A560" s="214" t="str">
        <f>VLOOKUP(B560,'Insumos e Serviços'!$A:$F,3,0)</f>
        <v>Composição</v>
      </c>
      <c r="B560" s="215" t="s">
        <v>1042</v>
      </c>
      <c r="C560" s="229" t="str">
        <f>VLOOKUP(B560,'Insumos e Serviços'!$A:$F,2,0)</f>
        <v>SINAPI</v>
      </c>
      <c r="D560" s="229" t="str">
        <f>VLOOKUP(B560,'Insumos e Serviços'!$A:$F,4,0)</f>
        <v>TOMADA MÉDIA DE EMBUTIR (2 MÓDULOS), 2P+T 10 A, INCLUINDO SUPORTE E PLACA - FORNECIMENTO E INSTALAÇÃO. AF_12/2015</v>
      </c>
      <c r="E560" s="230" t="str">
        <f>VLOOKUP(B560,'Insumos e Serviços'!$A:$F,5,0)</f>
        <v>UN</v>
      </c>
      <c r="F560" s="218">
        <v>1</v>
      </c>
      <c r="G560" s="231">
        <f>VLOOKUP(B560,'Insumos e Serviços'!$A:$F,6,0)</f>
        <v>43.48</v>
      </c>
      <c r="H560" s="219">
        <f t="shared" si="74"/>
        <v>43.48</v>
      </c>
    </row>
    <row r="561" spans="1:8" x14ac:dyDescent="0.2">
      <c r="A561" s="205"/>
      <c r="B561" s="205"/>
      <c r="C561" s="205"/>
      <c r="D561" s="206"/>
      <c r="E561" s="207"/>
      <c r="F561" s="208"/>
      <c r="G561" s="205"/>
      <c r="H561" s="205"/>
    </row>
    <row r="562" spans="1:8" ht="33.75" x14ac:dyDescent="0.2">
      <c r="A562" s="204" t="s">
        <v>494</v>
      </c>
      <c r="B562" s="54" t="str">
        <f>VLOOKUP(A562,'Orçamento Sintético'!$A:$H,2,0)</f>
        <v xml:space="preserve"> MPDFT0873 </v>
      </c>
      <c r="C562" s="54" t="str">
        <f>VLOOKUP(A562,'Orçamento Sintético'!$A:$H,3,0)</f>
        <v>Próprio</v>
      </c>
      <c r="D562" s="55" t="str">
        <f>VLOOKUP(A562,'Orçamento Sintético'!$A:$H,4,0)</f>
        <v>Luminária circular de embutir, com difusor translúcido recuado, refletor multifacetado em alumínio anodizado  alto brilho LED EF45-E12000840, cor alumínio - Lumicenter LED Solution</v>
      </c>
      <c r="E562" s="54" t="str">
        <f>VLOOKUP(A562,'Orçamento Sintético'!$A:$H,5,0)</f>
        <v>un</v>
      </c>
      <c r="F562" s="183"/>
      <c r="G562" s="184"/>
      <c r="H562" s="185">
        <f>SUM(H563:H569)</f>
        <v>488.38</v>
      </c>
    </row>
    <row r="563" spans="1:8" x14ac:dyDescent="0.2">
      <c r="A563" s="114" t="str">
        <f>VLOOKUP(B563,'Insumos e Serviços'!$A:$F,3,0)</f>
        <v>Composição</v>
      </c>
      <c r="B563" s="109" t="s">
        <v>621</v>
      </c>
      <c r="C563" s="113" t="str">
        <f>VLOOKUP(B563,'Insumos e Serviços'!$A:$F,2,0)</f>
        <v>SINAPI</v>
      </c>
      <c r="D563" s="114" t="str">
        <f>VLOOKUP(B563,'Insumos e Serviços'!$A:$F,4,0)</f>
        <v>AUXILIAR DE ELETRICISTA COM ENCARGOS COMPLEMENTARES</v>
      </c>
      <c r="E563" s="113" t="str">
        <f>VLOOKUP(B563,'Insumos e Serviços'!$A:$F,5,0)</f>
        <v>H</v>
      </c>
      <c r="F563" s="189">
        <v>0.52</v>
      </c>
      <c r="G563" s="115">
        <f>VLOOKUP(B563,'Insumos e Serviços'!$A:$F,6,0)</f>
        <v>18.28</v>
      </c>
      <c r="H563" s="115">
        <f t="shared" ref="H563:H569" si="75">TRUNC(F563*G563,2)</f>
        <v>9.5</v>
      </c>
    </row>
    <row r="564" spans="1:8" x14ac:dyDescent="0.2">
      <c r="A564" s="114" t="str">
        <f>VLOOKUP(B564,'Insumos e Serviços'!$A:$F,3,0)</f>
        <v>Composição</v>
      </c>
      <c r="B564" s="109" t="s">
        <v>619</v>
      </c>
      <c r="C564" s="113" t="str">
        <f>VLOOKUP(B564,'Insumos e Serviços'!$A:$F,2,0)</f>
        <v>SINAPI</v>
      </c>
      <c r="D564" s="114" t="str">
        <f>VLOOKUP(B564,'Insumos e Serviços'!$A:$F,4,0)</f>
        <v>ELETRICISTA COM ENCARGOS COMPLEMENTARES</v>
      </c>
      <c r="E564" s="113" t="str">
        <f>VLOOKUP(B564,'Insumos e Serviços'!$A:$F,5,0)</f>
        <v>H</v>
      </c>
      <c r="F564" s="189">
        <v>0.7</v>
      </c>
      <c r="G564" s="115">
        <f>VLOOKUP(B564,'Insumos e Serviços'!$A:$F,6,0)</f>
        <v>23.44</v>
      </c>
      <c r="H564" s="115">
        <f t="shared" si="75"/>
        <v>16.399999999999999</v>
      </c>
    </row>
    <row r="565" spans="1:8" ht="22.5" x14ac:dyDescent="0.2">
      <c r="A565" s="114" t="str">
        <f>VLOOKUP(B565,'Insumos e Serviços'!$A:$F,3,0)</f>
        <v>Composição</v>
      </c>
      <c r="B565" s="109" t="s">
        <v>1044</v>
      </c>
      <c r="C565" s="113" t="str">
        <f>VLOOKUP(B565,'Insumos e Serviços'!$A:$F,2,0)</f>
        <v>SINAPI</v>
      </c>
      <c r="D565" s="114" t="str">
        <f>VLOOKUP(B565,'Insumos e Serviços'!$A:$F,4,0)</f>
        <v>CONDULETE DE PVC, TIPO LL, PARA ELETRODUTO DE PVC SOLDÁVEL DN 20 MM (1/2''), APARENTE - FORNECIMENTO E INSTALAÇÃO. AF_11/2016</v>
      </c>
      <c r="E565" s="113" t="str">
        <f>VLOOKUP(B565,'Insumos e Serviços'!$A:$F,5,0)</f>
        <v>UN</v>
      </c>
      <c r="F565" s="189">
        <v>1</v>
      </c>
      <c r="G565" s="115">
        <f>VLOOKUP(B565,'Insumos e Serviços'!$A:$F,6,0)</f>
        <v>24.17</v>
      </c>
      <c r="H565" s="115">
        <f t="shared" si="75"/>
        <v>24.17</v>
      </c>
    </row>
    <row r="566" spans="1:8" ht="22.5" x14ac:dyDescent="0.2">
      <c r="A566" s="114" t="str">
        <f>VLOOKUP(B566,'Insumos e Serviços'!$A:$F,3,0)</f>
        <v>Composição</v>
      </c>
      <c r="B566" s="109" t="s">
        <v>1046</v>
      </c>
      <c r="C566" s="113" t="str">
        <f>VLOOKUP(B566,'Insumos e Serviços'!$A:$F,2,0)</f>
        <v>SINAPI</v>
      </c>
      <c r="D566" s="114" t="str">
        <f>VLOOKUP(B566,'Insumos e Serviços'!$A:$F,4,0)</f>
        <v>TOMADA ALTA DE EMBUTIR (1 MÓDULO), 2P+T 10 A, INCLUINDO SUPORTE E PLACA - FORNECIMENTO E INSTALAÇÃO. AF_12/2015</v>
      </c>
      <c r="E566" s="113" t="str">
        <f>VLOOKUP(B566,'Insumos e Serviços'!$A:$F,5,0)</f>
        <v>UN</v>
      </c>
      <c r="F566" s="189">
        <v>1</v>
      </c>
      <c r="G566" s="115">
        <f>VLOOKUP(B566,'Insumos e Serviços'!$A:$F,6,0)</f>
        <v>34.22</v>
      </c>
      <c r="H566" s="115">
        <f t="shared" si="75"/>
        <v>34.22</v>
      </c>
    </row>
    <row r="567" spans="1:8" x14ac:dyDescent="0.2">
      <c r="A567" s="114" t="str">
        <f>VLOOKUP(B567,'Insumos e Serviços'!$A:$F,3,0)</f>
        <v>Material</v>
      </c>
      <c r="B567" s="109" t="s">
        <v>1048</v>
      </c>
      <c r="C567" s="113" t="str">
        <f>VLOOKUP(B567,'Insumos e Serviços'!$A:$F,2,0)</f>
        <v>SINAPI</v>
      </c>
      <c r="D567" s="114" t="str">
        <f>VLOOKUP(B567,'Insumos e Serviços'!$A:$F,4,0)</f>
        <v>CABO FLEXIVEL PVC 750 V, 3 CONDUTORES DE 1,5 MM2</v>
      </c>
      <c r="E567" s="113" t="str">
        <f>VLOOKUP(B567,'Insumos e Serviços'!$A:$F,5,0)</f>
        <v>M</v>
      </c>
      <c r="F567" s="189">
        <v>1.5</v>
      </c>
      <c r="G567" s="115" t="str">
        <f>VLOOKUP(B567,'Insumos e Serviços'!$A:$F,6,0)</f>
        <v xml:space="preserve"> 4,15</v>
      </c>
      <c r="H567" s="115">
        <f t="shared" si="75"/>
        <v>6.22</v>
      </c>
    </row>
    <row r="568" spans="1:8" x14ac:dyDescent="0.2">
      <c r="A568" s="114" t="str">
        <f>VLOOKUP(B568,'Insumos e Serviços'!$A:$F,3,0)</f>
        <v>Insumo</v>
      </c>
      <c r="B568" s="109" t="s">
        <v>1050</v>
      </c>
      <c r="C568" s="113" t="str">
        <f>VLOOKUP(B568,'Insumos e Serviços'!$A:$F,2,0)</f>
        <v>Próprio</v>
      </c>
      <c r="D568" s="114" t="str">
        <f>VLOOKUP(B568,'Insumos e Serviços'!$A:$F,4,0)</f>
        <v>Plug macho 2P+T para tomada</v>
      </c>
      <c r="E568" s="113" t="str">
        <f>VLOOKUP(B568,'Insumos e Serviços'!$A:$F,5,0)</f>
        <v>un</v>
      </c>
      <c r="F568" s="189">
        <v>1</v>
      </c>
      <c r="G568" s="115" t="str">
        <f>VLOOKUP(B568,'Insumos e Serviços'!$A:$F,6,0)</f>
        <v xml:space="preserve"> 2,71</v>
      </c>
      <c r="H568" s="115">
        <f t="shared" si="75"/>
        <v>2.71</v>
      </c>
    </row>
    <row r="569" spans="1:8" ht="22.5" x14ac:dyDescent="0.2">
      <c r="A569" s="114" t="str">
        <f>VLOOKUP(B569,'Insumos e Serviços'!$A:$F,3,0)</f>
        <v>Insumo</v>
      </c>
      <c r="B569" s="109" t="s">
        <v>1052</v>
      </c>
      <c r="C569" s="113" t="str">
        <f>VLOOKUP(B569,'Insumos e Serviços'!$A:$F,2,0)</f>
        <v>Próprio</v>
      </c>
      <c r="D569" s="114" t="str">
        <f>VLOOKUP(B569,'Insumos e Serviços'!$A:$F,4,0)</f>
        <v>Luminária circular de embutir, com difusor translúcido recuado, refletor multifacetado em alumínio anodizado  alto brilho LED EF45-E12000840, cor alumínio - Lumicenter LED Solution</v>
      </c>
      <c r="E569" s="113" t="str">
        <f>VLOOKUP(B569,'Insumos e Serviços'!$A:$F,5,0)</f>
        <v>un</v>
      </c>
      <c r="F569" s="189">
        <v>1</v>
      </c>
      <c r="G569" s="115" t="str">
        <f>VLOOKUP(B569,'Insumos e Serviços'!$A:$F,6,0)</f>
        <v xml:space="preserve"> 395,16</v>
      </c>
      <c r="H569" s="115">
        <f t="shared" si="75"/>
        <v>395.16</v>
      </c>
    </row>
    <row r="570" spans="1:8" x14ac:dyDescent="0.2">
      <c r="A570" s="205"/>
      <c r="B570" s="205"/>
      <c r="C570" s="205"/>
      <c r="D570" s="206"/>
      <c r="E570" s="207"/>
      <c r="F570" s="208"/>
      <c r="G570" s="205"/>
      <c r="H570" s="205"/>
    </row>
    <row r="571" spans="1:8" ht="22.5" x14ac:dyDescent="0.2">
      <c r="A571" s="204" t="s">
        <v>497</v>
      </c>
      <c r="B571" s="54" t="str">
        <f>VLOOKUP(A571,'Orçamento Sintético'!$A:$H,2,0)</f>
        <v xml:space="preserve"> MPDFT0874 </v>
      </c>
      <c r="C571" s="54" t="str">
        <f>VLOOKUP(A571,'Orçamento Sintético'!$A:$H,3,0)</f>
        <v>Próprio</v>
      </c>
      <c r="D571" s="55" t="str">
        <f>VLOOKUP(A571,'Orçamento Sintético'!$A:$H,4,0)</f>
        <v>Cópia da SBC (061790) - Campainha de sinalização de emergência com acionador e sinaleira de porta para PCD - GRA branco.</v>
      </c>
      <c r="E571" s="54" t="str">
        <f>VLOOKUP(A571,'Orçamento Sintético'!$A:$H,5,0)</f>
        <v>un</v>
      </c>
      <c r="F571" s="183"/>
      <c r="G571" s="184"/>
      <c r="H571" s="185">
        <f>SUM(H572:H574)</f>
        <v>1251.76</v>
      </c>
    </row>
    <row r="572" spans="1:8" x14ac:dyDescent="0.2">
      <c r="A572" s="114" t="str">
        <f>VLOOKUP(B572,'Insumos e Serviços'!$A:$F,3,0)</f>
        <v>Composição</v>
      </c>
      <c r="B572" s="109" t="s">
        <v>621</v>
      </c>
      <c r="C572" s="113" t="str">
        <f>VLOOKUP(B572,'Insumos e Serviços'!$A:$F,2,0)</f>
        <v>SINAPI</v>
      </c>
      <c r="D572" s="114" t="str">
        <f>VLOOKUP(B572,'Insumos e Serviços'!$A:$F,4,0)</f>
        <v>AUXILIAR DE ELETRICISTA COM ENCARGOS COMPLEMENTARES</v>
      </c>
      <c r="E572" s="113" t="str">
        <f>VLOOKUP(B572,'Insumos e Serviços'!$A:$F,5,0)</f>
        <v>H</v>
      </c>
      <c r="F572" s="189">
        <v>0.63800000000000001</v>
      </c>
      <c r="G572" s="115">
        <f>VLOOKUP(B572,'Insumos e Serviços'!$A:$F,6,0)</f>
        <v>18.28</v>
      </c>
      <c r="H572" s="115">
        <f t="shared" ref="H572:H574" si="76">TRUNC(F572*G572,2)</f>
        <v>11.66</v>
      </c>
    </row>
    <row r="573" spans="1:8" x14ac:dyDescent="0.2">
      <c r="A573" s="114" t="str">
        <f>VLOOKUP(B573,'Insumos e Serviços'!$A:$F,3,0)</f>
        <v>Composição</v>
      </c>
      <c r="B573" s="109" t="s">
        <v>619</v>
      </c>
      <c r="C573" s="113" t="str">
        <f>VLOOKUP(B573,'Insumos e Serviços'!$A:$F,2,0)</f>
        <v>SINAPI</v>
      </c>
      <c r="D573" s="114" t="str">
        <f>VLOOKUP(B573,'Insumos e Serviços'!$A:$F,4,0)</f>
        <v>ELETRICISTA COM ENCARGOS COMPLEMENTARES</v>
      </c>
      <c r="E573" s="113" t="str">
        <f>VLOOKUP(B573,'Insumos e Serviços'!$A:$F,5,0)</f>
        <v>H</v>
      </c>
      <c r="F573" s="189">
        <v>0.63800000000000001</v>
      </c>
      <c r="G573" s="115">
        <f>VLOOKUP(B573,'Insumos e Serviços'!$A:$F,6,0)</f>
        <v>23.44</v>
      </c>
      <c r="H573" s="115">
        <f t="shared" si="76"/>
        <v>14.95</v>
      </c>
    </row>
    <row r="574" spans="1:8" ht="22.5" x14ac:dyDescent="0.2">
      <c r="A574" s="114" t="str">
        <f>VLOOKUP(B574,'Insumos e Serviços'!$A:$F,3,0)</f>
        <v>Insumo</v>
      </c>
      <c r="B574" s="109" t="s">
        <v>1053</v>
      </c>
      <c r="C574" s="113" t="str">
        <f>VLOOKUP(B574,'Insumos e Serviços'!$A:$F,2,0)</f>
        <v>Próprio</v>
      </c>
      <c r="D574" s="114" t="str">
        <f>VLOOKUP(B574,'Insumos e Serviços'!$A:$F,4,0)</f>
        <v>Campainha de sinalização de emergência com acionador e sinaleira de porta para PCD - GRA branco.</v>
      </c>
      <c r="E574" s="113" t="str">
        <f>VLOOKUP(B574,'Insumos e Serviços'!$A:$F,5,0)</f>
        <v>un</v>
      </c>
      <c r="F574" s="189">
        <v>1</v>
      </c>
      <c r="G574" s="115">
        <f>VLOOKUP(B574,'Insumos e Serviços'!$A:$F,6,0)</f>
        <v>1225.1500000000001</v>
      </c>
      <c r="H574" s="115">
        <f t="shared" si="76"/>
        <v>1225.1500000000001</v>
      </c>
    </row>
    <row r="575" spans="1:8" x14ac:dyDescent="0.2">
      <c r="A575" s="205"/>
      <c r="B575" s="205"/>
      <c r="C575" s="205"/>
      <c r="D575" s="206"/>
      <c r="E575" s="207"/>
      <c r="F575" s="208"/>
      <c r="G575" s="205"/>
      <c r="H575" s="205"/>
    </row>
    <row r="576" spans="1:8" ht="22.5" x14ac:dyDescent="0.2">
      <c r="A576" s="204" t="s">
        <v>506</v>
      </c>
      <c r="B576" s="54" t="str">
        <f>VLOOKUP(A576,'Orçamento Sintético'!$A:$H,2,0)</f>
        <v xml:space="preserve"> MPDFT0925 </v>
      </c>
      <c r="C576" s="54" t="str">
        <f>VLOOKUP(A576,'Orçamento Sintético'!$A:$H,3,0)</f>
        <v>Próprio</v>
      </c>
      <c r="D576" s="55" t="str">
        <f>VLOOKUP(A576,'Orçamento Sintético'!$A:$H,4,0)</f>
        <v>Cópia da CPOS (37.25.090) - Disjuntor tripolar caixa moldada 63A 50kA/380V Schneider LV429006+LV429032</v>
      </c>
      <c r="E576" s="54" t="str">
        <f>VLOOKUP(A576,'Orçamento Sintético'!$A:$H,5,0)</f>
        <v>un</v>
      </c>
      <c r="F576" s="183"/>
      <c r="G576" s="184"/>
      <c r="H576" s="185">
        <f>SUM(H577:H580)</f>
        <v>3325.8399999999997</v>
      </c>
    </row>
    <row r="577" spans="1:8" x14ac:dyDescent="0.2">
      <c r="A577" s="114" t="str">
        <f>VLOOKUP(B577,'Insumos e Serviços'!$A:$F,3,0)</f>
        <v>Composição</v>
      </c>
      <c r="B577" s="109" t="s">
        <v>1055</v>
      </c>
      <c r="C577" s="113" t="str">
        <f>VLOOKUP(B577,'Insumos e Serviços'!$A:$F,2,0)</f>
        <v>SINAPI</v>
      </c>
      <c r="D577" s="114" t="str">
        <f>VLOOKUP(B577,'Insumos e Serviços'!$A:$F,4,0)</f>
        <v>MONTADOR DE ELETROELETRÔNICOS COM ENCARGOS COMPLEMENTARES</v>
      </c>
      <c r="E577" s="113" t="str">
        <f>VLOOKUP(B577,'Insumos e Serviços'!$A:$F,5,0)</f>
        <v>H</v>
      </c>
      <c r="F577" s="189">
        <v>1</v>
      </c>
      <c r="G577" s="115">
        <f>VLOOKUP(B577,'Insumos e Serviços'!$A:$F,6,0)</f>
        <v>22.43</v>
      </c>
      <c r="H577" s="115">
        <f t="shared" ref="H577:H580" si="77">TRUNC(F577*G577,2)</f>
        <v>22.43</v>
      </c>
    </row>
    <row r="578" spans="1:8" x14ac:dyDescent="0.2">
      <c r="A578" s="114" t="str">
        <f>VLOOKUP(B578,'Insumos e Serviços'!$A:$F,3,0)</f>
        <v>Composição</v>
      </c>
      <c r="B578" s="109" t="s">
        <v>619</v>
      </c>
      <c r="C578" s="113" t="str">
        <f>VLOOKUP(B578,'Insumos e Serviços'!$A:$F,2,0)</f>
        <v>SINAPI</v>
      </c>
      <c r="D578" s="114" t="str">
        <f>VLOOKUP(B578,'Insumos e Serviços'!$A:$F,4,0)</f>
        <v>ELETRICISTA COM ENCARGOS COMPLEMENTARES</v>
      </c>
      <c r="E578" s="113" t="str">
        <f>VLOOKUP(B578,'Insumos e Serviços'!$A:$F,5,0)</f>
        <v>H</v>
      </c>
      <c r="F578" s="189">
        <v>2</v>
      </c>
      <c r="G578" s="115">
        <f>VLOOKUP(B578,'Insumos e Serviços'!$A:$F,6,0)</f>
        <v>23.44</v>
      </c>
      <c r="H578" s="115">
        <f t="shared" si="77"/>
        <v>46.88</v>
      </c>
    </row>
    <row r="579" spans="1:8" x14ac:dyDescent="0.2">
      <c r="A579" s="114" t="str">
        <f>VLOOKUP(B579,'Insumos e Serviços'!$A:$F,3,0)</f>
        <v>Composição</v>
      </c>
      <c r="B579" s="109" t="s">
        <v>621</v>
      </c>
      <c r="C579" s="113" t="str">
        <f>VLOOKUP(B579,'Insumos e Serviços'!$A:$F,2,0)</f>
        <v>SINAPI</v>
      </c>
      <c r="D579" s="114" t="str">
        <f>VLOOKUP(B579,'Insumos e Serviços'!$A:$F,4,0)</f>
        <v>AUXILIAR DE ELETRICISTA COM ENCARGOS COMPLEMENTARES</v>
      </c>
      <c r="E579" s="113" t="str">
        <f>VLOOKUP(B579,'Insumos e Serviços'!$A:$F,5,0)</f>
        <v>H</v>
      </c>
      <c r="F579" s="189">
        <v>2</v>
      </c>
      <c r="G579" s="115">
        <f>VLOOKUP(B579,'Insumos e Serviços'!$A:$F,6,0)</f>
        <v>18.28</v>
      </c>
      <c r="H579" s="115">
        <f t="shared" si="77"/>
        <v>36.56</v>
      </c>
    </row>
    <row r="580" spans="1:8" ht="22.5" x14ac:dyDescent="0.2">
      <c r="A580" s="114" t="str">
        <f>VLOOKUP(B580,'Insumos e Serviços'!$A:$F,3,0)</f>
        <v>Insumo</v>
      </c>
      <c r="B580" s="109" t="s">
        <v>1057</v>
      </c>
      <c r="C580" s="113" t="str">
        <f>VLOOKUP(B580,'Insumos e Serviços'!$A:$F,2,0)</f>
        <v>Próprio</v>
      </c>
      <c r="D580" s="114" t="str">
        <f>VLOOKUP(B580,'Insumos e Serviços'!$A:$F,4,0)</f>
        <v>Disjunto tripolar caixa moldada 63A 50kA/380V Schneider, inclusive disparador, LV429006+LV429032</v>
      </c>
      <c r="E580" s="113" t="str">
        <f>VLOOKUP(B580,'Insumos e Serviços'!$A:$F,5,0)</f>
        <v>un</v>
      </c>
      <c r="F580" s="189">
        <v>1</v>
      </c>
      <c r="G580" s="115">
        <f>VLOOKUP(B580,'Insumos e Serviços'!$A:$F,6,0)</f>
        <v>3219.97</v>
      </c>
      <c r="H580" s="115">
        <f t="shared" si="77"/>
        <v>3219.97</v>
      </c>
    </row>
    <row r="581" spans="1:8" x14ac:dyDescent="0.2">
      <c r="A581" s="205"/>
      <c r="B581" s="205"/>
      <c r="C581" s="205"/>
      <c r="D581" s="206"/>
      <c r="E581" s="207"/>
      <c r="F581" s="208"/>
      <c r="G581" s="205"/>
      <c r="H581" s="205"/>
    </row>
    <row r="582" spans="1:8" x14ac:dyDescent="0.2">
      <c r="A582" s="194" t="s">
        <v>509</v>
      </c>
      <c r="B582" s="194"/>
      <c r="C582" s="194"/>
      <c r="D582" s="195" t="s">
        <v>510</v>
      </c>
      <c r="E582" s="196"/>
      <c r="F582" s="197"/>
      <c r="G582" s="194"/>
      <c r="H582" s="198"/>
    </row>
    <row r="583" spans="1:8" x14ac:dyDescent="0.2">
      <c r="A583" s="199" t="s">
        <v>511</v>
      </c>
      <c r="B583" s="199"/>
      <c r="C583" s="199"/>
      <c r="D583" s="200" t="s">
        <v>512</v>
      </c>
      <c r="E583" s="201"/>
      <c r="F583" s="202"/>
      <c r="G583" s="199"/>
      <c r="H583" s="203"/>
    </row>
    <row r="584" spans="1:8" x14ac:dyDescent="0.2">
      <c r="A584" s="209" t="s">
        <v>513</v>
      </c>
      <c r="B584" s="209"/>
      <c r="C584" s="209"/>
      <c r="D584" s="210" t="s">
        <v>514</v>
      </c>
      <c r="E584" s="211"/>
      <c r="F584" s="212"/>
      <c r="G584" s="209"/>
      <c r="H584" s="213"/>
    </row>
    <row r="585" spans="1:8" ht="45" x14ac:dyDescent="0.2">
      <c r="A585" s="204" t="s">
        <v>515</v>
      </c>
      <c r="B585" s="54" t="str">
        <f>VLOOKUP(A585,'Orçamento Sintético'!$A:$H,2,0)</f>
        <v xml:space="preserve"> MPDFT0879 </v>
      </c>
      <c r="C585" s="54" t="str">
        <f>VLOOKUP(A585,'Orçamento Sintético'!$A:$H,3,0)</f>
        <v>Próprio</v>
      </c>
      <c r="D585" s="55" t="str">
        <f>VLOOKUP(A585,'Orçamento Sintético'!$A:$H,4,0)</f>
        <v>Cópia da CPOS (61.10.574) - G2 - Grelha de exaustão, dimensões 225x225mm,  aletas fixas e horizontais, fabricada com perfis de alumínio extrudado, anodizado, na cor natural, incluindo registro de lâminas opostas e dupla deflexão. Modelo de referência: TROX AR/AG</v>
      </c>
      <c r="E585" s="54" t="str">
        <f>VLOOKUP(A585,'Orçamento Sintético'!$A:$H,5,0)</f>
        <v>un</v>
      </c>
      <c r="F585" s="183"/>
      <c r="G585" s="184"/>
      <c r="H585" s="185">
        <f>SUM(H586:H588)</f>
        <v>210.92</v>
      </c>
    </row>
    <row r="586" spans="1:8" x14ac:dyDescent="0.2">
      <c r="A586" s="114" t="str">
        <f>VLOOKUP(B586,'Insumos e Serviços'!$A:$F,3,0)</f>
        <v>Composição</v>
      </c>
      <c r="B586" s="109" t="s">
        <v>1055</v>
      </c>
      <c r="C586" s="113" t="str">
        <f>VLOOKUP(B586,'Insumos e Serviços'!$A:$F,2,0)</f>
        <v>SINAPI</v>
      </c>
      <c r="D586" s="114" t="str">
        <f>VLOOKUP(B586,'Insumos e Serviços'!$A:$F,4,0)</f>
        <v>MONTADOR DE ELETROELETRÔNICOS COM ENCARGOS COMPLEMENTARES</v>
      </c>
      <c r="E586" s="113" t="str">
        <f>VLOOKUP(B586,'Insumos e Serviços'!$A:$F,5,0)</f>
        <v>H</v>
      </c>
      <c r="F586" s="189">
        <v>3.6</v>
      </c>
      <c r="G586" s="115">
        <f>VLOOKUP(B586,'Insumos e Serviços'!$A:$F,6,0)</f>
        <v>22.43</v>
      </c>
      <c r="H586" s="115">
        <f t="shared" ref="H586:H588" si="78">TRUNC(F586*G586,2)</f>
        <v>80.739999999999995</v>
      </c>
    </row>
    <row r="587" spans="1:8" x14ac:dyDescent="0.2">
      <c r="A587" s="114" t="str">
        <f>VLOOKUP(B587,'Insumos e Serviços'!$A:$F,3,0)</f>
        <v>Composição</v>
      </c>
      <c r="B587" s="109" t="s">
        <v>1059</v>
      </c>
      <c r="C587" s="113" t="str">
        <f>VLOOKUP(B587,'Insumos e Serviços'!$A:$F,2,0)</f>
        <v>SINAPI</v>
      </c>
      <c r="D587" s="114" t="str">
        <f>VLOOKUP(B587,'Insumos e Serviços'!$A:$F,4,0)</f>
        <v>AJUDANTE DE OPERAÇÃO EM GERAL COM ENCARGOS COMPLEMENTARES</v>
      </c>
      <c r="E587" s="113" t="str">
        <f>VLOOKUP(B587,'Insumos e Serviços'!$A:$F,5,0)</f>
        <v>H</v>
      </c>
      <c r="F587" s="189">
        <v>3.6</v>
      </c>
      <c r="G587" s="115">
        <f>VLOOKUP(B587,'Insumos e Serviços'!$A:$F,6,0)</f>
        <v>18.39</v>
      </c>
      <c r="H587" s="115">
        <f t="shared" si="78"/>
        <v>66.2</v>
      </c>
    </row>
    <row r="588" spans="1:8" ht="33.75" x14ac:dyDescent="0.2">
      <c r="A588" s="114" t="str">
        <f>VLOOKUP(B588,'Insumos e Serviços'!$A:$F,3,0)</f>
        <v>Insumo</v>
      </c>
      <c r="B588" s="109" t="s">
        <v>1061</v>
      </c>
      <c r="C588" s="113" t="str">
        <f>VLOOKUP(B588,'Insumos e Serviços'!$A:$F,2,0)</f>
        <v>Próprio</v>
      </c>
      <c r="D588" s="114" t="str">
        <f>VLOOKUP(B588,'Insumos e Serviços'!$A:$F,4,0)</f>
        <v>Grelha de exaustão, dimensões 225x225mm, aletas fixas e horizontais, fabricada com perfis de alumínio extrudado, anodizado, na cor natural, incluindo registro de lâminas opostas e dupla deflexão. Modelo de referência: TROX AR/AG</v>
      </c>
      <c r="E588" s="113" t="str">
        <f>VLOOKUP(B588,'Insumos e Serviços'!$A:$F,5,0)</f>
        <v>un</v>
      </c>
      <c r="F588" s="189">
        <v>1</v>
      </c>
      <c r="G588" s="115">
        <f>VLOOKUP(B588,'Insumos e Serviços'!$A:$F,6,0)</f>
        <v>63.98</v>
      </c>
      <c r="H588" s="115">
        <f t="shared" si="78"/>
        <v>63.98</v>
      </c>
    </row>
    <row r="589" spans="1:8" x14ac:dyDescent="0.2">
      <c r="A589" s="205"/>
      <c r="B589" s="205"/>
      <c r="C589" s="205"/>
      <c r="D589" s="206"/>
      <c r="E589" s="207"/>
      <c r="F589" s="208"/>
      <c r="G589" s="205"/>
      <c r="H589" s="205"/>
    </row>
    <row r="590" spans="1:8" ht="33.75" x14ac:dyDescent="0.2">
      <c r="A590" s="204" t="s">
        <v>518</v>
      </c>
      <c r="B590" s="54" t="str">
        <f>VLOOKUP(A590,'Orçamento Sintético'!$A:$H,2,0)</f>
        <v xml:space="preserve"> MPDFT0881 </v>
      </c>
      <c r="C590" s="54" t="str">
        <f>VLOOKUP(A590,'Orçamento Sintético'!$A:$H,3,0)</f>
        <v>Próprio</v>
      </c>
      <c r="D590" s="55" t="str">
        <f>VLOOKUP(A590,'Orçamento Sintético'!$A:$H,4,0)</f>
        <v>Cópia da SBC (073893) - G3 - Grelha de exaustão de plástico para duto flexível diâmetro 100mm, com lâminas inclinadas. Modelo de referência: Soler&amp;Palau OTAM GR-100 ou similar equivalente.</v>
      </c>
      <c r="E590" s="54" t="str">
        <f>VLOOKUP(A590,'Orçamento Sintético'!$A:$H,5,0)</f>
        <v>un</v>
      </c>
      <c r="F590" s="183"/>
      <c r="G590" s="184"/>
      <c r="H590" s="185">
        <f>SUM(H591:H593)</f>
        <v>64.699999999999989</v>
      </c>
    </row>
    <row r="591" spans="1:8" x14ac:dyDescent="0.2">
      <c r="A591" s="114" t="str">
        <f>VLOOKUP(B591,'Insumos e Serviços'!$A:$F,3,0)</f>
        <v>Composição</v>
      </c>
      <c r="B591" s="109" t="s">
        <v>627</v>
      </c>
      <c r="C591" s="113" t="str">
        <f>VLOOKUP(B591,'Insumos e Serviços'!$A:$F,2,0)</f>
        <v>SINAPI</v>
      </c>
      <c r="D591" s="114" t="str">
        <f>VLOOKUP(B591,'Insumos e Serviços'!$A:$F,4,0)</f>
        <v>AUXILIAR DE ENCANADOR OU BOMBEIRO HIDRÁULICO COM ENCARGOS COMPLEMENTARES</v>
      </c>
      <c r="E591" s="113" t="str">
        <f>VLOOKUP(B591,'Insumos e Serviços'!$A:$F,5,0)</f>
        <v>H</v>
      </c>
      <c r="F591" s="189">
        <v>0.877</v>
      </c>
      <c r="G591" s="115">
        <f>VLOOKUP(B591,'Insumos e Serviços'!$A:$F,6,0)</f>
        <v>17.78</v>
      </c>
      <c r="H591" s="115">
        <f t="shared" ref="H591:H593" si="79">TRUNC(F591*G591,2)</f>
        <v>15.59</v>
      </c>
    </row>
    <row r="592" spans="1:8" x14ac:dyDescent="0.2">
      <c r="A592" s="114" t="str">
        <f>VLOOKUP(B592,'Insumos e Serviços'!$A:$F,3,0)</f>
        <v>Composição</v>
      </c>
      <c r="B592" s="109" t="s">
        <v>625</v>
      </c>
      <c r="C592" s="113" t="str">
        <f>VLOOKUP(B592,'Insumos e Serviços'!$A:$F,2,0)</f>
        <v>SINAPI</v>
      </c>
      <c r="D592" s="114" t="str">
        <f>VLOOKUP(B592,'Insumos e Serviços'!$A:$F,4,0)</f>
        <v>ENCANADOR OU BOMBEIRO HIDRÁULICO COM ENCARGOS COMPLEMENTARES</v>
      </c>
      <c r="E592" s="113" t="str">
        <f>VLOOKUP(B592,'Insumos e Serviços'!$A:$F,5,0)</f>
        <v>H</v>
      </c>
      <c r="F592" s="189">
        <v>0.877</v>
      </c>
      <c r="G592" s="115">
        <f>VLOOKUP(B592,'Insumos e Serviços'!$A:$F,6,0)</f>
        <v>22.76</v>
      </c>
      <c r="H592" s="115">
        <f t="shared" si="79"/>
        <v>19.96</v>
      </c>
    </row>
    <row r="593" spans="1:8" ht="22.5" x14ac:dyDescent="0.2">
      <c r="A593" s="114" t="str">
        <f>VLOOKUP(B593,'Insumos e Serviços'!$A:$F,3,0)</f>
        <v>Insumo</v>
      </c>
      <c r="B593" s="109" t="s">
        <v>1063</v>
      </c>
      <c r="C593" s="113" t="str">
        <f>VLOOKUP(B593,'Insumos e Serviços'!$A:$F,2,0)</f>
        <v>Próprio</v>
      </c>
      <c r="D593" s="114" t="str">
        <f>VLOOKUP(B593,'Insumos e Serviços'!$A:$F,4,0)</f>
        <v>Grelha de exaustão de plástico para duto flexível diâmetro 100mm, com lâminas inclinadas. Modelo de referência: Soler&amp;Palau OTAM GR-100</v>
      </c>
      <c r="E593" s="113" t="str">
        <f>VLOOKUP(B593,'Insumos e Serviços'!$A:$F,5,0)</f>
        <v>un</v>
      </c>
      <c r="F593" s="189">
        <v>1</v>
      </c>
      <c r="G593" s="115" t="str">
        <f>VLOOKUP(B593,'Insumos e Serviços'!$A:$F,6,0)</f>
        <v xml:space="preserve"> 29,15</v>
      </c>
      <c r="H593" s="115">
        <f t="shared" si="79"/>
        <v>29.15</v>
      </c>
    </row>
    <row r="594" spans="1:8" x14ac:dyDescent="0.2">
      <c r="A594" s="205"/>
      <c r="B594" s="205"/>
      <c r="C594" s="205"/>
      <c r="D594" s="206"/>
      <c r="E594" s="207"/>
      <c r="F594" s="208"/>
      <c r="G594" s="205"/>
      <c r="H594" s="205"/>
    </row>
    <row r="595" spans="1:8" ht="123.75" x14ac:dyDescent="0.2">
      <c r="A595" s="204" t="s">
        <v>521</v>
      </c>
      <c r="B595" s="54" t="str">
        <f>VLOOKUP(A595,'Orçamento Sintético'!$A:$H,2,0)</f>
        <v xml:space="preserve"> MPDFT0060 </v>
      </c>
      <c r="C595" s="54" t="str">
        <f>VLOOKUP(A595,'Orçamento Sintético'!$A:$H,3,0)</f>
        <v>Próprio</v>
      </c>
      <c r="D595" s="55" t="str">
        <f>VLOOKUP(A595,'Orçamento Sintético'!$A:$H,4,0)</f>
        <v>Dutos de ar condicionado (ar exterior, retorno e exaustão) em espuma rígida de poliuretano com revestimento em alumínio nas superfícies internas e externas, nas dimensões internas indicadas em projeto, painéis com densidade de 42kg/m³, espessura 20mm, construído conforme orientação do fabricante, incluindo visitas pré-fabricadas (portas de inspeção) a cada 7 metros de trecho reto ou após curvas, perfis de união, baioneta, canto de reforço, canto de acabamento, perfis, barras de reforço, colarinhos, cola adesiva, massa de vedação, etc., com utilização das ferramentas bancada, facas especiais, punhos, marcadores de fita, caneta de nylon, aplicador de fita, alicate de bico, esquadro, estilete, martela de borracha, esquadros, vincadeira, compasso, cortador de colarinho, régua, etc. Modelo de referência:  Multivac MPU ou similar equivalente.</v>
      </c>
      <c r="E595" s="54" t="str">
        <f>VLOOKUP(A595,'Orçamento Sintético'!$A:$H,5,0)</f>
        <v>m²</v>
      </c>
      <c r="F595" s="183"/>
      <c r="G595" s="184"/>
      <c r="H595" s="185">
        <f>SUM(H596:H598)</f>
        <v>131.47</v>
      </c>
    </row>
    <row r="596" spans="1:8" x14ac:dyDescent="0.2">
      <c r="A596" s="114" t="str">
        <f>VLOOKUP(B596,'Insumos e Serviços'!$A:$F,3,0)</f>
        <v>Composição</v>
      </c>
      <c r="B596" s="109" t="s">
        <v>629</v>
      </c>
      <c r="C596" s="113" t="str">
        <f>VLOOKUP(B596,'Insumos e Serviços'!$A:$F,2,0)</f>
        <v>SINAPI</v>
      </c>
      <c r="D596" s="114" t="str">
        <f>VLOOKUP(B596,'Insumos e Serviços'!$A:$F,4,0)</f>
        <v>MONTADOR (TUBO AÇO/EQUIPAMENTOS) COM ENCARGOS COMPLEMENTARES</v>
      </c>
      <c r="E596" s="113" t="str">
        <f>VLOOKUP(B596,'Insumos e Serviços'!$A:$F,5,0)</f>
        <v>H</v>
      </c>
      <c r="F596" s="189">
        <v>1.0979000000000001</v>
      </c>
      <c r="G596" s="115">
        <f>VLOOKUP(B596,'Insumos e Serviços'!$A:$F,6,0)</f>
        <v>18.350000000000001</v>
      </c>
      <c r="H596" s="115">
        <f t="shared" ref="H596:H598" si="80">TRUNC(F596*G596,2)</f>
        <v>20.14</v>
      </c>
    </row>
    <row r="597" spans="1:8" x14ac:dyDescent="0.2">
      <c r="A597" s="114" t="str">
        <f>VLOOKUP(B597,'Insumos e Serviços'!$A:$F,3,0)</f>
        <v>Composição</v>
      </c>
      <c r="B597" s="109" t="s">
        <v>631</v>
      </c>
      <c r="C597" s="113" t="str">
        <f>VLOOKUP(B597,'Insumos e Serviços'!$A:$F,2,0)</f>
        <v>SINAPI</v>
      </c>
      <c r="D597" s="114" t="str">
        <f>VLOOKUP(B597,'Insumos e Serviços'!$A:$F,4,0)</f>
        <v>AJUDANTE ESPECIALIZADO COM ENCARGOS COMPLEMENTARES</v>
      </c>
      <c r="E597" s="113" t="str">
        <f>VLOOKUP(B597,'Insumos e Serviços'!$A:$F,5,0)</f>
        <v>H</v>
      </c>
      <c r="F597" s="189">
        <v>1.0979000000000001</v>
      </c>
      <c r="G597" s="115">
        <f>VLOOKUP(B597,'Insumos e Serviços'!$A:$F,6,0)</f>
        <v>20.39</v>
      </c>
      <c r="H597" s="115">
        <f t="shared" si="80"/>
        <v>22.38</v>
      </c>
    </row>
    <row r="598" spans="1:8" ht="33.75" x14ac:dyDescent="0.2">
      <c r="A598" s="114" t="str">
        <f>VLOOKUP(B598,'Insumos e Serviços'!$A:$F,3,0)</f>
        <v>Insumo</v>
      </c>
      <c r="B598" s="109" t="s">
        <v>633</v>
      </c>
      <c r="C598" s="113" t="str">
        <f>VLOOKUP(B598,'Insumos e Serviços'!$A:$F,2,0)</f>
        <v>Próprio</v>
      </c>
      <c r="D598" s="114" t="str">
        <f>VLOOKUP(B598,'Insumos e Serviços'!$A:$F,4,0)</f>
        <v>Painel  MPU, pré-isolado de poli-isocianurato, revestido com duas lâminas de alumínio gofrado, (esp. 20mm) – ref. Multivac (inclusive perdas, acessórios de conexão, de vedação e de reforço)</v>
      </c>
      <c r="E598" s="113" t="str">
        <f>VLOOKUP(B598,'Insumos e Serviços'!$A:$F,5,0)</f>
        <v>m²</v>
      </c>
      <c r="F598" s="189">
        <v>1</v>
      </c>
      <c r="G598" s="115">
        <f>VLOOKUP(B598,'Insumos e Serviços'!$A:$F,6,0)</f>
        <v>88.95</v>
      </c>
      <c r="H598" s="115">
        <f t="shared" si="80"/>
        <v>88.95</v>
      </c>
    </row>
    <row r="599" spans="1:8" x14ac:dyDescent="0.2">
      <c r="A599" s="205"/>
      <c r="B599" s="205"/>
      <c r="C599" s="205"/>
      <c r="D599" s="206"/>
      <c r="E599" s="207"/>
      <c r="F599" s="208"/>
      <c r="G599" s="205"/>
      <c r="H599" s="205"/>
    </row>
    <row r="600" spans="1:8" ht="33.75" x14ac:dyDescent="0.2">
      <c r="A600" s="204" t="s">
        <v>524</v>
      </c>
      <c r="B600" s="54" t="str">
        <f>VLOOKUP(A600,'Orçamento Sintético'!$A:$H,2,0)</f>
        <v xml:space="preserve"> MPDFT0885 </v>
      </c>
      <c r="C600" s="54" t="str">
        <f>VLOOKUP(A600,'Orçamento Sintético'!$A:$H,3,0)</f>
        <v>Próprio</v>
      </c>
      <c r="D600" s="55" t="str">
        <f>VLOOKUP(A600,'Orçamento Sintético'!$A:$H,4,0)</f>
        <v>Cópia da SBC (070473) - Duto flexível #250 para ventilação ou exaustão, fabricado em alumínio e poliéster com espiral de arame de aço bronzeado, anticorrosivo e indeformável.  Modelo de referência: Multivac Aludec 60 CO2</v>
      </c>
      <c r="E600" s="54" t="str">
        <f>VLOOKUP(A600,'Orçamento Sintético'!$A:$H,5,0)</f>
        <v>un</v>
      </c>
      <c r="F600" s="183"/>
      <c r="G600" s="184"/>
      <c r="H600" s="185">
        <f>SUM(H601:H603)</f>
        <v>159.43</v>
      </c>
    </row>
    <row r="601" spans="1:8" x14ac:dyDescent="0.2">
      <c r="A601" s="114" t="str">
        <f>VLOOKUP(B601,'Insumos e Serviços'!$A:$F,3,0)</f>
        <v>Composição</v>
      </c>
      <c r="B601" s="109" t="s">
        <v>631</v>
      </c>
      <c r="C601" s="113" t="str">
        <f>VLOOKUP(B601,'Insumos e Serviços'!$A:$F,2,0)</f>
        <v>SINAPI</v>
      </c>
      <c r="D601" s="114" t="str">
        <f>VLOOKUP(B601,'Insumos e Serviços'!$A:$F,4,0)</f>
        <v>AJUDANTE ESPECIALIZADO COM ENCARGOS COMPLEMENTARES</v>
      </c>
      <c r="E601" s="113" t="str">
        <f>VLOOKUP(B601,'Insumos e Serviços'!$A:$F,5,0)</f>
        <v>H</v>
      </c>
      <c r="F601" s="189">
        <v>0.309</v>
      </c>
      <c r="G601" s="115">
        <f>VLOOKUP(B601,'Insumos e Serviços'!$A:$F,6,0)</f>
        <v>20.39</v>
      </c>
      <c r="H601" s="115">
        <f t="shared" ref="H601:H603" si="81">TRUNC(F601*G601,2)</f>
        <v>6.3</v>
      </c>
    </row>
    <row r="602" spans="1:8" ht="22.5" x14ac:dyDescent="0.2">
      <c r="A602" s="114" t="str">
        <f>VLOOKUP(B602,'Insumos e Serviços'!$A:$F,3,0)</f>
        <v>Composição</v>
      </c>
      <c r="B602" s="109" t="s">
        <v>1065</v>
      </c>
      <c r="C602" s="113" t="str">
        <f>VLOOKUP(B602,'Insumos e Serviços'!$A:$F,2,0)</f>
        <v>SINAPI</v>
      </c>
      <c r="D602" s="114" t="str">
        <f>VLOOKUP(B602,'Insumos e Serviços'!$A:$F,4,0)</f>
        <v>APLICAÇÃO MANUAL DE PINTURA COM TINTA TEXTURIZADA ACRÍLICA EM PAREDES EXTERNAS DE CASAS, UMA COR. AF_06/2014</v>
      </c>
      <c r="E602" s="113" t="str">
        <f>VLOOKUP(B602,'Insumos e Serviços'!$A:$F,5,0)</f>
        <v>m²</v>
      </c>
      <c r="F602" s="189">
        <v>0.309</v>
      </c>
      <c r="G602" s="115">
        <f>VLOOKUP(B602,'Insumos e Serviços'!$A:$F,6,0)</f>
        <v>17.079999999999998</v>
      </c>
      <c r="H602" s="115">
        <f t="shared" si="81"/>
        <v>5.27</v>
      </c>
    </row>
    <row r="603" spans="1:8" ht="33.75" x14ac:dyDescent="0.2">
      <c r="A603" s="114" t="str">
        <f>VLOOKUP(B603,'Insumos e Serviços'!$A:$F,3,0)</f>
        <v>Insumo</v>
      </c>
      <c r="B603" s="109" t="s">
        <v>1067</v>
      </c>
      <c r="C603" s="113" t="str">
        <f>VLOOKUP(B603,'Insumos e Serviços'!$A:$F,2,0)</f>
        <v>Próprio</v>
      </c>
      <c r="D603" s="114" t="str">
        <f>VLOOKUP(B603,'Insumos e Serviços'!$A:$F,4,0)</f>
        <v>Duto flexível #250 para ventilação ou exaustão, fabricado em alumínio e poliéster com espiral de arame de aço bronzeado, anticorrosivo e indeformável.  Modelo de referência: Multivac Aludec 60 CO2</v>
      </c>
      <c r="E603" s="113" t="str">
        <f>VLOOKUP(B603,'Insumos e Serviços'!$A:$F,5,0)</f>
        <v>m</v>
      </c>
      <c r="F603" s="189">
        <v>1.1000000000000001</v>
      </c>
      <c r="G603" s="115" t="str">
        <f>VLOOKUP(B603,'Insumos e Serviços'!$A:$F,6,0)</f>
        <v xml:space="preserve"> 134,42</v>
      </c>
      <c r="H603" s="115">
        <f t="shared" si="81"/>
        <v>147.86000000000001</v>
      </c>
    </row>
    <row r="604" spans="1:8" x14ac:dyDescent="0.2">
      <c r="A604" s="205"/>
      <c r="B604" s="205"/>
      <c r="C604" s="205"/>
      <c r="D604" s="206"/>
      <c r="E604" s="207"/>
      <c r="F604" s="208"/>
      <c r="G604" s="205"/>
      <c r="H604" s="205"/>
    </row>
    <row r="605" spans="1:8" ht="78.75" x14ac:dyDescent="0.2">
      <c r="A605" s="204" t="s">
        <v>527</v>
      </c>
      <c r="B605" s="54" t="str">
        <f>VLOOKUP(A605,'Orçamento Sintético'!$A:$H,2,0)</f>
        <v xml:space="preserve"> MPDFT0440 </v>
      </c>
      <c r="C605" s="54" t="str">
        <f>VLOOKUP(A605,'Orçamento Sintético'!$A:$H,3,0)</f>
        <v>Próprio</v>
      </c>
      <c r="D605" s="55" t="str">
        <f>VLOOKUP(A605,'Orçamento Sintético'!$A:$H,4,0)</f>
        <v>Ventilador helicocentrífugo com isolamento fono-absorvente, construído em material plástico, desmontável, motor regulável 60 Hz, 220V, potência 245W, rotação 2775rpm, vazão em descarga livre 1060m³/h, nível de pressão sonora 31 dB(A), diâmetro do duto 250mm, peso 20kg, incluindo comporta anti-retorno, acoplamento para duto retangular, damper regulador de vazão, flanges e juntas de borrachas (admissão e saída) e suporte para instalação no entreforro. Modelo de referência: Soler&amp;Palau OTAM TD-1300/250 Silent + MCA+MAR ou similar equivalente.</v>
      </c>
      <c r="E605" s="54" t="str">
        <f>VLOOKUP(A605,'Orçamento Sintético'!$A:$H,5,0)</f>
        <v>un</v>
      </c>
      <c r="F605" s="183"/>
      <c r="G605" s="184"/>
      <c r="H605" s="185">
        <f>SUM(H606:H608)</f>
        <v>2259.6699999999996</v>
      </c>
    </row>
    <row r="606" spans="1:8" x14ac:dyDescent="0.2">
      <c r="A606" s="114" t="str">
        <f>VLOOKUP(B606,'Insumos e Serviços'!$A:$F,3,0)</f>
        <v>Composição</v>
      </c>
      <c r="B606" s="109" t="s">
        <v>629</v>
      </c>
      <c r="C606" s="113" t="str">
        <f>VLOOKUP(B606,'Insumos e Serviços'!$A:$F,2,0)</f>
        <v>SINAPI</v>
      </c>
      <c r="D606" s="114" t="str">
        <f>VLOOKUP(B606,'Insumos e Serviços'!$A:$F,4,0)</f>
        <v>MONTADOR (TUBO AÇO/EQUIPAMENTOS) COM ENCARGOS COMPLEMENTARES</v>
      </c>
      <c r="E606" s="113" t="str">
        <f>VLOOKUP(B606,'Insumos e Serviços'!$A:$F,5,0)</f>
        <v>H</v>
      </c>
      <c r="F606" s="189">
        <v>1.6910000000000001</v>
      </c>
      <c r="G606" s="115">
        <f>VLOOKUP(B606,'Insumos e Serviços'!$A:$F,6,0)</f>
        <v>18.350000000000001</v>
      </c>
      <c r="H606" s="115">
        <f t="shared" ref="H606:H608" si="82">TRUNC(F606*G606,2)</f>
        <v>31.02</v>
      </c>
    </row>
    <row r="607" spans="1:8" x14ac:dyDescent="0.2">
      <c r="A607" s="114" t="str">
        <f>VLOOKUP(B607,'Insumos e Serviços'!$A:$F,3,0)</f>
        <v>Composição</v>
      </c>
      <c r="B607" s="109" t="s">
        <v>631</v>
      </c>
      <c r="C607" s="113" t="str">
        <f>VLOOKUP(B607,'Insumos e Serviços'!$A:$F,2,0)</f>
        <v>SINAPI</v>
      </c>
      <c r="D607" s="114" t="str">
        <f>VLOOKUP(B607,'Insumos e Serviços'!$A:$F,4,0)</f>
        <v>AJUDANTE ESPECIALIZADO COM ENCARGOS COMPLEMENTARES</v>
      </c>
      <c r="E607" s="113" t="str">
        <f>VLOOKUP(B607,'Insumos e Serviços'!$A:$F,5,0)</f>
        <v>H</v>
      </c>
      <c r="F607" s="189">
        <v>1.6910000000000001</v>
      </c>
      <c r="G607" s="115">
        <f>VLOOKUP(B607,'Insumos e Serviços'!$A:$F,6,0)</f>
        <v>20.39</v>
      </c>
      <c r="H607" s="115">
        <f t="shared" si="82"/>
        <v>34.47</v>
      </c>
    </row>
    <row r="608" spans="1:8" ht="67.5" x14ac:dyDescent="0.2">
      <c r="A608" s="114" t="str">
        <f>VLOOKUP(B608,'Insumos e Serviços'!$A:$F,3,0)</f>
        <v>Insumo</v>
      </c>
      <c r="B608" s="109" t="s">
        <v>1069</v>
      </c>
      <c r="C608" s="113" t="str">
        <f>VLOOKUP(B608,'Insumos e Serviços'!$A:$F,2,0)</f>
        <v>Próprio</v>
      </c>
      <c r="D608" s="114" t="str">
        <f>VLOOKUP(B608,'Insumos e Serviços'!$A:$F,4,0)</f>
        <v>Ventilador helicocentrífugo com isolamento fono-absorvente, construído em material plástico, desmontável, motor regulável 60 Hz, 220V, potência 245W, rotação 2775rpm, vazão em descarga livre 1060m³/h, nível de pressão sonora 31 dB(A), diâmetro do duto 250mm, peso 20kg, incluindo comporta anti-retorno, acoplamento para duto retangular, damper regulador de vazão, flanges e juntas de borrachas (admissão e saída) e suporte para instalação no entreforro. Modelo de referência: Soler&amp;Palau OTAM TD-1300/250 Silent + MCA+MAR</v>
      </c>
      <c r="E608" s="113" t="str">
        <f>VLOOKUP(B608,'Insumos e Serviços'!$A:$F,5,0)</f>
        <v>un</v>
      </c>
      <c r="F608" s="189">
        <v>1</v>
      </c>
      <c r="G608" s="115">
        <f>VLOOKUP(B608,'Insumos e Serviços'!$A:$F,6,0)</f>
        <v>2194.1799999999998</v>
      </c>
      <c r="H608" s="115">
        <f t="shared" si="82"/>
        <v>2194.1799999999998</v>
      </c>
    </row>
    <row r="609" spans="1:8" x14ac:dyDescent="0.2">
      <c r="A609" s="205"/>
      <c r="B609" s="205"/>
      <c r="C609" s="205"/>
      <c r="D609" s="206"/>
      <c r="E609" s="207"/>
      <c r="F609" s="208"/>
      <c r="G609" s="205"/>
      <c r="H609" s="205"/>
    </row>
    <row r="610" spans="1:8" ht="33.75" x14ac:dyDescent="0.2">
      <c r="A610" s="204" t="s">
        <v>530</v>
      </c>
      <c r="B610" s="54" t="str">
        <f>VLOOKUP(A610,'Orçamento Sintético'!$A:$H,2,0)</f>
        <v xml:space="preserve"> MPDFT0886 </v>
      </c>
      <c r="C610" s="54" t="str">
        <f>VLOOKUP(A610,'Orçamento Sintético'!$A:$H,3,0)</f>
        <v>Próprio</v>
      </c>
      <c r="D610" s="55" t="str">
        <f>VLOOKUP(A610,'Orçamento Sintético'!$A:$H,4,0)</f>
        <v>Cópia da SBC (070473) - Duto flexível #100 para ventilação ou exaustão, fabricado em alumínio e poliéster com espiral de arame de aço bronzeado, anticorrosivo e indeformável.  Modelo de referência: Multivac Aludec 60 CO2</v>
      </c>
      <c r="E610" s="54" t="str">
        <f>VLOOKUP(A610,'Orçamento Sintético'!$A:$H,5,0)</f>
        <v>un</v>
      </c>
      <c r="F610" s="183"/>
      <c r="G610" s="184"/>
      <c r="H610" s="185">
        <f>SUM(H611:H613)</f>
        <v>70.58</v>
      </c>
    </row>
    <row r="611" spans="1:8" x14ac:dyDescent="0.2">
      <c r="A611" s="114" t="str">
        <f>VLOOKUP(B611,'Insumos e Serviços'!$A:$F,3,0)</f>
        <v>Composição</v>
      </c>
      <c r="B611" s="109" t="s">
        <v>631</v>
      </c>
      <c r="C611" s="113" t="str">
        <f>VLOOKUP(B611,'Insumos e Serviços'!$A:$F,2,0)</f>
        <v>SINAPI</v>
      </c>
      <c r="D611" s="114" t="str">
        <f>VLOOKUP(B611,'Insumos e Serviços'!$A:$F,4,0)</f>
        <v>AJUDANTE ESPECIALIZADO COM ENCARGOS COMPLEMENTARES</v>
      </c>
      <c r="E611" s="113" t="str">
        <f>VLOOKUP(B611,'Insumos e Serviços'!$A:$F,5,0)</f>
        <v>H</v>
      </c>
      <c r="F611" s="189">
        <v>0.309</v>
      </c>
      <c r="G611" s="115">
        <f>VLOOKUP(B611,'Insumos e Serviços'!$A:$F,6,0)</f>
        <v>20.39</v>
      </c>
      <c r="H611" s="115">
        <f t="shared" ref="H611:H613" si="83">TRUNC(F611*G611,2)</f>
        <v>6.3</v>
      </c>
    </row>
    <row r="612" spans="1:8" ht="22.5" x14ac:dyDescent="0.2">
      <c r="A612" s="114" t="str">
        <f>VLOOKUP(B612,'Insumos e Serviços'!$A:$F,3,0)</f>
        <v>Composição</v>
      </c>
      <c r="B612" s="109" t="s">
        <v>1065</v>
      </c>
      <c r="C612" s="113" t="str">
        <f>VLOOKUP(B612,'Insumos e Serviços'!$A:$F,2,0)</f>
        <v>SINAPI</v>
      </c>
      <c r="D612" s="114" t="str">
        <f>VLOOKUP(B612,'Insumos e Serviços'!$A:$F,4,0)</f>
        <v>APLICAÇÃO MANUAL DE PINTURA COM TINTA TEXTURIZADA ACRÍLICA EM PAREDES EXTERNAS DE CASAS, UMA COR. AF_06/2014</v>
      </c>
      <c r="E612" s="113" t="str">
        <f>VLOOKUP(B612,'Insumos e Serviços'!$A:$F,5,0)</f>
        <v>m²</v>
      </c>
      <c r="F612" s="189">
        <v>0.309</v>
      </c>
      <c r="G612" s="115">
        <f>VLOOKUP(B612,'Insumos e Serviços'!$A:$F,6,0)</f>
        <v>17.079999999999998</v>
      </c>
      <c r="H612" s="115">
        <f t="shared" si="83"/>
        <v>5.27</v>
      </c>
    </row>
    <row r="613" spans="1:8" ht="33.75" x14ac:dyDescent="0.2">
      <c r="A613" s="114" t="str">
        <f>VLOOKUP(B613,'Insumos e Serviços'!$A:$F,3,0)</f>
        <v>Insumo</v>
      </c>
      <c r="B613" s="109" t="s">
        <v>1071</v>
      </c>
      <c r="C613" s="113" t="str">
        <f>VLOOKUP(B613,'Insumos e Serviços'!$A:$F,2,0)</f>
        <v>Próprio</v>
      </c>
      <c r="D613" s="114" t="str">
        <f>VLOOKUP(B613,'Insumos e Serviços'!$A:$F,4,0)</f>
        <v>Duto flexível #100 para ventilação ou exaustão, fabricado em alumínio e poliéster com espiral de arame de aço bronzeado, anticorrosivo e indeformável.  Modelo de referência: Multivac Aludec 60 CO2</v>
      </c>
      <c r="E613" s="113" t="str">
        <f>VLOOKUP(B613,'Insumos e Serviços'!$A:$F,5,0)</f>
        <v>m</v>
      </c>
      <c r="F613" s="189">
        <v>1.1000000000000001</v>
      </c>
      <c r="G613" s="115">
        <f>VLOOKUP(B613,'Insumos e Serviços'!$A:$F,6,0)</f>
        <v>53.65</v>
      </c>
      <c r="H613" s="115">
        <f t="shared" si="83"/>
        <v>59.01</v>
      </c>
    </row>
    <row r="614" spans="1:8" x14ac:dyDescent="0.2">
      <c r="A614" s="205"/>
      <c r="B614" s="205"/>
      <c r="C614" s="205"/>
      <c r="D614" s="206"/>
      <c r="E614" s="207"/>
      <c r="F614" s="208"/>
      <c r="G614" s="205"/>
      <c r="H614" s="205"/>
    </row>
    <row r="615" spans="1:8" ht="45" x14ac:dyDescent="0.2">
      <c r="A615" s="204" t="s">
        <v>533</v>
      </c>
      <c r="B615" s="54" t="str">
        <f>VLOOKUP(A615,'Orçamento Sintético'!$A:$H,2,0)</f>
        <v xml:space="preserve"> MPDFT0880 </v>
      </c>
      <c r="C615" s="54" t="str">
        <f>VLOOKUP(A615,'Orçamento Sintético'!$A:$H,3,0)</f>
        <v>Próprio</v>
      </c>
      <c r="D615" s="55" t="str">
        <f>VLOOKUP(A615,'Orçamento Sintético'!$A:$H,4,0)</f>
        <v>Cópia da CPOS (61.10.574) - G1 - Grelha de exaustão, dimensões 225x125mm,  aletas fixas e horizontais, fabricada com perfis de alumínio extrudado, anodizado, na cor natural, incluindo registro de lâminas opostas e dupla deflexão. Modelo de referência: TROX AR/AG</v>
      </c>
      <c r="E615" s="54" t="str">
        <f>VLOOKUP(A615,'Orçamento Sintético'!$A:$H,5,0)</f>
        <v>un</v>
      </c>
      <c r="F615" s="183"/>
      <c r="G615" s="184"/>
      <c r="H615" s="185">
        <f>SUM(H616:H618)</f>
        <v>188.01</v>
      </c>
    </row>
    <row r="616" spans="1:8" x14ac:dyDescent="0.2">
      <c r="A616" s="114" t="str">
        <f>VLOOKUP(B616,'Insumos e Serviços'!$A:$F,3,0)</f>
        <v>Composição</v>
      </c>
      <c r="B616" s="109" t="s">
        <v>1055</v>
      </c>
      <c r="C616" s="113" t="str">
        <f>VLOOKUP(B616,'Insumos e Serviços'!$A:$F,2,0)</f>
        <v>SINAPI</v>
      </c>
      <c r="D616" s="114" t="str">
        <f>VLOOKUP(B616,'Insumos e Serviços'!$A:$F,4,0)</f>
        <v>MONTADOR DE ELETROELETRÔNICOS COM ENCARGOS COMPLEMENTARES</v>
      </c>
      <c r="E616" s="113" t="str">
        <f>VLOOKUP(B616,'Insumos e Serviços'!$A:$F,5,0)</f>
        <v>H</v>
      </c>
      <c r="F616" s="189">
        <v>3.6</v>
      </c>
      <c r="G616" s="115">
        <f>VLOOKUP(B616,'Insumos e Serviços'!$A:$F,6,0)</f>
        <v>22.43</v>
      </c>
      <c r="H616" s="115">
        <f t="shared" ref="H616:H618" si="84">TRUNC(F616*G616,2)</f>
        <v>80.739999999999995</v>
      </c>
    </row>
    <row r="617" spans="1:8" x14ac:dyDescent="0.2">
      <c r="A617" s="114" t="str">
        <f>VLOOKUP(B617,'Insumos e Serviços'!$A:$F,3,0)</f>
        <v>Composição</v>
      </c>
      <c r="B617" s="109" t="s">
        <v>1059</v>
      </c>
      <c r="C617" s="113" t="str">
        <f>VLOOKUP(B617,'Insumos e Serviços'!$A:$F,2,0)</f>
        <v>SINAPI</v>
      </c>
      <c r="D617" s="114" t="str">
        <f>VLOOKUP(B617,'Insumos e Serviços'!$A:$F,4,0)</f>
        <v>AJUDANTE DE OPERAÇÃO EM GERAL COM ENCARGOS COMPLEMENTARES</v>
      </c>
      <c r="E617" s="113" t="str">
        <f>VLOOKUP(B617,'Insumos e Serviços'!$A:$F,5,0)</f>
        <v>H</v>
      </c>
      <c r="F617" s="189">
        <v>3.6</v>
      </c>
      <c r="G617" s="115">
        <f>VLOOKUP(B617,'Insumos e Serviços'!$A:$F,6,0)</f>
        <v>18.39</v>
      </c>
      <c r="H617" s="115">
        <f t="shared" si="84"/>
        <v>66.2</v>
      </c>
    </row>
    <row r="618" spans="1:8" ht="33.75" x14ac:dyDescent="0.2">
      <c r="A618" s="114" t="str">
        <f>VLOOKUP(B618,'Insumos e Serviços'!$A:$F,3,0)</f>
        <v>Insumo</v>
      </c>
      <c r="B618" s="109" t="s">
        <v>1073</v>
      </c>
      <c r="C618" s="113" t="str">
        <f>VLOOKUP(B618,'Insumos e Serviços'!$A:$F,2,0)</f>
        <v>Próprio</v>
      </c>
      <c r="D618" s="114" t="str">
        <f>VLOOKUP(B618,'Insumos e Serviços'!$A:$F,4,0)</f>
        <v>G1 - Grelha de exaustão, dimensões 225x125mm,  aletas fixas e horizontais, fabricada com perfis de alumínio extrudado, anodizado, na cor natural, incluindo registro de lâminas opostas e dupla deflexão. Modelo de referência: TROX AR/A</v>
      </c>
      <c r="E618" s="113" t="str">
        <f>VLOOKUP(B618,'Insumos e Serviços'!$A:$F,5,0)</f>
        <v>un</v>
      </c>
      <c r="F618" s="189">
        <v>1</v>
      </c>
      <c r="G618" s="115" t="str">
        <f>VLOOKUP(B618,'Insumos e Serviços'!$A:$F,6,0)</f>
        <v xml:space="preserve"> 41,07</v>
      </c>
      <c r="H618" s="115">
        <f t="shared" si="84"/>
        <v>41.07</v>
      </c>
    </row>
    <row r="619" spans="1:8" x14ac:dyDescent="0.2">
      <c r="A619" s="205"/>
      <c r="B619" s="205"/>
      <c r="C619" s="205"/>
      <c r="D619" s="206"/>
      <c r="E619" s="207"/>
      <c r="F619" s="208"/>
      <c r="G619" s="205"/>
      <c r="H619" s="205"/>
    </row>
    <row r="620" spans="1:8" ht="78.75" x14ac:dyDescent="0.2">
      <c r="A620" s="204" t="s">
        <v>536</v>
      </c>
      <c r="B620" s="54" t="str">
        <f>VLOOKUP(A620,'Orçamento Sintético'!$A:$H,2,0)</f>
        <v xml:space="preserve"> MPDFT0286 </v>
      </c>
      <c r="C620" s="54" t="str">
        <f>VLOOKUP(A620,'Orçamento Sintético'!$A:$H,3,0)</f>
        <v>Próprio</v>
      </c>
      <c r="D620" s="55" t="str">
        <f>VLOOKUP(A620,'Orçamento Sintético'!$A:$H,4,0)</f>
        <v>Ventilador helicocentrífugo com isolamento fono-absorvente, construído em material plástico, desmontável, motor regulável 60 Hz, 220V, potência 43W, rotação 2570rpm, vazão em descarga livre 395m³/h, nível de pressão sonora 23 dB(A), diâmetro do duto 125mm, peso 5kg, incluindo comporta anti-retorno, acoplamento para duto retangular, damper regulador de vazão, flanges e juntas de borrachas (admissão e saída) e suporte para instalação no entreforro. Modelo de referência: Soler&amp;Palau OTAM TD-350/125 Silent + MCA+MAR ou similar equivalente.</v>
      </c>
      <c r="E620" s="54" t="str">
        <f>VLOOKUP(A620,'Orçamento Sintético'!$A:$H,5,0)</f>
        <v>un</v>
      </c>
      <c r="F620" s="183"/>
      <c r="G620" s="184"/>
      <c r="H620" s="185">
        <f>SUM(H621:H623)</f>
        <v>670.8</v>
      </c>
    </row>
    <row r="621" spans="1:8" x14ac:dyDescent="0.2">
      <c r="A621" s="114" t="str">
        <f>VLOOKUP(B621,'Insumos e Serviços'!$A:$F,3,0)</f>
        <v>Composição</v>
      </c>
      <c r="B621" s="109" t="s">
        <v>629</v>
      </c>
      <c r="C621" s="113" t="str">
        <f>VLOOKUP(B621,'Insumos e Serviços'!$A:$F,2,0)</f>
        <v>SINAPI</v>
      </c>
      <c r="D621" s="114" t="str">
        <f>VLOOKUP(B621,'Insumos e Serviços'!$A:$F,4,0)</f>
        <v>MONTADOR (TUBO AÇO/EQUIPAMENTOS) COM ENCARGOS COMPLEMENTARES</v>
      </c>
      <c r="E621" s="113" t="str">
        <f>VLOOKUP(B621,'Insumos e Serviços'!$A:$F,5,0)</f>
        <v>H</v>
      </c>
      <c r="F621" s="189">
        <v>1.6910000000000001</v>
      </c>
      <c r="G621" s="115">
        <f>VLOOKUP(B621,'Insumos e Serviços'!$A:$F,6,0)</f>
        <v>18.350000000000001</v>
      </c>
      <c r="H621" s="115">
        <f t="shared" ref="H621:H623" si="85">TRUNC(F621*G621,2)</f>
        <v>31.02</v>
      </c>
    </row>
    <row r="622" spans="1:8" x14ac:dyDescent="0.2">
      <c r="A622" s="114" t="str">
        <f>VLOOKUP(B622,'Insumos e Serviços'!$A:$F,3,0)</f>
        <v>Composição</v>
      </c>
      <c r="B622" s="109" t="s">
        <v>631</v>
      </c>
      <c r="C622" s="113" t="str">
        <f>VLOOKUP(B622,'Insumos e Serviços'!$A:$F,2,0)</f>
        <v>SINAPI</v>
      </c>
      <c r="D622" s="114" t="str">
        <f>VLOOKUP(B622,'Insumos e Serviços'!$A:$F,4,0)</f>
        <v>AJUDANTE ESPECIALIZADO COM ENCARGOS COMPLEMENTARES</v>
      </c>
      <c r="E622" s="113" t="str">
        <f>VLOOKUP(B622,'Insumos e Serviços'!$A:$F,5,0)</f>
        <v>H</v>
      </c>
      <c r="F622" s="189">
        <v>1.6910000000000001</v>
      </c>
      <c r="G622" s="115">
        <f>VLOOKUP(B622,'Insumos e Serviços'!$A:$F,6,0)</f>
        <v>20.39</v>
      </c>
      <c r="H622" s="115">
        <f t="shared" si="85"/>
        <v>34.47</v>
      </c>
    </row>
    <row r="623" spans="1:8" ht="67.5" x14ac:dyDescent="0.2">
      <c r="A623" s="114" t="str">
        <f>VLOOKUP(B623,'Insumos e Serviços'!$A:$F,3,0)</f>
        <v>Insumo</v>
      </c>
      <c r="B623" s="109" t="s">
        <v>1075</v>
      </c>
      <c r="C623" s="113" t="str">
        <f>VLOOKUP(B623,'Insumos e Serviços'!$A:$F,2,0)</f>
        <v>Próprio</v>
      </c>
      <c r="D623" s="114" t="str">
        <f>VLOOKUP(B623,'Insumos e Serviços'!$A:$F,4,0)</f>
        <v>Ventilador helicocentrífugo com isolamento fono-absorvente, construído em material plástico, desmontável, motor regulável 60 Hz, 220V, potência 43W, rotação 2570rpm, vazão em descarga livre 395m³/h, nível de pressão sonora 23 dB(A), diâmetro do duto 125mm, peso 5kg, incluindo comporta anti-retorno, acoplamento para duto retangular, damper regulador de vazão, flanges e juntas de borrachas (admissão e saída) e suporte para instalação no entreforro. Modelo de referência: Soler&amp;Palau OTAM TD-350/125 Silent + MCA+MAR</v>
      </c>
      <c r="E623" s="113" t="str">
        <f>VLOOKUP(B623,'Insumos e Serviços'!$A:$F,5,0)</f>
        <v>un</v>
      </c>
      <c r="F623" s="189">
        <v>1</v>
      </c>
      <c r="G623" s="115" t="str">
        <f>VLOOKUP(B623,'Insumos e Serviços'!$A:$F,6,0)</f>
        <v xml:space="preserve"> 605,31</v>
      </c>
      <c r="H623" s="115">
        <f t="shared" si="85"/>
        <v>605.30999999999995</v>
      </c>
    </row>
    <row r="624" spans="1:8" x14ac:dyDescent="0.2">
      <c r="A624" s="205"/>
      <c r="B624" s="205"/>
      <c r="C624" s="205"/>
      <c r="D624" s="206"/>
      <c r="E624" s="207"/>
      <c r="F624" s="208"/>
      <c r="G624" s="205"/>
      <c r="H624" s="205"/>
    </row>
    <row r="625" spans="1:8" x14ac:dyDescent="0.2">
      <c r="A625" s="232" t="s">
        <v>539</v>
      </c>
      <c r="B625" s="232"/>
      <c r="C625" s="232"/>
      <c r="D625" s="232" t="s">
        <v>540</v>
      </c>
      <c r="E625" s="232"/>
      <c r="F625" s="233"/>
      <c r="G625" s="232"/>
      <c r="H625" s="234"/>
    </row>
    <row r="626" spans="1:8" x14ac:dyDescent="0.2">
      <c r="A626" s="190" t="s">
        <v>541</v>
      </c>
      <c r="B626" s="191"/>
      <c r="C626" s="190"/>
      <c r="D626" s="190" t="s">
        <v>542</v>
      </c>
      <c r="E626" s="191"/>
      <c r="F626" s="192"/>
      <c r="G626" s="193"/>
      <c r="H626" s="193"/>
    </row>
    <row r="627" spans="1:8" x14ac:dyDescent="0.2">
      <c r="A627" s="204" t="s">
        <v>543</v>
      </c>
      <c r="B627" s="54" t="str">
        <f>VLOOKUP(A627,'Orçamento Sintético'!$A:$H,2,0)</f>
        <v xml:space="preserve"> MPDFT0893 </v>
      </c>
      <c r="C627" s="54" t="str">
        <f>VLOOKUP(A627,'Orçamento Sintético'!$A:$H,3,0)</f>
        <v>Próprio</v>
      </c>
      <c r="D627" s="55" t="str">
        <f>VLOOKUP(A627,'Orçamento Sintético'!$A:$H,4,0)</f>
        <v>Copia da ORSE (8857) - Remoção de Difusor de Ar-Condicionado</v>
      </c>
      <c r="E627" s="54" t="str">
        <f>VLOOKUP(A627,'Orçamento Sintético'!$A:$H,5,0)</f>
        <v>un</v>
      </c>
      <c r="F627" s="183"/>
      <c r="G627" s="184"/>
      <c r="H627" s="185">
        <f>SUM(H628:H629)</f>
        <v>24.86</v>
      </c>
    </row>
    <row r="628" spans="1:8" x14ac:dyDescent="0.2">
      <c r="A628" s="114" t="str">
        <f>VLOOKUP(B628,'Insumos e Serviços'!$A:$F,3,0)</f>
        <v>Composição</v>
      </c>
      <c r="B628" s="109" t="s">
        <v>597</v>
      </c>
      <c r="C628" s="113" t="str">
        <f>VLOOKUP(B628,'Insumos e Serviços'!$A:$F,2,0)</f>
        <v>SINAPI</v>
      </c>
      <c r="D628" s="114" t="str">
        <f>VLOOKUP(B628,'Insumos e Serviços'!$A:$F,4,0)</f>
        <v>SERVENTE COM ENCARGOS COMPLEMENTARES</v>
      </c>
      <c r="E628" s="113" t="str">
        <f>VLOOKUP(B628,'Insumos e Serviços'!$A:$F,5,0)</f>
        <v>H</v>
      </c>
      <c r="F628" s="189">
        <v>0.6</v>
      </c>
      <c r="G628" s="115">
        <f>VLOOKUP(B628,'Insumos e Serviços'!$A:$F,6,0)</f>
        <v>17.170000000000002</v>
      </c>
      <c r="H628" s="115">
        <f t="shared" ref="H628:H629" si="86">TRUNC(F628*G628,2)</f>
        <v>10.3</v>
      </c>
    </row>
    <row r="629" spans="1:8" x14ac:dyDescent="0.2">
      <c r="A629" s="114" t="str">
        <f>VLOOKUP(B629,'Insumos e Serviços'!$A:$F,3,0)</f>
        <v>Composição</v>
      </c>
      <c r="B629" s="109" t="s">
        <v>1077</v>
      </c>
      <c r="C629" s="113" t="str">
        <f>VLOOKUP(B629,'Insumos e Serviços'!$A:$F,2,0)</f>
        <v>SINAPI</v>
      </c>
      <c r="D629" s="114" t="str">
        <f>VLOOKUP(B629,'Insumos e Serviços'!$A:$F,4,0)</f>
        <v>MONTADOR ELETROMECÃNICO COM ENCARGOS COMPLEMENTARES</v>
      </c>
      <c r="E629" s="113" t="str">
        <f>VLOOKUP(B629,'Insumos e Serviços'!$A:$F,5,0)</f>
        <v>H</v>
      </c>
      <c r="F629" s="189">
        <v>0.6</v>
      </c>
      <c r="G629" s="115">
        <f>VLOOKUP(B629,'Insumos e Serviços'!$A:$F,6,0)</f>
        <v>24.28</v>
      </c>
      <c r="H629" s="115">
        <f t="shared" si="86"/>
        <v>14.56</v>
      </c>
    </row>
    <row r="630" spans="1:8" x14ac:dyDescent="0.2">
      <c r="A630" s="205"/>
      <c r="B630" s="205"/>
      <c r="C630" s="205"/>
      <c r="D630" s="206"/>
      <c r="E630" s="207"/>
      <c r="F630" s="208"/>
      <c r="G630" s="205"/>
      <c r="H630" s="205"/>
    </row>
    <row r="631" spans="1:8" x14ac:dyDescent="0.2">
      <c r="A631" s="204" t="s">
        <v>546</v>
      </c>
      <c r="B631" s="54" t="str">
        <f>VLOOKUP(A631,'Orçamento Sintético'!$A:$H,2,0)</f>
        <v xml:space="preserve"> MPDFT0894 </v>
      </c>
      <c r="C631" s="54" t="str">
        <f>VLOOKUP(A631,'Orçamento Sintético'!$A:$H,3,0)</f>
        <v>Próprio</v>
      </c>
      <c r="D631" s="55" t="str">
        <f>VLOOKUP(A631,'Orçamento Sintético'!$A:$H,4,0)</f>
        <v>Copia da SIURB (176093) - RETIRADA DE DUTO DE EXAUSTÃO</v>
      </c>
      <c r="E631" s="54" t="str">
        <f>VLOOKUP(A631,'Orçamento Sintético'!$A:$H,5,0)</f>
        <v>M</v>
      </c>
      <c r="F631" s="183"/>
      <c r="G631" s="184"/>
      <c r="H631" s="185">
        <f>SUM(H632:H633)</f>
        <v>12.58</v>
      </c>
    </row>
    <row r="632" spans="1:8" x14ac:dyDescent="0.2">
      <c r="A632" s="114" t="str">
        <f>VLOOKUP(B632,'Insumos e Serviços'!$A:$F,3,0)</f>
        <v>Composição</v>
      </c>
      <c r="B632" s="109" t="s">
        <v>601</v>
      </c>
      <c r="C632" s="113" t="str">
        <f>VLOOKUP(B632,'Insumos e Serviços'!$A:$F,2,0)</f>
        <v>SINAPI</v>
      </c>
      <c r="D632" s="114" t="str">
        <f>VLOOKUP(B632,'Insumos e Serviços'!$A:$F,4,0)</f>
        <v>SERRALHEIRO COM ENCARGOS COMPLEMENTARES</v>
      </c>
      <c r="E632" s="113" t="str">
        <f>VLOOKUP(B632,'Insumos e Serviços'!$A:$F,5,0)</f>
        <v>H</v>
      </c>
      <c r="F632" s="189">
        <v>0.3</v>
      </c>
      <c r="G632" s="115">
        <f>VLOOKUP(B632,'Insumos e Serviços'!$A:$F,6,0)</f>
        <v>23.13</v>
      </c>
      <c r="H632" s="115">
        <f t="shared" ref="H632:H633" si="87">TRUNC(F632*G632,2)</f>
        <v>6.93</v>
      </c>
    </row>
    <row r="633" spans="1:8" x14ac:dyDescent="0.2">
      <c r="A633" s="114" t="str">
        <f>VLOOKUP(B633,'Insumos e Serviços'!$A:$F,3,0)</f>
        <v>Composição</v>
      </c>
      <c r="B633" s="109" t="s">
        <v>603</v>
      </c>
      <c r="C633" s="113" t="str">
        <f>VLOOKUP(B633,'Insumos e Serviços'!$A:$F,2,0)</f>
        <v>SINAPI</v>
      </c>
      <c r="D633" s="114" t="str">
        <f>VLOOKUP(B633,'Insumos e Serviços'!$A:$F,4,0)</f>
        <v>AUXILIAR DE SERRALHEIRO COM ENCARGOS COMPLEMENTARES</v>
      </c>
      <c r="E633" s="113" t="str">
        <f>VLOOKUP(B633,'Insumos e Serviços'!$A:$F,5,0)</f>
        <v>H</v>
      </c>
      <c r="F633" s="189">
        <v>0.3</v>
      </c>
      <c r="G633" s="115">
        <f>VLOOKUP(B633,'Insumos e Serviços'!$A:$F,6,0)</f>
        <v>18.84</v>
      </c>
      <c r="H633" s="115">
        <f t="shared" si="87"/>
        <v>5.65</v>
      </c>
    </row>
    <row r="634" spans="1:8" x14ac:dyDescent="0.2">
      <c r="A634" s="205"/>
      <c r="B634" s="205"/>
      <c r="C634" s="205"/>
      <c r="D634" s="206"/>
      <c r="E634" s="207"/>
      <c r="F634" s="208"/>
      <c r="G634" s="205"/>
      <c r="H634" s="205"/>
    </row>
    <row r="635" spans="1:8" x14ac:dyDescent="0.2">
      <c r="A635" s="194" t="s">
        <v>549</v>
      </c>
      <c r="B635" s="194"/>
      <c r="C635" s="194"/>
      <c r="D635" s="195" t="s">
        <v>550</v>
      </c>
      <c r="E635" s="196"/>
      <c r="F635" s="197"/>
      <c r="G635" s="194"/>
      <c r="H635" s="198"/>
    </row>
    <row r="636" spans="1:8" x14ac:dyDescent="0.2">
      <c r="A636" s="199" t="s">
        <v>551</v>
      </c>
      <c r="B636" s="199"/>
      <c r="C636" s="199"/>
      <c r="D636" s="200" t="s">
        <v>552</v>
      </c>
      <c r="E636" s="201"/>
      <c r="F636" s="202"/>
      <c r="G636" s="199"/>
      <c r="H636" s="203"/>
    </row>
    <row r="637" spans="1:8" x14ac:dyDescent="0.2">
      <c r="A637" s="209" t="s">
        <v>553</v>
      </c>
      <c r="B637" s="209"/>
      <c r="C637" s="209"/>
      <c r="D637" s="210" t="s">
        <v>554</v>
      </c>
      <c r="E637" s="211"/>
      <c r="F637" s="212"/>
      <c r="G637" s="209"/>
      <c r="H637" s="213"/>
    </row>
    <row r="638" spans="1:8" ht="56.25" x14ac:dyDescent="0.2">
      <c r="A638" s="204" t="s">
        <v>555</v>
      </c>
      <c r="B638" s="54" t="str">
        <f>VLOOKUP(A638,'Orçamento Sintético'!$A:$H,2,0)</f>
        <v xml:space="preserve"> MPDFT0462 </v>
      </c>
      <c r="C638" s="54" t="str">
        <f>VLOOKUP(A638,'Orçamento Sintético'!$A:$H,3,0)</f>
        <v>Próprio</v>
      </c>
      <c r="D638" s="55" t="str">
        <f>VLOOKUP(A638,'Orçamento Sintético'!$A:$H,4,0)</f>
        <v>19a - Placa de Identificação de Pavimento (PIP), 150x150mm, fixada nas superfícies por meio de fita dupla-face, fundo em chapa de acrílico opaca, espessura 3mm, acabamento pintura esmalte automotivo sobre  primer surfacer, referência cromática Verde C60, M0, Y40, K30, símbolo em vinil fotoluminescente, texto em Braile em alto relevo 1mm de PVC conforme NBR 9050.</v>
      </c>
      <c r="E638" s="54" t="str">
        <f>VLOOKUP(A638,'Orçamento Sintético'!$A:$H,5,0)</f>
        <v>un</v>
      </c>
      <c r="F638" s="183"/>
      <c r="G638" s="184"/>
      <c r="H638" s="185">
        <f>SUM(H639:H641)</f>
        <v>21.43</v>
      </c>
    </row>
    <row r="639" spans="1:8" x14ac:dyDescent="0.2">
      <c r="A639" s="114" t="str">
        <f>VLOOKUP(B639,'Insumos e Serviços'!$A:$F,3,0)</f>
        <v>Composição</v>
      </c>
      <c r="B639" s="109" t="s">
        <v>597</v>
      </c>
      <c r="C639" s="113" t="str">
        <f>VLOOKUP(B639,'Insumos e Serviços'!$A:$F,2,0)</f>
        <v>SINAPI</v>
      </c>
      <c r="D639" s="114" t="str">
        <f>VLOOKUP(B639,'Insumos e Serviços'!$A:$F,4,0)</f>
        <v>SERVENTE COM ENCARGOS COMPLEMENTARES</v>
      </c>
      <c r="E639" s="113" t="str">
        <f>VLOOKUP(B639,'Insumos e Serviços'!$A:$F,5,0)</f>
        <v>H</v>
      </c>
      <c r="F639" s="189">
        <v>0.2</v>
      </c>
      <c r="G639" s="115">
        <f>VLOOKUP(B639,'Insumos e Serviços'!$A:$F,6,0)</f>
        <v>17.170000000000002</v>
      </c>
      <c r="H639" s="115">
        <f t="shared" ref="H639:H641" si="88">TRUNC(F639*G639,2)</f>
        <v>3.43</v>
      </c>
    </row>
    <row r="640" spans="1:8" x14ac:dyDescent="0.2">
      <c r="A640" s="114" t="str">
        <f>VLOOKUP(B640,'Insumos e Serviços'!$A:$F,3,0)</f>
        <v>Composição</v>
      </c>
      <c r="B640" s="109" t="s">
        <v>599</v>
      </c>
      <c r="C640" s="113" t="str">
        <f>VLOOKUP(B640,'Insumos e Serviços'!$A:$F,2,0)</f>
        <v>SINAPI</v>
      </c>
      <c r="D640" s="114" t="str">
        <f>VLOOKUP(B640,'Insumos e Serviços'!$A:$F,4,0)</f>
        <v>PEDREIRO COM ENCARGOS COMPLEMENTARES</v>
      </c>
      <c r="E640" s="113" t="str">
        <f>VLOOKUP(B640,'Insumos e Serviços'!$A:$F,5,0)</f>
        <v>H</v>
      </c>
      <c r="F640" s="189">
        <v>0.1</v>
      </c>
      <c r="G640" s="115">
        <f>VLOOKUP(B640,'Insumos e Serviços'!$A:$F,6,0)</f>
        <v>23.25</v>
      </c>
      <c r="H640" s="115">
        <f t="shared" si="88"/>
        <v>2.3199999999999998</v>
      </c>
    </row>
    <row r="641" spans="1:8" ht="33.75" x14ac:dyDescent="0.2">
      <c r="A641" s="114" t="str">
        <f>VLOOKUP(B641,'Insumos e Serviços'!$A:$F,3,0)</f>
        <v>Insumo</v>
      </c>
      <c r="B641" s="109" t="s">
        <v>1079</v>
      </c>
      <c r="C641" s="113" t="str">
        <f>VLOOKUP(B641,'Insumos e Serviços'!$A:$F,2,0)</f>
        <v>SINAPI</v>
      </c>
      <c r="D641" s="114" t="str">
        <f>VLOOKUP(B641,'Insumos e Serviços'!$A:$F,4,0)</f>
        <v>PLACA DE SINALIZACAO DE SEGURANCA CONTRA INCENDIO, FOTOLUMINESCENTE, RETANGULAR, *13 X 26* CM, EM PVC *2* MM ANTI-CHAMAS (SIMBOLOS, CORES E PICTOGRAMAS CONFORME NBR 13434)</v>
      </c>
      <c r="E641" s="113" t="str">
        <f>VLOOKUP(B641,'Insumos e Serviços'!$A:$F,5,0)</f>
        <v>UN</v>
      </c>
      <c r="F641" s="189">
        <v>0.7</v>
      </c>
      <c r="G641" s="115">
        <f>VLOOKUP(B641,'Insumos e Serviços'!$A:$F,6,0)</f>
        <v>22.41</v>
      </c>
      <c r="H641" s="115">
        <f t="shared" si="88"/>
        <v>15.68</v>
      </c>
    </row>
    <row r="642" spans="1:8" x14ac:dyDescent="0.2">
      <c r="A642" s="205"/>
      <c r="B642" s="205"/>
      <c r="C642" s="205"/>
      <c r="D642" s="206"/>
      <c r="E642" s="207"/>
      <c r="F642" s="208"/>
      <c r="G642" s="205"/>
      <c r="H642" s="205"/>
    </row>
    <row r="643" spans="1:8" x14ac:dyDescent="0.2">
      <c r="A643" s="194" t="s">
        <v>558</v>
      </c>
      <c r="B643" s="194"/>
      <c r="C643" s="194"/>
      <c r="D643" s="195" t="s">
        <v>559</v>
      </c>
      <c r="E643" s="196"/>
      <c r="F643" s="197"/>
      <c r="G643" s="194"/>
      <c r="H643" s="198"/>
    </row>
    <row r="644" spans="1:8" x14ac:dyDescent="0.2">
      <c r="A644" s="199" t="s">
        <v>560</v>
      </c>
      <c r="B644" s="199"/>
      <c r="C644" s="199"/>
      <c r="D644" s="200" t="s">
        <v>561</v>
      </c>
      <c r="E644" s="201"/>
      <c r="F644" s="202"/>
      <c r="G644" s="199"/>
      <c r="H644" s="203"/>
    </row>
    <row r="645" spans="1:8" x14ac:dyDescent="0.2">
      <c r="A645" s="204" t="s">
        <v>570</v>
      </c>
      <c r="B645" s="54" t="str">
        <f>VLOOKUP(A645,'Orçamento Sintético'!$A:$H,2,0)</f>
        <v xml:space="preserve"> MPDFT0825 </v>
      </c>
      <c r="C645" s="54" t="str">
        <f>VLOOKUP(A645,'Orçamento Sintético'!$A:$H,3,0)</f>
        <v>Próprio</v>
      </c>
      <c r="D645" s="55" t="str">
        <f>VLOOKUP(A645,'Orçamento Sintético'!$A:$H,4,0)</f>
        <v>Transporte de material – bota-fora, D.M.T = 80,0 km</v>
      </c>
      <c r="E645" s="54" t="str">
        <f>VLOOKUP(A645,'Orçamento Sintético'!$A:$H,5,0)</f>
        <v>m³</v>
      </c>
      <c r="F645" s="183"/>
      <c r="G645" s="184"/>
      <c r="H645" s="185">
        <f>SUM(H646:H647)</f>
        <v>83.12</v>
      </c>
    </row>
    <row r="646" spans="1:8" ht="22.5" x14ac:dyDescent="0.2">
      <c r="A646" s="114" t="str">
        <f>VLOOKUP(B646,'Insumos e Serviços'!$A:$F,3,0)</f>
        <v>Composição</v>
      </c>
      <c r="B646" s="109" t="s">
        <v>1081</v>
      </c>
      <c r="C646" s="113" t="str">
        <f>VLOOKUP(B646,'Insumos e Serviços'!$A:$F,2,0)</f>
        <v>SINAPI</v>
      </c>
      <c r="D646" s="114" t="str">
        <f>VLOOKUP(B646,'Insumos e Serviços'!$A:$F,4,0)</f>
        <v>TRANSPORTE COM CAMINHÃO BASCULANTE DE 6 M³, EM VIA URBANA PAVIMENTADA, ADICIONAL PARA DMT EXCEDENTE A 30 KM (UNIDADE: M3XKM). AF_07/2020</v>
      </c>
      <c r="E646" s="113" t="str">
        <f>VLOOKUP(B646,'Insumos e Serviços'!$A:$F,5,0)</f>
        <v>M3XKM</v>
      </c>
      <c r="F646" s="189">
        <v>80</v>
      </c>
      <c r="G646" s="115">
        <f>VLOOKUP(B646,'Insumos e Serviços'!$A:$F,6,0)</f>
        <v>0.77</v>
      </c>
      <c r="H646" s="115">
        <f t="shared" ref="H646:H647" si="89">TRUNC(F646*G646,2)</f>
        <v>61.6</v>
      </c>
    </row>
    <row r="647" spans="1:8" x14ac:dyDescent="0.2">
      <c r="A647" s="114" t="str">
        <f>VLOOKUP(B647,'Insumos e Serviços'!$A:$F,3,0)</f>
        <v>Composição</v>
      </c>
      <c r="B647" s="109" t="s">
        <v>1084</v>
      </c>
      <c r="C647" s="113" t="str">
        <f>VLOOKUP(B647,'Insumos e Serviços'!$A:$F,2,0)</f>
        <v>SINAPI</v>
      </c>
      <c r="D647" s="114" t="str">
        <f>VLOOKUP(B647,'Insumos e Serviços'!$A:$F,4,0)</f>
        <v>CARGA MANUAL DE ENTULHO EM CAMINHAO BASCULANTE 6 M3</v>
      </c>
      <c r="E647" s="113" t="str">
        <f>VLOOKUP(B647,'Insumos e Serviços'!$A:$F,5,0)</f>
        <v>m³</v>
      </c>
      <c r="F647" s="189">
        <v>1</v>
      </c>
      <c r="G647" s="115">
        <f>VLOOKUP(B647,'Insumos e Serviços'!$A:$F,6,0)</f>
        <v>21.52</v>
      </c>
      <c r="H647" s="115">
        <f t="shared" si="89"/>
        <v>21.52</v>
      </c>
    </row>
  </sheetData>
  <mergeCells count="15">
    <mergeCell ref="G1:H1"/>
    <mergeCell ref="A2:B2"/>
    <mergeCell ref="E2:F2"/>
    <mergeCell ref="G2:H2"/>
    <mergeCell ref="A7:H7"/>
    <mergeCell ref="A3:B3"/>
    <mergeCell ref="C3:D3"/>
    <mergeCell ref="A4:B4"/>
    <mergeCell ref="C4:D4"/>
    <mergeCell ref="E4:F4"/>
    <mergeCell ref="G4:H4"/>
    <mergeCell ref="A6:B6"/>
    <mergeCell ref="C6:D6"/>
    <mergeCell ref="E6:F6"/>
    <mergeCell ref="G6:H6"/>
  </mergeCells>
  <printOptions horizontalCentered="1"/>
  <pageMargins left="0.59055118110236227" right="0.59055118110236227" top="0.59055118110236227" bottom="0.59055118110236227" header="0.19685039370078741" footer="0.19685039370078741"/>
  <pageSetup paperSize="9" scale="5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AF43F-A22F-40F6-A369-8A8573BAA9A0}">
  <sheetPr>
    <pageSetUpPr fitToPage="1"/>
  </sheetPr>
  <dimension ref="A1:H274"/>
  <sheetViews>
    <sheetView showGridLines="0" tabSelected="1" zoomScaleNormal="100" workbookViewId="0">
      <pane xSplit="8" ySplit="8" topLeftCell="I240" activePane="bottomRight" state="frozen"/>
      <selection sqref="A1:B1"/>
      <selection pane="topRight" sqref="A1:B1"/>
      <selection pane="bottomLeft" sqref="A1:B1"/>
      <selection pane="bottomRight" activeCell="G258" sqref="G258:H258"/>
    </sheetView>
  </sheetViews>
  <sheetFormatPr defaultRowHeight="14.25" x14ac:dyDescent="0.2"/>
  <cols>
    <col min="1" max="1" width="12" style="110" customWidth="1"/>
    <col min="2" max="2" width="10" style="112" customWidth="1"/>
    <col min="3" max="3" width="10" style="110" customWidth="1"/>
    <col min="4" max="4" width="60" style="110" customWidth="1"/>
    <col min="5" max="5" width="12" style="110" hidden="1" customWidth="1"/>
    <col min="6" max="6" width="13" style="110" hidden="1" customWidth="1"/>
    <col min="7" max="8" width="15.625" style="110" customWidth="1"/>
    <col min="9" max="16384" width="9" style="110"/>
  </cols>
  <sheetData>
    <row r="1" spans="1:8" s="61" customFormat="1" ht="14.25" customHeight="1" x14ac:dyDescent="0.2">
      <c r="A1" s="86" t="str">
        <f>'Orçamento Sintético'!A1</f>
        <v>P. Execução:</v>
      </c>
      <c r="B1" s="87"/>
      <c r="C1" s="86" t="str">
        <f>'Orçamento Sintético'!C1</f>
        <v>Licitação:</v>
      </c>
      <c r="D1" s="59" t="str">
        <f>'Orçamento Sintético'!D1</f>
        <v>Objeto: Adequações de acessibilidade – área interna - Edifício Infância</v>
      </c>
      <c r="E1" s="86" t="str">
        <f>'Orçamento Sintético'!E1</f>
        <v>Data:</v>
      </c>
      <c r="F1" s="57"/>
      <c r="G1" s="263"/>
      <c r="H1" s="250"/>
    </row>
    <row r="2" spans="1:8" s="61" customFormat="1" ht="14.25" customHeight="1" x14ac:dyDescent="0.2">
      <c r="A2" s="242" t="str">
        <f>'Orçamento Sintético'!A2:B2</f>
        <v>A</v>
      </c>
      <c r="B2" s="244"/>
      <c r="C2" s="62" t="str">
        <f>'Orçamento Sintético'!C2</f>
        <v>B</v>
      </c>
      <c r="D2" s="63" t="str">
        <f>'Orçamento Sintético'!D2</f>
        <v>Local:  SEPN 711/911, Bloco B, Asa Norte, Brasília-DF</v>
      </c>
      <c r="E2" s="265">
        <f>'Orçamento Sintético'!E2:F2</f>
        <v>1</v>
      </c>
      <c r="F2" s="266"/>
      <c r="G2" s="245"/>
      <c r="H2" s="246"/>
    </row>
    <row r="3" spans="1:8" s="61" customFormat="1" x14ac:dyDescent="0.2">
      <c r="A3" s="84" t="str">
        <f>'Orçamento Sintético'!A3</f>
        <v>P. Validade:</v>
      </c>
      <c r="B3" s="85"/>
      <c r="C3" s="84" t="str">
        <f>'Orçamento Sintético'!C3</f>
        <v>Razão Social:</v>
      </c>
      <c r="D3" s="57"/>
      <c r="E3" s="86" t="str">
        <f>'Orçamento Sintético'!E3</f>
        <v>Telefone:</v>
      </c>
      <c r="F3" s="57"/>
      <c r="G3" s="178"/>
      <c r="H3" s="65"/>
    </row>
    <row r="4" spans="1:8" s="61" customFormat="1" x14ac:dyDescent="0.2">
      <c r="A4" s="242" t="str">
        <f>'Orçamento Sintético'!A4:B4</f>
        <v>C</v>
      </c>
      <c r="B4" s="244"/>
      <c r="C4" s="242" t="str">
        <f>'Orçamento Sintético'!C4:D4</f>
        <v>D</v>
      </c>
      <c r="D4" s="243"/>
      <c r="E4" s="242" t="str">
        <f>'Orçamento Sintético'!E4:F4</f>
        <v>E</v>
      </c>
      <c r="F4" s="243"/>
      <c r="G4" s="245"/>
      <c r="H4" s="246"/>
    </row>
    <row r="5" spans="1:8" s="61" customFormat="1" x14ac:dyDescent="0.2">
      <c r="A5" s="86" t="str">
        <f>'Orçamento Sintético'!A5</f>
        <v>P. Garantia:</v>
      </c>
      <c r="B5" s="87"/>
      <c r="C5" s="86" t="str">
        <f>'Orçamento Sintético'!C5</f>
        <v>CNPJ:</v>
      </c>
      <c r="D5" s="57"/>
      <c r="E5" s="86" t="str">
        <f>'Orçamento Sintético'!E5</f>
        <v>E-mail:</v>
      </c>
      <c r="F5" s="57"/>
      <c r="G5" s="64"/>
      <c r="H5" s="65"/>
    </row>
    <row r="6" spans="1:8" s="61" customFormat="1" x14ac:dyDescent="0.2">
      <c r="A6" s="242" t="str">
        <f>'Orçamento Sintético'!A6:B6</f>
        <v>F</v>
      </c>
      <c r="B6" s="244"/>
      <c r="C6" s="242" t="str">
        <f>'Orçamento Sintético'!C6:D6</f>
        <v>G</v>
      </c>
      <c r="D6" s="243"/>
      <c r="E6" s="242" t="str">
        <f>'Orçamento Sintético'!E6:F6</f>
        <v>H</v>
      </c>
      <c r="F6" s="243"/>
      <c r="G6" s="247"/>
      <c r="H6" s="248"/>
    </row>
    <row r="7" spans="1:8" customFormat="1" ht="15" x14ac:dyDescent="0.25">
      <c r="A7" s="264" t="s">
        <v>1209</v>
      </c>
      <c r="B7" s="264"/>
      <c r="C7" s="264"/>
      <c r="D7" s="264"/>
      <c r="E7" s="264"/>
      <c r="F7" s="264"/>
      <c r="G7" s="264"/>
      <c r="H7" s="264"/>
    </row>
    <row r="8" spans="1:8" s="111" customFormat="1" ht="25.5" x14ac:dyDescent="0.25">
      <c r="A8" s="108" t="s">
        <v>2</v>
      </c>
      <c r="B8" s="108" t="s">
        <v>3</v>
      </c>
      <c r="C8" s="108" t="s">
        <v>1190</v>
      </c>
      <c r="D8" s="108" t="s">
        <v>4</v>
      </c>
      <c r="E8" s="108" t="s">
        <v>5</v>
      </c>
      <c r="F8" s="108" t="s">
        <v>7</v>
      </c>
      <c r="G8" s="108" t="s">
        <v>1206</v>
      </c>
      <c r="H8" s="108" t="s">
        <v>1207</v>
      </c>
    </row>
    <row r="9" spans="1:8" ht="22.5" x14ac:dyDescent="0.2">
      <c r="A9" s="113" t="s">
        <v>918</v>
      </c>
      <c r="B9" s="113" t="s">
        <v>26</v>
      </c>
      <c r="C9" s="113" t="s">
        <v>722</v>
      </c>
      <c r="D9" s="114" t="s">
        <v>919</v>
      </c>
      <c r="E9" s="113" t="s">
        <v>67</v>
      </c>
      <c r="F9" s="115" t="s">
        <v>1130</v>
      </c>
      <c r="G9" s="109" t="s">
        <v>1208</v>
      </c>
      <c r="H9" s="109" t="s">
        <v>1208</v>
      </c>
    </row>
    <row r="10" spans="1:8" x14ac:dyDescent="0.2">
      <c r="A10" s="113">
        <v>122</v>
      </c>
      <c r="B10" s="113" t="s">
        <v>26</v>
      </c>
      <c r="C10" s="113" t="s">
        <v>589</v>
      </c>
      <c r="D10" s="114" t="s">
        <v>726</v>
      </c>
      <c r="E10" s="113" t="s">
        <v>67</v>
      </c>
      <c r="F10" s="115" t="s">
        <v>727</v>
      </c>
      <c r="G10" s="109" t="s">
        <v>1208</v>
      </c>
      <c r="H10" s="109" t="s">
        <v>1208</v>
      </c>
    </row>
    <row r="11" spans="1:8" ht="22.5" x14ac:dyDescent="0.2">
      <c r="A11" s="113" t="s">
        <v>833</v>
      </c>
      <c r="B11" s="113" t="s">
        <v>26</v>
      </c>
      <c r="C11" s="113" t="s">
        <v>589</v>
      </c>
      <c r="D11" s="114" t="s">
        <v>834</v>
      </c>
      <c r="E11" s="113" t="s">
        <v>32</v>
      </c>
      <c r="F11" s="115" t="s">
        <v>1107</v>
      </c>
      <c r="G11" s="109"/>
      <c r="H11" s="109"/>
    </row>
    <row r="12" spans="1:8" ht="22.5" x14ac:dyDescent="0.2">
      <c r="A12" s="113" t="s">
        <v>1008</v>
      </c>
      <c r="B12" s="113" t="s">
        <v>26</v>
      </c>
      <c r="C12" s="113" t="s">
        <v>589</v>
      </c>
      <c r="D12" s="114" t="s">
        <v>1009</v>
      </c>
      <c r="E12" s="113" t="s">
        <v>67</v>
      </c>
      <c r="F12" s="115" t="s">
        <v>1126</v>
      </c>
      <c r="G12" s="109" t="s">
        <v>1208</v>
      </c>
      <c r="H12" s="109" t="s">
        <v>1208</v>
      </c>
    </row>
    <row r="13" spans="1:8" ht="22.5" x14ac:dyDescent="0.2">
      <c r="A13" s="113" t="s">
        <v>1004</v>
      </c>
      <c r="B13" s="113" t="s">
        <v>26</v>
      </c>
      <c r="C13" s="113" t="s">
        <v>589</v>
      </c>
      <c r="D13" s="114" t="s">
        <v>1005</v>
      </c>
      <c r="E13" s="113" t="s">
        <v>67</v>
      </c>
      <c r="F13" s="115" t="s">
        <v>1128</v>
      </c>
      <c r="G13" s="109" t="s">
        <v>1208</v>
      </c>
      <c r="H13" s="109" t="s">
        <v>1208</v>
      </c>
    </row>
    <row r="14" spans="1:8" x14ac:dyDescent="0.2">
      <c r="A14" s="113" t="s">
        <v>776</v>
      </c>
      <c r="B14" s="113" t="s">
        <v>26</v>
      </c>
      <c r="C14" s="113" t="s">
        <v>589</v>
      </c>
      <c r="D14" s="114" t="s">
        <v>777</v>
      </c>
      <c r="E14" s="113" t="s">
        <v>607</v>
      </c>
      <c r="F14" s="115" t="s">
        <v>1099</v>
      </c>
      <c r="G14" s="109" t="s">
        <v>1208</v>
      </c>
      <c r="H14" s="109" t="s">
        <v>1208</v>
      </c>
    </row>
    <row r="15" spans="1:8" x14ac:dyDescent="0.2">
      <c r="A15" s="113" t="s">
        <v>835</v>
      </c>
      <c r="B15" s="113" t="s">
        <v>26</v>
      </c>
      <c r="C15" s="113" t="s">
        <v>589</v>
      </c>
      <c r="D15" s="114" t="s">
        <v>836</v>
      </c>
      <c r="E15" s="113" t="s">
        <v>607</v>
      </c>
      <c r="F15" s="115" t="s">
        <v>1135</v>
      </c>
      <c r="G15" s="109" t="s">
        <v>1208</v>
      </c>
      <c r="H15" s="109" t="s">
        <v>1208</v>
      </c>
    </row>
    <row r="16" spans="1:8" x14ac:dyDescent="0.2">
      <c r="A16" s="113" t="s">
        <v>886</v>
      </c>
      <c r="B16" s="113" t="s">
        <v>26</v>
      </c>
      <c r="C16" s="113" t="s">
        <v>589</v>
      </c>
      <c r="D16" s="114" t="s">
        <v>887</v>
      </c>
      <c r="E16" s="113" t="s">
        <v>67</v>
      </c>
      <c r="F16" s="115" t="s">
        <v>1136</v>
      </c>
      <c r="G16" s="109" t="s">
        <v>1208</v>
      </c>
      <c r="H16" s="109" t="s">
        <v>1208</v>
      </c>
    </row>
    <row r="17" spans="1:8" x14ac:dyDescent="0.2">
      <c r="A17" s="113" t="s">
        <v>753</v>
      </c>
      <c r="B17" s="113" t="s">
        <v>26</v>
      </c>
      <c r="C17" s="113" t="s">
        <v>589</v>
      </c>
      <c r="D17" s="114" t="s">
        <v>754</v>
      </c>
      <c r="E17" s="113" t="s">
        <v>67</v>
      </c>
      <c r="F17" s="115" t="s">
        <v>1115</v>
      </c>
      <c r="G17" s="109" t="s">
        <v>1208</v>
      </c>
      <c r="H17" s="109" t="s">
        <v>1208</v>
      </c>
    </row>
    <row r="18" spans="1:8" x14ac:dyDescent="0.2">
      <c r="A18" s="113" t="s">
        <v>1132</v>
      </c>
      <c r="B18" s="113" t="s">
        <v>26</v>
      </c>
      <c r="C18" s="113" t="s">
        <v>589</v>
      </c>
      <c r="D18" s="114" t="s">
        <v>1133</v>
      </c>
      <c r="E18" s="113" t="s">
        <v>67</v>
      </c>
      <c r="F18" s="115" t="s">
        <v>734</v>
      </c>
      <c r="G18" s="109" t="s">
        <v>1208</v>
      </c>
      <c r="H18" s="109" t="s">
        <v>1208</v>
      </c>
    </row>
    <row r="19" spans="1:8" ht="22.5" x14ac:dyDescent="0.2">
      <c r="A19" s="113" t="s">
        <v>866</v>
      </c>
      <c r="B19" s="113" t="s">
        <v>26</v>
      </c>
      <c r="C19" s="113" t="s">
        <v>589</v>
      </c>
      <c r="D19" s="114" t="s">
        <v>867</v>
      </c>
      <c r="E19" s="113" t="s">
        <v>67</v>
      </c>
      <c r="F19" s="115" t="s">
        <v>1105</v>
      </c>
      <c r="G19" s="109" t="s">
        <v>1208</v>
      </c>
      <c r="H19" s="109" t="s">
        <v>1208</v>
      </c>
    </row>
    <row r="20" spans="1:8" x14ac:dyDescent="0.2">
      <c r="A20" s="113" t="s">
        <v>934</v>
      </c>
      <c r="B20" s="113" t="s">
        <v>26</v>
      </c>
      <c r="C20" s="113" t="s">
        <v>589</v>
      </c>
      <c r="D20" s="114" t="s">
        <v>935</v>
      </c>
      <c r="E20" s="113" t="s">
        <v>607</v>
      </c>
      <c r="F20" s="115" t="s">
        <v>1117</v>
      </c>
      <c r="G20" s="109" t="s">
        <v>1208</v>
      </c>
      <c r="H20" s="109" t="s">
        <v>1208</v>
      </c>
    </row>
    <row r="21" spans="1:8" ht="22.5" x14ac:dyDescent="0.2">
      <c r="A21" s="113" t="s">
        <v>1010</v>
      </c>
      <c r="B21" s="113" t="s">
        <v>26</v>
      </c>
      <c r="C21" s="113" t="s">
        <v>589</v>
      </c>
      <c r="D21" s="114" t="s">
        <v>1011</v>
      </c>
      <c r="E21" s="113" t="s">
        <v>67</v>
      </c>
      <c r="F21" s="115" t="s">
        <v>1125</v>
      </c>
      <c r="G21" s="109" t="s">
        <v>1208</v>
      </c>
      <c r="H21" s="109" t="s">
        <v>1208</v>
      </c>
    </row>
    <row r="22" spans="1:8" x14ac:dyDescent="0.2">
      <c r="A22" s="113" t="s">
        <v>845</v>
      </c>
      <c r="B22" s="113" t="s">
        <v>26</v>
      </c>
      <c r="C22" s="113" t="s">
        <v>589</v>
      </c>
      <c r="D22" s="114" t="s">
        <v>846</v>
      </c>
      <c r="E22" s="113" t="s">
        <v>796</v>
      </c>
      <c r="F22" s="115" t="s">
        <v>1123</v>
      </c>
      <c r="G22" s="109"/>
      <c r="H22" s="109"/>
    </row>
    <row r="23" spans="1:8" x14ac:dyDescent="0.2">
      <c r="A23" s="113" t="s">
        <v>855</v>
      </c>
      <c r="B23" s="113" t="s">
        <v>26</v>
      </c>
      <c r="C23" s="113" t="s">
        <v>589</v>
      </c>
      <c r="D23" s="114" t="s">
        <v>856</v>
      </c>
      <c r="E23" s="113" t="s">
        <v>67</v>
      </c>
      <c r="F23" s="115" t="s">
        <v>1121</v>
      </c>
      <c r="G23" s="109"/>
      <c r="H23" s="109"/>
    </row>
    <row r="24" spans="1:8" x14ac:dyDescent="0.2">
      <c r="A24" s="113" t="s">
        <v>1017</v>
      </c>
      <c r="B24" s="113" t="s">
        <v>26</v>
      </c>
      <c r="C24" s="113" t="s">
        <v>589</v>
      </c>
      <c r="D24" s="114" t="s">
        <v>1018</v>
      </c>
      <c r="E24" s="113" t="s">
        <v>67</v>
      </c>
      <c r="F24" s="115" t="s">
        <v>1102</v>
      </c>
      <c r="G24" s="109" t="s">
        <v>1208</v>
      </c>
      <c r="H24" s="109" t="s">
        <v>1208</v>
      </c>
    </row>
    <row r="25" spans="1:8" x14ac:dyDescent="0.2">
      <c r="A25" s="113" t="s">
        <v>797</v>
      </c>
      <c r="B25" s="113" t="s">
        <v>26</v>
      </c>
      <c r="C25" s="113" t="s">
        <v>589</v>
      </c>
      <c r="D25" s="114" t="s">
        <v>798</v>
      </c>
      <c r="E25" s="113" t="s">
        <v>607</v>
      </c>
      <c r="F25" s="115" t="s">
        <v>1109</v>
      </c>
      <c r="G25" s="109" t="s">
        <v>1208</v>
      </c>
      <c r="H25" s="109" t="s">
        <v>1208</v>
      </c>
    </row>
    <row r="26" spans="1:8" x14ac:dyDescent="0.2">
      <c r="A26" s="113" t="s">
        <v>1048</v>
      </c>
      <c r="B26" s="113" t="s">
        <v>26</v>
      </c>
      <c r="C26" s="113" t="s">
        <v>589</v>
      </c>
      <c r="D26" s="114" t="s">
        <v>1049</v>
      </c>
      <c r="E26" s="113" t="s">
        <v>28</v>
      </c>
      <c r="F26" s="115" t="s">
        <v>1116</v>
      </c>
      <c r="G26" s="109"/>
      <c r="H26" s="109"/>
    </row>
    <row r="27" spans="1:8" x14ac:dyDescent="0.2">
      <c r="A27" s="113" t="s">
        <v>924</v>
      </c>
      <c r="B27" s="113" t="s">
        <v>26</v>
      </c>
      <c r="C27" s="113" t="s">
        <v>589</v>
      </c>
      <c r="D27" s="114" t="s">
        <v>925</v>
      </c>
      <c r="E27" s="113" t="s">
        <v>67</v>
      </c>
      <c r="F27" s="115" t="s">
        <v>1100</v>
      </c>
      <c r="G27" s="109"/>
      <c r="H27" s="109"/>
    </row>
    <row r="28" spans="1:8" ht="22.5" x14ac:dyDescent="0.2">
      <c r="A28" s="113" t="s">
        <v>973</v>
      </c>
      <c r="B28" s="113" t="s">
        <v>26</v>
      </c>
      <c r="C28" s="113" t="s">
        <v>589</v>
      </c>
      <c r="D28" s="114" t="s">
        <v>974</v>
      </c>
      <c r="E28" s="113" t="s">
        <v>67</v>
      </c>
      <c r="F28" s="115" t="s">
        <v>1118</v>
      </c>
      <c r="G28" s="109" t="s">
        <v>1208</v>
      </c>
      <c r="H28" s="109" t="s">
        <v>1208</v>
      </c>
    </row>
    <row r="29" spans="1:8" x14ac:dyDescent="0.2">
      <c r="A29" s="113" t="s">
        <v>731</v>
      </c>
      <c r="B29" s="113" t="s">
        <v>26</v>
      </c>
      <c r="C29" s="113" t="s">
        <v>589</v>
      </c>
      <c r="D29" s="114" t="s">
        <v>732</v>
      </c>
      <c r="E29" s="113" t="s">
        <v>67</v>
      </c>
      <c r="F29" s="115" t="s">
        <v>733</v>
      </c>
      <c r="G29" s="109" t="s">
        <v>1208</v>
      </c>
      <c r="H29" s="109" t="s">
        <v>1208</v>
      </c>
    </row>
    <row r="30" spans="1:8" ht="22.5" x14ac:dyDescent="0.2">
      <c r="A30" s="113" t="s">
        <v>1036</v>
      </c>
      <c r="B30" s="113" t="s">
        <v>26</v>
      </c>
      <c r="C30" s="113" t="s">
        <v>589</v>
      </c>
      <c r="D30" s="114" t="s">
        <v>1037</v>
      </c>
      <c r="E30" s="113" t="s">
        <v>28</v>
      </c>
      <c r="F30" s="115" t="s">
        <v>1112</v>
      </c>
      <c r="G30" s="109"/>
      <c r="H30" s="109"/>
    </row>
    <row r="31" spans="1:8" ht="22.5" x14ac:dyDescent="0.2">
      <c r="A31" s="113" t="s">
        <v>612</v>
      </c>
      <c r="B31" s="113" t="s">
        <v>26</v>
      </c>
      <c r="C31" s="113" t="s">
        <v>589</v>
      </c>
      <c r="D31" s="114" t="s">
        <v>613</v>
      </c>
      <c r="E31" s="113" t="s">
        <v>67</v>
      </c>
      <c r="F31" s="115" t="s">
        <v>730</v>
      </c>
      <c r="G31" s="109" t="s">
        <v>1208</v>
      </c>
      <c r="H31" s="109" t="s">
        <v>1208</v>
      </c>
    </row>
    <row r="32" spans="1:8" x14ac:dyDescent="0.2">
      <c r="A32" s="113">
        <v>119</v>
      </c>
      <c r="B32" s="113" t="s">
        <v>26</v>
      </c>
      <c r="C32" s="113" t="s">
        <v>594</v>
      </c>
      <c r="D32" s="114" t="s">
        <v>1003</v>
      </c>
      <c r="E32" s="113" t="s">
        <v>67</v>
      </c>
      <c r="F32" s="115">
        <v>8.8000000000000007</v>
      </c>
      <c r="G32" s="109" t="s">
        <v>1208</v>
      </c>
      <c r="H32" s="109" t="s">
        <v>1208</v>
      </c>
    </row>
    <row r="33" spans="1:8" ht="22.5" x14ac:dyDescent="0.2">
      <c r="A33" s="113">
        <v>142</v>
      </c>
      <c r="B33" s="113" t="s">
        <v>26</v>
      </c>
      <c r="C33" s="113" t="s">
        <v>594</v>
      </c>
      <c r="D33" s="114" t="s">
        <v>617</v>
      </c>
      <c r="E33" s="113" t="s">
        <v>618</v>
      </c>
      <c r="F33" s="115">
        <v>29.49</v>
      </c>
      <c r="G33" s="109"/>
      <c r="H33" s="109"/>
    </row>
    <row r="34" spans="1:8" x14ac:dyDescent="0.2">
      <c r="A34" s="113">
        <v>297</v>
      </c>
      <c r="B34" s="113" t="s">
        <v>26</v>
      </c>
      <c r="C34" s="113" t="s">
        <v>594</v>
      </c>
      <c r="D34" s="114" t="s">
        <v>1014</v>
      </c>
      <c r="E34" s="113" t="s">
        <v>67</v>
      </c>
      <c r="F34" s="115">
        <v>2.27</v>
      </c>
      <c r="G34" s="109" t="s">
        <v>1208</v>
      </c>
      <c r="H34" s="109" t="s">
        <v>1208</v>
      </c>
    </row>
    <row r="35" spans="1:8" ht="22.5" x14ac:dyDescent="0.2">
      <c r="A35" s="113" t="s">
        <v>790</v>
      </c>
      <c r="B35" s="113" t="s">
        <v>26</v>
      </c>
      <c r="C35" s="113" t="s">
        <v>594</v>
      </c>
      <c r="D35" s="114" t="s">
        <v>791</v>
      </c>
      <c r="E35" s="113" t="s">
        <v>67</v>
      </c>
      <c r="F35" s="115">
        <v>4.5199999999999996</v>
      </c>
      <c r="G35" s="109" t="s">
        <v>1208</v>
      </c>
      <c r="H35" s="109" t="s">
        <v>1208</v>
      </c>
    </row>
    <row r="36" spans="1:8" ht="22.5" x14ac:dyDescent="0.2">
      <c r="A36" s="113" t="s">
        <v>1006</v>
      </c>
      <c r="B36" s="113" t="s">
        <v>26</v>
      </c>
      <c r="C36" s="113" t="s">
        <v>594</v>
      </c>
      <c r="D36" s="114" t="s">
        <v>1007</v>
      </c>
      <c r="E36" s="113" t="s">
        <v>67</v>
      </c>
      <c r="F36" s="115">
        <v>14.66</v>
      </c>
      <c r="G36" s="109" t="s">
        <v>1208</v>
      </c>
      <c r="H36" s="109" t="s">
        <v>1208</v>
      </c>
    </row>
    <row r="37" spans="1:8" x14ac:dyDescent="0.2">
      <c r="A37" s="113" t="s">
        <v>782</v>
      </c>
      <c r="B37" s="113" t="s">
        <v>26</v>
      </c>
      <c r="C37" s="113" t="s">
        <v>594</v>
      </c>
      <c r="D37" s="114" t="s">
        <v>783</v>
      </c>
      <c r="E37" s="113" t="s">
        <v>607</v>
      </c>
      <c r="F37" s="115">
        <v>10.8</v>
      </c>
      <c r="G37" s="109" t="s">
        <v>1208</v>
      </c>
      <c r="H37" s="109" t="s">
        <v>1208</v>
      </c>
    </row>
    <row r="38" spans="1:8" x14ac:dyDescent="0.2">
      <c r="A38" s="113" t="s">
        <v>724</v>
      </c>
      <c r="B38" s="113" t="s">
        <v>26</v>
      </c>
      <c r="C38" s="113" t="s">
        <v>594</v>
      </c>
      <c r="D38" s="114" t="s">
        <v>725</v>
      </c>
      <c r="E38" s="113" t="s">
        <v>607</v>
      </c>
      <c r="F38" s="115">
        <v>0.5</v>
      </c>
      <c r="G38" s="109"/>
      <c r="H38" s="109"/>
    </row>
    <row r="39" spans="1:8" ht="22.5" x14ac:dyDescent="0.2">
      <c r="A39" s="113" t="s">
        <v>825</v>
      </c>
      <c r="B39" s="113" t="s">
        <v>26</v>
      </c>
      <c r="C39" s="113" t="s">
        <v>594</v>
      </c>
      <c r="D39" s="114" t="s">
        <v>826</v>
      </c>
      <c r="E39" s="113" t="s">
        <v>39</v>
      </c>
      <c r="F39" s="115">
        <v>332.49</v>
      </c>
      <c r="G39" s="109" t="s">
        <v>1208</v>
      </c>
      <c r="H39" s="109" t="s">
        <v>1208</v>
      </c>
    </row>
    <row r="40" spans="1:8" x14ac:dyDescent="0.2">
      <c r="A40" s="113" t="s">
        <v>896</v>
      </c>
      <c r="B40" s="113" t="s">
        <v>26</v>
      </c>
      <c r="C40" s="113" t="s">
        <v>594</v>
      </c>
      <c r="D40" s="114" t="s">
        <v>897</v>
      </c>
      <c r="E40" s="113" t="s">
        <v>67</v>
      </c>
      <c r="F40" s="115">
        <v>3.9</v>
      </c>
      <c r="G40" s="109" t="s">
        <v>1208</v>
      </c>
      <c r="H40" s="109" t="s">
        <v>1208</v>
      </c>
    </row>
    <row r="41" spans="1:8" x14ac:dyDescent="0.2">
      <c r="A41" s="113" t="s">
        <v>739</v>
      </c>
      <c r="B41" s="113" t="s">
        <v>26</v>
      </c>
      <c r="C41" s="113" t="s">
        <v>594</v>
      </c>
      <c r="D41" s="114" t="s">
        <v>740</v>
      </c>
      <c r="E41" s="113" t="s">
        <v>32</v>
      </c>
      <c r="F41" s="115">
        <v>0.83</v>
      </c>
      <c r="G41" s="109" t="s">
        <v>1208</v>
      </c>
      <c r="H41" s="109" t="s">
        <v>1208</v>
      </c>
    </row>
    <row r="42" spans="1:8" ht="22.5" x14ac:dyDescent="0.2">
      <c r="A42" s="113" t="s">
        <v>898</v>
      </c>
      <c r="B42" s="113" t="s">
        <v>26</v>
      </c>
      <c r="C42" s="113" t="s">
        <v>594</v>
      </c>
      <c r="D42" s="114" t="s">
        <v>899</v>
      </c>
      <c r="E42" s="113" t="s">
        <v>67</v>
      </c>
      <c r="F42" s="115">
        <v>8.5500000000000007</v>
      </c>
      <c r="G42" s="109" t="s">
        <v>1208</v>
      </c>
      <c r="H42" s="109" t="s">
        <v>1208</v>
      </c>
    </row>
    <row r="43" spans="1:8" x14ac:dyDescent="0.2">
      <c r="A43" s="113" t="s">
        <v>837</v>
      </c>
      <c r="B43" s="113" t="s">
        <v>26</v>
      </c>
      <c r="C43" s="113" t="s">
        <v>594</v>
      </c>
      <c r="D43" s="114" t="s">
        <v>838</v>
      </c>
      <c r="E43" s="113" t="s">
        <v>607</v>
      </c>
      <c r="F43" s="115">
        <v>26.82</v>
      </c>
      <c r="G43" s="109" t="s">
        <v>1208</v>
      </c>
      <c r="H43" s="109" t="s">
        <v>1208</v>
      </c>
    </row>
    <row r="44" spans="1:8" x14ac:dyDescent="0.2">
      <c r="A44" s="113" t="s">
        <v>864</v>
      </c>
      <c r="B44" s="113" t="s">
        <v>26</v>
      </c>
      <c r="C44" s="113" t="s">
        <v>594</v>
      </c>
      <c r="D44" s="114" t="s">
        <v>865</v>
      </c>
      <c r="E44" s="113" t="s">
        <v>67</v>
      </c>
      <c r="F44" s="115">
        <v>2.89</v>
      </c>
      <c r="G44" s="109" t="s">
        <v>1208</v>
      </c>
      <c r="H44" s="109" t="s">
        <v>1208</v>
      </c>
    </row>
    <row r="45" spans="1:8" x14ac:dyDescent="0.2">
      <c r="A45" s="113" t="s">
        <v>971</v>
      </c>
      <c r="B45" s="113" t="s">
        <v>26</v>
      </c>
      <c r="C45" s="113" t="s">
        <v>594</v>
      </c>
      <c r="D45" s="114" t="s">
        <v>972</v>
      </c>
      <c r="E45" s="113" t="s">
        <v>67</v>
      </c>
      <c r="F45" s="115">
        <v>60.6</v>
      </c>
      <c r="G45" s="109"/>
      <c r="H45" s="109"/>
    </row>
    <row r="46" spans="1:8" ht="22.5" x14ac:dyDescent="0.2">
      <c r="A46" s="113" t="s">
        <v>821</v>
      </c>
      <c r="B46" s="113" t="s">
        <v>26</v>
      </c>
      <c r="C46" s="113" t="s">
        <v>594</v>
      </c>
      <c r="D46" s="114" t="s">
        <v>822</v>
      </c>
      <c r="E46" s="113" t="s">
        <v>32</v>
      </c>
      <c r="F46" s="115">
        <v>43.32</v>
      </c>
      <c r="G46" s="109"/>
      <c r="H46" s="109"/>
    </row>
    <row r="47" spans="1:8" x14ac:dyDescent="0.2">
      <c r="A47" s="113" t="s">
        <v>794</v>
      </c>
      <c r="B47" s="113" t="s">
        <v>26</v>
      </c>
      <c r="C47" s="113" t="s">
        <v>594</v>
      </c>
      <c r="D47" s="114" t="s">
        <v>795</v>
      </c>
      <c r="E47" s="113" t="s">
        <v>796</v>
      </c>
      <c r="F47" s="115">
        <v>12.75</v>
      </c>
      <c r="G47" s="109"/>
      <c r="H47" s="109"/>
    </row>
    <row r="48" spans="1:8" ht="22.5" x14ac:dyDescent="0.2">
      <c r="A48" s="113" t="s">
        <v>853</v>
      </c>
      <c r="B48" s="113" t="s">
        <v>26</v>
      </c>
      <c r="C48" s="113" t="s">
        <v>594</v>
      </c>
      <c r="D48" s="114" t="s">
        <v>854</v>
      </c>
      <c r="E48" s="113" t="s">
        <v>67</v>
      </c>
      <c r="F48" s="115">
        <v>0.79</v>
      </c>
      <c r="G48" s="109" t="s">
        <v>1208</v>
      </c>
      <c r="H48" s="109" t="s">
        <v>1208</v>
      </c>
    </row>
    <row r="49" spans="1:8" x14ac:dyDescent="0.2">
      <c r="A49" s="113" t="s">
        <v>608</v>
      </c>
      <c r="B49" s="113" t="s">
        <v>26</v>
      </c>
      <c r="C49" s="113" t="s">
        <v>594</v>
      </c>
      <c r="D49" s="114" t="s">
        <v>609</v>
      </c>
      <c r="E49" s="113" t="s">
        <v>607</v>
      </c>
      <c r="F49" s="115">
        <v>19.09</v>
      </c>
      <c r="G49" s="109" t="s">
        <v>1208</v>
      </c>
      <c r="H49" s="109" t="s">
        <v>1208</v>
      </c>
    </row>
    <row r="50" spans="1:8" x14ac:dyDescent="0.2">
      <c r="A50" s="113" t="s">
        <v>788</v>
      </c>
      <c r="B50" s="113" t="s">
        <v>26</v>
      </c>
      <c r="C50" s="113" t="s">
        <v>594</v>
      </c>
      <c r="D50" s="114" t="s">
        <v>789</v>
      </c>
      <c r="E50" s="113" t="s">
        <v>32</v>
      </c>
      <c r="F50" s="115">
        <v>309.58999999999997</v>
      </c>
      <c r="G50" s="109" t="s">
        <v>1208</v>
      </c>
      <c r="H50" s="109" t="s">
        <v>1208</v>
      </c>
    </row>
    <row r="51" spans="1:8" ht="22.5" x14ac:dyDescent="0.2">
      <c r="A51" s="113" t="s">
        <v>876</v>
      </c>
      <c r="B51" s="113" t="s">
        <v>26</v>
      </c>
      <c r="C51" s="113" t="s">
        <v>594</v>
      </c>
      <c r="D51" s="114" t="s">
        <v>877</v>
      </c>
      <c r="E51" s="113" t="s">
        <v>67</v>
      </c>
      <c r="F51" s="115">
        <v>9.9700000000000006</v>
      </c>
      <c r="G51" s="109" t="s">
        <v>1208</v>
      </c>
      <c r="H51" s="109" t="s">
        <v>1208</v>
      </c>
    </row>
    <row r="52" spans="1:8" ht="22.5" x14ac:dyDescent="0.2">
      <c r="A52" s="113" t="s">
        <v>936</v>
      </c>
      <c r="B52" s="113" t="s">
        <v>26</v>
      </c>
      <c r="C52" s="113" t="s">
        <v>594</v>
      </c>
      <c r="D52" s="114" t="s">
        <v>937</v>
      </c>
      <c r="E52" s="113" t="s">
        <v>32</v>
      </c>
      <c r="F52" s="115">
        <v>597.73</v>
      </c>
      <c r="G52" s="109"/>
      <c r="H52" s="109"/>
    </row>
    <row r="53" spans="1:8" ht="22.5" x14ac:dyDescent="0.2">
      <c r="A53" s="113" t="s">
        <v>890</v>
      </c>
      <c r="B53" s="113" t="s">
        <v>26</v>
      </c>
      <c r="C53" s="113" t="s">
        <v>594</v>
      </c>
      <c r="D53" s="114" t="s">
        <v>891</v>
      </c>
      <c r="E53" s="113" t="s">
        <v>67</v>
      </c>
      <c r="F53" s="115">
        <v>23.3</v>
      </c>
      <c r="G53" s="109" t="s">
        <v>1208</v>
      </c>
      <c r="H53" s="109" t="s">
        <v>1208</v>
      </c>
    </row>
    <row r="54" spans="1:8" ht="22.5" x14ac:dyDescent="0.2">
      <c r="A54" s="113" t="s">
        <v>1012</v>
      </c>
      <c r="B54" s="113" t="s">
        <v>26</v>
      </c>
      <c r="C54" s="113" t="s">
        <v>594</v>
      </c>
      <c r="D54" s="114" t="s">
        <v>1013</v>
      </c>
      <c r="E54" s="113" t="s">
        <v>67</v>
      </c>
      <c r="F54" s="115">
        <v>29.1</v>
      </c>
      <c r="G54" s="109" t="s">
        <v>1208</v>
      </c>
      <c r="H54" s="109" t="s">
        <v>1208</v>
      </c>
    </row>
    <row r="55" spans="1:8" x14ac:dyDescent="0.2">
      <c r="A55" s="113" t="s">
        <v>728</v>
      </c>
      <c r="B55" s="113" t="s">
        <v>26</v>
      </c>
      <c r="C55" s="113" t="s">
        <v>594</v>
      </c>
      <c r="D55" s="114" t="s">
        <v>729</v>
      </c>
      <c r="E55" s="113" t="s">
        <v>67</v>
      </c>
      <c r="F55" s="115">
        <v>69.03</v>
      </c>
      <c r="G55" s="109" t="s">
        <v>1208</v>
      </c>
      <c r="H55" s="109" t="s">
        <v>1208</v>
      </c>
    </row>
    <row r="56" spans="1:8" x14ac:dyDescent="0.2">
      <c r="A56" s="113" t="s">
        <v>959</v>
      </c>
      <c r="B56" s="113" t="s">
        <v>26</v>
      </c>
      <c r="C56" s="113" t="s">
        <v>594</v>
      </c>
      <c r="D56" s="114" t="s">
        <v>960</v>
      </c>
      <c r="E56" s="113" t="s">
        <v>67</v>
      </c>
      <c r="F56" s="115">
        <v>10.16</v>
      </c>
      <c r="G56" s="109"/>
      <c r="H56" s="109"/>
    </row>
    <row r="57" spans="1:8" ht="22.5" x14ac:dyDescent="0.2">
      <c r="A57" s="113" t="s">
        <v>857</v>
      </c>
      <c r="B57" s="113" t="s">
        <v>26</v>
      </c>
      <c r="C57" s="113" t="s">
        <v>594</v>
      </c>
      <c r="D57" s="114" t="s">
        <v>858</v>
      </c>
      <c r="E57" s="113" t="s">
        <v>28</v>
      </c>
      <c r="F57" s="115">
        <v>61.73</v>
      </c>
      <c r="G57" s="109"/>
      <c r="H57" s="109"/>
    </row>
    <row r="58" spans="1:8" x14ac:dyDescent="0.2">
      <c r="A58" s="113" t="s">
        <v>801</v>
      </c>
      <c r="B58" s="113" t="s">
        <v>26</v>
      </c>
      <c r="C58" s="113" t="s">
        <v>594</v>
      </c>
      <c r="D58" s="114" t="s">
        <v>802</v>
      </c>
      <c r="E58" s="113" t="s">
        <v>607</v>
      </c>
      <c r="F58" s="115">
        <v>0.83</v>
      </c>
      <c r="G58" s="109"/>
      <c r="H58" s="109"/>
    </row>
    <row r="59" spans="1:8" x14ac:dyDescent="0.2">
      <c r="A59" s="113" t="s">
        <v>922</v>
      </c>
      <c r="B59" s="113" t="s">
        <v>26</v>
      </c>
      <c r="C59" s="113" t="s">
        <v>594</v>
      </c>
      <c r="D59" s="114" t="s">
        <v>923</v>
      </c>
      <c r="E59" s="113" t="s">
        <v>67</v>
      </c>
      <c r="F59" s="115">
        <v>148.94999999999999</v>
      </c>
      <c r="G59" s="109"/>
      <c r="H59" s="109"/>
    </row>
    <row r="60" spans="1:8" x14ac:dyDescent="0.2">
      <c r="A60" s="113" t="s">
        <v>930</v>
      </c>
      <c r="B60" s="113" t="s">
        <v>26</v>
      </c>
      <c r="C60" s="113" t="s">
        <v>594</v>
      </c>
      <c r="D60" s="114" t="s">
        <v>931</v>
      </c>
      <c r="E60" s="113" t="s">
        <v>67</v>
      </c>
      <c r="F60" s="115">
        <v>683.99</v>
      </c>
      <c r="G60" s="109"/>
      <c r="H60" s="109"/>
    </row>
    <row r="61" spans="1:8" x14ac:dyDescent="0.2">
      <c r="A61" s="113" t="s">
        <v>868</v>
      </c>
      <c r="B61" s="113" t="s">
        <v>26</v>
      </c>
      <c r="C61" s="113" t="s">
        <v>594</v>
      </c>
      <c r="D61" s="114" t="s">
        <v>869</v>
      </c>
      <c r="E61" s="113" t="s">
        <v>607</v>
      </c>
      <c r="F61" s="115">
        <v>55.65</v>
      </c>
      <c r="G61" s="109"/>
      <c r="H61" s="109"/>
    </row>
    <row r="62" spans="1:8" ht="33.75" x14ac:dyDescent="0.2">
      <c r="A62" s="113" t="s">
        <v>1079</v>
      </c>
      <c r="B62" s="113" t="s">
        <v>26</v>
      </c>
      <c r="C62" s="113" t="s">
        <v>594</v>
      </c>
      <c r="D62" s="114" t="s">
        <v>1080</v>
      </c>
      <c r="E62" s="113" t="s">
        <v>67</v>
      </c>
      <c r="F62" s="115">
        <v>22.41</v>
      </c>
      <c r="G62" s="109" t="s">
        <v>1208</v>
      </c>
      <c r="H62" s="109" t="s">
        <v>1208</v>
      </c>
    </row>
    <row r="63" spans="1:8" ht="22.5" x14ac:dyDescent="0.2">
      <c r="A63" s="113" t="s">
        <v>938</v>
      </c>
      <c r="B63" s="113" t="s">
        <v>26</v>
      </c>
      <c r="C63" s="113" t="s">
        <v>594</v>
      </c>
      <c r="D63" s="114" t="s">
        <v>939</v>
      </c>
      <c r="E63" s="113" t="s">
        <v>67</v>
      </c>
      <c r="F63" s="115">
        <v>18.18</v>
      </c>
      <c r="G63" s="109" t="s">
        <v>1208</v>
      </c>
      <c r="H63" s="109" t="s">
        <v>1208</v>
      </c>
    </row>
    <row r="64" spans="1:8" x14ac:dyDescent="0.2">
      <c r="A64" s="113" t="s">
        <v>831</v>
      </c>
      <c r="B64" s="113" t="s">
        <v>26</v>
      </c>
      <c r="C64" s="113" t="s">
        <v>594</v>
      </c>
      <c r="D64" s="114" t="s">
        <v>832</v>
      </c>
      <c r="E64" s="113" t="s">
        <v>607</v>
      </c>
      <c r="F64" s="115">
        <v>1.38</v>
      </c>
      <c r="G64" s="109"/>
      <c r="H64" s="109"/>
    </row>
    <row r="65" spans="1:8" x14ac:dyDescent="0.2">
      <c r="A65" s="113" t="s">
        <v>769</v>
      </c>
      <c r="B65" s="113" t="s">
        <v>26</v>
      </c>
      <c r="C65" s="113" t="s">
        <v>594</v>
      </c>
      <c r="D65" s="114" t="s">
        <v>770</v>
      </c>
      <c r="E65" s="113" t="s">
        <v>67</v>
      </c>
      <c r="F65" s="115">
        <v>22</v>
      </c>
      <c r="G65" s="109" t="s">
        <v>1208</v>
      </c>
      <c r="H65" s="109" t="s">
        <v>1208</v>
      </c>
    </row>
    <row r="66" spans="1:8" ht="33.75" x14ac:dyDescent="0.2">
      <c r="A66" s="113" t="s">
        <v>771</v>
      </c>
      <c r="B66" s="113" t="s">
        <v>26</v>
      </c>
      <c r="C66" s="113" t="s">
        <v>594</v>
      </c>
      <c r="D66" s="114" t="s">
        <v>772</v>
      </c>
      <c r="E66" s="113" t="s">
        <v>773</v>
      </c>
      <c r="F66" s="115">
        <v>125.58</v>
      </c>
      <c r="G66" s="109"/>
      <c r="H66" s="109"/>
    </row>
    <row r="67" spans="1:8" ht="22.5" x14ac:dyDescent="0.2">
      <c r="A67" s="113" t="s">
        <v>965</v>
      </c>
      <c r="B67" s="113" t="s">
        <v>26</v>
      </c>
      <c r="C67" s="113" t="s">
        <v>594</v>
      </c>
      <c r="D67" s="114" t="s">
        <v>966</v>
      </c>
      <c r="E67" s="113" t="s">
        <v>67</v>
      </c>
      <c r="F67" s="115">
        <v>95.56</v>
      </c>
      <c r="G67" s="109" t="s">
        <v>1208</v>
      </c>
      <c r="H67" s="109" t="s">
        <v>1208</v>
      </c>
    </row>
    <row r="68" spans="1:8" ht="22.5" x14ac:dyDescent="0.2">
      <c r="A68" s="113" t="s">
        <v>1032</v>
      </c>
      <c r="B68" s="113" t="s">
        <v>26</v>
      </c>
      <c r="C68" s="113" t="s">
        <v>594</v>
      </c>
      <c r="D68" s="114" t="s">
        <v>1033</v>
      </c>
      <c r="E68" s="113" t="s">
        <v>28</v>
      </c>
      <c r="F68" s="115">
        <v>11.27</v>
      </c>
      <c r="G68" s="109"/>
      <c r="H68" s="109"/>
    </row>
    <row r="69" spans="1:8" ht="22.5" x14ac:dyDescent="0.2">
      <c r="A69" s="113" t="s">
        <v>843</v>
      </c>
      <c r="B69" s="113" t="s">
        <v>26</v>
      </c>
      <c r="C69" s="113" t="s">
        <v>594</v>
      </c>
      <c r="D69" s="114" t="s">
        <v>844</v>
      </c>
      <c r="E69" s="113" t="s">
        <v>28</v>
      </c>
      <c r="F69" s="115">
        <v>5.6</v>
      </c>
      <c r="G69" s="109" t="s">
        <v>1208</v>
      </c>
      <c r="H69" s="109" t="s">
        <v>1208</v>
      </c>
    </row>
    <row r="70" spans="1:8" ht="22.5" x14ac:dyDescent="0.2">
      <c r="A70" s="113" t="s">
        <v>841</v>
      </c>
      <c r="B70" s="113" t="s">
        <v>26</v>
      </c>
      <c r="C70" s="113" t="s">
        <v>594</v>
      </c>
      <c r="D70" s="114" t="s">
        <v>842</v>
      </c>
      <c r="E70" s="113" t="s">
        <v>614</v>
      </c>
      <c r="F70" s="115">
        <v>24.02</v>
      </c>
      <c r="G70" s="109" t="s">
        <v>1208</v>
      </c>
      <c r="H70" s="109" t="s">
        <v>1208</v>
      </c>
    </row>
    <row r="71" spans="1:8" ht="22.5" x14ac:dyDescent="0.2">
      <c r="A71" s="113" t="s">
        <v>743</v>
      </c>
      <c r="B71" s="113" t="s">
        <v>26</v>
      </c>
      <c r="C71" s="113" t="s">
        <v>593</v>
      </c>
      <c r="D71" s="114" t="s">
        <v>744</v>
      </c>
      <c r="E71" s="113" t="s">
        <v>615</v>
      </c>
      <c r="F71" s="115">
        <v>21.32</v>
      </c>
      <c r="G71" s="109" t="s">
        <v>1208</v>
      </c>
      <c r="H71" s="109" t="s">
        <v>1208</v>
      </c>
    </row>
    <row r="72" spans="1:8" ht="22.5" x14ac:dyDescent="0.2">
      <c r="A72" s="113" t="s">
        <v>745</v>
      </c>
      <c r="B72" s="113" t="s">
        <v>26</v>
      </c>
      <c r="C72" s="113" t="s">
        <v>593</v>
      </c>
      <c r="D72" s="114" t="s">
        <v>746</v>
      </c>
      <c r="E72" s="113" t="s">
        <v>616</v>
      </c>
      <c r="F72" s="115">
        <v>19.82</v>
      </c>
      <c r="G72" s="109" t="s">
        <v>1208</v>
      </c>
      <c r="H72" s="109" t="s">
        <v>1208</v>
      </c>
    </row>
    <row r="73" spans="1:8" ht="22.5" x14ac:dyDescent="0.2">
      <c r="A73" s="113" t="s">
        <v>759</v>
      </c>
      <c r="B73" s="113" t="s">
        <v>26</v>
      </c>
      <c r="C73" s="113" t="s">
        <v>593</v>
      </c>
      <c r="D73" s="114" t="s">
        <v>760</v>
      </c>
      <c r="E73" s="113" t="s">
        <v>32</v>
      </c>
      <c r="F73" s="115">
        <v>95.35</v>
      </c>
      <c r="G73" s="109" t="s">
        <v>1208</v>
      </c>
      <c r="H73" s="109" t="s">
        <v>1208</v>
      </c>
    </row>
    <row r="74" spans="1:8" x14ac:dyDescent="0.2">
      <c r="A74" s="113" t="s">
        <v>1084</v>
      </c>
      <c r="B74" s="113" t="s">
        <v>26</v>
      </c>
      <c r="C74" s="113" t="s">
        <v>593</v>
      </c>
      <c r="D74" s="114" t="s">
        <v>1085</v>
      </c>
      <c r="E74" s="113" t="s">
        <v>39</v>
      </c>
      <c r="F74" s="115">
        <v>21.52</v>
      </c>
      <c r="G74" s="109" t="s">
        <v>1208</v>
      </c>
      <c r="H74" s="109" t="s">
        <v>1208</v>
      </c>
    </row>
    <row r="75" spans="1:8" ht="22.5" x14ac:dyDescent="0.2">
      <c r="A75" s="113" t="s">
        <v>792</v>
      </c>
      <c r="B75" s="113" t="s">
        <v>26</v>
      </c>
      <c r="C75" s="113" t="s">
        <v>593</v>
      </c>
      <c r="D75" s="114" t="s">
        <v>793</v>
      </c>
      <c r="E75" s="113" t="s">
        <v>39</v>
      </c>
      <c r="F75" s="115">
        <v>486.46</v>
      </c>
      <c r="G75" s="109" t="s">
        <v>1208</v>
      </c>
      <c r="H75" s="109" t="s">
        <v>1208</v>
      </c>
    </row>
    <row r="76" spans="1:8" ht="33.75" x14ac:dyDescent="0.2">
      <c r="A76" s="113" t="s">
        <v>93</v>
      </c>
      <c r="B76" s="113" t="s">
        <v>26</v>
      </c>
      <c r="C76" s="113" t="s">
        <v>593</v>
      </c>
      <c r="D76" s="114" t="s">
        <v>94</v>
      </c>
      <c r="E76" s="113" t="s">
        <v>32</v>
      </c>
      <c r="F76" s="115">
        <v>110.47</v>
      </c>
      <c r="G76" s="109" t="s">
        <v>1208</v>
      </c>
      <c r="H76" s="109" t="s">
        <v>1208</v>
      </c>
    </row>
    <row r="77" spans="1:8" ht="33.75" x14ac:dyDescent="0.2">
      <c r="A77" s="113" t="s">
        <v>151</v>
      </c>
      <c r="B77" s="113" t="s">
        <v>26</v>
      </c>
      <c r="C77" s="113" t="s">
        <v>593</v>
      </c>
      <c r="D77" s="114" t="s">
        <v>152</v>
      </c>
      <c r="E77" s="113" t="s">
        <v>32</v>
      </c>
      <c r="F77" s="115">
        <v>3.43</v>
      </c>
      <c r="G77" s="109" t="s">
        <v>1208</v>
      </c>
      <c r="H77" s="109" t="s">
        <v>1208</v>
      </c>
    </row>
    <row r="78" spans="1:8" ht="33.75" x14ac:dyDescent="0.2">
      <c r="A78" s="113" t="s">
        <v>1021</v>
      </c>
      <c r="B78" s="113" t="s">
        <v>26</v>
      </c>
      <c r="C78" s="113" t="s">
        <v>593</v>
      </c>
      <c r="D78" s="114" t="s">
        <v>1022</v>
      </c>
      <c r="E78" s="113" t="s">
        <v>32</v>
      </c>
      <c r="F78" s="115">
        <v>7.5</v>
      </c>
      <c r="G78" s="109" t="s">
        <v>1208</v>
      </c>
      <c r="H78" s="109" t="s">
        <v>1208</v>
      </c>
    </row>
    <row r="79" spans="1:8" x14ac:dyDescent="0.2">
      <c r="A79" s="113" t="s">
        <v>737</v>
      </c>
      <c r="B79" s="113" t="s">
        <v>26</v>
      </c>
      <c r="C79" s="113" t="s">
        <v>593</v>
      </c>
      <c r="D79" s="114" t="s">
        <v>738</v>
      </c>
      <c r="E79" s="113" t="s">
        <v>584</v>
      </c>
      <c r="F79" s="115">
        <v>19.440000000000001</v>
      </c>
      <c r="G79" s="109" t="s">
        <v>1208</v>
      </c>
      <c r="H79" s="109" t="s">
        <v>1208</v>
      </c>
    </row>
    <row r="80" spans="1:8" x14ac:dyDescent="0.2">
      <c r="A80" s="113" t="s">
        <v>1059</v>
      </c>
      <c r="B80" s="113" t="s">
        <v>26</v>
      </c>
      <c r="C80" s="113" t="s">
        <v>593</v>
      </c>
      <c r="D80" s="114" t="s">
        <v>1060</v>
      </c>
      <c r="E80" s="113" t="s">
        <v>584</v>
      </c>
      <c r="F80" s="115">
        <v>18.39</v>
      </c>
      <c r="G80" s="109" t="s">
        <v>1208</v>
      </c>
      <c r="H80" s="109" t="s">
        <v>1208</v>
      </c>
    </row>
    <row r="81" spans="1:8" x14ac:dyDescent="0.2">
      <c r="A81" s="113" t="s">
        <v>631</v>
      </c>
      <c r="B81" s="113" t="s">
        <v>26</v>
      </c>
      <c r="C81" s="113" t="s">
        <v>593</v>
      </c>
      <c r="D81" s="114" t="s">
        <v>632</v>
      </c>
      <c r="E81" s="113" t="s">
        <v>584</v>
      </c>
      <c r="F81" s="115">
        <v>20.39</v>
      </c>
      <c r="G81" s="109" t="s">
        <v>1208</v>
      </c>
      <c r="H81" s="109" t="s">
        <v>1208</v>
      </c>
    </row>
    <row r="82" spans="1:8" x14ac:dyDescent="0.2">
      <c r="A82" s="113" t="s">
        <v>815</v>
      </c>
      <c r="B82" s="113" t="s">
        <v>26</v>
      </c>
      <c r="C82" s="113" t="s">
        <v>593</v>
      </c>
      <c r="D82" s="114" t="s">
        <v>816</v>
      </c>
      <c r="E82" s="113" t="s">
        <v>584</v>
      </c>
      <c r="F82" s="115">
        <v>23.13</v>
      </c>
      <c r="G82" s="109" t="s">
        <v>1208</v>
      </c>
      <c r="H82" s="109" t="s">
        <v>1208</v>
      </c>
    </row>
    <row r="83" spans="1:8" x14ac:dyDescent="0.2">
      <c r="A83" s="113" t="s">
        <v>621</v>
      </c>
      <c r="B83" s="113" t="s">
        <v>26</v>
      </c>
      <c r="C83" s="113" t="s">
        <v>593</v>
      </c>
      <c r="D83" s="114" t="s">
        <v>622</v>
      </c>
      <c r="E83" s="113" t="s">
        <v>584</v>
      </c>
      <c r="F83" s="115">
        <v>18.28</v>
      </c>
      <c r="G83" s="109" t="s">
        <v>1208</v>
      </c>
      <c r="H83" s="109" t="s">
        <v>1208</v>
      </c>
    </row>
    <row r="84" spans="1:8" x14ac:dyDescent="0.2">
      <c r="A84" s="113" t="s">
        <v>627</v>
      </c>
      <c r="B84" s="113" t="s">
        <v>26</v>
      </c>
      <c r="C84" s="113" t="s">
        <v>593</v>
      </c>
      <c r="D84" s="114" t="s">
        <v>628</v>
      </c>
      <c r="E84" s="113" t="s">
        <v>584</v>
      </c>
      <c r="F84" s="115">
        <v>17.78</v>
      </c>
      <c r="G84" s="109" t="s">
        <v>1208</v>
      </c>
      <c r="H84" s="109" t="s">
        <v>1208</v>
      </c>
    </row>
    <row r="85" spans="1:8" x14ac:dyDescent="0.2">
      <c r="A85" s="113" t="s">
        <v>603</v>
      </c>
      <c r="B85" s="113" t="s">
        <v>26</v>
      </c>
      <c r="C85" s="113" t="s">
        <v>593</v>
      </c>
      <c r="D85" s="114" t="s">
        <v>604</v>
      </c>
      <c r="E85" s="113" t="s">
        <v>584</v>
      </c>
      <c r="F85" s="115">
        <v>18.84</v>
      </c>
      <c r="G85" s="109" t="s">
        <v>1208</v>
      </c>
      <c r="H85" s="109" t="s">
        <v>1208</v>
      </c>
    </row>
    <row r="86" spans="1:8" x14ac:dyDescent="0.2">
      <c r="A86" s="113" t="s">
        <v>741</v>
      </c>
      <c r="B86" s="113" t="s">
        <v>26</v>
      </c>
      <c r="C86" s="113" t="s">
        <v>593</v>
      </c>
      <c r="D86" s="114" t="s">
        <v>742</v>
      </c>
      <c r="E86" s="113" t="s">
        <v>584</v>
      </c>
      <c r="F86" s="115">
        <v>23.17</v>
      </c>
      <c r="G86" s="109" t="s">
        <v>1208</v>
      </c>
      <c r="H86" s="109" t="s">
        <v>1208</v>
      </c>
    </row>
    <row r="87" spans="1:8" x14ac:dyDescent="0.2">
      <c r="A87" s="113" t="s">
        <v>755</v>
      </c>
      <c r="B87" s="113" t="s">
        <v>26</v>
      </c>
      <c r="C87" s="113" t="s">
        <v>593</v>
      </c>
      <c r="D87" s="114" t="s">
        <v>756</v>
      </c>
      <c r="E87" s="113" t="s">
        <v>584</v>
      </c>
      <c r="F87" s="115">
        <v>23.07</v>
      </c>
      <c r="G87" s="109" t="s">
        <v>1208</v>
      </c>
      <c r="H87" s="109" t="s">
        <v>1208</v>
      </c>
    </row>
    <row r="88" spans="1:8" x14ac:dyDescent="0.2">
      <c r="A88" s="113" t="s">
        <v>735</v>
      </c>
      <c r="B88" s="113" t="s">
        <v>26</v>
      </c>
      <c r="C88" s="113" t="s">
        <v>593</v>
      </c>
      <c r="D88" s="114" t="s">
        <v>736</v>
      </c>
      <c r="E88" s="113" t="s">
        <v>584</v>
      </c>
      <c r="F88" s="115">
        <v>23.03</v>
      </c>
      <c r="G88" s="109" t="s">
        <v>1208</v>
      </c>
      <c r="H88" s="109" t="s">
        <v>1208</v>
      </c>
    </row>
    <row r="89" spans="1:8" x14ac:dyDescent="0.2">
      <c r="A89" s="113" t="s">
        <v>619</v>
      </c>
      <c r="B89" s="113" t="s">
        <v>26</v>
      </c>
      <c r="C89" s="113" t="s">
        <v>593</v>
      </c>
      <c r="D89" s="114" t="s">
        <v>620</v>
      </c>
      <c r="E89" s="113" t="s">
        <v>584</v>
      </c>
      <c r="F89" s="115">
        <v>23.44</v>
      </c>
      <c r="G89" s="109" t="s">
        <v>1208</v>
      </c>
      <c r="H89" s="109" t="s">
        <v>1208</v>
      </c>
    </row>
    <row r="90" spans="1:8" x14ac:dyDescent="0.2">
      <c r="A90" s="113" t="s">
        <v>625</v>
      </c>
      <c r="B90" s="113" t="s">
        <v>26</v>
      </c>
      <c r="C90" s="113" t="s">
        <v>593</v>
      </c>
      <c r="D90" s="114" t="s">
        <v>626</v>
      </c>
      <c r="E90" s="113" t="s">
        <v>584</v>
      </c>
      <c r="F90" s="115">
        <v>22.76</v>
      </c>
      <c r="G90" s="109" t="s">
        <v>1208</v>
      </c>
      <c r="H90" s="109" t="s">
        <v>1208</v>
      </c>
    </row>
    <row r="91" spans="1:8" x14ac:dyDescent="0.2">
      <c r="A91" s="113" t="s">
        <v>605</v>
      </c>
      <c r="B91" s="113" t="s">
        <v>26</v>
      </c>
      <c r="C91" s="113" t="s">
        <v>593</v>
      </c>
      <c r="D91" s="114" t="s">
        <v>606</v>
      </c>
      <c r="E91" s="113" t="s">
        <v>584</v>
      </c>
      <c r="F91" s="115">
        <v>23.13</v>
      </c>
      <c r="G91" s="109" t="s">
        <v>1208</v>
      </c>
      <c r="H91" s="109" t="s">
        <v>1208</v>
      </c>
    </row>
    <row r="92" spans="1:8" x14ac:dyDescent="0.2">
      <c r="A92" s="113" t="s">
        <v>847</v>
      </c>
      <c r="B92" s="113" t="s">
        <v>26</v>
      </c>
      <c r="C92" s="113" t="s">
        <v>593</v>
      </c>
      <c r="D92" s="114" t="s">
        <v>848</v>
      </c>
      <c r="E92" s="113" t="s">
        <v>584</v>
      </c>
      <c r="F92" s="115">
        <v>23.25</v>
      </c>
      <c r="G92" s="109" t="s">
        <v>1208</v>
      </c>
      <c r="H92" s="109" t="s">
        <v>1208</v>
      </c>
    </row>
    <row r="93" spans="1:8" x14ac:dyDescent="0.2">
      <c r="A93" s="113" t="s">
        <v>851</v>
      </c>
      <c r="B93" s="113" t="s">
        <v>26</v>
      </c>
      <c r="C93" s="113" t="s">
        <v>593</v>
      </c>
      <c r="D93" s="114" t="s">
        <v>852</v>
      </c>
      <c r="E93" s="113" t="s">
        <v>584</v>
      </c>
      <c r="F93" s="115">
        <v>19.39</v>
      </c>
      <c r="G93" s="109" t="s">
        <v>1208</v>
      </c>
      <c r="H93" s="109" t="s">
        <v>1208</v>
      </c>
    </row>
    <row r="94" spans="1:8" x14ac:dyDescent="0.2">
      <c r="A94" s="113" t="s">
        <v>629</v>
      </c>
      <c r="B94" s="113" t="s">
        <v>26</v>
      </c>
      <c r="C94" s="113" t="s">
        <v>593</v>
      </c>
      <c r="D94" s="114" t="s">
        <v>630</v>
      </c>
      <c r="E94" s="113" t="s">
        <v>584</v>
      </c>
      <c r="F94" s="115">
        <v>18.350000000000001</v>
      </c>
      <c r="G94" s="109" t="s">
        <v>1208</v>
      </c>
      <c r="H94" s="109" t="s">
        <v>1208</v>
      </c>
    </row>
    <row r="95" spans="1:8" x14ac:dyDescent="0.2">
      <c r="A95" s="113" t="s">
        <v>610</v>
      </c>
      <c r="B95" s="113" t="s">
        <v>26</v>
      </c>
      <c r="C95" s="113" t="s">
        <v>593</v>
      </c>
      <c r="D95" s="114" t="s">
        <v>611</v>
      </c>
      <c r="E95" s="113" t="s">
        <v>584</v>
      </c>
      <c r="F95" s="115">
        <v>17.739999999999998</v>
      </c>
      <c r="G95" s="109" t="s">
        <v>1208</v>
      </c>
      <c r="H95" s="109" t="s">
        <v>1208</v>
      </c>
    </row>
    <row r="96" spans="1:8" x14ac:dyDescent="0.2">
      <c r="A96" s="113" t="s">
        <v>1077</v>
      </c>
      <c r="B96" s="113" t="s">
        <v>26</v>
      </c>
      <c r="C96" s="113" t="s">
        <v>593</v>
      </c>
      <c r="D96" s="114" t="s">
        <v>1078</v>
      </c>
      <c r="E96" s="113" t="s">
        <v>584</v>
      </c>
      <c r="F96" s="115">
        <v>24.28</v>
      </c>
      <c r="G96" s="109" t="s">
        <v>1208</v>
      </c>
      <c r="H96" s="109" t="s">
        <v>1208</v>
      </c>
    </row>
    <row r="97" spans="1:8" x14ac:dyDescent="0.2">
      <c r="A97" s="113" t="s">
        <v>599</v>
      </c>
      <c r="B97" s="113" t="s">
        <v>26</v>
      </c>
      <c r="C97" s="113" t="s">
        <v>593</v>
      </c>
      <c r="D97" s="114" t="s">
        <v>600</v>
      </c>
      <c r="E97" s="113" t="s">
        <v>584</v>
      </c>
      <c r="F97" s="115">
        <v>23.25</v>
      </c>
      <c r="G97" s="109" t="s">
        <v>1208</v>
      </c>
      <c r="H97" s="109" t="s">
        <v>1208</v>
      </c>
    </row>
    <row r="98" spans="1:8" x14ac:dyDescent="0.2">
      <c r="A98" s="113" t="s">
        <v>751</v>
      </c>
      <c r="B98" s="113" t="s">
        <v>26</v>
      </c>
      <c r="C98" s="113" t="s">
        <v>593</v>
      </c>
      <c r="D98" s="114" t="s">
        <v>752</v>
      </c>
      <c r="E98" s="113" t="s">
        <v>584</v>
      </c>
      <c r="F98" s="115">
        <v>24.24</v>
      </c>
      <c r="G98" s="109" t="s">
        <v>1208</v>
      </c>
      <c r="H98" s="109" t="s">
        <v>1208</v>
      </c>
    </row>
    <row r="99" spans="1:8" x14ac:dyDescent="0.2">
      <c r="A99" s="113" t="s">
        <v>601</v>
      </c>
      <c r="B99" s="113" t="s">
        <v>26</v>
      </c>
      <c r="C99" s="113" t="s">
        <v>593</v>
      </c>
      <c r="D99" s="114" t="s">
        <v>602</v>
      </c>
      <c r="E99" s="113" t="s">
        <v>584</v>
      </c>
      <c r="F99" s="115">
        <v>23.13</v>
      </c>
      <c r="G99" s="109" t="s">
        <v>1208</v>
      </c>
      <c r="H99" s="109" t="s">
        <v>1208</v>
      </c>
    </row>
    <row r="100" spans="1:8" x14ac:dyDescent="0.2">
      <c r="A100" s="113" t="s">
        <v>597</v>
      </c>
      <c r="B100" s="113" t="s">
        <v>26</v>
      </c>
      <c r="C100" s="113" t="s">
        <v>593</v>
      </c>
      <c r="D100" s="114" t="s">
        <v>598</v>
      </c>
      <c r="E100" s="113" t="s">
        <v>584</v>
      </c>
      <c r="F100" s="115">
        <v>17.170000000000002</v>
      </c>
      <c r="G100" s="109" t="s">
        <v>1208</v>
      </c>
      <c r="H100" s="109" t="s">
        <v>1208</v>
      </c>
    </row>
    <row r="101" spans="1:8" x14ac:dyDescent="0.2">
      <c r="A101" s="113" t="s">
        <v>786</v>
      </c>
      <c r="B101" s="113" t="s">
        <v>26</v>
      </c>
      <c r="C101" s="113" t="s">
        <v>593</v>
      </c>
      <c r="D101" s="114" t="s">
        <v>787</v>
      </c>
      <c r="E101" s="113" t="s">
        <v>584</v>
      </c>
      <c r="F101" s="115">
        <v>21.62</v>
      </c>
      <c r="G101" s="109" t="s">
        <v>1208</v>
      </c>
      <c r="H101" s="109" t="s">
        <v>1208</v>
      </c>
    </row>
    <row r="102" spans="1:8" ht="22.5" x14ac:dyDescent="0.2">
      <c r="A102" s="113" t="s">
        <v>1065</v>
      </c>
      <c r="B102" s="113" t="s">
        <v>26</v>
      </c>
      <c r="C102" s="113" t="s">
        <v>593</v>
      </c>
      <c r="D102" s="114" t="s">
        <v>1066</v>
      </c>
      <c r="E102" s="113" t="s">
        <v>32</v>
      </c>
      <c r="F102" s="115">
        <v>17.079999999999998</v>
      </c>
      <c r="G102" s="109"/>
      <c r="H102" s="109"/>
    </row>
    <row r="103" spans="1:8" ht="22.5" x14ac:dyDescent="0.2">
      <c r="A103" s="113" t="s">
        <v>176</v>
      </c>
      <c r="B103" s="113" t="s">
        <v>26</v>
      </c>
      <c r="C103" s="113" t="s">
        <v>593</v>
      </c>
      <c r="D103" s="114" t="s">
        <v>177</v>
      </c>
      <c r="E103" s="113" t="s">
        <v>32</v>
      </c>
      <c r="F103" s="115">
        <v>14.1</v>
      </c>
      <c r="G103" s="109"/>
      <c r="H103" s="109"/>
    </row>
    <row r="104" spans="1:8" ht="22.5" x14ac:dyDescent="0.2">
      <c r="A104" s="113" t="s">
        <v>182</v>
      </c>
      <c r="B104" s="113" t="s">
        <v>26</v>
      </c>
      <c r="C104" s="113" t="s">
        <v>593</v>
      </c>
      <c r="D104" s="114" t="s">
        <v>183</v>
      </c>
      <c r="E104" s="113" t="s">
        <v>32</v>
      </c>
      <c r="F104" s="115">
        <v>12.38</v>
      </c>
      <c r="G104" s="109"/>
      <c r="H104" s="109"/>
    </row>
    <row r="105" spans="1:8" x14ac:dyDescent="0.2">
      <c r="A105" s="113" t="s">
        <v>179</v>
      </c>
      <c r="B105" s="113" t="s">
        <v>26</v>
      </c>
      <c r="C105" s="113" t="s">
        <v>593</v>
      </c>
      <c r="D105" s="114" t="s">
        <v>180</v>
      </c>
      <c r="E105" s="113" t="s">
        <v>32</v>
      </c>
      <c r="F105" s="115">
        <v>24.24</v>
      </c>
      <c r="G105" s="109"/>
      <c r="H105" s="109"/>
    </row>
    <row r="106" spans="1:8" x14ac:dyDescent="0.2">
      <c r="A106" s="113" t="s">
        <v>185</v>
      </c>
      <c r="B106" s="113" t="s">
        <v>26</v>
      </c>
      <c r="C106" s="113" t="s">
        <v>593</v>
      </c>
      <c r="D106" s="114" t="s">
        <v>186</v>
      </c>
      <c r="E106" s="113" t="s">
        <v>32</v>
      </c>
      <c r="F106" s="115">
        <v>13.23</v>
      </c>
      <c r="G106" s="109"/>
      <c r="H106" s="109"/>
    </row>
    <row r="107" spans="1:8" ht="45" x14ac:dyDescent="0.2">
      <c r="A107" s="113" t="s">
        <v>1025</v>
      </c>
      <c r="B107" s="113" t="s">
        <v>26</v>
      </c>
      <c r="C107" s="113" t="s">
        <v>593</v>
      </c>
      <c r="D107" s="114" t="s">
        <v>1026</v>
      </c>
      <c r="E107" s="113" t="s">
        <v>32</v>
      </c>
      <c r="F107" s="115">
        <v>31.28</v>
      </c>
      <c r="G107" s="109" t="s">
        <v>1208</v>
      </c>
      <c r="H107" s="109" t="s">
        <v>1208</v>
      </c>
    </row>
    <row r="108" spans="1:8" ht="45" x14ac:dyDescent="0.2">
      <c r="A108" s="113" t="s">
        <v>154</v>
      </c>
      <c r="B108" s="113" t="s">
        <v>26</v>
      </c>
      <c r="C108" s="113" t="s">
        <v>593</v>
      </c>
      <c r="D108" s="114" t="s">
        <v>155</v>
      </c>
      <c r="E108" s="113" t="s">
        <v>32</v>
      </c>
      <c r="F108" s="115">
        <v>30.77</v>
      </c>
      <c r="G108" s="109" t="s">
        <v>1208</v>
      </c>
      <c r="H108" s="109" t="s">
        <v>1208</v>
      </c>
    </row>
    <row r="109" spans="1:8" ht="22.5" x14ac:dyDescent="0.2">
      <c r="A109" s="113" t="s">
        <v>989</v>
      </c>
      <c r="B109" s="113" t="s">
        <v>26</v>
      </c>
      <c r="C109" s="113" t="s">
        <v>593</v>
      </c>
      <c r="D109" s="114" t="s">
        <v>990</v>
      </c>
      <c r="E109" s="113" t="s">
        <v>28</v>
      </c>
      <c r="F109" s="115">
        <v>28.54</v>
      </c>
      <c r="G109" s="109"/>
      <c r="H109" s="109"/>
    </row>
    <row r="110" spans="1:8" ht="22.5" x14ac:dyDescent="0.2">
      <c r="A110" s="113" t="s">
        <v>981</v>
      </c>
      <c r="B110" s="113" t="s">
        <v>26</v>
      </c>
      <c r="C110" s="113" t="s">
        <v>593</v>
      </c>
      <c r="D110" s="114" t="s">
        <v>982</v>
      </c>
      <c r="E110" s="113" t="s">
        <v>28</v>
      </c>
      <c r="F110" s="115">
        <v>47.18</v>
      </c>
      <c r="G110" s="109"/>
      <c r="H110" s="109"/>
    </row>
    <row r="111" spans="1:8" ht="22.5" x14ac:dyDescent="0.2">
      <c r="A111" s="113" t="s">
        <v>328</v>
      </c>
      <c r="B111" s="113" t="s">
        <v>26</v>
      </c>
      <c r="C111" s="113" t="s">
        <v>593</v>
      </c>
      <c r="D111" s="114" t="s">
        <v>329</v>
      </c>
      <c r="E111" s="113" t="s">
        <v>28</v>
      </c>
      <c r="F111" s="115">
        <v>58.74</v>
      </c>
      <c r="G111" s="109"/>
      <c r="H111" s="109"/>
    </row>
    <row r="112" spans="1:8" ht="22.5" x14ac:dyDescent="0.2">
      <c r="A112" s="113" t="s">
        <v>991</v>
      </c>
      <c r="B112" s="113" t="s">
        <v>26</v>
      </c>
      <c r="C112" s="113" t="s">
        <v>593</v>
      </c>
      <c r="D112" s="114" t="s">
        <v>992</v>
      </c>
      <c r="E112" s="113" t="s">
        <v>67</v>
      </c>
      <c r="F112" s="115">
        <v>35.76</v>
      </c>
      <c r="G112" s="109"/>
      <c r="H112" s="109"/>
    </row>
    <row r="113" spans="1:8" ht="22.5" x14ac:dyDescent="0.2">
      <c r="A113" s="113" t="s">
        <v>993</v>
      </c>
      <c r="B113" s="113" t="s">
        <v>26</v>
      </c>
      <c r="C113" s="113" t="s">
        <v>593</v>
      </c>
      <c r="D113" s="114" t="s">
        <v>994</v>
      </c>
      <c r="E113" s="113" t="s">
        <v>67</v>
      </c>
      <c r="F113" s="115">
        <v>40.369999999999997</v>
      </c>
      <c r="G113" s="109"/>
      <c r="H113" s="109"/>
    </row>
    <row r="114" spans="1:8" ht="22.5" x14ac:dyDescent="0.2">
      <c r="A114" s="113" t="s">
        <v>358</v>
      </c>
      <c r="B114" s="113" t="s">
        <v>26</v>
      </c>
      <c r="C114" s="113" t="s">
        <v>593</v>
      </c>
      <c r="D114" s="114" t="s">
        <v>359</v>
      </c>
      <c r="E114" s="113" t="s">
        <v>67</v>
      </c>
      <c r="F114" s="115">
        <v>112.89</v>
      </c>
      <c r="G114" s="109"/>
      <c r="H114" s="109"/>
    </row>
    <row r="115" spans="1:8" ht="22.5" x14ac:dyDescent="0.2">
      <c r="A115" s="113" t="s">
        <v>364</v>
      </c>
      <c r="B115" s="113" t="s">
        <v>26</v>
      </c>
      <c r="C115" s="113" t="s">
        <v>593</v>
      </c>
      <c r="D115" s="114" t="s">
        <v>365</v>
      </c>
      <c r="E115" s="113" t="s">
        <v>67</v>
      </c>
      <c r="F115" s="115">
        <v>84.81</v>
      </c>
      <c r="G115" s="109"/>
      <c r="H115" s="109"/>
    </row>
    <row r="116" spans="1:8" ht="22.5" x14ac:dyDescent="0.2">
      <c r="A116" s="113" t="s">
        <v>355</v>
      </c>
      <c r="B116" s="113" t="s">
        <v>26</v>
      </c>
      <c r="C116" s="113" t="s">
        <v>593</v>
      </c>
      <c r="D116" s="114" t="s">
        <v>356</v>
      </c>
      <c r="E116" s="113" t="s">
        <v>67</v>
      </c>
      <c r="F116" s="115">
        <v>133.11000000000001</v>
      </c>
      <c r="G116" s="109"/>
      <c r="H116" s="109"/>
    </row>
    <row r="117" spans="1:8" ht="22.5" x14ac:dyDescent="0.2">
      <c r="A117" s="113" t="s">
        <v>361</v>
      </c>
      <c r="B117" s="113" t="s">
        <v>26</v>
      </c>
      <c r="C117" s="113" t="s">
        <v>593</v>
      </c>
      <c r="D117" s="114" t="s">
        <v>362</v>
      </c>
      <c r="E117" s="113" t="s">
        <v>67</v>
      </c>
      <c r="F117" s="115">
        <v>100.04</v>
      </c>
      <c r="G117" s="109"/>
      <c r="H117" s="109"/>
    </row>
    <row r="118" spans="1:8" ht="22.5" x14ac:dyDescent="0.2">
      <c r="A118" s="113" t="s">
        <v>995</v>
      </c>
      <c r="B118" s="113" t="s">
        <v>26</v>
      </c>
      <c r="C118" s="113" t="s">
        <v>593</v>
      </c>
      <c r="D118" s="114" t="s">
        <v>996</v>
      </c>
      <c r="E118" s="113" t="s">
        <v>67</v>
      </c>
      <c r="F118" s="115">
        <v>20.52</v>
      </c>
      <c r="G118" s="109"/>
      <c r="H118" s="109"/>
    </row>
    <row r="119" spans="1:8" ht="22.5" x14ac:dyDescent="0.2">
      <c r="A119" s="113" t="s">
        <v>997</v>
      </c>
      <c r="B119" s="113" t="s">
        <v>26</v>
      </c>
      <c r="C119" s="113" t="s">
        <v>593</v>
      </c>
      <c r="D119" s="114" t="s">
        <v>998</v>
      </c>
      <c r="E119" s="113" t="s">
        <v>67</v>
      </c>
      <c r="F119" s="115">
        <v>92.08</v>
      </c>
      <c r="G119" s="109"/>
      <c r="H119" s="109"/>
    </row>
    <row r="120" spans="1:8" ht="22.5" x14ac:dyDescent="0.2">
      <c r="A120" s="113" t="s">
        <v>999</v>
      </c>
      <c r="B120" s="113" t="s">
        <v>26</v>
      </c>
      <c r="C120" s="113" t="s">
        <v>593</v>
      </c>
      <c r="D120" s="114" t="s">
        <v>1000</v>
      </c>
      <c r="E120" s="113" t="s">
        <v>67</v>
      </c>
      <c r="F120" s="115">
        <v>20.54</v>
      </c>
      <c r="G120" s="109"/>
      <c r="H120" s="109"/>
    </row>
    <row r="121" spans="1:8" ht="22.5" x14ac:dyDescent="0.2">
      <c r="A121" s="113" t="s">
        <v>983</v>
      </c>
      <c r="B121" s="113" t="s">
        <v>26</v>
      </c>
      <c r="C121" s="113" t="s">
        <v>593</v>
      </c>
      <c r="D121" s="114" t="s">
        <v>984</v>
      </c>
      <c r="E121" s="113" t="s">
        <v>67</v>
      </c>
      <c r="F121" s="115">
        <v>33.74</v>
      </c>
      <c r="G121" s="109"/>
      <c r="H121" s="109"/>
    </row>
    <row r="122" spans="1:8" ht="22.5" x14ac:dyDescent="0.2">
      <c r="A122" s="113" t="s">
        <v>985</v>
      </c>
      <c r="B122" s="113" t="s">
        <v>26</v>
      </c>
      <c r="C122" s="113" t="s">
        <v>593</v>
      </c>
      <c r="D122" s="114" t="s">
        <v>986</v>
      </c>
      <c r="E122" s="113" t="s">
        <v>67</v>
      </c>
      <c r="F122" s="115">
        <v>181.77</v>
      </c>
      <c r="G122" s="109"/>
      <c r="H122" s="109"/>
    </row>
    <row r="123" spans="1:8" ht="22.5" x14ac:dyDescent="0.2">
      <c r="A123" s="113" t="s">
        <v>987</v>
      </c>
      <c r="B123" s="113" t="s">
        <v>26</v>
      </c>
      <c r="C123" s="113" t="s">
        <v>593</v>
      </c>
      <c r="D123" s="114" t="s">
        <v>988</v>
      </c>
      <c r="E123" s="113" t="s">
        <v>67</v>
      </c>
      <c r="F123" s="115">
        <v>30.04</v>
      </c>
      <c r="G123" s="109"/>
      <c r="H123" s="109"/>
    </row>
    <row r="124" spans="1:8" ht="22.5" x14ac:dyDescent="0.2">
      <c r="A124" s="113" t="s">
        <v>1001</v>
      </c>
      <c r="B124" s="113" t="s">
        <v>26</v>
      </c>
      <c r="C124" s="113" t="s">
        <v>593</v>
      </c>
      <c r="D124" s="114" t="s">
        <v>1002</v>
      </c>
      <c r="E124" s="113" t="s">
        <v>67</v>
      </c>
      <c r="F124" s="115">
        <v>45.68</v>
      </c>
      <c r="G124" s="109"/>
      <c r="H124" s="109"/>
    </row>
    <row r="125" spans="1:8" ht="22.5" x14ac:dyDescent="0.2">
      <c r="A125" s="113" t="s">
        <v>349</v>
      </c>
      <c r="B125" s="113" t="s">
        <v>26</v>
      </c>
      <c r="C125" s="113" t="s">
        <v>593</v>
      </c>
      <c r="D125" s="114" t="s">
        <v>350</v>
      </c>
      <c r="E125" s="113" t="s">
        <v>67</v>
      </c>
      <c r="F125" s="115">
        <v>84.39</v>
      </c>
      <c r="G125" s="109"/>
      <c r="H125" s="109"/>
    </row>
    <row r="126" spans="1:8" ht="22.5" x14ac:dyDescent="0.2">
      <c r="A126" s="113" t="s">
        <v>414</v>
      </c>
      <c r="B126" s="113" t="s">
        <v>26</v>
      </c>
      <c r="C126" s="113" t="s">
        <v>593</v>
      </c>
      <c r="D126" s="114" t="s">
        <v>415</v>
      </c>
      <c r="E126" s="113" t="s">
        <v>67</v>
      </c>
      <c r="F126" s="115">
        <v>33.5</v>
      </c>
      <c r="G126" s="109"/>
      <c r="H126" s="109"/>
    </row>
    <row r="127" spans="1:8" ht="22.5" x14ac:dyDescent="0.2">
      <c r="A127" s="113" t="s">
        <v>420</v>
      </c>
      <c r="B127" s="113" t="s">
        <v>26</v>
      </c>
      <c r="C127" s="113" t="s">
        <v>593</v>
      </c>
      <c r="D127" s="114" t="s">
        <v>421</v>
      </c>
      <c r="E127" s="113" t="s">
        <v>67</v>
      </c>
      <c r="F127" s="115">
        <v>79.06</v>
      </c>
      <c r="G127" s="109"/>
      <c r="H127" s="109"/>
    </row>
    <row r="128" spans="1:8" ht="22.5" x14ac:dyDescent="0.2">
      <c r="A128" s="113" t="s">
        <v>393</v>
      </c>
      <c r="B128" s="113" t="s">
        <v>26</v>
      </c>
      <c r="C128" s="113" t="s">
        <v>593</v>
      </c>
      <c r="D128" s="114" t="s">
        <v>394</v>
      </c>
      <c r="E128" s="113" t="s">
        <v>67</v>
      </c>
      <c r="F128" s="115">
        <v>81.819999999999993</v>
      </c>
      <c r="G128" s="109"/>
      <c r="H128" s="109"/>
    </row>
    <row r="129" spans="1:8" ht="22.5" x14ac:dyDescent="0.2">
      <c r="A129" s="113" t="s">
        <v>390</v>
      </c>
      <c r="B129" s="113" t="s">
        <v>26</v>
      </c>
      <c r="C129" s="113" t="s">
        <v>593</v>
      </c>
      <c r="D129" s="114" t="s">
        <v>391</v>
      </c>
      <c r="E129" s="113" t="s">
        <v>67</v>
      </c>
      <c r="F129" s="115">
        <v>86.08</v>
      </c>
      <c r="G129" s="109"/>
      <c r="H129" s="109"/>
    </row>
    <row r="130" spans="1:8" ht="22.5" x14ac:dyDescent="0.2">
      <c r="A130" s="113" t="s">
        <v>975</v>
      </c>
      <c r="B130" s="113" t="s">
        <v>26</v>
      </c>
      <c r="C130" s="113" t="s">
        <v>593</v>
      </c>
      <c r="D130" s="114" t="s">
        <v>976</v>
      </c>
      <c r="E130" s="113" t="s">
        <v>67</v>
      </c>
      <c r="F130" s="115">
        <v>30.63</v>
      </c>
      <c r="G130" s="109" t="s">
        <v>1208</v>
      </c>
      <c r="H130" s="109" t="s">
        <v>1208</v>
      </c>
    </row>
    <row r="131" spans="1:8" ht="22.5" x14ac:dyDescent="0.2">
      <c r="A131" s="113" t="s">
        <v>48</v>
      </c>
      <c r="B131" s="113" t="s">
        <v>26</v>
      </c>
      <c r="C131" s="113" t="s">
        <v>593</v>
      </c>
      <c r="D131" s="114" t="s">
        <v>49</v>
      </c>
      <c r="E131" s="113" t="s">
        <v>104</v>
      </c>
      <c r="F131" s="115">
        <v>11.45</v>
      </c>
      <c r="G131" s="109" t="s">
        <v>1208</v>
      </c>
      <c r="H131" s="109" t="s">
        <v>1208</v>
      </c>
    </row>
    <row r="132" spans="1:8" ht="22.5" x14ac:dyDescent="0.2">
      <c r="A132" s="113" t="s">
        <v>977</v>
      </c>
      <c r="B132" s="113" t="s">
        <v>26</v>
      </c>
      <c r="C132" s="113" t="s">
        <v>593</v>
      </c>
      <c r="D132" s="114" t="s">
        <v>978</v>
      </c>
      <c r="E132" s="113" t="s">
        <v>67</v>
      </c>
      <c r="F132" s="115">
        <v>4.51</v>
      </c>
      <c r="G132" s="109" t="s">
        <v>1208</v>
      </c>
      <c r="H132" s="109" t="s">
        <v>1208</v>
      </c>
    </row>
    <row r="133" spans="1:8" ht="22.5" x14ac:dyDescent="0.2">
      <c r="A133" s="113" t="s">
        <v>811</v>
      </c>
      <c r="B133" s="113" t="s">
        <v>26</v>
      </c>
      <c r="C133" s="113" t="s">
        <v>593</v>
      </c>
      <c r="D133" s="114" t="s">
        <v>812</v>
      </c>
      <c r="E133" s="113" t="s">
        <v>615</v>
      </c>
      <c r="F133" s="115">
        <v>1.5</v>
      </c>
      <c r="G133" s="109" t="s">
        <v>1208</v>
      </c>
      <c r="H133" s="109" t="s">
        <v>1208</v>
      </c>
    </row>
    <row r="134" spans="1:8" ht="22.5" x14ac:dyDescent="0.2">
      <c r="A134" s="113" t="s">
        <v>813</v>
      </c>
      <c r="B134" s="113" t="s">
        <v>26</v>
      </c>
      <c r="C134" s="113" t="s">
        <v>593</v>
      </c>
      <c r="D134" s="114" t="s">
        <v>814</v>
      </c>
      <c r="E134" s="113" t="s">
        <v>616</v>
      </c>
      <c r="F134" s="115">
        <v>0.44</v>
      </c>
      <c r="G134" s="109" t="s">
        <v>1208</v>
      </c>
      <c r="H134" s="109" t="s">
        <v>1208</v>
      </c>
    </row>
    <row r="135" spans="1:8" x14ac:dyDescent="0.2">
      <c r="A135" s="113" t="s">
        <v>582</v>
      </c>
      <c r="B135" s="113" t="s">
        <v>26</v>
      </c>
      <c r="C135" s="113" t="s">
        <v>593</v>
      </c>
      <c r="D135" s="114" t="s">
        <v>583</v>
      </c>
      <c r="E135" s="113" t="s">
        <v>584</v>
      </c>
      <c r="F135" s="115">
        <v>105.61</v>
      </c>
      <c r="G135" s="109" t="s">
        <v>1208</v>
      </c>
      <c r="H135" s="109" t="s">
        <v>1208</v>
      </c>
    </row>
    <row r="136" spans="1:8" ht="22.5" x14ac:dyDescent="0.2">
      <c r="A136" s="113" t="s">
        <v>749</v>
      </c>
      <c r="B136" s="113" t="s">
        <v>26</v>
      </c>
      <c r="C136" s="113" t="s">
        <v>593</v>
      </c>
      <c r="D136" s="114" t="s">
        <v>750</v>
      </c>
      <c r="E136" s="113" t="s">
        <v>615</v>
      </c>
      <c r="F136" s="115">
        <v>52.76</v>
      </c>
      <c r="G136" s="109" t="s">
        <v>1208</v>
      </c>
      <c r="H136" s="109" t="s">
        <v>1208</v>
      </c>
    </row>
    <row r="137" spans="1:8" ht="22.5" x14ac:dyDescent="0.2">
      <c r="A137" s="113" t="s">
        <v>747</v>
      </c>
      <c r="B137" s="113" t="s">
        <v>26</v>
      </c>
      <c r="C137" s="113" t="s">
        <v>593</v>
      </c>
      <c r="D137" s="114" t="s">
        <v>748</v>
      </c>
      <c r="E137" s="113" t="s">
        <v>616</v>
      </c>
      <c r="F137" s="115">
        <v>4.4800000000000004</v>
      </c>
      <c r="G137" s="109" t="s">
        <v>1208</v>
      </c>
      <c r="H137" s="109" t="s">
        <v>1208</v>
      </c>
    </row>
    <row r="138" spans="1:8" ht="22.5" x14ac:dyDescent="0.2">
      <c r="A138" s="113" t="s">
        <v>784</v>
      </c>
      <c r="B138" s="113" t="s">
        <v>26</v>
      </c>
      <c r="C138" s="113" t="s">
        <v>593</v>
      </c>
      <c r="D138" s="114" t="s">
        <v>785</v>
      </c>
      <c r="E138" s="113" t="s">
        <v>67</v>
      </c>
      <c r="F138" s="115">
        <v>301.07</v>
      </c>
      <c r="G138" s="109" t="s">
        <v>1208</v>
      </c>
      <c r="H138" s="109" t="s">
        <v>1208</v>
      </c>
    </row>
    <row r="139" spans="1:8" ht="22.5" x14ac:dyDescent="0.2">
      <c r="A139" s="113" t="s">
        <v>763</v>
      </c>
      <c r="B139" s="113" t="s">
        <v>26</v>
      </c>
      <c r="C139" s="113" t="s">
        <v>593</v>
      </c>
      <c r="D139" s="114" t="s">
        <v>764</v>
      </c>
      <c r="E139" s="113" t="s">
        <v>67</v>
      </c>
      <c r="F139" s="115">
        <v>334.71</v>
      </c>
      <c r="G139" s="109" t="s">
        <v>1208</v>
      </c>
      <c r="H139" s="109" t="s">
        <v>1208</v>
      </c>
    </row>
    <row r="140" spans="1:8" ht="33.75" x14ac:dyDescent="0.2">
      <c r="A140" s="113" t="s">
        <v>1030</v>
      </c>
      <c r="B140" s="113" t="s">
        <v>26</v>
      </c>
      <c r="C140" s="113" t="s">
        <v>593</v>
      </c>
      <c r="D140" s="114" t="s">
        <v>1031</v>
      </c>
      <c r="E140" s="113" t="s">
        <v>28</v>
      </c>
      <c r="F140" s="115">
        <v>2.5</v>
      </c>
      <c r="G140" s="109" t="s">
        <v>1208</v>
      </c>
      <c r="H140" s="109" t="s">
        <v>1208</v>
      </c>
    </row>
    <row r="141" spans="1:8" ht="33.75" x14ac:dyDescent="0.2">
      <c r="A141" s="113" t="s">
        <v>436</v>
      </c>
      <c r="B141" s="113" t="s">
        <v>26</v>
      </c>
      <c r="C141" s="113" t="s">
        <v>593</v>
      </c>
      <c r="D141" s="114" t="s">
        <v>437</v>
      </c>
      <c r="E141" s="113" t="s">
        <v>28</v>
      </c>
      <c r="F141" s="115">
        <v>11.58</v>
      </c>
      <c r="G141" s="109" t="s">
        <v>1208</v>
      </c>
      <c r="H141" s="109" t="s">
        <v>1208</v>
      </c>
    </row>
    <row r="142" spans="1:8" ht="33.75" x14ac:dyDescent="0.2">
      <c r="A142" s="113" t="s">
        <v>623</v>
      </c>
      <c r="B142" s="113" t="s">
        <v>26</v>
      </c>
      <c r="C142" s="113" t="s">
        <v>593</v>
      </c>
      <c r="D142" s="114" t="s">
        <v>624</v>
      </c>
      <c r="E142" s="113" t="s">
        <v>28</v>
      </c>
      <c r="F142" s="115">
        <v>4.9400000000000004</v>
      </c>
      <c r="G142" s="109" t="s">
        <v>1208</v>
      </c>
      <c r="H142" s="109" t="s">
        <v>1208</v>
      </c>
    </row>
    <row r="143" spans="1:8" ht="22.5" x14ac:dyDescent="0.2">
      <c r="A143" s="113" t="s">
        <v>979</v>
      </c>
      <c r="B143" s="113" t="s">
        <v>26</v>
      </c>
      <c r="C143" s="113" t="s">
        <v>593</v>
      </c>
      <c r="D143" s="114" t="s">
        <v>980</v>
      </c>
      <c r="E143" s="113" t="s">
        <v>67</v>
      </c>
      <c r="F143" s="115">
        <v>4.66</v>
      </c>
      <c r="G143" s="109" t="s">
        <v>1208</v>
      </c>
      <c r="H143" s="109" t="s">
        <v>1208</v>
      </c>
    </row>
    <row r="144" spans="1:8" ht="45" x14ac:dyDescent="0.2">
      <c r="A144" s="113" t="s">
        <v>343</v>
      </c>
      <c r="B144" s="113" t="s">
        <v>26</v>
      </c>
      <c r="C144" s="113" t="s">
        <v>593</v>
      </c>
      <c r="D144" s="114" t="s">
        <v>344</v>
      </c>
      <c r="E144" s="113" t="s">
        <v>28</v>
      </c>
      <c r="F144" s="115">
        <v>39.200000000000003</v>
      </c>
      <c r="G144" s="109"/>
      <c r="H144" s="109"/>
    </row>
    <row r="145" spans="1:8" ht="45" x14ac:dyDescent="0.2">
      <c r="A145" s="113" t="s">
        <v>340</v>
      </c>
      <c r="B145" s="113" t="s">
        <v>26</v>
      </c>
      <c r="C145" s="113" t="s">
        <v>593</v>
      </c>
      <c r="D145" s="114" t="s">
        <v>341</v>
      </c>
      <c r="E145" s="113" t="s">
        <v>28</v>
      </c>
      <c r="F145" s="115">
        <v>27.86</v>
      </c>
      <c r="G145" s="109"/>
      <c r="H145" s="109"/>
    </row>
    <row r="146" spans="1:8" ht="33.75" x14ac:dyDescent="0.2">
      <c r="A146" s="113" t="s">
        <v>337</v>
      </c>
      <c r="B146" s="113" t="s">
        <v>26</v>
      </c>
      <c r="C146" s="113" t="s">
        <v>593</v>
      </c>
      <c r="D146" s="114" t="s">
        <v>338</v>
      </c>
      <c r="E146" s="113" t="s">
        <v>28</v>
      </c>
      <c r="F146" s="115">
        <v>40.42</v>
      </c>
      <c r="G146" s="109"/>
      <c r="H146" s="109"/>
    </row>
    <row r="147" spans="1:8" ht="45" x14ac:dyDescent="0.2">
      <c r="A147" s="113" t="s">
        <v>409</v>
      </c>
      <c r="B147" s="113" t="s">
        <v>26</v>
      </c>
      <c r="C147" s="113" t="s">
        <v>593</v>
      </c>
      <c r="D147" s="114" t="s">
        <v>410</v>
      </c>
      <c r="E147" s="113" t="s">
        <v>28</v>
      </c>
      <c r="F147" s="115">
        <v>51.94</v>
      </c>
      <c r="G147" s="109"/>
      <c r="H147" s="109"/>
    </row>
    <row r="148" spans="1:8" ht="45" x14ac:dyDescent="0.2">
      <c r="A148" s="113" t="s">
        <v>406</v>
      </c>
      <c r="B148" s="113" t="s">
        <v>26</v>
      </c>
      <c r="C148" s="113" t="s">
        <v>593</v>
      </c>
      <c r="D148" s="114" t="s">
        <v>407</v>
      </c>
      <c r="E148" s="113" t="s">
        <v>28</v>
      </c>
      <c r="F148" s="115">
        <v>77.92</v>
      </c>
      <c r="G148" s="109"/>
      <c r="H148" s="109"/>
    </row>
    <row r="149" spans="1:8" ht="45" x14ac:dyDescent="0.2">
      <c r="A149" s="113" t="s">
        <v>403</v>
      </c>
      <c r="B149" s="113" t="s">
        <v>26</v>
      </c>
      <c r="C149" s="113" t="s">
        <v>593</v>
      </c>
      <c r="D149" s="114" t="s">
        <v>404</v>
      </c>
      <c r="E149" s="113" t="s">
        <v>28</v>
      </c>
      <c r="F149" s="115">
        <v>37.46</v>
      </c>
      <c r="G149" s="109"/>
      <c r="H149" s="109"/>
    </row>
    <row r="150" spans="1:8" ht="45" x14ac:dyDescent="0.2">
      <c r="A150" s="113" t="s">
        <v>400</v>
      </c>
      <c r="B150" s="113" t="s">
        <v>26</v>
      </c>
      <c r="C150" s="113" t="s">
        <v>593</v>
      </c>
      <c r="D150" s="114" t="s">
        <v>401</v>
      </c>
      <c r="E150" s="113" t="s">
        <v>28</v>
      </c>
      <c r="F150" s="115">
        <v>62.7</v>
      </c>
      <c r="G150" s="109"/>
      <c r="H150" s="109"/>
    </row>
    <row r="151" spans="1:8" ht="22.5" x14ac:dyDescent="0.2">
      <c r="A151" s="113" t="s">
        <v>465</v>
      </c>
      <c r="B151" s="113" t="s">
        <v>26</v>
      </c>
      <c r="C151" s="113" t="s">
        <v>593</v>
      </c>
      <c r="D151" s="114" t="s">
        <v>466</v>
      </c>
      <c r="E151" s="113" t="s">
        <v>28</v>
      </c>
      <c r="F151" s="115">
        <v>3.84</v>
      </c>
      <c r="G151" s="109"/>
      <c r="H151" s="109"/>
    </row>
    <row r="152" spans="1:8" ht="22.5" x14ac:dyDescent="0.2">
      <c r="A152" s="113" t="s">
        <v>468</v>
      </c>
      <c r="B152" s="113" t="s">
        <v>26</v>
      </c>
      <c r="C152" s="113" t="s">
        <v>593</v>
      </c>
      <c r="D152" s="114" t="s">
        <v>469</v>
      </c>
      <c r="E152" s="113" t="s">
        <v>28</v>
      </c>
      <c r="F152" s="115">
        <v>8.6199999999999992</v>
      </c>
      <c r="G152" s="109"/>
      <c r="H152" s="109"/>
    </row>
    <row r="153" spans="1:8" ht="22.5" x14ac:dyDescent="0.2">
      <c r="A153" s="113" t="s">
        <v>1040</v>
      </c>
      <c r="B153" s="113" t="s">
        <v>26</v>
      </c>
      <c r="C153" s="113" t="s">
        <v>593</v>
      </c>
      <c r="D153" s="114" t="s">
        <v>1041</v>
      </c>
      <c r="E153" s="113" t="s">
        <v>67</v>
      </c>
      <c r="F153" s="115">
        <v>24.14</v>
      </c>
      <c r="G153" s="109" t="s">
        <v>1208</v>
      </c>
      <c r="H153" s="109" t="s">
        <v>1208</v>
      </c>
    </row>
    <row r="154" spans="1:8" ht="22.5" x14ac:dyDescent="0.2">
      <c r="A154" s="113" t="s">
        <v>492</v>
      </c>
      <c r="B154" s="113" t="s">
        <v>26</v>
      </c>
      <c r="C154" s="113" t="s">
        <v>593</v>
      </c>
      <c r="D154" s="114" t="s">
        <v>493</v>
      </c>
      <c r="E154" s="113" t="s">
        <v>67</v>
      </c>
      <c r="F154" s="115">
        <v>12.79</v>
      </c>
      <c r="G154" s="109" t="s">
        <v>1208</v>
      </c>
      <c r="H154" s="109" t="s">
        <v>1208</v>
      </c>
    </row>
    <row r="155" spans="1:8" ht="22.5" x14ac:dyDescent="0.2">
      <c r="A155" s="113" t="s">
        <v>489</v>
      </c>
      <c r="B155" s="113" t="s">
        <v>26</v>
      </c>
      <c r="C155" s="113" t="s">
        <v>593</v>
      </c>
      <c r="D155" s="114" t="s">
        <v>490</v>
      </c>
      <c r="E155" s="113" t="s">
        <v>67</v>
      </c>
      <c r="F155" s="115">
        <v>22.09</v>
      </c>
      <c r="G155" s="109"/>
      <c r="H155" s="109"/>
    </row>
    <row r="156" spans="1:8" ht="22.5" x14ac:dyDescent="0.2">
      <c r="A156" s="113" t="s">
        <v>1046</v>
      </c>
      <c r="B156" s="113" t="s">
        <v>26</v>
      </c>
      <c r="C156" s="113" t="s">
        <v>593</v>
      </c>
      <c r="D156" s="114" t="s">
        <v>1047</v>
      </c>
      <c r="E156" s="113" t="s">
        <v>67</v>
      </c>
      <c r="F156" s="115">
        <v>34.22</v>
      </c>
      <c r="G156" s="109"/>
      <c r="H156" s="109"/>
    </row>
    <row r="157" spans="1:8" ht="22.5" x14ac:dyDescent="0.2">
      <c r="A157" s="113" t="s">
        <v>1038</v>
      </c>
      <c r="B157" s="113" t="s">
        <v>26</v>
      </c>
      <c r="C157" s="113" t="s">
        <v>593</v>
      </c>
      <c r="D157" s="114" t="s">
        <v>1039</v>
      </c>
      <c r="E157" s="113" t="s">
        <v>67</v>
      </c>
      <c r="F157" s="115">
        <v>36.119999999999997</v>
      </c>
      <c r="G157" s="109"/>
      <c r="H157" s="109"/>
    </row>
    <row r="158" spans="1:8" ht="22.5" x14ac:dyDescent="0.2">
      <c r="A158" s="113" t="s">
        <v>1034</v>
      </c>
      <c r="B158" s="113" t="s">
        <v>26</v>
      </c>
      <c r="C158" s="113" t="s">
        <v>593</v>
      </c>
      <c r="D158" s="114" t="s">
        <v>1035</v>
      </c>
      <c r="E158" s="113" t="s">
        <v>67</v>
      </c>
      <c r="F158" s="115">
        <v>26.38</v>
      </c>
      <c r="G158" s="109"/>
      <c r="H158" s="109"/>
    </row>
    <row r="159" spans="1:8" ht="22.5" x14ac:dyDescent="0.2">
      <c r="A159" s="113" t="s">
        <v>1042</v>
      </c>
      <c r="B159" s="113" t="s">
        <v>26</v>
      </c>
      <c r="C159" s="113" t="s">
        <v>593</v>
      </c>
      <c r="D159" s="114" t="s">
        <v>1043</v>
      </c>
      <c r="E159" s="113" t="s">
        <v>67</v>
      </c>
      <c r="F159" s="115">
        <v>43.48</v>
      </c>
      <c r="G159" s="109"/>
      <c r="H159" s="109"/>
    </row>
    <row r="160" spans="1:8" ht="22.5" x14ac:dyDescent="0.2">
      <c r="A160" s="113" t="s">
        <v>486</v>
      </c>
      <c r="B160" s="113" t="s">
        <v>26</v>
      </c>
      <c r="C160" s="113" t="s">
        <v>593</v>
      </c>
      <c r="D160" s="114" t="s">
        <v>487</v>
      </c>
      <c r="E160" s="113" t="s">
        <v>67</v>
      </c>
      <c r="F160" s="115">
        <v>39.19</v>
      </c>
      <c r="G160" s="109"/>
      <c r="H160" s="109"/>
    </row>
    <row r="161" spans="1:8" ht="22.5" x14ac:dyDescent="0.2">
      <c r="A161" s="113" t="s">
        <v>454</v>
      </c>
      <c r="B161" s="113" t="s">
        <v>26</v>
      </c>
      <c r="C161" s="113" t="s">
        <v>593</v>
      </c>
      <c r="D161" s="114" t="s">
        <v>455</v>
      </c>
      <c r="E161" s="113" t="s">
        <v>28</v>
      </c>
      <c r="F161" s="115">
        <v>10.76</v>
      </c>
      <c r="G161" s="109"/>
      <c r="H161" s="109"/>
    </row>
    <row r="162" spans="1:8" ht="22.5" x14ac:dyDescent="0.2">
      <c r="A162" s="113" t="s">
        <v>96</v>
      </c>
      <c r="B162" s="113" t="s">
        <v>26</v>
      </c>
      <c r="C162" s="113" t="s">
        <v>593</v>
      </c>
      <c r="D162" s="114" t="s">
        <v>97</v>
      </c>
      <c r="E162" s="113" t="s">
        <v>28</v>
      </c>
      <c r="F162" s="115">
        <v>23.93</v>
      </c>
      <c r="G162" s="109" t="s">
        <v>1208</v>
      </c>
      <c r="H162" s="109" t="s">
        <v>1208</v>
      </c>
    </row>
    <row r="163" spans="1:8" ht="22.5" x14ac:dyDescent="0.2">
      <c r="A163" s="113" t="s">
        <v>439</v>
      </c>
      <c r="B163" s="113" t="s">
        <v>26</v>
      </c>
      <c r="C163" s="113" t="s">
        <v>593</v>
      </c>
      <c r="D163" s="114" t="s">
        <v>440</v>
      </c>
      <c r="E163" s="113" t="s">
        <v>39</v>
      </c>
      <c r="F163" s="115">
        <v>67.92</v>
      </c>
      <c r="G163" s="109" t="s">
        <v>1208</v>
      </c>
      <c r="H163" s="109" t="s">
        <v>1208</v>
      </c>
    </row>
    <row r="164" spans="1:8" x14ac:dyDescent="0.2">
      <c r="A164" s="113" t="s">
        <v>442</v>
      </c>
      <c r="B164" s="113" t="s">
        <v>26</v>
      </c>
      <c r="C164" s="113" t="s">
        <v>593</v>
      </c>
      <c r="D164" s="114" t="s">
        <v>443</v>
      </c>
      <c r="E164" s="113" t="s">
        <v>39</v>
      </c>
      <c r="F164" s="115">
        <v>24.45</v>
      </c>
      <c r="G164" s="109" t="s">
        <v>1208</v>
      </c>
      <c r="H164" s="109" t="s">
        <v>1208</v>
      </c>
    </row>
    <row r="165" spans="1:8" x14ac:dyDescent="0.2">
      <c r="A165" s="113" t="s">
        <v>578</v>
      </c>
      <c r="B165" s="113" t="s">
        <v>26</v>
      </c>
      <c r="C165" s="113" t="s">
        <v>593</v>
      </c>
      <c r="D165" s="114" t="s">
        <v>579</v>
      </c>
      <c r="E165" s="113" t="s">
        <v>580</v>
      </c>
      <c r="F165" s="115">
        <v>3349.71</v>
      </c>
      <c r="G165" s="109" t="s">
        <v>1208</v>
      </c>
      <c r="H165" s="109" t="s">
        <v>1208</v>
      </c>
    </row>
    <row r="166" spans="1:8" ht="33.75" x14ac:dyDescent="0.2">
      <c r="A166" s="113" t="s">
        <v>381</v>
      </c>
      <c r="B166" s="113" t="s">
        <v>26</v>
      </c>
      <c r="C166" s="113" t="s">
        <v>593</v>
      </c>
      <c r="D166" s="114" t="s">
        <v>382</v>
      </c>
      <c r="E166" s="113" t="s">
        <v>67</v>
      </c>
      <c r="F166" s="115">
        <v>327.13</v>
      </c>
      <c r="G166" s="109"/>
      <c r="H166" s="109"/>
    </row>
    <row r="167" spans="1:8" ht="33.75" x14ac:dyDescent="0.2">
      <c r="A167" s="113" t="s">
        <v>387</v>
      </c>
      <c r="B167" s="113" t="s">
        <v>26</v>
      </c>
      <c r="C167" s="113" t="s">
        <v>593</v>
      </c>
      <c r="D167" s="114" t="s">
        <v>388</v>
      </c>
      <c r="E167" s="113" t="s">
        <v>67</v>
      </c>
      <c r="F167" s="115">
        <v>643.55999999999995</v>
      </c>
      <c r="G167" s="109"/>
      <c r="H167" s="109"/>
    </row>
    <row r="168" spans="1:8" ht="33.75" x14ac:dyDescent="0.2">
      <c r="A168" s="113" t="s">
        <v>325</v>
      </c>
      <c r="B168" s="113" t="s">
        <v>26</v>
      </c>
      <c r="C168" s="113" t="s">
        <v>593</v>
      </c>
      <c r="D168" s="114" t="s">
        <v>326</v>
      </c>
      <c r="E168" s="113" t="s">
        <v>28</v>
      </c>
      <c r="F168" s="115">
        <v>102.79</v>
      </c>
      <c r="G168" s="109"/>
      <c r="H168" s="109"/>
    </row>
    <row r="169" spans="1:8" ht="33.75" x14ac:dyDescent="0.2">
      <c r="A169" s="113" t="s">
        <v>352</v>
      </c>
      <c r="B169" s="113" t="s">
        <v>26</v>
      </c>
      <c r="C169" s="113" t="s">
        <v>593</v>
      </c>
      <c r="D169" s="114" t="s">
        <v>353</v>
      </c>
      <c r="E169" s="113" t="s">
        <v>67</v>
      </c>
      <c r="F169" s="115">
        <v>281.3</v>
      </c>
      <c r="G169" s="109"/>
      <c r="H169" s="109"/>
    </row>
    <row r="170" spans="1:8" ht="33.75" x14ac:dyDescent="0.2">
      <c r="A170" s="113" t="s">
        <v>346</v>
      </c>
      <c r="B170" s="113" t="s">
        <v>26</v>
      </c>
      <c r="C170" s="113" t="s">
        <v>593</v>
      </c>
      <c r="D170" s="114" t="s">
        <v>347</v>
      </c>
      <c r="E170" s="113" t="s">
        <v>67</v>
      </c>
      <c r="F170" s="115">
        <v>152.88</v>
      </c>
      <c r="G170" s="109"/>
      <c r="H170" s="109"/>
    </row>
    <row r="171" spans="1:8" ht="33.75" x14ac:dyDescent="0.2">
      <c r="A171" s="113" t="s">
        <v>378</v>
      </c>
      <c r="B171" s="113" t="s">
        <v>26</v>
      </c>
      <c r="C171" s="113" t="s">
        <v>593</v>
      </c>
      <c r="D171" s="114" t="s">
        <v>379</v>
      </c>
      <c r="E171" s="113" t="s">
        <v>67</v>
      </c>
      <c r="F171" s="115">
        <v>165.75</v>
      </c>
      <c r="G171" s="109"/>
      <c r="H171" s="109"/>
    </row>
    <row r="172" spans="1:8" ht="22.5" x14ac:dyDescent="0.2">
      <c r="A172" s="113" t="s">
        <v>457</v>
      </c>
      <c r="B172" s="113" t="s">
        <v>26</v>
      </c>
      <c r="C172" s="113" t="s">
        <v>593</v>
      </c>
      <c r="D172" s="114" t="s">
        <v>458</v>
      </c>
      <c r="E172" s="113" t="s">
        <v>28</v>
      </c>
      <c r="F172" s="115">
        <v>9.98</v>
      </c>
      <c r="G172" s="109"/>
      <c r="H172" s="109"/>
    </row>
    <row r="173" spans="1:8" ht="22.5" x14ac:dyDescent="0.2">
      <c r="A173" s="113" t="s">
        <v>1044</v>
      </c>
      <c r="B173" s="113" t="s">
        <v>26</v>
      </c>
      <c r="C173" s="113" t="s">
        <v>593</v>
      </c>
      <c r="D173" s="114" t="s">
        <v>1045</v>
      </c>
      <c r="E173" s="113" t="s">
        <v>67</v>
      </c>
      <c r="F173" s="115">
        <v>24.17</v>
      </c>
      <c r="G173" s="109"/>
      <c r="H173" s="109"/>
    </row>
    <row r="174" spans="1:8" ht="22.5" x14ac:dyDescent="0.2">
      <c r="A174" s="113" t="s">
        <v>460</v>
      </c>
      <c r="B174" s="113" t="s">
        <v>26</v>
      </c>
      <c r="C174" s="113" t="s">
        <v>593</v>
      </c>
      <c r="D174" s="114" t="s">
        <v>461</v>
      </c>
      <c r="E174" s="113" t="s">
        <v>67</v>
      </c>
      <c r="F174" s="115">
        <v>27.16</v>
      </c>
      <c r="G174" s="109"/>
      <c r="H174" s="109"/>
    </row>
    <row r="175" spans="1:8" ht="22.5" x14ac:dyDescent="0.2">
      <c r="A175" s="113" t="s">
        <v>501</v>
      </c>
      <c r="B175" s="113" t="s">
        <v>26</v>
      </c>
      <c r="C175" s="113" t="s">
        <v>593</v>
      </c>
      <c r="D175" s="114" t="s">
        <v>502</v>
      </c>
      <c r="E175" s="113" t="s">
        <v>67</v>
      </c>
      <c r="F175" s="115">
        <v>13.52</v>
      </c>
      <c r="G175" s="109"/>
      <c r="H175" s="109"/>
    </row>
    <row r="176" spans="1:8" x14ac:dyDescent="0.2">
      <c r="A176" s="113" t="s">
        <v>504</v>
      </c>
      <c r="B176" s="113" t="s">
        <v>26</v>
      </c>
      <c r="C176" s="113" t="s">
        <v>593</v>
      </c>
      <c r="D176" s="114" t="s">
        <v>505</v>
      </c>
      <c r="E176" s="113" t="s">
        <v>67</v>
      </c>
      <c r="F176" s="115">
        <v>15.91</v>
      </c>
      <c r="G176" s="109"/>
      <c r="H176" s="109"/>
    </row>
    <row r="177" spans="1:8" ht="22.5" x14ac:dyDescent="0.2">
      <c r="A177" s="113" t="s">
        <v>1023</v>
      </c>
      <c r="B177" s="113" t="s">
        <v>26</v>
      </c>
      <c r="C177" s="113" t="s">
        <v>593</v>
      </c>
      <c r="D177" s="114" t="s">
        <v>1024</v>
      </c>
      <c r="E177" s="113" t="s">
        <v>39</v>
      </c>
      <c r="F177" s="115">
        <v>2846.28</v>
      </c>
      <c r="G177" s="109" t="s">
        <v>1208</v>
      </c>
      <c r="H177" s="109" t="s">
        <v>1208</v>
      </c>
    </row>
    <row r="178" spans="1:8" x14ac:dyDescent="0.2">
      <c r="A178" s="113" t="s">
        <v>761</v>
      </c>
      <c r="B178" s="113" t="s">
        <v>26</v>
      </c>
      <c r="C178" s="113" t="s">
        <v>593</v>
      </c>
      <c r="D178" s="114" t="s">
        <v>762</v>
      </c>
      <c r="E178" s="113" t="s">
        <v>39</v>
      </c>
      <c r="F178" s="115">
        <v>513.91</v>
      </c>
      <c r="G178" s="109" t="s">
        <v>1208</v>
      </c>
      <c r="H178" s="109" t="s">
        <v>1208</v>
      </c>
    </row>
    <row r="179" spans="1:8" ht="22.5" x14ac:dyDescent="0.2">
      <c r="A179" s="113" t="s">
        <v>827</v>
      </c>
      <c r="B179" s="113" t="s">
        <v>26</v>
      </c>
      <c r="C179" s="113" t="s">
        <v>593</v>
      </c>
      <c r="D179" s="114" t="s">
        <v>828</v>
      </c>
      <c r="E179" s="113" t="s">
        <v>39</v>
      </c>
      <c r="F179" s="115">
        <v>176.01</v>
      </c>
      <c r="G179" s="109" t="s">
        <v>1208</v>
      </c>
      <c r="H179" s="109" t="s">
        <v>1208</v>
      </c>
    </row>
    <row r="180" spans="1:8" x14ac:dyDescent="0.2">
      <c r="A180" s="113">
        <v>97051</v>
      </c>
      <c r="B180" s="113" t="s">
        <v>26</v>
      </c>
      <c r="C180" s="113" t="s">
        <v>593</v>
      </c>
      <c r="D180" s="114" t="s">
        <v>27</v>
      </c>
      <c r="E180" s="113" t="s">
        <v>28</v>
      </c>
      <c r="F180" s="115">
        <v>2.65</v>
      </c>
      <c r="G180" s="109" t="s">
        <v>1208</v>
      </c>
      <c r="H180" s="109" t="s">
        <v>1208</v>
      </c>
    </row>
    <row r="181" spans="1:8" x14ac:dyDescent="0.2">
      <c r="A181" s="113" t="s">
        <v>817</v>
      </c>
      <c r="B181" s="113" t="s">
        <v>26</v>
      </c>
      <c r="C181" s="113" t="s">
        <v>593</v>
      </c>
      <c r="D181" s="114" t="s">
        <v>818</v>
      </c>
      <c r="E181" s="113" t="s">
        <v>28</v>
      </c>
      <c r="F181" s="115">
        <v>0.43</v>
      </c>
      <c r="G181" s="109"/>
      <c r="H181" s="109"/>
    </row>
    <row r="182" spans="1:8" ht="22.5" x14ac:dyDescent="0.2">
      <c r="A182" s="113" t="s">
        <v>819</v>
      </c>
      <c r="B182" s="113" t="s">
        <v>26</v>
      </c>
      <c r="C182" s="113" t="s">
        <v>593</v>
      </c>
      <c r="D182" s="114" t="s">
        <v>820</v>
      </c>
      <c r="E182" s="113" t="s">
        <v>607</v>
      </c>
      <c r="F182" s="115">
        <v>46.19</v>
      </c>
      <c r="G182" s="109" t="s">
        <v>1208</v>
      </c>
      <c r="H182" s="109" t="s">
        <v>1208</v>
      </c>
    </row>
    <row r="183" spans="1:8" ht="22.5" x14ac:dyDescent="0.2">
      <c r="A183" s="113">
        <v>97622</v>
      </c>
      <c r="B183" s="113" t="s">
        <v>26</v>
      </c>
      <c r="C183" s="113" t="s">
        <v>593</v>
      </c>
      <c r="D183" s="114" t="s">
        <v>38</v>
      </c>
      <c r="E183" s="113" t="s">
        <v>39</v>
      </c>
      <c r="F183" s="115">
        <v>45.14</v>
      </c>
      <c r="G183" s="109" t="s">
        <v>1208</v>
      </c>
      <c r="H183" s="109" t="s">
        <v>1208</v>
      </c>
    </row>
    <row r="184" spans="1:8" ht="22.5" x14ac:dyDescent="0.2">
      <c r="A184" s="113">
        <v>97632</v>
      </c>
      <c r="B184" s="113" t="s">
        <v>26</v>
      </c>
      <c r="C184" s="113" t="s">
        <v>593</v>
      </c>
      <c r="D184" s="114" t="s">
        <v>41</v>
      </c>
      <c r="E184" s="113" t="s">
        <v>28</v>
      </c>
      <c r="F184" s="115">
        <v>2.08</v>
      </c>
      <c r="G184" s="109" t="s">
        <v>1208</v>
      </c>
      <c r="H184" s="109" t="s">
        <v>1208</v>
      </c>
    </row>
    <row r="185" spans="1:8" ht="22.5" x14ac:dyDescent="0.2">
      <c r="A185" s="113">
        <v>97634</v>
      </c>
      <c r="B185" s="113" t="s">
        <v>26</v>
      </c>
      <c r="C185" s="113" t="s">
        <v>593</v>
      </c>
      <c r="D185" s="114" t="s">
        <v>43</v>
      </c>
      <c r="E185" s="113" t="s">
        <v>32</v>
      </c>
      <c r="F185" s="115">
        <v>9.98</v>
      </c>
      <c r="G185" s="109" t="s">
        <v>1208</v>
      </c>
      <c r="H185" s="109" t="s">
        <v>1208</v>
      </c>
    </row>
    <row r="186" spans="1:8" ht="22.5" x14ac:dyDescent="0.2">
      <c r="A186" s="113" t="s">
        <v>84</v>
      </c>
      <c r="B186" s="113" t="s">
        <v>26</v>
      </c>
      <c r="C186" s="113" t="s">
        <v>593</v>
      </c>
      <c r="D186" s="114" t="s">
        <v>85</v>
      </c>
      <c r="E186" s="113" t="s">
        <v>32</v>
      </c>
      <c r="F186" s="115">
        <v>4.04</v>
      </c>
      <c r="G186" s="109" t="s">
        <v>1208</v>
      </c>
      <c r="H186" s="109" t="s">
        <v>1208</v>
      </c>
    </row>
    <row r="187" spans="1:8" x14ac:dyDescent="0.2">
      <c r="A187" s="113" t="s">
        <v>75</v>
      </c>
      <c r="B187" s="113" t="s">
        <v>26</v>
      </c>
      <c r="C187" s="113" t="s">
        <v>593</v>
      </c>
      <c r="D187" s="114" t="s">
        <v>76</v>
      </c>
      <c r="E187" s="113" t="s">
        <v>32</v>
      </c>
      <c r="F187" s="115">
        <v>7.48</v>
      </c>
      <c r="G187" s="109" t="s">
        <v>1208</v>
      </c>
      <c r="H187" s="109" t="s">
        <v>1208</v>
      </c>
    </row>
    <row r="188" spans="1:8" x14ac:dyDescent="0.2">
      <c r="A188" s="113" t="s">
        <v>65</v>
      </c>
      <c r="B188" s="113" t="s">
        <v>26</v>
      </c>
      <c r="C188" s="113" t="s">
        <v>593</v>
      </c>
      <c r="D188" s="114" t="s">
        <v>66</v>
      </c>
      <c r="E188" s="113" t="s">
        <v>67</v>
      </c>
      <c r="F188" s="115">
        <v>9.91</v>
      </c>
      <c r="G188" s="109" t="s">
        <v>1208</v>
      </c>
      <c r="H188" s="109" t="s">
        <v>1208</v>
      </c>
    </row>
    <row r="189" spans="1:8" x14ac:dyDescent="0.2">
      <c r="A189" s="113" t="s">
        <v>72</v>
      </c>
      <c r="B189" s="113" t="s">
        <v>26</v>
      </c>
      <c r="C189" s="113" t="s">
        <v>593</v>
      </c>
      <c r="D189" s="114" t="s">
        <v>73</v>
      </c>
      <c r="E189" s="113" t="s">
        <v>67</v>
      </c>
      <c r="F189" s="115">
        <v>1.03</v>
      </c>
      <c r="G189" s="109" t="s">
        <v>1208</v>
      </c>
      <c r="H189" s="109" t="s">
        <v>1208</v>
      </c>
    </row>
    <row r="190" spans="1:8" ht="22.5" x14ac:dyDescent="0.2">
      <c r="A190" s="113" t="s">
        <v>69</v>
      </c>
      <c r="B190" s="113" t="s">
        <v>26</v>
      </c>
      <c r="C190" s="113" t="s">
        <v>593</v>
      </c>
      <c r="D190" s="114" t="s">
        <v>70</v>
      </c>
      <c r="E190" s="113" t="s">
        <v>67</v>
      </c>
      <c r="F190" s="115">
        <v>7.22</v>
      </c>
      <c r="G190" s="109" t="s">
        <v>1208</v>
      </c>
      <c r="H190" s="109" t="s">
        <v>1208</v>
      </c>
    </row>
    <row r="191" spans="1:8" ht="22.5" x14ac:dyDescent="0.2">
      <c r="A191" s="113" t="s">
        <v>1081</v>
      </c>
      <c r="B191" s="113" t="s">
        <v>26</v>
      </c>
      <c r="C191" s="113" t="s">
        <v>593</v>
      </c>
      <c r="D191" s="114" t="s">
        <v>1082</v>
      </c>
      <c r="E191" s="113" t="s">
        <v>1083</v>
      </c>
      <c r="F191" s="115">
        <v>0.77</v>
      </c>
      <c r="G191" s="109" t="s">
        <v>1208</v>
      </c>
      <c r="H191" s="109" t="s">
        <v>1208</v>
      </c>
    </row>
    <row r="192" spans="1:8" ht="22.5" x14ac:dyDescent="0.2">
      <c r="A192" s="113" t="s">
        <v>423</v>
      </c>
      <c r="B192" s="113" t="s">
        <v>26</v>
      </c>
      <c r="C192" s="113" t="s">
        <v>593</v>
      </c>
      <c r="D192" s="114" t="s">
        <v>424</v>
      </c>
      <c r="E192" s="113" t="s">
        <v>67</v>
      </c>
      <c r="F192" s="115">
        <v>619.48</v>
      </c>
      <c r="G192" s="109"/>
      <c r="H192" s="109"/>
    </row>
    <row r="193" spans="1:8" ht="22.5" x14ac:dyDescent="0.2">
      <c r="A193" s="113" t="s">
        <v>202</v>
      </c>
      <c r="B193" s="113" t="s">
        <v>26</v>
      </c>
      <c r="C193" s="113" t="s">
        <v>593</v>
      </c>
      <c r="D193" s="114" t="s">
        <v>203</v>
      </c>
      <c r="E193" s="113" t="s">
        <v>32</v>
      </c>
      <c r="F193" s="115">
        <v>23.58</v>
      </c>
      <c r="G193" s="109"/>
      <c r="H193" s="109"/>
    </row>
    <row r="194" spans="1:8" x14ac:dyDescent="0.2">
      <c r="A194" s="113" t="s">
        <v>210</v>
      </c>
      <c r="B194" s="113" t="s">
        <v>26</v>
      </c>
      <c r="C194" s="113" t="s">
        <v>593</v>
      </c>
      <c r="D194" s="114" t="s">
        <v>211</v>
      </c>
      <c r="E194" s="113" t="s">
        <v>28</v>
      </c>
      <c r="F194" s="115">
        <v>100.49</v>
      </c>
      <c r="G194" s="109"/>
      <c r="H194" s="109"/>
    </row>
    <row r="195" spans="1:8" ht="22.5" x14ac:dyDescent="0.2">
      <c r="A195" s="113" t="s">
        <v>568</v>
      </c>
      <c r="B195" s="113" t="s">
        <v>26</v>
      </c>
      <c r="C195" s="113" t="s">
        <v>593</v>
      </c>
      <c r="D195" s="114" t="s">
        <v>569</v>
      </c>
      <c r="E195" s="113" t="s">
        <v>32</v>
      </c>
      <c r="F195" s="115">
        <v>8.67</v>
      </c>
      <c r="G195" s="109" t="s">
        <v>1208</v>
      </c>
      <c r="H195" s="109" t="s">
        <v>1208</v>
      </c>
    </row>
    <row r="196" spans="1:8" x14ac:dyDescent="0.2">
      <c r="A196" s="113" t="s">
        <v>565</v>
      </c>
      <c r="B196" s="113" t="s">
        <v>26</v>
      </c>
      <c r="C196" s="113" t="s">
        <v>593</v>
      </c>
      <c r="D196" s="114" t="s">
        <v>566</v>
      </c>
      <c r="E196" s="113" t="s">
        <v>32</v>
      </c>
      <c r="F196" s="115">
        <v>0.68</v>
      </c>
      <c r="G196" s="109" t="s">
        <v>1208</v>
      </c>
      <c r="H196" s="109" t="s">
        <v>1208</v>
      </c>
    </row>
    <row r="197" spans="1:8" x14ac:dyDescent="0.2">
      <c r="A197" s="113">
        <v>99811</v>
      </c>
      <c r="B197" s="113" t="s">
        <v>26</v>
      </c>
      <c r="C197" s="113" t="s">
        <v>593</v>
      </c>
      <c r="D197" s="114" t="s">
        <v>563</v>
      </c>
      <c r="E197" s="113" t="s">
        <v>32</v>
      </c>
      <c r="F197" s="115">
        <v>2.83</v>
      </c>
      <c r="G197" s="109" t="s">
        <v>1208</v>
      </c>
      <c r="H197" s="109" t="s">
        <v>1208</v>
      </c>
    </row>
    <row r="198" spans="1:8" x14ac:dyDescent="0.2">
      <c r="A198" s="113" t="s">
        <v>1055</v>
      </c>
      <c r="B198" s="113" t="s">
        <v>26</v>
      </c>
      <c r="C198" s="113" t="s">
        <v>593</v>
      </c>
      <c r="D198" s="114" t="s">
        <v>1056</v>
      </c>
      <c r="E198" s="113" t="s">
        <v>584</v>
      </c>
      <c r="F198" s="115">
        <v>22.43</v>
      </c>
      <c r="G198" s="109" t="s">
        <v>1208</v>
      </c>
      <c r="H198" s="109" t="s">
        <v>1208</v>
      </c>
    </row>
    <row r="199" spans="1:8" ht="33.75" x14ac:dyDescent="0.2">
      <c r="A199" s="113" t="s">
        <v>765</v>
      </c>
      <c r="B199" s="113" t="s">
        <v>26</v>
      </c>
      <c r="C199" s="113" t="s">
        <v>593</v>
      </c>
      <c r="D199" s="114" t="s">
        <v>766</v>
      </c>
      <c r="E199" s="113" t="s">
        <v>32</v>
      </c>
      <c r="F199" s="115">
        <v>20.39</v>
      </c>
      <c r="G199" s="109"/>
      <c r="H199" s="109"/>
    </row>
    <row r="200" spans="1:8" ht="33.75" x14ac:dyDescent="0.2">
      <c r="A200" s="113" t="s">
        <v>191</v>
      </c>
      <c r="B200" s="113" t="s">
        <v>26</v>
      </c>
      <c r="C200" s="113" t="s">
        <v>593</v>
      </c>
      <c r="D200" s="114" t="s">
        <v>192</v>
      </c>
      <c r="E200" s="113" t="s">
        <v>32</v>
      </c>
      <c r="F200" s="115">
        <v>20.100000000000001</v>
      </c>
      <c r="G200" s="109"/>
      <c r="H200" s="109"/>
    </row>
    <row r="201" spans="1:8" ht="33.75" x14ac:dyDescent="0.2">
      <c r="A201" s="113" t="s">
        <v>767</v>
      </c>
      <c r="B201" s="113" t="s">
        <v>26</v>
      </c>
      <c r="C201" s="113" t="s">
        <v>593</v>
      </c>
      <c r="D201" s="114" t="s">
        <v>768</v>
      </c>
      <c r="E201" s="113" t="s">
        <v>32</v>
      </c>
      <c r="F201" s="115">
        <v>40.24</v>
      </c>
      <c r="G201" s="109"/>
      <c r="H201" s="109"/>
    </row>
    <row r="202" spans="1:8" ht="33.75" x14ac:dyDescent="0.2">
      <c r="A202" s="113" t="s">
        <v>188</v>
      </c>
      <c r="B202" s="113" t="s">
        <v>26</v>
      </c>
      <c r="C202" s="113" t="s">
        <v>593</v>
      </c>
      <c r="D202" s="114" t="s">
        <v>189</v>
      </c>
      <c r="E202" s="113" t="s">
        <v>32</v>
      </c>
      <c r="F202" s="115">
        <v>41.04</v>
      </c>
      <c r="G202" s="109"/>
      <c r="H202" s="109"/>
    </row>
    <row r="203" spans="1:8" ht="22.5" x14ac:dyDescent="0.2">
      <c r="A203" s="113" t="s">
        <v>892</v>
      </c>
      <c r="B203" s="113" t="s">
        <v>26</v>
      </c>
      <c r="C203" s="113" t="s">
        <v>593</v>
      </c>
      <c r="D203" s="114" t="s">
        <v>893</v>
      </c>
      <c r="E203" s="113" t="s">
        <v>67</v>
      </c>
      <c r="F203" s="115">
        <v>551.76</v>
      </c>
      <c r="G203" s="109"/>
      <c r="H203" s="109"/>
    </row>
    <row r="204" spans="1:8" ht="22.5" x14ac:dyDescent="0.2">
      <c r="A204" s="113" t="s">
        <v>275</v>
      </c>
      <c r="B204" s="113" t="s">
        <v>26</v>
      </c>
      <c r="C204" s="113" t="s">
        <v>593</v>
      </c>
      <c r="D204" s="114" t="s">
        <v>276</v>
      </c>
      <c r="E204" s="113" t="s">
        <v>67</v>
      </c>
      <c r="F204" s="115">
        <v>76.19</v>
      </c>
      <c r="G204" s="109"/>
      <c r="H204" s="109"/>
    </row>
    <row r="205" spans="1:8" ht="22.5" x14ac:dyDescent="0.2">
      <c r="A205" s="113" t="s">
        <v>272</v>
      </c>
      <c r="B205" s="113" t="s">
        <v>26</v>
      </c>
      <c r="C205" s="113" t="s">
        <v>593</v>
      </c>
      <c r="D205" s="114" t="s">
        <v>273</v>
      </c>
      <c r="E205" s="113" t="s">
        <v>67</v>
      </c>
      <c r="F205" s="115">
        <v>464.71</v>
      </c>
      <c r="G205" s="109"/>
      <c r="H205" s="109"/>
    </row>
    <row r="206" spans="1:8" ht="22.5" x14ac:dyDescent="0.2">
      <c r="A206" s="113" t="s">
        <v>1019</v>
      </c>
      <c r="B206" s="113" t="s">
        <v>26</v>
      </c>
      <c r="C206" s="113" t="s">
        <v>593</v>
      </c>
      <c r="D206" s="114" t="s">
        <v>1020</v>
      </c>
      <c r="E206" s="113" t="s">
        <v>32</v>
      </c>
      <c r="F206" s="115">
        <v>124.16</v>
      </c>
      <c r="G206" s="109" t="s">
        <v>1208</v>
      </c>
      <c r="H206" s="109" t="s">
        <v>1208</v>
      </c>
    </row>
    <row r="207" spans="1:8" x14ac:dyDescent="0.2">
      <c r="A207" s="113" t="s">
        <v>197</v>
      </c>
      <c r="B207" s="113" t="s">
        <v>26</v>
      </c>
      <c r="C207" s="113" t="s">
        <v>593</v>
      </c>
      <c r="D207" s="114" t="s">
        <v>198</v>
      </c>
      <c r="E207" s="113" t="s">
        <v>32</v>
      </c>
      <c r="F207" s="115">
        <v>15.06</v>
      </c>
      <c r="G207" s="109"/>
      <c r="H207" s="109"/>
    </row>
    <row r="208" spans="1:8" x14ac:dyDescent="0.2">
      <c r="A208" s="113" t="s">
        <v>874</v>
      </c>
      <c r="B208" s="113" t="s">
        <v>16</v>
      </c>
      <c r="C208" s="113" t="s">
        <v>594</v>
      </c>
      <c r="D208" s="114" t="s">
        <v>875</v>
      </c>
      <c r="E208" s="113" t="s">
        <v>110</v>
      </c>
      <c r="F208" s="115">
        <v>154.38999999999999</v>
      </c>
      <c r="G208" s="109"/>
      <c r="H208" s="109"/>
    </row>
    <row r="209" spans="1:8" ht="22.5" x14ac:dyDescent="0.2">
      <c r="A209" s="113" t="s">
        <v>1063</v>
      </c>
      <c r="B209" s="113" t="s">
        <v>16</v>
      </c>
      <c r="C209" s="113" t="s">
        <v>594</v>
      </c>
      <c r="D209" s="114" t="s">
        <v>1064</v>
      </c>
      <c r="E209" s="113" t="s">
        <v>110</v>
      </c>
      <c r="F209" s="115" t="s">
        <v>1129</v>
      </c>
      <c r="G209" s="109"/>
      <c r="H209" s="109"/>
    </row>
    <row r="210" spans="1:8" x14ac:dyDescent="0.2">
      <c r="A210" s="113" t="s">
        <v>829</v>
      </c>
      <c r="B210" s="113" t="s">
        <v>16</v>
      </c>
      <c r="C210" s="113" t="s">
        <v>594</v>
      </c>
      <c r="D210" s="114" t="s">
        <v>830</v>
      </c>
      <c r="E210" s="113" t="s">
        <v>32</v>
      </c>
      <c r="F210" s="115">
        <v>74.760000000000005</v>
      </c>
      <c r="G210" s="109"/>
      <c r="H210" s="109"/>
    </row>
    <row r="211" spans="1:8" ht="22.5" x14ac:dyDescent="0.2">
      <c r="A211" s="113" t="s">
        <v>951</v>
      </c>
      <c r="B211" s="113" t="s">
        <v>16</v>
      </c>
      <c r="C211" s="113" t="s">
        <v>594</v>
      </c>
      <c r="D211" s="114" t="s">
        <v>952</v>
      </c>
      <c r="E211" s="113" t="s">
        <v>110</v>
      </c>
      <c r="F211" s="115" t="s">
        <v>1137</v>
      </c>
      <c r="G211" s="109"/>
      <c r="H211" s="109"/>
    </row>
    <row r="212" spans="1:8" ht="22.5" x14ac:dyDescent="0.2">
      <c r="A212" s="113" t="s">
        <v>780</v>
      </c>
      <c r="B212" s="113" t="s">
        <v>16</v>
      </c>
      <c r="C212" s="113" t="s">
        <v>594</v>
      </c>
      <c r="D212" s="114" t="s">
        <v>781</v>
      </c>
      <c r="E212" s="113" t="s">
        <v>110</v>
      </c>
      <c r="F212" s="115">
        <v>52.9</v>
      </c>
      <c r="G212" s="109"/>
      <c r="H212" s="109"/>
    </row>
    <row r="213" spans="1:8" x14ac:dyDescent="0.2">
      <c r="A213" s="113" t="s">
        <v>882</v>
      </c>
      <c r="B213" s="113" t="s">
        <v>16</v>
      </c>
      <c r="C213" s="113" t="s">
        <v>594</v>
      </c>
      <c r="D213" s="114" t="s">
        <v>883</v>
      </c>
      <c r="E213" s="113" t="s">
        <v>110</v>
      </c>
      <c r="F213" s="115" t="s">
        <v>1098</v>
      </c>
      <c r="G213" s="109"/>
      <c r="H213" s="109"/>
    </row>
    <row r="214" spans="1:8" ht="22.5" x14ac:dyDescent="0.2">
      <c r="A214" s="113" t="s">
        <v>906</v>
      </c>
      <c r="B214" s="113" t="s">
        <v>16</v>
      </c>
      <c r="C214" s="113" t="s">
        <v>594</v>
      </c>
      <c r="D214" s="114" t="s">
        <v>907</v>
      </c>
      <c r="E214" s="113" t="s">
        <v>110</v>
      </c>
      <c r="F214" s="115">
        <v>254.5</v>
      </c>
      <c r="G214" s="109"/>
      <c r="H214" s="109"/>
    </row>
    <row r="215" spans="1:8" x14ac:dyDescent="0.2">
      <c r="A215" s="113" t="s">
        <v>902</v>
      </c>
      <c r="B215" s="113" t="s">
        <v>16</v>
      </c>
      <c r="C215" s="113" t="s">
        <v>594</v>
      </c>
      <c r="D215" s="114" t="s">
        <v>903</v>
      </c>
      <c r="E215" s="113" t="s">
        <v>110</v>
      </c>
      <c r="F215" s="115" t="s">
        <v>1096</v>
      </c>
      <c r="G215" s="109"/>
      <c r="H215" s="109"/>
    </row>
    <row r="216" spans="1:8" x14ac:dyDescent="0.2">
      <c r="A216" s="113" t="s">
        <v>904</v>
      </c>
      <c r="B216" s="113" t="s">
        <v>16</v>
      </c>
      <c r="C216" s="113" t="s">
        <v>594</v>
      </c>
      <c r="D216" s="114" t="s">
        <v>905</v>
      </c>
      <c r="E216" s="113" t="s">
        <v>110</v>
      </c>
      <c r="F216" s="115">
        <v>60.92</v>
      </c>
      <c r="G216" s="109"/>
      <c r="H216" s="109"/>
    </row>
    <row r="217" spans="1:8" x14ac:dyDescent="0.2">
      <c r="A217" s="113" t="s">
        <v>870</v>
      </c>
      <c r="B217" s="113" t="s">
        <v>16</v>
      </c>
      <c r="C217" s="113" t="s">
        <v>594</v>
      </c>
      <c r="D217" s="114" t="s">
        <v>871</v>
      </c>
      <c r="E217" s="113" t="s">
        <v>110</v>
      </c>
      <c r="F217" s="115" t="s">
        <v>1091</v>
      </c>
      <c r="G217" s="109"/>
      <c r="H217" s="109"/>
    </row>
    <row r="218" spans="1:8" ht="22.5" x14ac:dyDescent="0.2">
      <c r="A218" s="113" t="s">
        <v>914</v>
      </c>
      <c r="B218" s="113" t="s">
        <v>16</v>
      </c>
      <c r="C218" s="113" t="s">
        <v>594</v>
      </c>
      <c r="D218" s="114" t="s">
        <v>915</v>
      </c>
      <c r="E218" s="113" t="s">
        <v>110</v>
      </c>
      <c r="F218" s="115">
        <v>409.95</v>
      </c>
      <c r="G218" s="109"/>
      <c r="H218" s="109"/>
    </row>
    <row r="219" spans="1:8" x14ac:dyDescent="0.2">
      <c r="A219" s="113" t="s">
        <v>900</v>
      </c>
      <c r="B219" s="113" t="s">
        <v>16</v>
      </c>
      <c r="C219" s="113" t="s">
        <v>594</v>
      </c>
      <c r="D219" s="114" t="s">
        <v>901</v>
      </c>
      <c r="E219" s="113" t="s">
        <v>110</v>
      </c>
      <c r="F219" s="115" t="s">
        <v>1092</v>
      </c>
      <c r="G219" s="109"/>
      <c r="H219" s="109"/>
    </row>
    <row r="220" spans="1:8" ht="22.5" x14ac:dyDescent="0.2">
      <c r="A220" s="113" t="s">
        <v>963</v>
      </c>
      <c r="B220" s="113" t="s">
        <v>16</v>
      </c>
      <c r="C220" s="113" t="s">
        <v>594</v>
      </c>
      <c r="D220" s="114" t="s">
        <v>964</v>
      </c>
      <c r="E220" s="113" t="s">
        <v>110</v>
      </c>
      <c r="F220" s="115">
        <v>312.01</v>
      </c>
      <c r="G220" s="109"/>
      <c r="H220" s="109"/>
    </row>
    <row r="221" spans="1:8" x14ac:dyDescent="0.2">
      <c r="A221" s="113" t="s">
        <v>969</v>
      </c>
      <c r="B221" s="113" t="s">
        <v>16</v>
      </c>
      <c r="C221" s="113" t="s">
        <v>594</v>
      </c>
      <c r="D221" s="114" t="s">
        <v>970</v>
      </c>
      <c r="E221" s="113" t="s">
        <v>110</v>
      </c>
      <c r="F221" s="115" t="s">
        <v>1127</v>
      </c>
      <c r="G221" s="109"/>
      <c r="H221" s="109"/>
    </row>
    <row r="222" spans="1:8" ht="22.5" x14ac:dyDescent="0.2">
      <c r="A222" s="113" t="s">
        <v>961</v>
      </c>
      <c r="B222" s="113" t="s">
        <v>16</v>
      </c>
      <c r="C222" s="113" t="s">
        <v>594</v>
      </c>
      <c r="D222" s="114" t="s">
        <v>962</v>
      </c>
      <c r="E222" s="113" t="s">
        <v>110</v>
      </c>
      <c r="F222" s="115">
        <v>411.61</v>
      </c>
      <c r="G222" s="109"/>
      <c r="H222" s="109"/>
    </row>
    <row r="223" spans="1:8" x14ac:dyDescent="0.2">
      <c r="A223" s="113" t="s">
        <v>955</v>
      </c>
      <c r="B223" s="113" t="s">
        <v>16</v>
      </c>
      <c r="C223" s="113" t="s">
        <v>594</v>
      </c>
      <c r="D223" s="114" t="s">
        <v>956</v>
      </c>
      <c r="E223" s="113" t="s">
        <v>110</v>
      </c>
      <c r="F223" s="115">
        <v>112.51</v>
      </c>
      <c r="G223" s="109"/>
      <c r="H223" s="109"/>
    </row>
    <row r="224" spans="1:8" x14ac:dyDescent="0.2">
      <c r="A224" s="113" t="s">
        <v>957</v>
      </c>
      <c r="B224" s="113" t="s">
        <v>16</v>
      </c>
      <c r="C224" s="113" t="s">
        <v>594</v>
      </c>
      <c r="D224" s="114" t="s">
        <v>958</v>
      </c>
      <c r="E224" s="113" t="s">
        <v>110</v>
      </c>
      <c r="F224" s="115" t="s">
        <v>1131</v>
      </c>
      <c r="G224" s="109"/>
      <c r="H224" s="109"/>
    </row>
    <row r="225" spans="1:8" ht="22.5" x14ac:dyDescent="0.2">
      <c r="A225" s="113" t="s">
        <v>920</v>
      </c>
      <c r="B225" s="113" t="s">
        <v>16</v>
      </c>
      <c r="C225" s="113" t="s">
        <v>594</v>
      </c>
      <c r="D225" s="114" t="s">
        <v>921</v>
      </c>
      <c r="E225" s="113" t="s">
        <v>110</v>
      </c>
      <c r="F225" s="115">
        <v>135.93</v>
      </c>
      <c r="G225" s="109"/>
      <c r="H225" s="109"/>
    </row>
    <row r="226" spans="1:8" x14ac:dyDescent="0.2">
      <c r="A226" s="113" t="s">
        <v>940</v>
      </c>
      <c r="B226" s="113" t="s">
        <v>16</v>
      </c>
      <c r="C226" s="113" t="s">
        <v>594</v>
      </c>
      <c r="D226" s="114" t="s">
        <v>941</v>
      </c>
      <c r="E226" s="113" t="s">
        <v>942</v>
      </c>
      <c r="F226" s="115" t="s">
        <v>1119</v>
      </c>
      <c r="G226" s="109"/>
      <c r="H226" s="109"/>
    </row>
    <row r="227" spans="1:8" ht="33.75" x14ac:dyDescent="0.2">
      <c r="A227" s="113" t="s">
        <v>757</v>
      </c>
      <c r="B227" s="113" t="s">
        <v>16</v>
      </c>
      <c r="C227" s="113" t="s">
        <v>594</v>
      </c>
      <c r="D227" s="114" t="s">
        <v>758</v>
      </c>
      <c r="E227" s="113" t="s">
        <v>32</v>
      </c>
      <c r="F227" s="115">
        <v>1215.6300000000001</v>
      </c>
      <c r="G227" s="109"/>
      <c r="H227" s="109"/>
    </row>
    <row r="228" spans="1:8" ht="22.5" x14ac:dyDescent="0.2">
      <c r="A228" s="113" t="s">
        <v>894</v>
      </c>
      <c r="B228" s="113" t="s">
        <v>16</v>
      </c>
      <c r="C228" s="113" t="s">
        <v>594</v>
      </c>
      <c r="D228" s="114" t="s">
        <v>895</v>
      </c>
      <c r="E228" s="113" t="s">
        <v>110</v>
      </c>
      <c r="F228" s="115" t="s">
        <v>1093</v>
      </c>
      <c r="G228" s="109"/>
      <c r="H228" s="109"/>
    </row>
    <row r="229" spans="1:8" ht="22.5" x14ac:dyDescent="0.2">
      <c r="A229" s="113" t="s">
        <v>774</v>
      </c>
      <c r="B229" s="113" t="s">
        <v>16</v>
      </c>
      <c r="C229" s="113" t="s">
        <v>594</v>
      </c>
      <c r="D229" s="114" t="s">
        <v>775</v>
      </c>
      <c r="E229" s="113" t="s">
        <v>32</v>
      </c>
      <c r="F229" s="115">
        <v>76.540000000000006</v>
      </c>
      <c r="G229" s="109"/>
      <c r="H229" s="109"/>
    </row>
    <row r="230" spans="1:8" x14ac:dyDescent="0.2">
      <c r="A230" s="113" t="s">
        <v>1050</v>
      </c>
      <c r="B230" s="113" t="s">
        <v>16</v>
      </c>
      <c r="C230" s="113" t="s">
        <v>594</v>
      </c>
      <c r="D230" s="114" t="s">
        <v>1051</v>
      </c>
      <c r="E230" s="113" t="s">
        <v>110</v>
      </c>
      <c r="F230" s="115" t="s">
        <v>1120</v>
      </c>
      <c r="G230" s="109"/>
      <c r="H230" s="109"/>
    </row>
    <row r="231" spans="1:8" ht="33.75" x14ac:dyDescent="0.2">
      <c r="A231" s="113" t="s">
        <v>633</v>
      </c>
      <c r="B231" s="113" t="s">
        <v>16</v>
      </c>
      <c r="C231" s="113" t="s">
        <v>594</v>
      </c>
      <c r="D231" s="114" t="s">
        <v>634</v>
      </c>
      <c r="E231" s="113" t="s">
        <v>32</v>
      </c>
      <c r="F231" s="115">
        <v>88.95</v>
      </c>
      <c r="G231" s="109"/>
      <c r="H231" s="109"/>
    </row>
    <row r="232" spans="1:8" ht="22.5" x14ac:dyDescent="0.2">
      <c r="A232" s="113" t="s">
        <v>928</v>
      </c>
      <c r="B232" s="113" t="s">
        <v>16</v>
      </c>
      <c r="C232" s="113" t="s">
        <v>594</v>
      </c>
      <c r="D232" s="114" t="s">
        <v>929</v>
      </c>
      <c r="E232" s="113" t="s">
        <v>110</v>
      </c>
      <c r="F232" s="115">
        <v>78.11</v>
      </c>
      <c r="G232" s="109"/>
      <c r="H232" s="109"/>
    </row>
    <row r="233" spans="1:8" ht="22.5" x14ac:dyDescent="0.2">
      <c r="A233" s="113" t="s">
        <v>926</v>
      </c>
      <c r="B233" s="113" t="s">
        <v>16</v>
      </c>
      <c r="C233" s="113" t="s">
        <v>594</v>
      </c>
      <c r="D233" s="114" t="s">
        <v>927</v>
      </c>
      <c r="E233" s="113" t="s">
        <v>110</v>
      </c>
      <c r="F233" s="115" t="s">
        <v>1106</v>
      </c>
      <c r="G233" s="109"/>
      <c r="H233" s="109"/>
    </row>
    <row r="234" spans="1:8" x14ac:dyDescent="0.2">
      <c r="A234" s="113" t="s">
        <v>839</v>
      </c>
      <c r="B234" s="113" t="s">
        <v>16</v>
      </c>
      <c r="C234" s="113" t="s">
        <v>594</v>
      </c>
      <c r="D234" s="114" t="s">
        <v>840</v>
      </c>
      <c r="E234" s="113" t="s">
        <v>32</v>
      </c>
      <c r="F234" s="115">
        <v>69.77</v>
      </c>
      <c r="G234" s="109"/>
      <c r="H234" s="109"/>
    </row>
    <row r="235" spans="1:8" x14ac:dyDescent="0.2">
      <c r="A235" s="113" t="s">
        <v>595</v>
      </c>
      <c r="B235" s="113" t="s">
        <v>16</v>
      </c>
      <c r="C235" s="113" t="s">
        <v>594</v>
      </c>
      <c r="D235" s="114" t="s">
        <v>596</v>
      </c>
      <c r="E235" s="113" t="s">
        <v>18</v>
      </c>
      <c r="F235" s="115" t="s">
        <v>723</v>
      </c>
      <c r="G235" s="109"/>
      <c r="H235" s="109"/>
    </row>
    <row r="236" spans="1:8" x14ac:dyDescent="0.2">
      <c r="A236" s="113" t="s">
        <v>872</v>
      </c>
      <c r="B236" s="113" t="s">
        <v>16</v>
      </c>
      <c r="C236" s="113" t="s">
        <v>594</v>
      </c>
      <c r="D236" s="114" t="s">
        <v>873</v>
      </c>
      <c r="E236" s="113" t="s">
        <v>110</v>
      </c>
      <c r="F236" s="115">
        <v>35.75</v>
      </c>
      <c r="G236" s="109"/>
      <c r="H236" s="109"/>
    </row>
    <row r="237" spans="1:8" ht="22.5" x14ac:dyDescent="0.2">
      <c r="A237" s="113" t="s">
        <v>967</v>
      </c>
      <c r="B237" s="113" t="s">
        <v>16</v>
      </c>
      <c r="C237" s="113" t="s">
        <v>594</v>
      </c>
      <c r="D237" s="114" t="s">
        <v>968</v>
      </c>
      <c r="E237" s="113" t="s">
        <v>110</v>
      </c>
      <c r="F237" s="115">
        <v>377.9</v>
      </c>
      <c r="G237" s="109"/>
      <c r="H237" s="109"/>
    </row>
    <row r="238" spans="1:8" ht="22.5" x14ac:dyDescent="0.2">
      <c r="A238" s="113" t="s">
        <v>778</v>
      </c>
      <c r="B238" s="113" t="s">
        <v>16</v>
      </c>
      <c r="C238" s="113" t="s">
        <v>594</v>
      </c>
      <c r="D238" s="114" t="s">
        <v>779</v>
      </c>
      <c r="E238" s="113" t="s">
        <v>110</v>
      </c>
      <c r="F238" s="115" t="s">
        <v>1094</v>
      </c>
      <c r="G238" s="109"/>
      <c r="H238" s="109"/>
    </row>
    <row r="239" spans="1:8" x14ac:dyDescent="0.2">
      <c r="A239" s="113" t="s">
        <v>1015</v>
      </c>
      <c r="B239" s="113" t="s">
        <v>16</v>
      </c>
      <c r="C239" s="113" t="s">
        <v>594</v>
      </c>
      <c r="D239" s="114" t="s">
        <v>1016</v>
      </c>
      <c r="E239" s="113" t="s">
        <v>110</v>
      </c>
      <c r="F239" s="115">
        <v>14.47</v>
      </c>
      <c r="G239" s="109"/>
      <c r="H239" s="109"/>
    </row>
    <row r="240" spans="1:8" ht="22.5" x14ac:dyDescent="0.2">
      <c r="A240" s="113" t="s">
        <v>863</v>
      </c>
      <c r="B240" s="113" t="s">
        <v>16</v>
      </c>
      <c r="C240" s="113" t="s">
        <v>594</v>
      </c>
      <c r="D240" s="114" t="s">
        <v>222</v>
      </c>
      <c r="E240" s="113" t="s">
        <v>110</v>
      </c>
      <c r="F240" s="115" t="s">
        <v>1124</v>
      </c>
      <c r="G240" s="109"/>
      <c r="H240" s="109"/>
    </row>
    <row r="241" spans="1:8" x14ac:dyDescent="0.2">
      <c r="A241" s="113" t="s">
        <v>910</v>
      </c>
      <c r="B241" s="113" t="s">
        <v>16</v>
      </c>
      <c r="C241" s="113" t="s">
        <v>594</v>
      </c>
      <c r="D241" s="114" t="s">
        <v>911</v>
      </c>
      <c r="E241" s="113" t="s">
        <v>110</v>
      </c>
      <c r="F241" s="115">
        <v>466.61</v>
      </c>
      <c r="G241" s="109"/>
      <c r="H241" s="109"/>
    </row>
    <row r="242" spans="1:8" ht="67.5" x14ac:dyDescent="0.2">
      <c r="A242" s="113" t="s">
        <v>1075</v>
      </c>
      <c r="B242" s="113" t="s">
        <v>16</v>
      </c>
      <c r="C242" s="113" t="s">
        <v>594</v>
      </c>
      <c r="D242" s="114" t="s">
        <v>1076</v>
      </c>
      <c r="E242" s="113" t="s">
        <v>110</v>
      </c>
      <c r="F242" s="115" t="s">
        <v>1108</v>
      </c>
      <c r="G242" s="109"/>
      <c r="H242" s="109"/>
    </row>
    <row r="243" spans="1:8" ht="67.5" x14ac:dyDescent="0.2">
      <c r="A243" s="113" t="s">
        <v>1069</v>
      </c>
      <c r="B243" s="113" t="s">
        <v>16</v>
      </c>
      <c r="C243" s="113" t="s">
        <v>594</v>
      </c>
      <c r="D243" s="114" t="s">
        <v>1070</v>
      </c>
      <c r="E243" s="113" t="s">
        <v>110</v>
      </c>
      <c r="F243" s="115">
        <v>2194.1799999999998</v>
      </c>
      <c r="G243" s="109"/>
      <c r="H243" s="109"/>
    </row>
    <row r="244" spans="1:8" ht="22.5" x14ac:dyDescent="0.2">
      <c r="A244" s="113" t="s">
        <v>799</v>
      </c>
      <c r="B244" s="113" t="s">
        <v>16</v>
      </c>
      <c r="C244" s="113" t="s">
        <v>594</v>
      </c>
      <c r="D244" s="114" t="s">
        <v>800</v>
      </c>
      <c r="E244" s="113" t="s">
        <v>32</v>
      </c>
      <c r="F244" s="115" t="s">
        <v>1086</v>
      </c>
      <c r="G244" s="109"/>
      <c r="H244" s="109"/>
    </row>
    <row r="245" spans="1:8" ht="22.5" x14ac:dyDescent="0.2">
      <c r="A245" s="113" t="s">
        <v>803</v>
      </c>
      <c r="B245" s="113" t="s">
        <v>16</v>
      </c>
      <c r="C245" s="113" t="s">
        <v>594</v>
      </c>
      <c r="D245" s="114" t="s">
        <v>804</v>
      </c>
      <c r="E245" s="113" t="s">
        <v>32</v>
      </c>
      <c r="F245" s="115">
        <v>103.44</v>
      </c>
      <c r="G245" s="109"/>
      <c r="H245" s="109"/>
    </row>
    <row r="246" spans="1:8" x14ac:dyDescent="0.2">
      <c r="A246" s="113" t="s">
        <v>823</v>
      </c>
      <c r="B246" s="113" t="s">
        <v>16</v>
      </c>
      <c r="C246" s="113" t="s">
        <v>594</v>
      </c>
      <c r="D246" s="114" t="s">
        <v>824</v>
      </c>
      <c r="E246" s="113" t="s">
        <v>104</v>
      </c>
      <c r="F246" s="115" t="s">
        <v>1113</v>
      </c>
      <c r="G246" s="109"/>
      <c r="H246" s="109"/>
    </row>
    <row r="247" spans="1:8" x14ac:dyDescent="0.2">
      <c r="A247" s="113" t="s">
        <v>953</v>
      </c>
      <c r="B247" s="113" t="s">
        <v>16</v>
      </c>
      <c r="C247" s="113" t="s">
        <v>594</v>
      </c>
      <c r="D247" s="114" t="s">
        <v>954</v>
      </c>
      <c r="E247" s="113" t="s">
        <v>110</v>
      </c>
      <c r="F247" s="115">
        <v>12.14</v>
      </c>
      <c r="G247" s="109"/>
      <c r="H247" s="109"/>
    </row>
    <row r="248" spans="1:8" ht="22.5" x14ac:dyDescent="0.2">
      <c r="A248" s="113" t="s">
        <v>932</v>
      </c>
      <c r="B248" s="113" t="s">
        <v>16</v>
      </c>
      <c r="C248" s="113" t="s">
        <v>594</v>
      </c>
      <c r="D248" s="114" t="s">
        <v>933</v>
      </c>
      <c r="E248" s="113" t="s">
        <v>110</v>
      </c>
      <c r="F248" s="115" t="s">
        <v>1104</v>
      </c>
      <c r="G248" s="109"/>
      <c r="H248" s="109"/>
    </row>
    <row r="249" spans="1:8" x14ac:dyDescent="0.2">
      <c r="A249" s="113" t="s">
        <v>888</v>
      </c>
      <c r="B249" s="113" t="s">
        <v>16</v>
      </c>
      <c r="C249" s="113" t="s">
        <v>594</v>
      </c>
      <c r="D249" s="114" t="s">
        <v>889</v>
      </c>
      <c r="E249" s="113" t="s">
        <v>110</v>
      </c>
      <c r="F249" s="115">
        <v>324.39999999999998</v>
      </c>
      <c r="G249" s="109"/>
      <c r="H249" s="109"/>
    </row>
    <row r="250" spans="1:8" x14ac:dyDescent="0.2">
      <c r="A250" s="113" t="s">
        <v>912</v>
      </c>
      <c r="B250" s="113" t="s">
        <v>16</v>
      </c>
      <c r="C250" s="113" t="s">
        <v>594</v>
      </c>
      <c r="D250" s="114" t="s">
        <v>913</v>
      </c>
      <c r="E250" s="113" t="s">
        <v>110</v>
      </c>
      <c r="F250" s="115" t="s">
        <v>1122</v>
      </c>
      <c r="G250" s="109"/>
      <c r="H250" s="109"/>
    </row>
    <row r="251" spans="1:8" x14ac:dyDescent="0.2">
      <c r="A251" s="113" t="s">
        <v>884</v>
      </c>
      <c r="B251" s="113" t="s">
        <v>16</v>
      </c>
      <c r="C251" s="113" t="s">
        <v>594</v>
      </c>
      <c r="D251" s="114" t="s">
        <v>885</v>
      </c>
      <c r="E251" s="113" t="s">
        <v>110</v>
      </c>
      <c r="F251" s="115">
        <v>98.5</v>
      </c>
      <c r="G251" s="109"/>
      <c r="H251" s="109"/>
    </row>
    <row r="252" spans="1:8" ht="22.5" x14ac:dyDescent="0.2">
      <c r="A252" s="113" t="s">
        <v>1052</v>
      </c>
      <c r="B252" s="113" t="s">
        <v>16</v>
      </c>
      <c r="C252" s="113" t="s">
        <v>594</v>
      </c>
      <c r="D252" s="114" t="s">
        <v>496</v>
      </c>
      <c r="E252" s="113" t="s">
        <v>110</v>
      </c>
      <c r="F252" s="115" t="s">
        <v>1087</v>
      </c>
      <c r="G252" s="109"/>
      <c r="H252" s="109"/>
    </row>
    <row r="253" spans="1:8" ht="22.5" x14ac:dyDescent="0.2">
      <c r="A253" s="113" t="s">
        <v>1053</v>
      </c>
      <c r="B253" s="113" t="s">
        <v>16</v>
      </c>
      <c r="C253" s="113" t="s">
        <v>594</v>
      </c>
      <c r="D253" s="114" t="s">
        <v>1054</v>
      </c>
      <c r="E253" s="113" t="s">
        <v>110</v>
      </c>
      <c r="F253" s="115">
        <v>1225.1500000000001</v>
      </c>
      <c r="G253" s="109"/>
      <c r="H253" s="109"/>
    </row>
    <row r="254" spans="1:8" ht="33.75" x14ac:dyDescent="0.2">
      <c r="A254" s="113" t="s">
        <v>1073</v>
      </c>
      <c r="B254" s="113" t="s">
        <v>16</v>
      </c>
      <c r="C254" s="113" t="s">
        <v>594</v>
      </c>
      <c r="D254" s="114" t="s">
        <v>1074</v>
      </c>
      <c r="E254" s="113" t="s">
        <v>110</v>
      </c>
      <c r="F254" s="115" t="s">
        <v>1110</v>
      </c>
      <c r="G254" s="109"/>
      <c r="H254" s="109"/>
    </row>
    <row r="255" spans="1:8" ht="33.75" x14ac:dyDescent="0.2">
      <c r="A255" s="113" t="s">
        <v>1061</v>
      </c>
      <c r="B255" s="113" t="s">
        <v>16</v>
      </c>
      <c r="C255" s="113" t="s">
        <v>594</v>
      </c>
      <c r="D255" s="114" t="s">
        <v>1062</v>
      </c>
      <c r="E255" s="113" t="s">
        <v>110</v>
      </c>
      <c r="F255" s="115">
        <v>63.98</v>
      </c>
      <c r="G255" s="109"/>
      <c r="H255" s="109"/>
    </row>
    <row r="256" spans="1:8" ht="33.75" x14ac:dyDescent="0.2">
      <c r="A256" s="113" t="s">
        <v>1067</v>
      </c>
      <c r="B256" s="113" t="s">
        <v>16</v>
      </c>
      <c r="C256" s="113" t="s">
        <v>594</v>
      </c>
      <c r="D256" s="114" t="s">
        <v>1068</v>
      </c>
      <c r="E256" s="113" t="s">
        <v>104</v>
      </c>
      <c r="F256" s="115" t="s">
        <v>1103</v>
      </c>
      <c r="G256" s="109"/>
      <c r="H256" s="109"/>
    </row>
    <row r="257" spans="1:8" ht="33.75" x14ac:dyDescent="0.2">
      <c r="A257" s="113" t="s">
        <v>1071</v>
      </c>
      <c r="B257" s="113" t="s">
        <v>16</v>
      </c>
      <c r="C257" s="113" t="s">
        <v>594</v>
      </c>
      <c r="D257" s="114" t="s">
        <v>1072</v>
      </c>
      <c r="E257" s="113" t="s">
        <v>104</v>
      </c>
      <c r="F257" s="115">
        <v>53.65</v>
      </c>
      <c r="G257" s="109"/>
      <c r="H257" s="109"/>
    </row>
    <row r="258" spans="1:8" x14ac:dyDescent="0.2">
      <c r="A258" s="113" t="s">
        <v>1027</v>
      </c>
      <c r="B258" s="113" t="s">
        <v>16</v>
      </c>
      <c r="C258" s="113" t="s">
        <v>594</v>
      </c>
      <c r="D258" s="114" t="s">
        <v>1028</v>
      </c>
      <c r="E258" s="113" t="s">
        <v>110</v>
      </c>
      <c r="F258" s="115" t="s">
        <v>1111</v>
      </c>
      <c r="G258" s="109" t="s">
        <v>1208</v>
      </c>
      <c r="H258" s="109" t="s">
        <v>1208</v>
      </c>
    </row>
    <row r="259" spans="1:8" ht="22.5" x14ac:dyDescent="0.2">
      <c r="A259" s="113" t="s">
        <v>809</v>
      </c>
      <c r="B259" s="113" t="s">
        <v>16</v>
      </c>
      <c r="C259" s="113" t="s">
        <v>594</v>
      </c>
      <c r="D259" s="114" t="s">
        <v>810</v>
      </c>
      <c r="E259" s="113" t="s">
        <v>104</v>
      </c>
      <c r="F259" s="115">
        <v>31.06</v>
      </c>
      <c r="G259" s="109"/>
      <c r="H259" s="109"/>
    </row>
    <row r="260" spans="1:8" ht="22.5" x14ac:dyDescent="0.2">
      <c r="A260" s="113" t="s">
        <v>807</v>
      </c>
      <c r="B260" s="113" t="s">
        <v>16</v>
      </c>
      <c r="C260" s="113" t="s">
        <v>594</v>
      </c>
      <c r="D260" s="114" t="s">
        <v>808</v>
      </c>
      <c r="E260" s="113" t="s">
        <v>104</v>
      </c>
      <c r="F260" s="115" t="s">
        <v>1088</v>
      </c>
      <c r="G260" s="109"/>
      <c r="H260" s="109"/>
    </row>
    <row r="261" spans="1:8" x14ac:dyDescent="0.2">
      <c r="A261" s="113" t="s">
        <v>878</v>
      </c>
      <c r="B261" s="113" t="s">
        <v>16</v>
      </c>
      <c r="C261" s="113" t="s">
        <v>594</v>
      </c>
      <c r="D261" s="114" t="s">
        <v>879</v>
      </c>
      <c r="E261" s="113" t="s">
        <v>110</v>
      </c>
      <c r="F261" s="115">
        <v>299.95999999999998</v>
      </c>
      <c r="G261" s="109"/>
      <c r="H261" s="109"/>
    </row>
    <row r="262" spans="1:8" x14ac:dyDescent="0.2">
      <c r="A262" s="113" t="s">
        <v>880</v>
      </c>
      <c r="B262" s="113" t="s">
        <v>16</v>
      </c>
      <c r="C262" s="113" t="s">
        <v>594</v>
      </c>
      <c r="D262" s="114" t="s">
        <v>881</v>
      </c>
      <c r="E262" s="113" t="s">
        <v>110</v>
      </c>
      <c r="F262" s="115" t="s">
        <v>1114</v>
      </c>
      <c r="G262" s="109"/>
      <c r="H262" s="109"/>
    </row>
    <row r="263" spans="1:8" x14ac:dyDescent="0.2">
      <c r="A263" s="113" t="s">
        <v>908</v>
      </c>
      <c r="B263" s="113" t="s">
        <v>16</v>
      </c>
      <c r="C263" s="113" t="s">
        <v>594</v>
      </c>
      <c r="D263" s="114" t="s">
        <v>909</v>
      </c>
      <c r="E263" s="113" t="s">
        <v>110</v>
      </c>
      <c r="F263" s="115">
        <v>135.15</v>
      </c>
      <c r="G263" s="109"/>
      <c r="H263" s="109"/>
    </row>
    <row r="264" spans="1:8" x14ac:dyDescent="0.2">
      <c r="A264" s="113" t="s">
        <v>916</v>
      </c>
      <c r="B264" s="113" t="s">
        <v>16</v>
      </c>
      <c r="C264" s="113" t="s">
        <v>594</v>
      </c>
      <c r="D264" s="114" t="s">
        <v>917</v>
      </c>
      <c r="E264" s="113" t="s">
        <v>110</v>
      </c>
      <c r="F264" s="115" t="s">
        <v>1134</v>
      </c>
      <c r="G264" s="109"/>
      <c r="H264" s="109"/>
    </row>
    <row r="265" spans="1:8" ht="22.5" x14ac:dyDescent="0.2">
      <c r="A265" s="113" t="s">
        <v>949</v>
      </c>
      <c r="B265" s="113" t="s">
        <v>16</v>
      </c>
      <c r="C265" s="113" t="s">
        <v>594</v>
      </c>
      <c r="D265" s="114" t="s">
        <v>950</v>
      </c>
      <c r="E265" s="113" t="s">
        <v>110</v>
      </c>
      <c r="F265" s="115">
        <v>715</v>
      </c>
      <c r="G265" s="109"/>
      <c r="H265" s="109"/>
    </row>
    <row r="266" spans="1:8" ht="22.5" x14ac:dyDescent="0.2">
      <c r="A266" s="113" t="s">
        <v>947</v>
      </c>
      <c r="B266" s="113" t="s">
        <v>16</v>
      </c>
      <c r="C266" s="113" t="s">
        <v>594</v>
      </c>
      <c r="D266" s="114" t="s">
        <v>948</v>
      </c>
      <c r="E266" s="113" t="s">
        <v>110</v>
      </c>
      <c r="F266" s="115" t="s">
        <v>1101</v>
      </c>
      <c r="G266" s="109"/>
      <c r="H266" s="109"/>
    </row>
    <row r="267" spans="1:8" x14ac:dyDescent="0.2">
      <c r="A267" s="113" t="s">
        <v>849</v>
      </c>
      <c r="B267" s="113" t="s">
        <v>16</v>
      </c>
      <c r="C267" s="113" t="s">
        <v>594</v>
      </c>
      <c r="D267" s="114" t="s">
        <v>850</v>
      </c>
      <c r="E267" s="113" t="s">
        <v>104</v>
      </c>
      <c r="F267" s="115">
        <v>16.170000000000002</v>
      </c>
      <c r="G267" s="109"/>
      <c r="H267" s="109"/>
    </row>
    <row r="268" spans="1:8" ht="22.5" x14ac:dyDescent="0.2">
      <c r="A268" s="113" t="s">
        <v>805</v>
      </c>
      <c r="B268" s="113" t="s">
        <v>16</v>
      </c>
      <c r="C268" s="113" t="s">
        <v>594</v>
      </c>
      <c r="D268" s="114" t="s">
        <v>806</v>
      </c>
      <c r="E268" s="113" t="s">
        <v>104</v>
      </c>
      <c r="F268" s="115" t="s">
        <v>1097</v>
      </c>
      <c r="G268" s="109"/>
      <c r="H268" s="109"/>
    </row>
    <row r="269" spans="1:8" ht="22.5" x14ac:dyDescent="0.2">
      <c r="A269" s="113" t="s">
        <v>943</v>
      </c>
      <c r="B269" s="113" t="s">
        <v>16</v>
      </c>
      <c r="C269" s="113" t="s">
        <v>594</v>
      </c>
      <c r="D269" s="114" t="s">
        <v>944</v>
      </c>
      <c r="E269" s="113" t="s">
        <v>110</v>
      </c>
      <c r="F269" s="115">
        <v>445.98</v>
      </c>
      <c r="G269" s="109"/>
      <c r="H269" s="109"/>
    </row>
    <row r="270" spans="1:8" x14ac:dyDescent="0.2">
      <c r="A270" s="113" t="s">
        <v>945</v>
      </c>
      <c r="B270" s="113" t="s">
        <v>16</v>
      </c>
      <c r="C270" s="113" t="s">
        <v>594</v>
      </c>
      <c r="D270" s="114" t="s">
        <v>946</v>
      </c>
      <c r="E270" s="113" t="s">
        <v>110</v>
      </c>
      <c r="F270" s="115" t="s">
        <v>1089</v>
      </c>
      <c r="G270" s="109"/>
      <c r="H270" s="109"/>
    </row>
    <row r="271" spans="1:8" x14ac:dyDescent="0.2">
      <c r="A271" s="113" t="s">
        <v>859</v>
      </c>
      <c r="B271" s="113" t="s">
        <v>16</v>
      </c>
      <c r="C271" s="113" t="s">
        <v>594</v>
      </c>
      <c r="D271" s="114" t="s">
        <v>860</v>
      </c>
      <c r="E271" s="113" t="s">
        <v>110</v>
      </c>
      <c r="F271" s="115">
        <v>7.41</v>
      </c>
      <c r="G271" s="109" t="s">
        <v>1208</v>
      </c>
      <c r="H271" s="109" t="s">
        <v>1208</v>
      </c>
    </row>
    <row r="272" spans="1:8" x14ac:dyDescent="0.2">
      <c r="A272" s="113" t="s">
        <v>861</v>
      </c>
      <c r="B272" s="113" t="s">
        <v>16</v>
      </c>
      <c r="C272" s="113" t="s">
        <v>594</v>
      </c>
      <c r="D272" s="114" t="s">
        <v>862</v>
      </c>
      <c r="E272" s="113" t="s">
        <v>110</v>
      </c>
      <c r="F272" s="115" t="s">
        <v>1095</v>
      </c>
      <c r="G272" s="109" t="s">
        <v>1208</v>
      </c>
      <c r="H272" s="109" t="s">
        <v>1208</v>
      </c>
    </row>
    <row r="273" spans="1:8" ht="22.5" x14ac:dyDescent="0.2">
      <c r="A273" s="113" t="s">
        <v>1057</v>
      </c>
      <c r="B273" s="113" t="s">
        <v>16</v>
      </c>
      <c r="C273" s="113" t="s">
        <v>594</v>
      </c>
      <c r="D273" s="114" t="s">
        <v>1058</v>
      </c>
      <c r="E273" s="113" t="s">
        <v>110</v>
      </c>
      <c r="F273" s="115">
        <v>3219.97</v>
      </c>
      <c r="G273" s="109"/>
      <c r="H273" s="109"/>
    </row>
    <row r="274" spans="1:8" x14ac:dyDescent="0.2">
      <c r="A274" s="113" t="s">
        <v>1029</v>
      </c>
      <c r="B274" s="113" t="s">
        <v>16</v>
      </c>
      <c r="C274" s="113" t="s">
        <v>594</v>
      </c>
      <c r="D274" s="114" t="s">
        <v>452</v>
      </c>
      <c r="E274" s="113" t="s">
        <v>110</v>
      </c>
      <c r="F274" s="115" t="s">
        <v>1090</v>
      </c>
      <c r="G274" s="109" t="s">
        <v>1208</v>
      </c>
      <c r="H274" s="109" t="s">
        <v>1208</v>
      </c>
    </row>
  </sheetData>
  <sortState xmlns:xlrd2="http://schemas.microsoft.com/office/spreadsheetml/2017/richdata2" ref="A9:H274">
    <sortCondition descending="1" ref="B9:B274"/>
    <sortCondition descending="1" ref="C9:C274"/>
    <sortCondition ref="A9:A274"/>
  </sortState>
  <mergeCells count="13">
    <mergeCell ref="G1:H1"/>
    <mergeCell ref="G2:H2"/>
    <mergeCell ref="G4:H4"/>
    <mergeCell ref="G6:H6"/>
    <mergeCell ref="A7:H7"/>
    <mergeCell ref="A2:B2"/>
    <mergeCell ref="E2:F2"/>
    <mergeCell ref="A4:B4"/>
    <mergeCell ref="C4:D4"/>
    <mergeCell ref="E4:F4"/>
    <mergeCell ref="A6:B6"/>
    <mergeCell ref="C6:D6"/>
    <mergeCell ref="E6:F6"/>
  </mergeCells>
  <printOptions horizontalCentered="1"/>
  <pageMargins left="0.59055118110236227" right="0.59055118110236227" top="0.59055118110236227" bottom="0.59055118110236227" header="0.19685039370078741" footer="0.19685039370078741"/>
  <pageSetup paperSize="9" scale="5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52779-A392-4840-9329-59D3CE2789E4}">
  <sheetPr>
    <pageSetUpPr fitToPage="1"/>
  </sheetPr>
  <dimension ref="A1:D23"/>
  <sheetViews>
    <sheetView showGridLines="0" workbookViewId="0"/>
  </sheetViews>
  <sheetFormatPr defaultRowHeight="14.25" x14ac:dyDescent="0.2"/>
  <cols>
    <col min="1" max="2" width="10.625" customWidth="1"/>
    <col min="3" max="3" width="58.625" customWidth="1"/>
    <col min="4" max="4" width="18.625" customWidth="1"/>
  </cols>
  <sheetData>
    <row r="1" spans="1:4" s="61" customFormat="1" ht="14.25" customHeight="1" x14ac:dyDescent="0.2">
      <c r="A1" s="56" t="str">
        <f>'Orçamento Sintético'!A1</f>
        <v>P. Execução:</v>
      </c>
      <c r="B1" s="57"/>
      <c r="C1" s="59" t="str">
        <f>'Orçamento Sintético'!D1</f>
        <v>Objeto: Adequações de acessibilidade – área interna - Edifício Infância</v>
      </c>
      <c r="D1" s="58" t="str">
        <f>'Orçamento Sintético'!C1</f>
        <v>Licitação:</v>
      </c>
    </row>
    <row r="2" spans="1:4" s="61" customFormat="1" ht="14.25" customHeight="1" x14ac:dyDescent="0.2">
      <c r="A2" s="242" t="str">
        <f>'Orçamento Sintético'!A2:B2</f>
        <v>A</v>
      </c>
      <c r="B2" s="243"/>
      <c r="C2" s="63" t="str">
        <f>'Orçamento Sintético'!D2</f>
        <v>Local:  SEPN 711/911, Bloco B, Asa Norte, Brasília-DF</v>
      </c>
      <c r="D2" s="62" t="str">
        <f>'Orçamento Sintético'!C2</f>
        <v>B</v>
      </c>
    </row>
    <row r="3" spans="1:4" s="61" customFormat="1" x14ac:dyDescent="0.2">
      <c r="A3" s="67" t="str">
        <f>'Orçamento Sintético'!A3:B3</f>
        <v>P. Validade:</v>
      </c>
      <c r="B3" s="57"/>
      <c r="C3" s="67" t="str">
        <f>'Orçamento Sintético'!C3:D3</f>
        <v>Razão Social:</v>
      </c>
      <c r="D3" s="58" t="str">
        <f>'Orçamento Sintético'!E1</f>
        <v>Data:</v>
      </c>
    </row>
    <row r="4" spans="1:4" s="61" customFormat="1" x14ac:dyDescent="0.2">
      <c r="A4" s="242" t="str">
        <f>'Orçamento Sintético'!A4:B4</f>
        <v>C</v>
      </c>
      <c r="B4" s="243"/>
      <c r="C4" s="68" t="str">
        <f>'Orçamento Sintético'!C4:D4</f>
        <v>D</v>
      </c>
      <c r="D4" s="69">
        <f>'Orçamento Sintético'!E2</f>
        <v>1</v>
      </c>
    </row>
    <row r="5" spans="1:4" s="61" customFormat="1" x14ac:dyDescent="0.2">
      <c r="A5" s="56" t="str">
        <f>'Orçamento Sintético'!A5</f>
        <v>P. Garantia:</v>
      </c>
      <c r="B5" s="57"/>
      <c r="C5" s="67" t="str">
        <f>'Orçamento Sintético'!C5</f>
        <v>CNPJ:</v>
      </c>
      <c r="D5" s="58" t="str">
        <f>'Orçamento Sintético'!E3</f>
        <v>Telefone:</v>
      </c>
    </row>
    <row r="6" spans="1:4" s="61" customFormat="1" x14ac:dyDescent="0.2">
      <c r="A6" s="242" t="str">
        <f>'Orçamento Sintético'!A6:B6</f>
        <v>F</v>
      </c>
      <c r="B6" s="243"/>
      <c r="C6" s="68" t="str">
        <f>'Orçamento Sintético'!C6:D6</f>
        <v>G</v>
      </c>
      <c r="D6" s="69" t="str">
        <f>'Orçamento Sintético'!E4</f>
        <v>E</v>
      </c>
    </row>
    <row r="7" spans="1:4" s="6" customFormat="1" ht="15" x14ac:dyDescent="0.2">
      <c r="A7" s="270" t="s">
        <v>635</v>
      </c>
      <c r="B7" s="270"/>
      <c r="C7" s="270"/>
      <c r="D7" s="270"/>
    </row>
    <row r="8" spans="1:4" ht="14.25" customHeight="1" x14ac:dyDescent="0.2">
      <c r="A8" s="7" t="s">
        <v>1</v>
      </c>
      <c r="B8" s="271" t="s">
        <v>1204</v>
      </c>
      <c r="C8" s="272"/>
      <c r="D8" s="7" t="s">
        <v>636</v>
      </c>
    </row>
    <row r="9" spans="1:4" x14ac:dyDescent="0.2">
      <c r="A9" s="102" t="s">
        <v>637</v>
      </c>
      <c r="B9" s="267" t="s">
        <v>638</v>
      </c>
      <c r="C9" s="267"/>
      <c r="D9" s="103"/>
    </row>
    <row r="10" spans="1:4" x14ac:dyDescent="0.2">
      <c r="A10" s="104" t="s">
        <v>639</v>
      </c>
      <c r="B10" s="268" t="s">
        <v>640</v>
      </c>
      <c r="C10" s="268"/>
      <c r="D10" s="105">
        <f>ROUND(SUM(D11:D15),4)</f>
        <v>0.15740000000000001</v>
      </c>
    </row>
    <row r="11" spans="1:4" x14ac:dyDescent="0.2">
      <c r="A11" s="5" t="s">
        <v>641</v>
      </c>
      <c r="B11" s="8" t="s">
        <v>642</v>
      </c>
      <c r="C11" s="9"/>
      <c r="D11" s="10">
        <v>0.04</v>
      </c>
    </row>
    <row r="12" spans="1:4" x14ac:dyDescent="0.2">
      <c r="A12" s="5" t="s">
        <v>643</v>
      </c>
      <c r="B12" s="8" t="s">
        <v>644</v>
      </c>
      <c r="C12" s="9"/>
      <c r="D12" s="10">
        <v>8.0000000000000002E-3</v>
      </c>
    </row>
    <row r="13" spans="1:4" x14ac:dyDescent="0.2">
      <c r="A13" s="5" t="s">
        <v>645</v>
      </c>
      <c r="B13" s="8" t="s">
        <v>646</v>
      </c>
      <c r="C13" s="9"/>
      <c r="D13" s="10">
        <v>1.2699999999999999E-2</v>
      </c>
    </row>
    <row r="14" spans="1:4" x14ac:dyDescent="0.2">
      <c r="A14" s="5" t="s">
        <v>647</v>
      </c>
      <c r="B14" s="8" t="s">
        <v>648</v>
      </c>
      <c r="C14" s="9"/>
      <c r="D14" s="10">
        <v>1.23E-2</v>
      </c>
    </row>
    <row r="15" spans="1:4" x14ac:dyDescent="0.2">
      <c r="A15" s="5" t="s">
        <v>649</v>
      </c>
      <c r="B15" s="8" t="s">
        <v>650</v>
      </c>
      <c r="C15" s="9"/>
      <c r="D15" s="10">
        <v>8.4400000000000003E-2</v>
      </c>
    </row>
    <row r="16" spans="1:4" x14ac:dyDescent="0.2">
      <c r="A16" s="4"/>
      <c r="B16" s="8"/>
      <c r="C16" s="9"/>
      <c r="D16" s="10"/>
    </row>
    <row r="17" spans="1:4" x14ac:dyDescent="0.2">
      <c r="A17" s="102" t="s">
        <v>651</v>
      </c>
      <c r="B17" s="267" t="s">
        <v>652</v>
      </c>
      <c r="C17" s="267"/>
      <c r="D17" s="103"/>
    </row>
    <row r="18" spans="1:4" x14ac:dyDescent="0.2">
      <c r="A18" s="104" t="s">
        <v>653</v>
      </c>
      <c r="B18" s="268" t="s">
        <v>654</v>
      </c>
      <c r="C18" s="268"/>
      <c r="D18" s="105">
        <f>D19+D20+D21</f>
        <v>4.65E-2</v>
      </c>
    </row>
    <row r="19" spans="1:4" x14ac:dyDescent="0.2">
      <c r="A19" s="5"/>
      <c r="B19" s="8" t="s">
        <v>655</v>
      </c>
      <c r="C19" s="9"/>
      <c r="D19" s="10">
        <v>6.5000000000000006E-3</v>
      </c>
    </row>
    <row r="20" spans="1:4" x14ac:dyDescent="0.2">
      <c r="A20" s="5"/>
      <c r="B20" s="8" t="s">
        <v>656</v>
      </c>
      <c r="C20" s="9"/>
      <c r="D20" s="10">
        <v>0.03</v>
      </c>
    </row>
    <row r="21" spans="1:4" x14ac:dyDescent="0.2">
      <c r="A21" s="5"/>
      <c r="B21" s="8" t="s">
        <v>1203</v>
      </c>
      <c r="C21" s="9"/>
      <c r="D21" s="10">
        <f>2%*'Orçamento Sintético'!B216</f>
        <v>0.01</v>
      </c>
    </row>
    <row r="22" spans="1:4" x14ac:dyDescent="0.2">
      <c r="A22" s="5"/>
      <c r="B22" s="8"/>
      <c r="C22" s="9"/>
      <c r="D22" s="10"/>
    </row>
    <row r="23" spans="1:4" x14ac:dyDescent="0.2">
      <c r="A23" s="106" t="s">
        <v>657</v>
      </c>
      <c r="B23" s="269" t="s">
        <v>658</v>
      </c>
      <c r="C23" s="269"/>
      <c r="D23" s="107">
        <f>ROUND((((1+(D11+D12+D13))*(1+D14)*(1+D15))/(1-D18)-1),4)</f>
        <v>0.22120000000000001</v>
      </c>
    </row>
  </sheetData>
  <mergeCells count="10">
    <mergeCell ref="A7:D7"/>
    <mergeCell ref="B8:C8"/>
    <mergeCell ref="A2:B2"/>
    <mergeCell ref="A4:B4"/>
    <mergeCell ref="A6:B6"/>
    <mergeCell ref="B9:C9"/>
    <mergeCell ref="B10:C10"/>
    <mergeCell ref="B17:C17"/>
    <mergeCell ref="B18:C18"/>
    <mergeCell ref="B23:C23"/>
  </mergeCells>
  <printOptions horizontalCentered="1"/>
  <pageMargins left="0.59055118110236227" right="0.59055118110236227" top="0.59055118110236227" bottom="0.59055118110236227" header="0.19685039370078741" footer="0.19685039370078741"/>
  <pageSetup paperSize="9" scale="8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58086-0CD6-4E3B-88B4-1E670D219861}">
  <sheetPr>
    <pageSetUpPr fitToPage="1"/>
  </sheetPr>
  <dimension ref="A1:D44"/>
  <sheetViews>
    <sheetView showGridLines="0" workbookViewId="0"/>
  </sheetViews>
  <sheetFormatPr defaultRowHeight="14.25" x14ac:dyDescent="0.2"/>
  <cols>
    <col min="1" max="1" width="10.625" style="29" customWidth="1"/>
    <col min="2" max="2" width="10.625" style="30" customWidth="1"/>
    <col min="3" max="3" width="58.625" style="30" customWidth="1"/>
    <col min="4" max="4" width="18.625" style="31" customWidth="1"/>
    <col min="5" max="16384" width="9" style="32"/>
  </cols>
  <sheetData>
    <row r="1" spans="1:4" s="61" customFormat="1" ht="14.25" customHeight="1" x14ac:dyDescent="0.2">
      <c r="A1" s="56" t="str">
        <f>'Orçamento Sintético'!A1</f>
        <v>P. Execução:</v>
      </c>
      <c r="B1" s="57"/>
      <c r="C1" s="59" t="str">
        <f>'Orçamento Sintético'!D1</f>
        <v>Objeto: Adequações de acessibilidade – área interna - Edifício Infância</v>
      </c>
      <c r="D1" s="58" t="str">
        <f>'Orçamento Sintético'!C1</f>
        <v>Licitação:</v>
      </c>
    </row>
    <row r="2" spans="1:4" s="61" customFormat="1" ht="14.25" customHeight="1" x14ac:dyDescent="0.2">
      <c r="A2" s="242" t="str">
        <f>'Orçamento Sintético'!A2:B2</f>
        <v>A</v>
      </c>
      <c r="B2" s="243"/>
      <c r="C2" s="63" t="str">
        <f>'Orçamento Sintético'!D2</f>
        <v>Local:  SEPN 711/911, Bloco B, Asa Norte, Brasília-DF</v>
      </c>
      <c r="D2" s="62" t="str">
        <f>'Orçamento Sintético'!C2</f>
        <v>B</v>
      </c>
    </row>
    <row r="3" spans="1:4" s="61" customFormat="1" x14ac:dyDescent="0.2">
      <c r="A3" s="67" t="str">
        <f>'Orçamento Sintético'!A3:B3</f>
        <v>P. Validade:</v>
      </c>
      <c r="B3" s="57"/>
      <c r="C3" s="67" t="str">
        <f>'Orçamento Sintético'!C3:D3</f>
        <v>Razão Social:</v>
      </c>
      <c r="D3" s="58" t="str">
        <f>'Orçamento Sintético'!E1</f>
        <v>Data:</v>
      </c>
    </row>
    <row r="4" spans="1:4" s="61" customFormat="1" x14ac:dyDescent="0.2">
      <c r="A4" s="242" t="str">
        <f>'Orçamento Sintético'!A4:B4</f>
        <v>C</v>
      </c>
      <c r="B4" s="243"/>
      <c r="C4" s="68" t="str">
        <f>'Orçamento Sintético'!C4:D4</f>
        <v>D</v>
      </c>
      <c r="D4" s="69">
        <f>'Orçamento Sintético'!E2</f>
        <v>1</v>
      </c>
    </row>
    <row r="5" spans="1:4" s="61" customFormat="1" x14ac:dyDescent="0.2">
      <c r="A5" s="56" t="str">
        <f>'Orçamento Sintético'!A5</f>
        <v>P. Garantia:</v>
      </c>
      <c r="B5" s="57"/>
      <c r="C5" s="67" t="str">
        <f>'Orçamento Sintético'!C5</f>
        <v>CNPJ:</v>
      </c>
      <c r="D5" s="58" t="str">
        <f>'Orçamento Sintético'!E3</f>
        <v>Telefone:</v>
      </c>
    </row>
    <row r="6" spans="1:4" s="61" customFormat="1" x14ac:dyDescent="0.2">
      <c r="A6" s="242" t="str">
        <f>'Orçamento Sintético'!A6:B6</f>
        <v>F</v>
      </c>
      <c r="B6" s="243"/>
      <c r="C6" s="68" t="str">
        <f>'Orçamento Sintético'!C6:D6</f>
        <v>G</v>
      </c>
      <c r="D6" s="69" t="str">
        <f>'Orçamento Sintético'!E4</f>
        <v>E</v>
      </c>
    </row>
    <row r="7" spans="1:4" s="11" customFormat="1" ht="15" x14ac:dyDescent="0.2">
      <c r="A7" s="278" t="s">
        <v>1205</v>
      </c>
      <c r="B7" s="278"/>
      <c r="C7" s="278"/>
      <c r="D7" s="278"/>
    </row>
    <row r="8" spans="1:4" s="12" customFormat="1" ht="12.75" x14ac:dyDescent="0.2">
      <c r="A8" s="7" t="s">
        <v>1</v>
      </c>
      <c r="B8" s="271" t="s">
        <v>1204</v>
      </c>
      <c r="C8" s="272"/>
      <c r="D8" s="7" t="s">
        <v>636</v>
      </c>
    </row>
    <row r="9" spans="1:4" s="12" customFormat="1" ht="12.75" x14ac:dyDescent="0.2">
      <c r="A9" s="273" t="s">
        <v>659</v>
      </c>
      <c r="B9" s="274"/>
      <c r="C9" s="274"/>
      <c r="D9" s="275"/>
    </row>
    <row r="10" spans="1:4" s="12" customFormat="1" ht="12.75" x14ac:dyDescent="0.2">
      <c r="A10" s="13" t="s">
        <v>639</v>
      </c>
      <c r="B10" s="14" t="s">
        <v>660</v>
      </c>
      <c r="C10" s="15"/>
      <c r="D10" s="16">
        <v>0.2</v>
      </c>
    </row>
    <row r="11" spans="1:4" s="12" customFormat="1" ht="12.75" x14ac:dyDescent="0.2">
      <c r="A11" s="13" t="s">
        <v>661</v>
      </c>
      <c r="B11" s="14" t="s">
        <v>662</v>
      </c>
      <c r="C11" s="15"/>
      <c r="D11" s="16">
        <v>1.4999999999999999E-2</v>
      </c>
    </row>
    <row r="12" spans="1:4" s="12" customFormat="1" ht="12.75" x14ac:dyDescent="0.2">
      <c r="A12" s="13" t="s">
        <v>663</v>
      </c>
      <c r="B12" s="14" t="s">
        <v>664</v>
      </c>
      <c r="C12" s="15"/>
      <c r="D12" s="16">
        <v>0.01</v>
      </c>
    </row>
    <row r="13" spans="1:4" s="12" customFormat="1" ht="12.75" x14ac:dyDescent="0.2">
      <c r="A13" s="13" t="s">
        <v>665</v>
      </c>
      <c r="B13" s="14" t="s">
        <v>666</v>
      </c>
      <c r="C13" s="15"/>
      <c r="D13" s="16">
        <v>2E-3</v>
      </c>
    </row>
    <row r="14" spans="1:4" s="12" customFormat="1" ht="12.75" x14ac:dyDescent="0.2">
      <c r="A14" s="13" t="s">
        <v>667</v>
      </c>
      <c r="B14" s="14" t="s">
        <v>668</v>
      </c>
      <c r="C14" s="15"/>
      <c r="D14" s="16">
        <v>6.0000000000000001E-3</v>
      </c>
    </row>
    <row r="15" spans="1:4" s="12" customFormat="1" ht="12.75" x14ac:dyDescent="0.2">
      <c r="A15" s="13" t="s">
        <v>669</v>
      </c>
      <c r="B15" s="14" t="s">
        <v>670</v>
      </c>
      <c r="C15" s="15"/>
      <c r="D15" s="16">
        <v>2.5000000000000001E-2</v>
      </c>
    </row>
    <row r="16" spans="1:4" s="12" customFormat="1" ht="12.75" x14ac:dyDescent="0.2">
      <c r="A16" s="13" t="s">
        <v>671</v>
      </c>
      <c r="B16" s="14" t="s">
        <v>672</v>
      </c>
      <c r="C16" s="15"/>
      <c r="D16" s="16">
        <v>0.03</v>
      </c>
    </row>
    <row r="17" spans="1:4" s="12" customFormat="1" ht="12.75" x14ac:dyDescent="0.2">
      <c r="A17" s="13" t="s">
        <v>673</v>
      </c>
      <c r="B17" s="14" t="s">
        <v>674</v>
      </c>
      <c r="C17" s="15"/>
      <c r="D17" s="16">
        <v>0.08</v>
      </c>
    </row>
    <row r="18" spans="1:4" s="12" customFormat="1" ht="12.75" x14ac:dyDescent="0.2">
      <c r="A18" s="13" t="s">
        <v>675</v>
      </c>
      <c r="B18" s="14" t="s">
        <v>676</v>
      </c>
      <c r="C18" s="15"/>
      <c r="D18" s="16">
        <v>0.01</v>
      </c>
    </row>
    <row r="19" spans="1:4" s="12" customFormat="1" ht="12.75" x14ac:dyDescent="0.2">
      <c r="A19" s="17" t="s">
        <v>677</v>
      </c>
      <c r="B19" s="18" t="s">
        <v>678</v>
      </c>
      <c r="C19" s="19"/>
      <c r="D19" s="20">
        <f>SUM(D10:D18)</f>
        <v>0.37800000000000006</v>
      </c>
    </row>
    <row r="20" spans="1:4" s="12" customFormat="1" ht="12.75" x14ac:dyDescent="0.2">
      <c r="A20" s="273" t="s">
        <v>679</v>
      </c>
      <c r="B20" s="274"/>
      <c r="C20" s="274"/>
      <c r="D20" s="275"/>
    </row>
    <row r="21" spans="1:4" s="12" customFormat="1" ht="12.75" x14ac:dyDescent="0.2">
      <c r="A21" s="13" t="s">
        <v>653</v>
      </c>
      <c r="B21" s="14" t="s">
        <v>680</v>
      </c>
      <c r="C21" s="15"/>
      <c r="D21" s="16">
        <v>0.17749999999999999</v>
      </c>
    </row>
    <row r="22" spans="1:4" s="12" customFormat="1" ht="12.75" x14ac:dyDescent="0.2">
      <c r="A22" s="13" t="s">
        <v>681</v>
      </c>
      <c r="B22" s="14" t="s">
        <v>682</v>
      </c>
      <c r="C22" s="15"/>
      <c r="D22" s="16">
        <v>3.4099999999999998E-2</v>
      </c>
    </row>
    <row r="23" spans="1:4" s="12" customFormat="1" ht="12.75" x14ac:dyDescent="0.2">
      <c r="A23" s="13" t="s">
        <v>683</v>
      </c>
      <c r="B23" s="14" t="s">
        <v>684</v>
      </c>
      <c r="C23" s="15"/>
      <c r="D23" s="16">
        <v>8.6E-3</v>
      </c>
    </row>
    <row r="24" spans="1:4" s="12" customFormat="1" ht="12.75" x14ac:dyDescent="0.2">
      <c r="A24" s="13" t="s">
        <v>685</v>
      </c>
      <c r="B24" s="14" t="s">
        <v>686</v>
      </c>
      <c r="C24" s="15"/>
      <c r="D24" s="16">
        <v>0.1062</v>
      </c>
    </row>
    <row r="25" spans="1:4" s="12" customFormat="1" ht="12.75" x14ac:dyDescent="0.2">
      <c r="A25" s="13" t="s">
        <v>687</v>
      </c>
      <c r="B25" s="14" t="s">
        <v>688</v>
      </c>
      <c r="C25" s="15"/>
      <c r="D25" s="16">
        <v>6.9999999999999999E-4</v>
      </c>
    </row>
    <row r="26" spans="1:4" s="12" customFormat="1" ht="12.75" x14ac:dyDescent="0.2">
      <c r="A26" s="13" t="s">
        <v>689</v>
      </c>
      <c r="B26" s="14" t="s">
        <v>690</v>
      </c>
      <c r="C26" s="15"/>
      <c r="D26" s="16">
        <v>7.1000000000000004E-3</v>
      </c>
    </row>
    <row r="27" spans="1:4" s="12" customFormat="1" ht="12.75" x14ac:dyDescent="0.2">
      <c r="A27" s="13" t="s">
        <v>691</v>
      </c>
      <c r="B27" s="14" t="s">
        <v>692</v>
      </c>
      <c r="C27" s="15"/>
      <c r="D27" s="16">
        <v>1.3100000000000001E-2</v>
      </c>
    </row>
    <row r="28" spans="1:4" s="12" customFormat="1" ht="12.75" x14ac:dyDescent="0.2">
      <c r="A28" s="13" t="s">
        <v>693</v>
      </c>
      <c r="B28" s="14" t="s">
        <v>694</v>
      </c>
      <c r="C28" s="15"/>
      <c r="D28" s="16">
        <v>1.1000000000000001E-3</v>
      </c>
    </row>
    <row r="29" spans="1:4" s="12" customFormat="1" ht="12.75" x14ac:dyDescent="0.2">
      <c r="A29" s="13" t="s">
        <v>695</v>
      </c>
      <c r="B29" s="14" t="s">
        <v>696</v>
      </c>
      <c r="C29" s="15"/>
      <c r="D29" s="16">
        <v>0.13550000000000001</v>
      </c>
    </row>
    <row r="30" spans="1:4" s="12" customFormat="1" ht="12.75" x14ac:dyDescent="0.2">
      <c r="A30" s="13" t="s">
        <v>697</v>
      </c>
      <c r="B30" s="14" t="s">
        <v>698</v>
      </c>
      <c r="C30" s="15"/>
      <c r="D30" s="16">
        <v>2.9999999999999997E-4</v>
      </c>
    </row>
    <row r="31" spans="1:4" s="12" customFormat="1" ht="12.75" x14ac:dyDescent="0.2">
      <c r="A31" s="17" t="s">
        <v>699</v>
      </c>
      <c r="B31" s="18" t="s">
        <v>700</v>
      </c>
      <c r="C31" s="19"/>
      <c r="D31" s="20">
        <f>SUM(D21:D30)</f>
        <v>0.48419999999999996</v>
      </c>
    </row>
    <row r="32" spans="1:4" s="12" customFormat="1" ht="12.75" x14ac:dyDescent="0.2">
      <c r="A32" s="273" t="s">
        <v>701</v>
      </c>
      <c r="B32" s="274"/>
      <c r="C32" s="274"/>
      <c r="D32" s="275"/>
    </row>
    <row r="33" spans="1:4" s="12" customFormat="1" ht="12.75" x14ac:dyDescent="0.2">
      <c r="A33" s="21" t="s">
        <v>702</v>
      </c>
      <c r="B33" s="22" t="s">
        <v>703</v>
      </c>
      <c r="C33" s="23"/>
      <c r="D33" s="16">
        <v>4.1200000000000001E-2</v>
      </c>
    </row>
    <row r="34" spans="1:4" s="12" customFormat="1" ht="12.75" x14ac:dyDescent="0.2">
      <c r="A34" s="21" t="s">
        <v>704</v>
      </c>
      <c r="B34" s="22" t="s">
        <v>705</v>
      </c>
      <c r="C34" s="23"/>
      <c r="D34" s="16">
        <v>1E-3</v>
      </c>
    </row>
    <row r="35" spans="1:4" s="12" customFormat="1" ht="12.75" x14ac:dyDescent="0.2">
      <c r="A35" s="21" t="s">
        <v>706</v>
      </c>
      <c r="B35" s="22" t="s">
        <v>707</v>
      </c>
      <c r="C35" s="23"/>
      <c r="D35" s="16">
        <v>4.5999999999999999E-3</v>
      </c>
    </row>
    <row r="36" spans="1:4" s="12" customFormat="1" ht="12.75" x14ac:dyDescent="0.2">
      <c r="A36" s="21" t="s">
        <v>708</v>
      </c>
      <c r="B36" s="22" t="s">
        <v>709</v>
      </c>
      <c r="C36" s="23"/>
      <c r="D36" s="16">
        <v>3.7699999999999997E-2</v>
      </c>
    </row>
    <row r="37" spans="1:4" s="12" customFormat="1" ht="12.75" x14ac:dyDescent="0.2">
      <c r="A37" s="21" t="s">
        <v>710</v>
      </c>
      <c r="B37" s="22" t="s">
        <v>711</v>
      </c>
      <c r="C37" s="23"/>
      <c r="D37" s="16">
        <v>3.5000000000000001E-3</v>
      </c>
    </row>
    <row r="38" spans="1:4" s="12" customFormat="1" ht="12.75" x14ac:dyDescent="0.2">
      <c r="A38" s="24" t="s">
        <v>712</v>
      </c>
      <c r="B38" s="25" t="s">
        <v>700</v>
      </c>
      <c r="C38" s="26"/>
      <c r="D38" s="20">
        <f>SUM(D33:D37)</f>
        <v>8.7999999999999995E-2</v>
      </c>
    </row>
    <row r="39" spans="1:4" s="12" customFormat="1" ht="12.75" x14ac:dyDescent="0.2">
      <c r="A39" s="273" t="s">
        <v>713</v>
      </c>
      <c r="B39" s="274"/>
      <c r="C39" s="274"/>
      <c r="D39" s="275"/>
    </row>
    <row r="40" spans="1:4" s="12" customFormat="1" ht="12.75" x14ac:dyDescent="0.2">
      <c r="A40" s="21" t="s">
        <v>714</v>
      </c>
      <c r="B40" s="22" t="s">
        <v>715</v>
      </c>
      <c r="C40" s="23"/>
      <c r="D40" s="27">
        <f>ROUND(D19*D31,4)</f>
        <v>0.183</v>
      </c>
    </row>
    <row r="41" spans="1:4" s="12" customFormat="1" ht="12.75" x14ac:dyDescent="0.2">
      <c r="A41" s="21" t="s">
        <v>716</v>
      </c>
      <c r="B41" s="22" t="s">
        <v>717</v>
      </c>
      <c r="C41" s="23"/>
      <c r="D41" s="27">
        <f>ROUND(D17*D33+D19*D34,4)</f>
        <v>3.7000000000000002E-3</v>
      </c>
    </row>
    <row r="42" spans="1:4" s="12" customFormat="1" ht="12.75" x14ac:dyDescent="0.2">
      <c r="A42" s="24" t="s">
        <v>718</v>
      </c>
      <c r="B42" s="25" t="s">
        <v>719</v>
      </c>
      <c r="C42" s="26"/>
      <c r="D42" s="28">
        <f>SUM(D40:D41)</f>
        <v>0.1867</v>
      </c>
    </row>
    <row r="43" spans="1:4" s="12" customFormat="1" ht="12.75" x14ac:dyDescent="0.2">
      <c r="A43" s="21"/>
      <c r="B43" s="22"/>
      <c r="C43" s="23"/>
      <c r="D43" s="27"/>
    </row>
    <row r="44" spans="1:4" s="12" customFormat="1" ht="12.75" customHeight="1" x14ac:dyDescent="0.2">
      <c r="A44" s="276" t="s">
        <v>720</v>
      </c>
      <c r="B44" s="277"/>
      <c r="C44" s="277"/>
      <c r="D44" s="107">
        <f>D19+D31+D38+D42</f>
        <v>1.1369</v>
      </c>
    </row>
  </sheetData>
  <mergeCells count="10">
    <mergeCell ref="A39:D39"/>
    <mergeCell ref="A44:C44"/>
    <mergeCell ref="A7:D7"/>
    <mergeCell ref="B8:C8"/>
    <mergeCell ref="A9:D9"/>
    <mergeCell ref="A2:B2"/>
    <mergeCell ref="A4:B4"/>
    <mergeCell ref="A6:B6"/>
    <mergeCell ref="A20:D20"/>
    <mergeCell ref="A32:D32"/>
  </mergeCells>
  <printOptions horizontalCentered="1"/>
  <pageMargins left="0.59055118110236227" right="0.59055118110236227" top="0.59055118110236227" bottom="0.59055118110236227" header="0.19685039370078741" footer="0.19685039370078741"/>
  <pageSetup paperSize="9" scale="8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8B1B1-AE45-4D09-8E0D-43245F9EB265}">
  <sheetPr>
    <pageSetUpPr fitToPage="1"/>
  </sheetPr>
  <dimension ref="A1:G425"/>
  <sheetViews>
    <sheetView showGridLines="0" zoomScaleNormal="100" workbookViewId="0"/>
  </sheetViews>
  <sheetFormatPr defaultRowHeight="12.75" x14ac:dyDescent="0.2"/>
  <cols>
    <col min="1" max="1" width="10.75" style="171" customWidth="1"/>
    <col min="2" max="2" width="41.75" style="174" customWidth="1"/>
    <col min="3" max="3" width="18" style="171" bestFit="1" customWidth="1"/>
    <col min="4" max="6" width="9.875" style="171" bestFit="1" customWidth="1"/>
    <col min="7" max="7" width="10.25" style="171" bestFit="1" customWidth="1"/>
    <col min="8" max="16384" width="9" style="171"/>
  </cols>
  <sheetData>
    <row r="1" spans="1:7" s="170" customFormat="1" x14ac:dyDescent="0.2">
      <c r="A1" s="86" t="str">
        <f>'Orçamento Sintético'!A1</f>
        <v>P. Execução:</v>
      </c>
      <c r="B1" s="300" t="str">
        <f>'Orçamento Sintético'!D1</f>
        <v>Objeto: Adequações de acessibilidade – área interna - Edifício Infância</v>
      </c>
      <c r="C1" s="301"/>
      <c r="D1" s="302"/>
      <c r="E1" s="86" t="str">
        <f>'Orçamento Sintético'!E1</f>
        <v>Data:</v>
      </c>
      <c r="F1" s="60"/>
      <c r="G1" s="72"/>
    </row>
    <row r="2" spans="1:7" s="170" customFormat="1" x14ac:dyDescent="0.2">
      <c r="A2" s="76" t="str">
        <f>'Orçamento Sintético'!A2:B2</f>
        <v>A</v>
      </c>
      <c r="B2" s="303" t="str">
        <f>'Orçamento Sintético'!D2</f>
        <v>Local:  SEPN 711/911, Bloco B, Asa Norte, Brasília-DF</v>
      </c>
      <c r="C2" s="304"/>
      <c r="D2" s="305"/>
      <c r="E2" s="251">
        <f>'Orçamento Sintético'!E2:F2</f>
        <v>1</v>
      </c>
      <c r="F2" s="296"/>
      <c r="G2" s="73"/>
    </row>
    <row r="3" spans="1:7" s="170" customFormat="1" x14ac:dyDescent="0.2">
      <c r="A3" s="77" t="str">
        <f>'Orçamento Sintético'!A3:B3</f>
        <v>P. Validade:</v>
      </c>
      <c r="B3" s="297" t="str">
        <f>'Orçamento Sintético'!C3</f>
        <v>Razão Social:</v>
      </c>
      <c r="C3" s="298"/>
      <c r="D3" s="299"/>
      <c r="E3" s="86" t="str">
        <f>'Orçamento Sintético'!E3</f>
        <v>Telefone:</v>
      </c>
      <c r="F3" s="87"/>
      <c r="G3" s="74"/>
    </row>
    <row r="4" spans="1:7" s="170" customFormat="1" x14ac:dyDescent="0.2">
      <c r="A4" s="76" t="str">
        <f>'Orçamento Sintético'!A4:B4</f>
        <v>C</v>
      </c>
      <c r="B4" s="310" t="str">
        <f>'Orçamento Sintético'!C4</f>
        <v>D</v>
      </c>
      <c r="C4" s="311"/>
      <c r="D4" s="312"/>
      <c r="E4" s="242" t="str">
        <f>'Orçamento Sintético'!E4:F4</f>
        <v>E</v>
      </c>
      <c r="F4" s="243"/>
      <c r="G4" s="73"/>
    </row>
    <row r="5" spans="1:7" s="170" customFormat="1" x14ac:dyDescent="0.2">
      <c r="A5" s="66" t="str">
        <f>'Orçamento Sintético'!A5</f>
        <v>P. Garantia:</v>
      </c>
      <c r="B5" s="307" t="str">
        <f>'Orçamento Sintético'!C5</f>
        <v>CNPJ:</v>
      </c>
      <c r="C5" s="308"/>
      <c r="D5" s="309"/>
      <c r="E5" s="86" t="str">
        <f>'Orçamento Sintético'!E5</f>
        <v>E-mail:</v>
      </c>
      <c r="F5" s="87"/>
      <c r="G5" s="74"/>
    </row>
    <row r="6" spans="1:7" s="170" customFormat="1" x14ac:dyDescent="0.2">
      <c r="A6" s="71" t="str">
        <f>'Orçamento Sintético'!A6:B6</f>
        <v>F</v>
      </c>
      <c r="B6" s="310" t="str">
        <f>'Orçamento Sintético'!C6</f>
        <v>G</v>
      </c>
      <c r="C6" s="311"/>
      <c r="D6" s="312"/>
      <c r="E6" s="242" t="str">
        <f>'Orçamento Sintético'!E6:F6</f>
        <v>H</v>
      </c>
      <c r="F6" s="243"/>
      <c r="G6" s="75"/>
    </row>
    <row r="7" spans="1:7" ht="12.75" customHeight="1" x14ac:dyDescent="0.25">
      <c r="A7" s="314" t="s">
        <v>1138</v>
      </c>
      <c r="B7" s="315"/>
      <c r="C7" s="315"/>
      <c r="D7" s="315"/>
      <c r="E7" s="315"/>
      <c r="F7" s="315"/>
      <c r="G7" s="315"/>
    </row>
    <row r="8" spans="1:7" x14ac:dyDescent="0.2">
      <c r="A8" s="7" t="s">
        <v>1</v>
      </c>
      <c r="B8" s="7" t="s">
        <v>4</v>
      </c>
      <c r="C8" s="7" t="s">
        <v>1139</v>
      </c>
      <c r="D8" s="7" t="s">
        <v>1140</v>
      </c>
      <c r="E8" s="7" t="s">
        <v>1141</v>
      </c>
      <c r="F8" s="7" t="s">
        <v>1142</v>
      </c>
      <c r="G8" s="7" t="s">
        <v>1143</v>
      </c>
    </row>
    <row r="9" spans="1:7" s="83" customFormat="1" ht="12" customHeight="1" x14ac:dyDescent="0.2">
      <c r="A9" s="316" t="s">
        <v>10</v>
      </c>
      <c r="B9" s="282" t="str">
        <f>VLOOKUP(A9,'Orçamento Sintético'!$A:$H,4,0)</f>
        <v>SERVIÇOS TÉCNICOS-PROFISSIONAIS</v>
      </c>
      <c r="C9" s="78">
        <f>ROUND(C10/$G$425,4)</f>
        <v>2.9999999999999997E-4</v>
      </c>
      <c r="D9" s="78">
        <f>ROUND(D10/$C10,4)</f>
        <v>1</v>
      </c>
      <c r="E9" s="78">
        <f t="shared" ref="E9:G9" si="0">ROUND(E10/$C10,4)</f>
        <v>0</v>
      </c>
      <c r="F9" s="78">
        <f t="shared" si="0"/>
        <v>0</v>
      </c>
      <c r="G9" s="78">
        <f t="shared" si="0"/>
        <v>0</v>
      </c>
    </row>
    <row r="10" spans="1:7" s="83" customFormat="1" x14ac:dyDescent="0.2">
      <c r="A10" s="317"/>
      <c r="B10" s="283"/>
      <c r="C10" s="168">
        <f>VLOOKUP(A9,'Orçamento Sintético'!$A:$H,8,0)</f>
        <v>233.94</v>
      </c>
      <c r="D10" s="168">
        <f>D12</f>
        <v>233.94</v>
      </c>
      <c r="E10" s="168">
        <f t="shared" ref="E10:G10" si="1">E12</f>
        <v>0</v>
      </c>
      <c r="F10" s="168">
        <f t="shared" si="1"/>
        <v>0</v>
      </c>
      <c r="G10" s="168">
        <f t="shared" si="1"/>
        <v>0</v>
      </c>
    </row>
    <row r="11" spans="1:7" s="83" customFormat="1" x14ac:dyDescent="0.2">
      <c r="A11" s="318" t="s">
        <v>12</v>
      </c>
      <c r="B11" s="286" t="str">
        <f>VLOOKUP(A11,'Orçamento Sintético'!$A:$H,4,0)</f>
        <v>TAXAS E EMOLUMENTOS</v>
      </c>
      <c r="C11" s="79">
        <f>ROUND(C12/$G$425,4)</f>
        <v>2.9999999999999997E-4</v>
      </c>
      <c r="D11" s="79">
        <f>ROUND(D12/$C12,4)</f>
        <v>1</v>
      </c>
      <c r="E11" s="79">
        <f t="shared" ref="E11:F11" si="2">ROUND(E12/$C12,4)</f>
        <v>0</v>
      </c>
      <c r="F11" s="79">
        <f t="shared" si="2"/>
        <v>0</v>
      </c>
      <c r="G11" s="79">
        <f>ROUND(G12/$C12,4)</f>
        <v>0</v>
      </c>
    </row>
    <row r="12" spans="1:7" s="83" customFormat="1" x14ac:dyDescent="0.2">
      <c r="A12" s="319"/>
      <c r="B12" s="287"/>
      <c r="C12" s="169">
        <f>VLOOKUP(A11,'Orçamento Sintético'!$A:$H,8,0)</f>
        <v>233.94</v>
      </c>
      <c r="D12" s="169">
        <f>D14</f>
        <v>233.94</v>
      </c>
      <c r="E12" s="169">
        <f t="shared" ref="E12:G12" si="3">E14</f>
        <v>0</v>
      </c>
      <c r="F12" s="169">
        <f t="shared" si="3"/>
        <v>0</v>
      </c>
      <c r="G12" s="169">
        <f t="shared" si="3"/>
        <v>0</v>
      </c>
    </row>
    <row r="13" spans="1:7" s="172" customFormat="1" x14ac:dyDescent="0.2">
      <c r="A13" s="320" t="s">
        <v>14</v>
      </c>
      <c r="B13" s="290" t="str">
        <f>VLOOKUP(A13,'Orçamento Sintético'!$A:$H,4,0)</f>
        <v>Registro do contrato junto ao conselho de classe (ART)</v>
      </c>
      <c r="C13" s="91">
        <f>ROUND(C14/$G$425,4)</f>
        <v>2.9999999999999997E-4</v>
      </c>
      <c r="D13" s="91">
        <v>1</v>
      </c>
      <c r="E13" s="91"/>
      <c r="F13" s="91"/>
      <c r="G13" s="91">
        <f>ROUND(G14/C14,4)</f>
        <v>0</v>
      </c>
    </row>
    <row r="14" spans="1:7" s="172" customFormat="1" x14ac:dyDescent="0.2">
      <c r="A14" s="321"/>
      <c r="B14" s="291"/>
      <c r="C14" s="89">
        <f>VLOOKUP(A13,'Orçamento Sintético'!$A:$H,8,0)</f>
        <v>233.94</v>
      </c>
      <c r="D14" s="89">
        <f>ROUND($C14*D13,2)</f>
        <v>233.94</v>
      </c>
      <c r="E14" s="89">
        <f t="shared" ref="E14:F14" si="4">ROUND($C14*E13,2)</f>
        <v>0</v>
      </c>
      <c r="F14" s="89">
        <f t="shared" si="4"/>
        <v>0</v>
      </c>
      <c r="G14" s="89">
        <f>$C14-SUM(D14:F14)</f>
        <v>0</v>
      </c>
    </row>
    <row r="15" spans="1:7" s="83" customFormat="1" x14ac:dyDescent="0.2">
      <c r="A15" s="280" t="s">
        <v>19</v>
      </c>
      <c r="B15" s="282" t="str">
        <f>VLOOKUP(A15,'Orçamento Sintético'!$A:$H,4,0)</f>
        <v>SERVIÇOS PRELIMINARES</v>
      </c>
      <c r="C15" s="78">
        <f>ROUND(C16/$G$425,4)</f>
        <v>1.9E-2</v>
      </c>
      <c r="D15" s="78">
        <f>ROUND(D16/$C16,4)</f>
        <v>1</v>
      </c>
      <c r="E15" s="78">
        <f t="shared" ref="E15:G15" si="5">ROUND(E16/$C16,4)</f>
        <v>0</v>
      </c>
      <c r="F15" s="78">
        <f t="shared" si="5"/>
        <v>0</v>
      </c>
      <c r="G15" s="78">
        <f t="shared" si="5"/>
        <v>0</v>
      </c>
    </row>
    <row r="16" spans="1:7" s="83" customFormat="1" x14ac:dyDescent="0.2">
      <c r="A16" s="281"/>
      <c r="B16" s="283"/>
      <c r="C16" s="168">
        <f>VLOOKUP(A15,'Orçamento Sintético'!$A:$H,8,0)</f>
        <v>17056.11</v>
      </c>
      <c r="D16" s="168">
        <f>D18+D26</f>
        <v>17056.11</v>
      </c>
      <c r="E16" s="168">
        <f t="shared" ref="E16:G16" si="6">E18+E26</f>
        <v>0</v>
      </c>
      <c r="F16" s="168">
        <f t="shared" si="6"/>
        <v>0</v>
      </c>
      <c r="G16" s="168">
        <f t="shared" si="6"/>
        <v>0</v>
      </c>
    </row>
    <row r="17" spans="1:7" s="83" customFormat="1" x14ac:dyDescent="0.2">
      <c r="A17" s="284" t="s">
        <v>21</v>
      </c>
      <c r="B17" s="286" t="str">
        <f>VLOOKUP(A17,'Orçamento Sintético'!$A:$H,4,0)</f>
        <v>CANTEIRO DE OBRAS</v>
      </c>
      <c r="C17" s="79">
        <f>ROUND(C18/$G$425,4)</f>
        <v>1.1000000000000001E-3</v>
      </c>
      <c r="D17" s="79">
        <f>ROUND(D18/$C18,4)</f>
        <v>1</v>
      </c>
      <c r="E17" s="79">
        <f t="shared" ref="E17" si="7">ROUND(E18/$C18,4)</f>
        <v>0</v>
      </c>
      <c r="F17" s="79">
        <f t="shared" ref="F17" si="8">ROUND(F18/$C18,4)</f>
        <v>0</v>
      </c>
      <c r="G17" s="79">
        <f t="shared" ref="G17" si="9">ROUND(G18/$C18,4)</f>
        <v>0</v>
      </c>
    </row>
    <row r="18" spans="1:7" s="83" customFormat="1" x14ac:dyDescent="0.2">
      <c r="A18" s="285"/>
      <c r="B18" s="287"/>
      <c r="C18" s="169">
        <f>VLOOKUP(A17,'Orçamento Sintético'!$A:$H,8,0)</f>
        <v>1012.4</v>
      </c>
      <c r="D18" s="169">
        <f>D20</f>
        <v>1012.4</v>
      </c>
      <c r="E18" s="169">
        <f t="shared" ref="E18:G18" si="10">E20</f>
        <v>0</v>
      </c>
      <c r="F18" s="169">
        <f t="shared" si="10"/>
        <v>0</v>
      </c>
      <c r="G18" s="169">
        <f t="shared" si="10"/>
        <v>0</v>
      </c>
    </row>
    <row r="19" spans="1:7" s="83" customFormat="1" x14ac:dyDescent="0.2">
      <c r="A19" s="292" t="s">
        <v>23</v>
      </c>
      <c r="B19" s="294" t="str">
        <f>VLOOKUP(A19,'Orçamento Sintético'!$A:$H,4,0)</f>
        <v>Proteção e Sinalização</v>
      </c>
      <c r="C19" s="80">
        <f>ROUND(C20/$G$425,4)</f>
        <v>1.1000000000000001E-3</v>
      </c>
      <c r="D19" s="80">
        <f t="shared" ref="D19:G19" si="11">ROUND(D20/$C20,4)</f>
        <v>1</v>
      </c>
      <c r="E19" s="80">
        <f t="shared" si="11"/>
        <v>0</v>
      </c>
      <c r="F19" s="80">
        <f t="shared" si="11"/>
        <v>0</v>
      </c>
      <c r="G19" s="80">
        <f t="shared" si="11"/>
        <v>0</v>
      </c>
    </row>
    <row r="20" spans="1:7" s="83" customFormat="1" x14ac:dyDescent="0.2">
      <c r="A20" s="293"/>
      <c r="B20" s="295"/>
      <c r="C20" s="90">
        <f>VLOOKUP(A19,'Orçamento Sintético'!$A:$H,8,0)</f>
        <v>1012.4</v>
      </c>
      <c r="D20" s="90">
        <f>D22+D24</f>
        <v>1012.4</v>
      </c>
      <c r="E20" s="90">
        <f t="shared" ref="E20:G20" si="12">E22+E24</f>
        <v>0</v>
      </c>
      <c r="F20" s="90">
        <f t="shared" si="12"/>
        <v>0</v>
      </c>
      <c r="G20" s="90">
        <f t="shared" si="12"/>
        <v>0</v>
      </c>
    </row>
    <row r="21" spans="1:7" x14ac:dyDescent="0.2">
      <c r="A21" s="288" t="s">
        <v>25</v>
      </c>
      <c r="B21" s="290" t="str">
        <f>VLOOKUP(A21,'Orçamento Sintético'!$A:$H,4,0)</f>
        <v>SINALIZAÇÃO COM FITA FIXADA NA ESTRUTURA. AF_11/2017</v>
      </c>
      <c r="C21" s="91">
        <f>ROUND(C22/$G$425,4)</f>
        <v>4.0000000000000002E-4</v>
      </c>
      <c r="D21" s="91">
        <v>1</v>
      </c>
      <c r="E21" s="91"/>
      <c r="F21" s="91"/>
      <c r="G21" s="91">
        <f>ROUND(G22/C22,4)</f>
        <v>0</v>
      </c>
    </row>
    <row r="22" spans="1:7" x14ac:dyDescent="0.2">
      <c r="A22" s="289"/>
      <c r="B22" s="291"/>
      <c r="C22" s="89">
        <f>VLOOKUP(A21,'Orçamento Sintético'!$A:$H,8,0)</f>
        <v>318</v>
      </c>
      <c r="D22" s="89">
        <f>ROUND($C22*D21,2)</f>
        <v>318</v>
      </c>
      <c r="E22" s="89">
        <f t="shared" ref="E22" si="13">ROUND($C22*E21,2)</f>
        <v>0</v>
      </c>
      <c r="F22" s="89">
        <f t="shared" ref="F22" si="14">ROUND($C22*F21,2)</f>
        <v>0</v>
      </c>
      <c r="G22" s="89">
        <f>$C22-SUM(D22:F22)</f>
        <v>0</v>
      </c>
    </row>
    <row r="23" spans="1:7" x14ac:dyDescent="0.2">
      <c r="A23" s="288" t="s">
        <v>29</v>
      </c>
      <c r="B23" s="290" t="str">
        <f>VLOOKUP(A23,'Orçamento Sintético'!$A:$H,4,0)</f>
        <v>Copia da ORSE (3642) - Lona plástica preta para camada separadora de lastros ou proteção</v>
      </c>
      <c r="C23" s="91">
        <f>ROUND(C24/$G$425,4)</f>
        <v>8.0000000000000004E-4</v>
      </c>
      <c r="D23" s="91">
        <v>1</v>
      </c>
      <c r="E23" s="91"/>
      <c r="F23" s="91"/>
      <c r="G23" s="91">
        <f>ROUND(G24/C24,4)</f>
        <v>0</v>
      </c>
    </row>
    <row r="24" spans="1:7" x14ac:dyDescent="0.2">
      <c r="A24" s="289"/>
      <c r="B24" s="291"/>
      <c r="C24" s="89">
        <f>VLOOKUP(A23,'Orçamento Sintético'!$A:$H,8,0)</f>
        <v>694.4</v>
      </c>
      <c r="D24" s="89">
        <f>ROUND($C24*D23,2)</f>
        <v>694.4</v>
      </c>
      <c r="E24" s="89">
        <f t="shared" ref="E24" si="15">ROUND($C24*E23,2)</f>
        <v>0</v>
      </c>
      <c r="F24" s="89">
        <f t="shared" ref="F24" si="16">ROUND($C24*F23,2)</f>
        <v>0</v>
      </c>
      <c r="G24" s="89">
        <f>$C24-SUM(D24:F24)</f>
        <v>0</v>
      </c>
    </row>
    <row r="25" spans="1:7" s="83" customFormat="1" x14ac:dyDescent="0.2">
      <c r="A25" s="284" t="s">
        <v>33</v>
      </c>
      <c r="B25" s="286" t="str">
        <f>VLOOKUP(A25,'Orçamento Sintético'!$A:$H,4,0)</f>
        <v>DEMOLIÇÃO</v>
      </c>
      <c r="C25" s="79">
        <f>ROUND(C26/$G$425,4)</f>
        <v>1.7899999999999999E-2</v>
      </c>
      <c r="D25" s="79">
        <f>ROUND(D26/$C26,4)</f>
        <v>1</v>
      </c>
      <c r="E25" s="79">
        <f t="shared" ref="E25" si="17">ROUND(E26/$C26,4)</f>
        <v>0</v>
      </c>
      <c r="F25" s="79">
        <f t="shared" ref="F25" si="18">ROUND(F26/$C26,4)</f>
        <v>0</v>
      </c>
      <c r="G25" s="79">
        <f t="shared" ref="G25" si="19">ROUND(G26/$C26,4)</f>
        <v>0</v>
      </c>
    </row>
    <row r="26" spans="1:7" s="83" customFormat="1" x14ac:dyDescent="0.2">
      <c r="A26" s="285"/>
      <c r="B26" s="287"/>
      <c r="C26" s="169">
        <f>VLOOKUP(A25,'Orçamento Sintético'!$A:$H,8,0)</f>
        <v>16043.71</v>
      </c>
      <c r="D26" s="169">
        <f>D28+D40</f>
        <v>16043.71</v>
      </c>
      <c r="E26" s="169">
        <f t="shared" ref="E26:G26" si="20">E28+E40</f>
        <v>0</v>
      </c>
      <c r="F26" s="169">
        <f t="shared" si="20"/>
        <v>0</v>
      </c>
      <c r="G26" s="169">
        <f t="shared" si="20"/>
        <v>0</v>
      </c>
    </row>
    <row r="27" spans="1:7" s="83" customFormat="1" x14ac:dyDescent="0.2">
      <c r="A27" s="292" t="s">
        <v>35</v>
      </c>
      <c r="B27" s="294" t="str">
        <f>VLOOKUP(A27,'Orçamento Sintético'!$A:$H,4,0)</f>
        <v>Demolição Convencional</v>
      </c>
      <c r="C27" s="80">
        <f>ROUND(C28/$G$425,4)</f>
        <v>8.5000000000000006E-3</v>
      </c>
      <c r="D27" s="80">
        <f t="shared" ref="D27:G27" si="21">ROUND(D28/$C28,4)</f>
        <v>1</v>
      </c>
      <c r="E27" s="80">
        <f t="shared" si="21"/>
        <v>0</v>
      </c>
      <c r="F27" s="80">
        <f t="shared" si="21"/>
        <v>0</v>
      </c>
      <c r="G27" s="80">
        <f t="shared" si="21"/>
        <v>0</v>
      </c>
    </row>
    <row r="28" spans="1:7" s="83" customFormat="1" x14ac:dyDescent="0.2">
      <c r="A28" s="293"/>
      <c r="B28" s="295"/>
      <c r="C28" s="90">
        <f>VLOOKUP(A27,'Orçamento Sintético'!$A:$H,8,0)</f>
        <v>7643.44</v>
      </c>
      <c r="D28" s="90">
        <f>D30+D32+D34+D36+D38</f>
        <v>7643.44</v>
      </c>
      <c r="E28" s="90">
        <f t="shared" ref="E28:G28" si="22">E30+E32+E34+E36+E38</f>
        <v>0</v>
      </c>
      <c r="F28" s="90">
        <f t="shared" si="22"/>
        <v>0</v>
      </c>
      <c r="G28" s="90">
        <f t="shared" si="22"/>
        <v>0</v>
      </c>
    </row>
    <row r="29" spans="1:7" x14ac:dyDescent="0.2">
      <c r="A29" s="288" t="s">
        <v>37</v>
      </c>
      <c r="B29" s="290" t="str">
        <f>VLOOKUP(A29,'Orçamento Sintético'!$A:$H,4,0)</f>
        <v>DEMOLIÇÃO DE ALVENARIA DE BLOCO FURADO, DE FORMA MANUAL, SEM REAPROVEITAMENTO. AF_12/2017</v>
      </c>
      <c r="C29" s="91">
        <f>ROUND(C30/$G$425,4)</f>
        <v>4.0000000000000002E-4</v>
      </c>
      <c r="D29" s="91">
        <v>1</v>
      </c>
      <c r="E29" s="91"/>
      <c r="F29" s="91"/>
      <c r="G29" s="91">
        <f>ROUND(G30/C30,4)</f>
        <v>0</v>
      </c>
    </row>
    <row r="30" spans="1:7" x14ac:dyDescent="0.2">
      <c r="A30" s="289"/>
      <c r="B30" s="291"/>
      <c r="C30" s="89">
        <f>VLOOKUP(A29,'Orçamento Sintético'!$A:$H,8,0)</f>
        <v>361.12</v>
      </c>
      <c r="D30" s="89">
        <f>ROUND($C30*D29,2)</f>
        <v>361.12</v>
      </c>
      <c r="E30" s="89">
        <f t="shared" ref="E30" si="23">ROUND($C30*E29,2)</f>
        <v>0</v>
      </c>
      <c r="F30" s="89">
        <f t="shared" ref="F30" si="24">ROUND($C30*F29,2)</f>
        <v>0</v>
      </c>
      <c r="G30" s="89">
        <f>$C30-SUM(D30:F30)</f>
        <v>0</v>
      </c>
    </row>
    <row r="31" spans="1:7" x14ac:dyDescent="0.2">
      <c r="A31" s="288" t="s">
        <v>40</v>
      </c>
      <c r="B31" s="290" t="str">
        <f>VLOOKUP(A31,'Orçamento Sintético'!$A:$H,4,0)</f>
        <v>DEMOLIÇÃO DE RODAPÉ CERÂMICO, DE FORMA MANUAL, SEM REAPROVEITAMENTO. AF_12/2017</v>
      </c>
      <c r="C31" s="91">
        <f>ROUND(C32/$G$425,4)</f>
        <v>1.5E-3</v>
      </c>
      <c r="D31" s="91">
        <v>1</v>
      </c>
      <c r="E31" s="91"/>
      <c r="F31" s="91"/>
      <c r="G31" s="91">
        <f>ROUND(G32/C32,4)</f>
        <v>0</v>
      </c>
    </row>
    <row r="32" spans="1:7" x14ac:dyDescent="0.2">
      <c r="A32" s="289"/>
      <c r="B32" s="291"/>
      <c r="C32" s="89">
        <f>VLOOKUP(A31,'Orçamento Sintético'!$A:$H,8,0)</f>
        <v>1335.36</v>
      </c>
      <c r="D32" s="89">
        <f>ROUND($C32*D31,2)</f>
        <v>1335.36</v>
      </c>
      <c r="E32" s="89">
        <f t="shared" ref="E32" si="25">ROUND($C32*E31,2)</f>
        <v>0</v>
      </c>
      <c r="F32" s="89">
        <f t="shared" ref="F32" si="26">ROUND($C32*F31,2)</f>
        <v>0</v>
      </c>
      <c r="G32" s="89">
        <f>$C32-SUM(D32:F32)</f>
        <v>0</v>
      </c>
    </row>
    <row r="33" spans="1:7" x14ac:dyDescent="0.2">
      <c r="A33" s="288" t="s">
        <v>42</v>
      </c>
      <c r="B33" s="290" t="str">
        <f>VLOOKUP(A33,'Orçamento Sintético'!$A:$H,4,0)</f>
        <v>DEMOLIÇÃO DE REVESTIMENTO CERÂMICO, DE FORMA MECANIZADA COM MARTELETE, SEM REAPROVEITAMENTO. AF_12/2017</v>
      </c>
      <c r="C33" s="91">
        <f>ROUND(C34/$G$425,4)</f>
        <v>5.1999999999999998E-3</v>
      </c>
      <c r="D33" s="91">
        <v>1</v>
      </c>
      <c r="E33" s="91"/>
      <c r="F33" s="91"/>
      <c r="G33" s="91">
        <f>ROUND(G34/C34,4)</f>
        <v>0</v>
      </c>
    </row>
    <row r="34" spans="1:7" x14ac:dyDescent="0.2">
      <c r="A34" s="289"/>
      <c r="B34" s="291"/>
      <c r="C34" s="89">
        <f>VLOOKUP(A33,'Orçamento Sintético'!$A:$H,8,0)</f>
        <v>4690.6000000000004</v>
      </c>
      <c r="D34" s="89">
        <f>ROUND($C34*D33,2)</f>
        <v>4690.6000000000004</v>
      </c>
      <c r="E34" s="89">
        <f t="shared" ref="E34" si="27">ROUND($C34*E33,2)</f>
        <v>0</v>
      </c>
      <c r="F34" s="89">
        <f t="shared" ref="F34" si="28">ROUND($C34*F33,2)</f>
        <v>0</v>
      </c>
      <c r="G34" s="89">
        <f>$C34-SUM(D34:F34)</f>
        <v>0</v>
      </c>
    </row>
    <row r="35" spans="1:7" x14ac:dyDescent="0.2">
      <c r="A35" s="288" t="s">
        <v>44</v>
      </c>
      <c r="B35" s="290" t="str">
        <f>VLOOKUP(A35,'Orçamento Sintético'!$A:$H,4,0)</f>
        <v>Copia da SIURB (175023) - DEMOLIÇÃO MECANIZADA DE CONCRETO ARMADO</v>
      </c>
      <c r="C35" s="91">
        <f>ROUND(C36/$G$425,4)</f>
        <v>1.1999999999999999E-3</v>
      </c>
      <c r="D35" s="91">
        <v>1</v>
      </c>
      <c r="E35" s="91"/>
      <c r="F35" s="91"/>
      <c r="G35" s="91">
        <f>ROUND(G36/C36,4)</f>
        <v>0</v>
      </c>
    </row>
    <row r="36" spans="1:7" x14ac:dyDescent="0.2">
      <c r="A36" s="289"/>
      <c r="B36" s="291"/>
      <c r="C36" s="89">
        <f>VLOOKUP(A35,'Orçamento Sintético'!$A:$H,8,0)</f>
        <v>1073.1600000000001</v>
      </c>
      <c r="D36" s="89">
        <f>ROUND($C36*D35,2)</f>
        <v>1073.1600000000001</v>
      </c>
      <c r="E36" s="89">
        <f t="shared" ref="E36" si="29">ROUND($C36*E35,2)</f>
        <v>0</v>
      </c>
      <c r="F36" s="89">
        <f t="shared" ref="F36" si="30">ROUND($C36*F35,2)</f>
        <v>0</v>
      </c>
      <c r="G36" s="89">
        <f>$C36-SUM(D36:F36)</f>
        <v>0</v>
      </c>
    </row>
    <row r="37" spans="1:7" x14ac:dyDescent="0.2">
      <c r="A37" s="288" t="s">
        <v>47</v>
      </c>
      <c r="B37" s="290" t="str">
        <f>VLOOKUP(A37,'Orçamento Sintético'!$A:$H,4,0)</f>
        <v>RASGO EM ALVENARIA PARA RAMAIS/ DISTRIBUIÇÃO COM DIAMETROS MENORES OU IGUAIS A 40 MM. AF_05/2015</v>
      </c>
      <c r="C37" s="91">
        <f>ROUND(C38/$G$425,4)</f>
        <v>2.0000000000000001E-4</v>
      </c>
      <c r="D37" s="91">
        <v>1</v>
      </c>
      <c r="E37" s="91"/>
      <c r="F37" s="91"/>
      <c r="G37" s="91">
        <f>ROUND(G38/C38,4)</f>
        <v>0</v>
      </c>
    </row>
    <row r="38" spans="1:7" x14ac:dyDescent="0.2">
      <c r="A38" s="289"/>
      <c r="B38" s="291"/>
      <c r="C38" s="89">
        <f>VLOOKUP(A37,'Orçamento Sintético'!$A:$H,8,0)</f>
        <v>183.2</v>
      </c>
      <c r="D38" s="89">
        <f>ROUND($C38*D37,2)</f>
        <v>183.2</v>
      </c>
      <c r="E38" s="89">
        <f t="shared" ref="E38" si="31">ROUND($C38*E37,2)</f>
        <v>0</v>
      </c>
      <c r="F38" s="89">
        <f t="shared" ref="F38" si="32">ROUND($C38*F37,2)</f>
        <v>0</v>
      </c>
      <c r="G38" s="89">
        <f>$C38-SUM(D38:F38)</f>
        <v>0</v>
      </c>
    </row>
    <row r="39" spans="1:7" s="83" customFormat="1" x14ac:dyDescent="0.2">
      <c r="A39" s="292" t="s">
        <v>50</v>
      </c>
      <c r="B39" s="294" t="str">
        <f>VLOOKUP(A39,'Orçamento Sintético'!$A:$H,4,0)</f>
        <v>Remoções</v>
      </c>
      <c r="C39" s="80">
        <f>ROUND(C40/$G$425,4)</f>
        <v>9.4000000000000004E-3</v>
      </c>
      <c r="D39" s="80">
        <f t="shared" ref="D39:G39" si="33">ROUND(D40/$C40,4)</f>
        <v>1</v>
      </c>
      <c r="E39" s="80">
        <f t="shared" si="33"/>
        <v>0</v>
      </c>
      <c r="F39" s="80">
        <f t="shared" si="33"/>
        <v>0</v>
      </c>
      <c r="G39" s="80">
        <f t="shared" si="33"/>
        <v>0</v>
      </c>
    </row>
    <row r="40" spans="1:7" s="83" customFormat="1" x14ac:dyDescent="0.2">
      <c r="A40" s="293"/>
      <c r="B40" s="295"/>
      <c r="C40" s="90">
        <f>VLOOKUP(A39,'Orçamento Sintético'!$A:$H,8,0)</f>
        <v>8400.27</v>
      </c>
      <c r="D40" s="90">
        <f>D42+D44+D46+D48+D50+D52+D54+D56+D58+D60+D62</f>
        <v>8400.27</v>
      </c>
      <c r="E40" s="90">
        <f t="shared" ref="E40:G40" si="34">E42+E44+E46+E48+E50+E52+E54+E56+E58+E60+E62</f>
        <v>0</v>
      </c>
      <c r="F40" s="90">
        <f t="shared" si="34"/>
        <v>0</v>
      </c>
      <c r="G40" s="90">
        <f t="shared" si="34"/>
        <v>0</v>
      </c>
    </row>
    <row r="41" spans="1:7" x14ac:dyDescent="0.2">
      <c r="A41" s="288" t="s">
        <v>52</v>
      </c>
      <c r="B41" s="290" t="str">
        <f>VLOOKUP(A41,'Orçamento Sintético'!$A:$H,4,0)</f>
        <v>Copia da SBC (022441) - REMOÇÃO DE DIVISÓRIAS SANITÁRIA DE MADEIRA</v>
      </c>
      <c r="C41" s="91">
        <f>ROUND(C42/$G$425,4)</f>
        <v>1.8E-3</v>
      </c>
      <c r="D41" s="91">
        <v>1</v>
      </c>
      <c r="E41" s="91"/>
      <c r="F41" s="91"/>
      <c r="G41" s="91">
        <f>ROUND(G42/C42,4)</f>
        <v>0</v>
      </c>
    </row>
    <row r="42" spans="1:7" x14ac:dyDescent="0.2">
      <c r="A42" s="289"/>
      <c r="B42" s="291"/>
      <c r="C42" s="89">
        <f>VLOOKUP(A41,'Orçamento Sintético'!$A:$H,8,0)</f>
        <v>1575.09</v>
      </c>
      <c r="D42" s="89">
        <f>ROUND($C42*D41,2)</f>
        <v>1575.09</v>
      </c>
      <c r="E42" s="89">
        <f t="shared" ref="E42" si="35">ROUND($C42*E41,2)</f>
        <v>0</v>
      </c>
      <c r="F42" s="89">
        <f t="shared" ref="F42" si="36">ROUND($C42*F41,2)</f>
        <v>0</v>
      </c>
      <c r="G42" s="89">
        <f>$C42-SUM(D42:F42)</f>
        <v>0</v>
      </c>
    </row>
    <row r="43" spans="1:7" x14ac:dyDescent="0.2">
      <c r="A43" s="288" t="s">
        <v>55</v>
      </c>
      <c r="B43" s="290" t="str">
        <f>VLOOKUP(A43,'Orçamento Sintético'!$A:$H,4,0)</f>
        <v>Copia da SINAPI (100717) - Retirada de laminado melamínico e lixamento manual de superfície</v>
      </c>
      <c r="C43" s="91">
        <f>ROUND(C44/$G$425,4)</f>
        <v>3.8999999999999998E-3</v>
      </c>
      <c r="D43" s="91">
        <v>1</v>
      </c>
      <c r="E43" s="91"/>
      <c r="F43" s="91"/>
      <c r="G43" s="91">
        <f>ROUND(G44/C44,4)</f>
        <v>0</v>
      </c>
    </row>
    <row r="44" spans="1:7" x14ac:dyDescent="0.2">
      <c r="A44" s="289"/>
      <c r="B44" s="291"/>
      <c r="C44" s="89">
        <f>VLOOKUP(A43,'Orçamento Sintético'!$A:$H,8,0)</f>
        <v>3485.65</v>
      </c>
      <c r="D44" s="89">
        <f>ROUND($C44*D43,2)</f>
        <v>3485.65</v>
      </c>
      <c r="E44" s="89">
        <f t="shared" ref="E44" si="37">ROUND($C44*E43,2)</f>
        <v>0</v>
      </c>
      <c r="F44" s="89">
        <f t="shared" ref="F44" si="38">ROUND($C44*F43,2)</f>
        <v>0</v>
      </c>
      <c r="G44" s="89">
        <f>$C44-SUM(D44:F44)</f>
        <v>0</v>
      </c>
    </row>
    <row r="45" spans="1:7" x14ac:dyDescent="0.2">
      <c r="A45" s="288" t="s">
        <v>58</v>
      </c>
      <c r="B45" s="290" t="str">
        <f>VLOOKUP(A45,'Orçamento Sintético'!$A:$H,4,0)</f>
        <v>Copia da SINAPI (85412) - REMOCAO DE RODAPE DE MARMORE OU GRANITO</v>
      </c>
      <c r="C45" s="91">
        <f>ROUND(C46/$G$425,4)</f>
        <v>8.0000000000000004E-4</v>
      </c>
      <c r="D45" s="91">
        <v>1</v>
      </c>
      <c r="E45" s="91"/>
      <c r="F45" s="91"/>
      <c r="G45" s="91">
        <f>ROUND(G46/C46,4)</f>
        <v>0</v>
      </c>
    </row>
    <row r="46" spans="1:7" x14ac:dyDescent="0.2">
      <c r="A46" s="289"/>
      <c r="B46" s="291"/>
      <c r="C46" s="89">
        <f>VLOOKUP(A45,'Orçamento Sintético'!$A:$H,8,0)</f>
        <v>724.5</v>
      </c>
      <c r="D46" s="89">
        <f>ROUND($C46*D45,2)</f>
        <v>724.5</v>
      </c>
      <c r="E46" s="89">
        <f t="shared" ref="E46" si="39">ROUND($C46*E45,2)</f>
        <v>0</v>
      </c>
      <c r="F46" s="89">
        <f t="shared" ref="F46" si="40">ROUND($C46*F45,2)</f>
        <v>0</v>
      </c>
      <c r="G46" s="89">
        <f>$C46-SUM(D46:F46)</f>
        <v>0</v>
      </c>
    </row>
    <row r="47" spans="1:7" x14ac:dyDescent="0.2">
      <c r="A47" s="288" t="s">
        <v>61</v>
      </c>
      <c r="B47" s="290" t="str">
        <f>VLOOKUP(A47,'Orçamento Sintético'!$A:$H,4,0)</f>
        <v>Copia da SBC (022904) - REMOÇÃO ARMÁRIOS EMBUTIDOS</v>
      </c>
      <c r="C47" s="91">
        <f>ROUND(C48/$G$425,4)</f>
        <v>1E-4</v>
      </c>
      <c r="D47" s="91">
        <v>1</v>
      </c>
      <c r="E47" s="91"/>
      <c r="F47" s="91"/>
      <c r="G47" s="91">
        <f>ROUND(G48/C48,4)</f>
        <v>0</v>
      </c>
    </row>
    <row r="48" spans="1:7" x14ac:dyDescent="0.2">
      <c r="A48" s="289"/>
      <c r="B48" s="291"/>
      <c r="C48" s="89">
        <f>VLOOKUP(A47,'Orçamento Sintético'!$A:$H,8,0)</f>
        <v>132.62</v>
      </c>
      <c r="D48" s="89">
        <f>ROUND($C48*D47,2)</f>
        <v>132.62</v>
      </c>
      <c r="E48" s="89">
        <f t="shared" ref="E48" si="41">ROUND($C48*E47,2)</f>
        <v>0</v>
      </c>
      <c r="F48" s="89">
        <f t="shared" ref="F48" si="42">ROUND($C48*F47,2)</f>
        <v>0</v>
      </c>
      <c r="G48" s="89">
        <f>$C48-SUM(D48:F48)</f>
        <v>0</v>
      </c>
    </row>
    <row r="49" spans="1:7" x14ac:dyDescent="0.2">
      <c r="A49" s="288" t="s">
        <v>64</v>
      </c>
      <c r="B49" s="290" t="str">
        <f>VLOOKUP(A49,'Orçamento Sintético'!$A:$H,4,0)</f>
        <v>REMOÇÃO DE LOUÇAS, DE FORMA MANUAL, SEM REAPROVEITAMENTO. AF_12/2017</v>
      </c>
      <c r="C49" s="91">
        <f>ROUND(C50/$G$425,4)</f>
        <v>8.0000000000000004E-4</v>
      </c>
      <c r="D49" s="91">
        <v>1</v>
      </c>
      <c r="E49" s="91"/>
      <c r="F49" s="91"/>
      <c r="G49" s="91">
        <f>ROUND(G50/C50,4)</f>
        <v>0</v>
      </c>
    </row>
    <row r="50" spans="1:7" x14ac:dyDescent="0.2">
      <c r="A50" s="289"/>
      <c r="B50" s="291"/>
      <c r="C50" s="89">
        <f>VLOOKUP(A49,'Orçamento Sintético'!$A:$H,8,0)</f>
        <v>743.25</v>
      </c>
      <c r="D50" s="89">
        <f>ROUND($C50*D49,2)</f>
        <v>743.25</v>
      </c>
      <c r="E50" s="89">
        <f t="shared" ref="E50" si="43">ROUND($C50*E49,2)</f>
        <v>0</v>
      </c>
      <c r="F50" s="89">
        <f t="shared" ref="F50" si="44">ROUND($C50*F49,2)</f>
        <v>0</v>
      </c>
      <c r="G50" s="89">
        <f>$C50-SUM(D50:F50)</f>
        <v>0</v>
      </c>
    </row>
    <row r="51" spans="1:7" x14ac:dyDescent="0.2">
      <c r="A51" s="288" t="s">
        <v>68</v>
      </c>
      <c r="B51" s="290" t="str">
        <f>VLOOKUP(A51,'Orçamento Sintético'!$A:$H,4,0)</f>
        <v>REMOÇÃO DE METAIS SANITÁRIOS, DE FORMA MANUAL, SEM REAPROVEITAMENTO. AF_12/2017</v>
      </c>
      <c r="C51" s="91">
        <f>ROUND(C52/$G$425,4)</f>
        <v>5.9999999999999995E-4</v>
      </c>
      <c r="D51" s="91">
        <v>1</v>
      </c>
      <c r="E51" s="91"/>
      <c r="F51" s="91"/>
      <c r="G51" s="91">
        <f>ROUND(G52/C52,4)</f>
        <v>0</v>
      </c>
    </row>
    <row r="52" spans="1:7" x14ac:dyDescent="0.2">
      <c r="A52" s="289"/>
      <c r="B52" s="291"/>
      <c r="C52" s="89">
        <f>VLOOKUP(A51,'Orçamento Sintético'!$A:$H,8,0)</f>
        <v>541.5</v>
      </c>
      <c r="D52" s="89">
        <f>ROUND($C52*D51,2)</f>
        <v>541.5</v>
      </c>
      <c r="E52" s="89">
        <f t="shared" ref="E52" si="45">ROUND($C52*E51,2)</f>
        <v>0</v>
      </c>
      <c r="F52" s="89">
        <f t="shared" ref="F52" si="46">ROUND($C52*F51,2)</f>
        <v>0</v>
      </c>
      <c r="G52" s="89">
        <f>$C52-SUM(D52:F52)</f>
        <v>0</v>
      </c>
    </row>
    <row r="53" spans="1:7" x14ac:dyDescent="0.2">
      <c r="A53" s="288" t="s">
        <v>71</v>
      </c>
      <c r="B53" s="290" t="str">
        <f>VLOOKUP(A53,'Orçamento Sintético'!$A:$H,4,0)</f>
        <v>REMOÇÃO DE LUMINÁRIAS, DE FORMA MANUAL, SEM REAPROVEITAMENTO. AF_12/2017</v>
      </c>
      <c r="C53" s="91">
        <f>ROUND(C54/$G$425,4)</f>
        <v>0</v>
      </c>
      <c r="D53" s="91">
        <v>1</v>
      </c>
      <c r="E53" s="91"/>
      <c r="F53" s="91"/>
      <c r="G53" s="91">
        <f>ROUND(G54/C54,4)</f>
        <v>0</v>
      </c>
    </row>
    <row r="54" spans="1:7" x14ac:dyDescent="0.2">
      <c r="A54" s="289"/>
      <c r="B54" s="291"/>
      <c r="C54" s="89">
        <f>VLOOKUP(A53,'Orçamento Sintético'!$A:$H,8,0)</f>
        <v>28.84</v>
      </c>
      <c r="D54" s="89">
        <f>ROUND($C54*D53,2)</f>
        <v>28.84</v>
      </c>
      <c r="E54" s="89">
        <f t="shared" ref="E54" si="47">ROUND($C54*E53,2)</f>
        <v>0</v>
      </c>
      <c r="F54" s="89">
        <f t="shared" ref="F54" si="48">ROUND($C54*F53,2)</f>
        <v>0</v>
      </c>
      <c r="G54" s="89">
        <f>$C54-SUM(D54:F54)</f>
        <v>0</v>
      </c>
    </row>
    <row r="55" spans="1:7" x14ac:dyDescent="0.2">
      <c r="A55" s="288" t="s">
        <v>74</v>
      </c>
      <c r="B55" s="290" t="str">
        <f>VLOOKUP(A55,'Orçamento Sintético'!$A:$H,4,0)</f>
        <v>REMOÇÃO DE PORTAS, DE FORMA MANUAL, SEM REAPROVEITAMENTO. AF_12/2017</v>
      </c>
      <c r="C55" s="91">
        <f>ROUND(C56/$G$425,4)</f>
        <v>1E-4</v>
      </c>
      <c r="D55" s="91">
        <v>1</v>
      </c>
      <c r="E55" s="91"/>
      <c r="F55" s="91"/>
      <c r="G55" s="91">
        <f>ROUND(G56/C56,4)</f>
        <v>0</v>
      </c>
    </row>
    <row r="56" spans="1:7" x14ac:dyDescent="0.2">
      <c r="A56" s="289"/>
      <c r="B56" s="291"/>
      <c r="C56" s="89">
        <f>VLOOKUP(A55,'Orçamento Sintético'!$A:$H,8,0)</f>
        <v>112.2</v>
      </c>
      <c r="D56" s="89">
        <f>ROUND($C56*D55,2)</f>
        <v>112.2</v>
      </c>
      <c r="E56" s="89">
        <f t="shared" ref="E56" si="49">ROUND($C56*E55,2)</f>
        <v>0</v>
      </c>
      <c r="F56" s="89">
        <f t="shared" ref="F56" si="50">ROUND($C56*F55,2)</f>
        <v>0</v>
      </c>
      <c r="G56" s="89">
        <f>$C56-SUM(D56:F56)</f>
        <v>0</v>
      </c>
    </row>
    <row r="57" spans="1:7" x14ac:dyDescent="0.2">
      <c r="A57" s="288" t="s">
        <v>77</v>
      </c>
      <c r="B57" s="290" t="str">
        <f>VLOOKUP(A57,'Orçamento Sintético'!$A:$H,4,0)</f>
        <v>Cópia da Iopes (010225) - Retirada de peças de granito - bancada, banca, balcão, prateleira</v>
      </c>
      <c r="C57" s="91">
        <f>ROUND(C58/$G$425,4)</f>
        <v>4.0000000000000002E-4</v>
      </c>
      <c r="D57" s="91">
        <v>1</v>
      </c>
      <c r="E57" s="91"/>
      <c r="F57" s="91"/>
      <c r="G57" s="91">
        <f>ROUND(G58/C58,4)</f>
        <v>0</v>
      </c>
    </row>
    <row r="58" spans="1:7" x14ac:dyDescent="0.2">
      <c r="A58" s="289"/>
      <c r="B58" s="291"/>
      <c r="C58" s="89">
        <f>VLOOKUP(A57,'Orçamento Sintético'!$A:$H,8,0)</f>
        <v>388</v>
      </c>
      <c r="D58" s="89">
        <f>ROUND($C58*D57,2)</f>
        <v>388</v>
      </c>
      <c r="E58" s="89">
        <f t="shared" ref="E58" si="51">ROUND($C58*E57,2)</f>
        <v>0</v>
      </c>
      <c r="F58" s="89">
        <f t="shared" ref="F58" si="52">ROUND($C58*F57,2)</f>
        <v>0</v>
      </c>
      <c r="G58" s="89">
        <f>$C58-SUM(D58:F58)</f>
        <v>0</v>
      </c>
    </row>
    <row r="59" spans="1:7" x14ac:dyDescent="0.2">
      <c r="A59" s="288" t="s">
        <v>80</v>
      </c>
      <c r="B59" s="290" t="str">
        <f>VLOOKUP(A59,'Orçamento Sintético'!$A:$H,4,0)</f>
        <v>Copia da ORSE (227) - Remoção de estrutura metálica chumbada em concreto (alambrado, guarda-corpo)</v>
      </c>
      <c r="C59" s="91">
        <f>ROUND(C60/$G$425,4)</f>
        <v>1E-4</v>
      </c>
      <c r="D59" s="91">
        <v>1</v>
      </c>
      <c r="E59" s="91"/>
      <c r="F59" s="91"/>
      <c r="G59" s="91">
        <f>ROUND(G60/C60,4)</f>
        <v>0</v>
      </c>
    </row>
    <row r="60" spans="1:7" x14ac:dyDescent="0.2">
      <c r="A60" s="289"/>
      <c r="B60" s="291"/>
      <c r="C60" s="89">
        <f>VLOOKUP(A59,'Orçamento Sintético'!$A:$H,8,0)</f>
        <v>103.02</v>
      </c>
      <c r="D60" s="89">
        <f>ROUND($C60*D59,2)</f>
        <v>103.02</v>
      </c>
      <c r="E60" s="89">
        <f t="shared" ref="E60" si="53">ROUND($C60*E59,2)</f>
        <v>0</v>
      </c>
      <c r="F60" s="89">
        <f t="shared" ref="F60" si="54">ROUND($C60*F59,2)</f>
        <v>0</v>
      </c>
      <c r="G60" s="89">
        <f>$C60-SUM(D60:F60)</f>
        <v>0</v>
      </c>
    </row>
    <row r="61" spans="1:7" x14ac:dyDescent="0.2">
      <c r="A61" s="288" t="s">
        <v>83</v>
      </c>
      <c r="B61" s="290" t="str">
        <f>VLOOKUP(A61,'Orçamento Sintético'!$A:$H,4,0)</f>
        <v>REMOÇÃO DE FORRO DE GESSO, DE FORMA MANUAL, SEM REAPROVEITAMENTO. AF_12/2017</v>
      </c>
      <c r="C61" s="91">
        <f>ROUND(C62/$G$425,4)</f>
        <v>5.9999999999999995E-4</v>
      </c>
      <c r="D61" s="91">
        <v>1</v>
      </c>
      <c r="E61" s="91"/>
      <c r="F61" s="91"/>
      <c r="G61" s="91">
        <f>ROUND(G62/C62,4)</f>
        <v>0</v>
      </c>
    </row>
    <row r="62" spans="1:7" x14ac:dyDescent="0.2">
      <c r="A62" s="289"/>
      <c r="B62" s="291"/>
      <c r="C62" s="89">
        <f>VLOOKUP(A61,'Orçamento Sintético'!$A:$H,8,0)</f>
        <v>565.6</v>
      </c>
      <c r="D62" s="89">
        <f>ROUND($C62*D61,2)</f>
        <v>565.6</v>
      </c>
      <c r="E62" s="89">
        <f t="shared" ref="E62" si="55">ROUND($C62*E61,2)</f>
        <v>0</v>
      </c>
      <c r="F62" s="89">
        <f t="shared" ref="F62" si="56">ROUND($C62*F61,2)</f>
        <v>0</v>
      </c>
      <c r="G62" s="89">
        <f>$C62-SUM(D62:F62)</f>
        <v>0</v>
      </c>
    </row>
    <row r="63" spans="1:7" s="83" customFormat="1" x14ac:dyDescent="0.2">
      <c r="A63" s="280" t="s">
        <v>86</v>
      </c>
      <c r="B63" s="282" t="str">
        <f>VLOOKUP(A63,'Orçamento Sintético'!$A:$H,4,0)</f>
        <v>ARQUITETURA E ELEMENTOS DE URBANISMO</v>
      </c>
      <c r="C63" s="78">
        <f>ROUND(C64/$G$425,4)</f>
        <v>0.62660000000000005</v>
      </c>
      <c r="D63" s="78">
        <f>ROUND(D64/$C64,4)</f>
        <v>7.5700000000000003E-2</v>
      </c>
      <c r="E63" s="78">
        <f t="shared" ref="E63:G63" si="57">ROUND(E64/$C64,4)</f>
        <v>0.2029</v>
      </c>
      <c r="F63" s="78">
        <f t="shared" si="57"/>
        <v>0.30530000000000002</v>
      </c>
      <c r="G63" s="78">
        <f t="shared" si="57"/>
        <v>0.41610000000000003</v>
      </c>
    </row>
    <row r="64" spans="1:7" s="83" customFormat="1" x14ac:dyDescent="0.2">
      <c r="A64" s="281"/>
      <c r="B64" s="283"/>
      <c r="C64" s="168">
        <f>VLOOKUP(A63,'Orçamento Sintético'!$A:$H,8,0)</f>
        <v>562070.9</v>
      </c>
      <c r="D64" s="168">
        <f>D66</f>
        <v>42563.14</v>
      </c>
      <c r="E64" s="168">
        <f t="shared" ref="E64:G64" si="58">E66</f>
        <v>114054.88</v>
      </c>
      <c r="F64" s="168">
        <f t="shared" si="58"/>
        <v>171572.28</v>
      </c>
      <c r="G64" s="168">
        <f t="shared" si="58"/>
        <v>233880.59999999995</v>
      </c>
    </row>
    <row r="65" spans="1:7" x14ac:dyDescent="0.2">
      <c r="A65" s="284" t="s">
        <v>88</v>
      </c>
      <c r="B65" s="286" t="str">
        <f>VLOOKUP(A65,'Orçamento Sintético'!$A:$H,4,0)</f>
        <v>ARQUITETURA</v>
      </c>
      <c r="C65" s="79">
        <f>ROUND(C66/$G$425,4)</f>
        <v>0.62660000000000005</v>
      </c>
      <c r="D65" s="79">
        <f>ROUND(D66/$C66,4)</f>
        <v>7.5700000000000003E-2</v>
      </c>
      <c r="E65" s="79">
        <f t="shared" ref="E65" si="59">ROUND(E66/$C66,4)</f>
        <v>0.2029</v>
      </c>
      <c r="F65" s="79">
        <f t="shared" ref="F65" si="60">ROUND(F66/$C66,4)</f>
        <v>0.30530000000000002</v>
      </c>
      <c r="G65" s="79">
        <f t="shared" ref="G65" si="61">ROUND(G66/$C66,4)</f>
        <v>0.41610000000000003</v>
      </c>
    </row>
    <row r="66" spans="1:7" x14ac:dyDescent="0.2">
      <c r="A66" s="285"/>
      <c r="B66" s="287"/>
      <c r="C66" s="169">
        <f>VLOOKUP(A65,'Orçamento Sintético'!$A:$H,8,0)</f>
        <v>562070.9</v>
      </c>
      <c r="D66" s="169">
        <f>D68+D78+D86+D90+D108+D120+D126+D144+D148+D154+D162+D214</f>
        <v>42563.14</v>
      </c>
      <c r="E66" s="169">
        <f t="shared" ref="E66:G66" si="62">E68+E78+E86+E90+E108+E120+E126+E144+E148+E154+E162+E214</f>
        <v>114054.88</v>
      </c>
      <c r="F66" s="169">
        <f t="shared" si="62"/>
        <v>171572.28</v>
      </c>
      <c r="G66" s="169">
        <f t="shared" si="62"/>
        <v>233880.59999999995</v>
      </c>
    </row>
    <row r="67" spans="1:7" s="83" customFormat="1" x14ac:dyDescent="0.2">
      <c r="A67" s="292" t="s">
        <v>90</v>
      </c>
      <c r="B67" s="294" t="str">
        <f>VLOOKUP(A67,'Orçamento Sintético'!$A:$H,4,0)</f>
        <v>Paredes</v>
      </c>
      <c r="C67" s="80">
        <f>ROUND(C68/$G$425,4)</f>
        <v>0.19620000000000001</v>
      </c>
      <c r="D67" s="80">
        <f t="shared" ref="D67:G67" si="63">ROUND(D68/$C68,4)</f>
        <v>1.6899999999999998E-2</v>
      </c>
      <c r="E67" s="80">
        <f t="shared" si="63"/>
        <v>0.2094</v>
      </c>
      <c r="F67" s="80">
        <f t="shared" si="63"/>
        <v>0.19339999999999999</v>
      </c>
      <c r="G67" s="80">
        <f t="shared" si="63"/>
        <v>0.58030000000000004</v>
      </c>
    </row>
    <row r="68" spans="1:7" s="83" customFormat="1" x14ac:dyDescent="0.2">
      <c r="A68" s="293"/>
      <c r="B68" s="295"/>
      <c r="C68" s="90">
        <f>VLOOKUP(A67,'Orçamento Sintético'!$A:$H,8,0)</f>
        <v>175973.84</v>
      </c>
      <c r="D68" s="90">
        <f>D70+D72+D74+D76</f>
        <v>2978.8200000000006</v>
      </c>
      <c r="E68" s="90">
        <f t="shared" ref="E68:F68" si="64">E70+E72+E74+E76</f>
        <v>36844.47</v>
      </c>
      <c r="F68" s="90">
        <f t="shared" si="64"/>
        <v>34037.64</v>
      </c>
      <c r="G68" s="90">
        <f>C68-SUM(D68:F68)</f>
        <v>102112.91</v>
      </c>
    </row>
    <row r="69" spans="1:7" x14ac:dyDescent="0.2">
      <c r="A69" s="288" t="s">
        <v>92</v>
      </c>
      <c r="B69" s="290" t="str">
        <f>VLOOKUP(A69,'Orçamento Sintético'!$A:$H,4,0)</f>
        <v>ALVENARIA DE VEDAÇÃO DE BLOCOS CERÂMICOS FURADOS NA HORIZONTAL DE 9X14X19CM (ESPESSURA 9CM) DE PAREDES COM ÁREA LÍQUIDA MENOR QUE 6M² COM VÃOS E ARGAMASSA DE ASSENTAMENTO COM PREPARO EM BETONEIRA. AF_06/2014</v>
      </c>
      <c r="C69" s="91">
        <f>ROUND(C70/$G$425,4)</f>
        <v>5.8999999999999999E-3</v>
      </c>
      <c r="D69" s="91">
        <v>0.5</v>
      </c>
      <c r="E69" s="91">
        <v>0.5</v>
      </c>
      <c r="F69" s="91"/>
      <c r="G69" s="91">
        <f>ROUND(G70/C70,4)</f>
        <v>0</v>
      </c>
    </row>
    <row r="70" spans="1:7" x14ac:dyDescent="0.2">
      <c r="A70" s="289"/>
      <c r="B70" s="291"/>
      <c r="C70" s="89">
        <f>VLOOKUP(A69,'Orçamento Sintético'!$A:$H,8,0)</f>
        <v>5302.56</v>
      </c>
      <c r="D70" s="89">
        <f>ROUND($C70*D69,2)</f>
        <v>2651.28</v>
      </c>
      <c r="E70" s="89">
        <f t="shared" ref="E70" si="65">ROUND($C70*E69,2)</f>
        <v>2651.28</v>
      </c>
      <c r="F70" s="89">
        <f t="shared" ref="F70" si="66">ROUND($C70*F69,2)</f>
        <v>0</v>
      </c>
      <c r="G70" s="89">
        <f>$C70-SUM(D70:F70)</f>
        <v>0</v>
      </c>
    </row>
    <row r="71" spans="1:7" x14ac:dyDescent="0.2">
      <c r="A71" s="288" t="s">
        <v>95</v>
      </c>
      <c r="B71" s="290" t="str">
        <f>VLOOKUP(A71,'Orçamento Sintético'!$A:$H,4,0)</f>
        <v>FIXAÇÃO (ENCUNHAMENTO) DE ALVENARIA DE VEDAÇÃO COM TIJOLO MACIÇO. AF_03/2016</v>
      </c>
      <c r="C71" s="91">
        <f>ROUND(C72/$G$425,4)</f>
        <v>2.9999999999999997E-4</v>
      </c>
      <c r="D71" s="91">
        <v>0.5</v>
      </c>
      <c r="E71" s="91">
        <v>0.5</v>
      </c>
      <c r="F71" s="91"/>
      <c r="G71" s="91">
        <f>ROUND(G72/C72,4)</f>
        <v>0</v>
      </c>
    </row>
    <row r="72" spans="1:7" x14ac:dyDescent="0.2">
      <c r="A72" s="289"/>
      <c r="B72" s="291"/>
      <c r="C72" s="89">
        <f>VLOOKUP(A71,'Orçamento Sintético'!$A:$H,8,0)</f>
        <v>311.08999999999997</v>
      </c>
      <c r="D72" s="89">
        <f>ROUND($C72*D71,2)</f>
        <v>155.55000000000001</v>
      </c>
      <c r="E72" s="89">
        <f t="shared" ref="E72" si="67">ROUND($C72*E71,2)</f>
        <v>155.55000000000001</v>
      </c>
      <c r="F72" s="89">
        <f t="shared" ref="F72" si="68">ROUND($C72*F71,2)</f>
        <v>0</v>
      </c>
      <c r="G72" s="89">
        <f>$C72-SUM(D72:F72)</f>
        <v>-1.0000000000047748E-2</v>
      </c>
    </row>
    <row r="73" spans="1:7" x14ac:dyDescent="0.2">
      <c r="A73" s="288" t="s">
        <v>98</v>
      </c>
      <c r="B73" s="290" t="str">
        <f>VLOOKUP(A73,'Orçamento Sintético'!$A:$H,4,0)</f>
        <v>Divisória sanitários e vestiários em laminado estrutural TS (maciço), branco, com e = 10 mm, dupla face decorativa texturizada, modelo Alcoplac Normatizado, fab. Neocom incluindo portas e conjunto de ferragens</v>
      </c>
      <c r="C73" s="91">
        <f>ROUND(C74/$G$425,4)</f>
        <v>0.18970000000000001</v>
      </c>
      <c r="D73" s="91"/>
      <c r="E73" s="91">
        <v>0.2</v>
      </c>
      <c r="F73" s="91">
        <v>0.2</v>
      </c>
      <c r="G73" s="91">
        <f>ROUND(G74/C74,4)</f>
        <v>0.6</v>
      </c>
    </row>
    <row r="74" spans="1:7" x14ac:dyDescent="0.2">
      <c r="A74" s="289"/>
      <c r="B74" s="291"/>
      <c r="C74" s="89">
        <f>VLOOKUP(A73,'Orçamento Sintético'!$A:$H,8,0)</f>
        <v>170188.2</v>
      </c>
      <c r="D74" s="89">
        <f>ROUND($C74*D73,2)</f>
        <v>0</v>
      </c>
      <c r="E74" s="89">
        <f t="shared" ref="E74" si="69">ROUND($C74*E73,2)</f>
        <v>34037.64</v>
      </c>
      <c r="F74" s="89">
        <f t="shared" ref="F74" si="70">ROUND($C74*F73,2)</f>
        <v>34037.64</v>
      </c>
      <c r="G74" s="89">
        <f>$C74-SUM(D74:F74)</f>
        <v>102112.92000000001</v>
      </c>
    </row>
    <row r="75" spans="1:7" x14ac:dyDescent="0.2">
      <c r="A75" s="288" t="s">
        <v>101</v>
      </c>
      <c r="B75" s="290" t="str">
        <f>VLOOKUP(A75,'Orçamento Sintético'!$A:$H,4,0)</f>
        <v>Sóculo sob bancadas das copas, sanitários e lixo, altura de 15 cm e profundidade de 60 cm</v>
      </c>
      <c r="C75" s="91">
        <f>ROUND(C76/$G$425,4)</f>
        <v>2.0000000000000001E-4</v>
      </c>
      <c r="D75" s="91">
        <v>1</v>
      </c>
      <c r="E75" s="91"/>
      <c r="F75" s="91"/>
      <c r="G75" s="91">
        <f>ROUND(G76/C76,4)</f>
        <v>0</v>
      </c>
    </row>
    <row r="76" spans="1:7" x14ac:dyDescent="0.2">
      <c r="A76" s="289"/>
      <c r="B76" s="291"/>
      <c r="C76" s="89">
        <f>VLOOKUP(A75,'Orçamento Sintético'!$A:$H,8,0)</f>
        <v>171.99</v>
      </c>
      <c r="D76" s="89">
        <f>ROUND($C76*D75,2)</f>
        <v>171.99</v>
      </c>
      <c r="E76" s="89">
        <f t="shared" ref="E76" si="71">ROUND($C76*E75,2)</f>
        <v>0</v>
      </c>
      <c r="F76" s="89">
        <f t="shared" ref="F76" si="72">ROUND($C76*F75,2)</f>
        <v>0</v>
      </c>
      <c r="G76" s="89">
        <f>$C76-SUM(D76:F76)</f>
        <v>0</v>
      </c>
    </row>
    <row r="77" spans="1:7" s="83" customFormat="1" x14ac:dyDescent="0.2">
      <c r="A77" s="292" t="s">
        <v>105</v>
      </c>
      <c r="B77" s="294" t="str">
        <f>VLOOKUP(A77,'Orçamento Sintético'!$A:$H,4,0)</f>
        <v>Esquadria de madeira</v>
      </c>
      <c r="C77" s="80">
        <f>ROUND(C78/$G$425,4)</f>
        <v>3.2399999999999998E-2</v>
      </c>
      <c r="D77" s="80">
        <f t="shared" ref="D77:G77" si="73">ROUND(D78/$C78,4)</f>
        <v>0</v>
      </c>
      <c r="E77" s="80">
        <f t="shared" si="73"/>
        <v>0</v>
      </c>
      <c r="F77" s="80">
        <f t="shared" si="73"/>
        <v>1</v>
      </c>
      <c r="G77" s="80">
        <f t="shared" si="73"/>
        <v>0</v>
      </c>
    </row>
    <row r="78" spans="1:7" s="83" customFormat="1" x14ac:dyDescent="0.2">
      <c r="A78" s="293"/>
      <c r="B78" s="295"/>
      <c r="C78" s="90">
        <f>VLOOKUP(A77,'Orçamento Sintético'!$A:$H,8,0)</f>
        <v>29055.289999999997</v>
      </c>
      <c r="D78" s="90">
        <f>D80+D82+D84</f>
        <v>0</v>
      </c>
      <c r="E78" s="90">
        <f t="shared" ref="E78:F78" si="74">E80+E82+E84</f>
        <v>0</v>
      </c>
      <c r="F78" s="90">
        <f t="shared" si="74"/>
        <v>29055.289999999997</v>
      </c>
      <c r="G78" s="90">
        <f>C78-SUM(D78:F78)</f>
        <v>0</v>
      </c>
    </row>
    <row r="79" spans="1:7" x14ac:dyDescent="0.2">
      <c r="A79" s="288" t="s">
        <v>107</v>
      </c>
      <c r="B79" s="290" t="str">
        <f>VLOOKUP(A79,'Orçamento Sintético'!$A:$H,4,0)</f>
        <v>Porta de madeira (PM), DM 0,90 x 2,10 m, acabamento em laminado melamínico texturizado, inclusive dobradiça, fechadura, barra de apoio e grelha</v>
      </c>
      <c r="C79" s="91">
        <f>ROUND(C80/$G$425,4)</f>
        <v>6.8999999999999999E-3</v>
      </c>
      <c r="D79" s="91"/>
      <c r="E79" s="91"/>
      <c r="F79" s="91">
        <v>1</v>
      </c>
      <c r="G79" s="91">
        <f>ROUND(G80/C80,4)</f>
        <v>0</v>
      </c>
    </row>
    <row r="80" spans="1:7" x14ac:dyDescent="0.2">
      <c r="A80" s="289"/>
      <c r="B80" s="291"/>
      <c r="C80" s="89">
        <f>VLOOKUP(A79,'Orçamento Sintético'!$A:$H,8,0)</f>
        <v>6177.66</v>
      </c>
      <c r="D80" s="89">
        <f>ROUND($C80*D79,2)</f>
        <v>0</v>
      </c>
      <c r="E80" s="89">
        <f t="shared" ref="E80" si="75">ROUND($C80*E79,2)</f>
        <v>0</v>
      </c>
      <c r="F80" s="89">
        <f t="shared" ref="F80" si="76">ROUND($C80*F79,2)</f>
        <v>6177.66</v>
      </c>
      <c r="G80" s="89">
        <f>$C80-SUM(D80:F80)</f>
        <v>0</v>
      </c>
    </row>
    <row r="81" spans="1:7" x14ac:dyDescent="0.2">
      <c r="A81" s="288" t="s">
        <v>111</v>
      </c>
      <c r="B81" s="290" t="str">
        <f>VLOOKUP(A81,'Orçamento Sintético'!$A:$H,4,0)</f>
        <v>Porta de madeira (PM), DM 0,80 x 2,10 m, acabamento em laminado melamínico texturizado, inclusive dobradiça, fechadura e grelha</v>
      </c>
      <c r="C81" s="91">
        <f>ROUND(C82/$G$425,4)</f>
        <v>2.3699999999999999E-2</v>
      </c>
      <c r="D81" s="91"/>
      <c r="E81" s="91"/>
      <c r="F81" s="91">
        <v>1</v>
      </c>
      <c r="G81" s="91">
        <f>ROUND(G82/C82,4)</f>
        <v>0</v>
      </c>
    </row>
    <row r="82" spans="1:7" x14ac:dyDescent="0.2">
      <c r="A82" s="289"/>
      <c r="B82" s="291"/>
      <c r="C82" s="89">
        <f>VLOOKUP(A81,'Orçamento Sintético'!$A:$H,8,0)</f>
        <v>21262.12</v>
      </c>
      <c r="D82" s="89">
        <f>ROUND($C82*D81,2)</f>
        <v>0</v>
      </c>
      <c r="E82" s="89">
        <f t="shared" ref="E82" si="77">ROUND($C82*E81,2)</f>
        <v>0</v>
      </c>
      <c r="F82" s="89">
        <f t="shared" ref="F82" si="78">ROUND($C82*F81,2)</f>
        <v>21262.12</v>
      </c>
      <c r="G82" s="89">
        <f>$C82-SUM(D82:F82)</f>
        <v>0</v>
      </c>
    </row>
    <row r="83" spans="1:7" x14ac:dyDescent="0.2">
      <c r="A83" s="288" t="s">
        <v>114</v>
      </c>
      <c r="B83" s="290" t="str">
        <f>VLOOKUP(A83,'Orçamento Sintético'!$A:$H,4,0)</f>
        <v>Porta de madeira (PM1), DM 0,80 x 2,10 m, acabamento em laminado melamínico texturizado, inclusive batente em chapa de aço dobrada, dobradiça e fechadura</v>
      </c>
      <c r="C83" s="91">
        <f>ROUND(C84/$G$425,4)</f>
        <v>1.8E-3</v>
      </c>
      <c r="D83" s="91"/>
      <c r="E83" s="91"/>
      <c r="F83" s="91">
        <v>1</v>
      </c>
      <c r="G83" s="91">
        <f>ROUND(G84/C84,4)</f>
        <v>0</v>
      </c>
    </row>
    <row r="84" spans="1:7" x14ac:dyDescent="0.2">
      <c r="A84" s="289"/>
      <c r="B84" s="291"/>
      <c r="C84" s="89">
        <f>VLOOKUP(A83,'Orçamento Sintético'!$A:$H,8,0)</f>
        <v>1615.51</v>
      </c>
      <c r="D84" s="89">
        <f>ROUND($C84*D83,2)</f>
        <v>0</v>
      </c>
      <c r="E84" s="89">
        <f t="shared" ref="E84" si="79">ROUND($C84*E83,2)</f>
        <v>0</v>
      </c>
      <c r="F84" s="89">
        <f t="shared" ref="F84" si="80">ROUND($C84*F83,2)</f>
        <v>1615.51</v>
      </c>
      <c r="G84" s="89">
        <f>$C84-SUM(D84:F84)</f>
        <v>0</v>
      </c>
    </row>
    <row r="85" spans="1:7" s="83" customFormat="1" x14ac:dyDescent="0.2">
      <c r="A85" s="292" t="s">
        <v>117</v>
      </c>
      <c r="B85" s="294" t="str">
        <f>VLOOKUP(A85,'Orçamento Sintético'!$A:$H,4,0)</f>
        <v>Vidros e Plásticos</v>
      </c>
      <c r="C85" s="80">
        <f>ROUND(C86/$G$425,4)</f>
        <v>1.2200000000000001E-2</v>
      </c>
      <c r="D85" s="80">
        <v>0.25</v>
      </c>
      <c r="E85" s="80">
        <v>0.25</v>
      </c>
      <c r="F85" s="80">
        <v>0.25</v>
      </c>
      <c r="G85" s="80">
        <f>ROUND(G86/C86,4)</f>
        <v>1</v>
      </c>
    </row>
    <row r="86" spans="1:7" s="83" customFormat="1" x14ac:dyDescent="0.2">
      <c r="A86" s="293"/>
      <c r="B86" s="295"/>
      <c r="C86" s="90">
        <f>VLOOKUP(A85,'Orçamento Sintético'!$A:$H,8,0)</f>
        <v>10955.33</v>
      </c>
      <c r="D86" s="90">
        <f>D88</f>
        <v>0</v>
      </c>
      <c r="E86" s="90">
        <f t="shared" ref="E86:F86" si="81">E88</f>
        <v>0</v>
      </c>
      <c r="F86" s="90">
        <f t="shared" si="81"/>
        <v>0</v>
      </c>
      <c r="G86" s="90">
        <f>C86-SUM(D86:F86)</f>
        <v>10955.33</v>
      </c>
    </row>
    <row r="87" spans="1:7" x14ac:dyDescent="0.2">
      <c r="A87" s="288" t="s">
        <v>119</v>
      </c>
      <c r="B87" s="290" t="str">
        <f>VLOOKUP(A87,'Orçamento Sintético'!$A:$H,4,0)</f>
        <v>Cópia da Agesul (1801000120) - Espelho cristal 4mm, sem moldura fixado com parafuso e bucha</v>
      </c>
      <c r="C87" s="91">
        <f>ROUND(C88/$G$425,4)</f>
        <v>1.2200000000000001E-2</v>
      </c>
      <c r="D87" s="91"/>
      <c r="E87" s="91"/>
      <c r="F87" s="91"/>
      <c r="G87" s="91">
        <f>ROUND(G88/C88,4)</f>
        <v>1</v>
      </c>
    </row>
    <row r="88" spans="1:7" x14ac:dyDescent="0.2">
      <c r="A88" s="289"/>
      <c r="B88" s="291"/>
      <c r="C88" s="89">
        <f>VLOOKUP(A87,'Orçamento Sintético'!$A:$H,8,0)</f>
        <v>10955.33</v>
      </c>
      <c r="D88" s="89">
        <f>ROUND($C88*D87,2)</f>
        <v>0</v>
      </c>
      <c r="E88" s="89">
        <f t="shared" ref="E88" si="82">ROUND($C88*E87,2)</f>
        <v>0</v>
      </c>
      <c r="F88" s="89">
        <f t="shared" ref="F88" si="83">ROUND($C88*F87,2)</f>
        <v>0</v>
      </c>
      <c r="G88" s="89">
        <f>$C88-SUM(D88:F88)</f>
        <v>10955.33</v>
      </c>
    </row>
    <row r="89" spans="1:7" s="83" customFormat="1" x14ac:dyDescent="0.2">
      <c r="A89" s="292" t="s">
        <v>122</v>
      </c>
      <c r="B89" s="294" t="str">
        <f>VLOOKUP(A89,'Orçamento Sintético'!$A:$H,4,0)</f>
        <v>Revestimentos de pisos</v>
      </c>
      <c r="C89" s="80">
        <f>ROUND(C90/$G$425,4)</f>
        <v>0.12859999999999999</v>
      </c>
      <c r="D89" s="80">
        <f t="shared" ref="D89:G89" si="84">ROUND(D90/$C90,4)</f>
        <v>0.24460000000000001</v>
      </c>
      <c r="E89" s="80">
        <f t="shared" si="84"/>
        <v>0.32950000000000002</v>
      </c>
      <c r="F89" s="80">
        <f t="shared" si="84"/>
        <v>0.33750000000000002</v>
      </c>
      <c r="G89" s="80">
        <f t="shared" si="84"/>
        <v>8.8400000000000006E-2</v>
      </c>
    </row>
    <row r="90" spans="1:7" s="83" customFormat="1" x14ac:dyDescent="0.2">
      <c r="A90" s="293"/>
      <c r="B90" s="295"/>
      <c r="C90" s="90">
        <f>VLOOKUP(A89,'Orçamento Sintético'!$A:$H,8,0)</f>
        <v>115337.41999999998</v>
      </c>
      <c r="D90" s="90">
        <f>D92+D94+D96+D98+D100+D102+D104+D106</f>
        <v>28210.53</v>
      </c>
      <c r="E90" s="90">
        <f t="shared" ref="E90:F90" si="85">E92+E94+E96+E98+E100+E102+E104+E106</f>
        <v>38004.79</v>
      </c>
      <c r="F90" s="90">
        <f t="shared" si="85"/>
        <v>38921.040000000001</v>
      </c>
      <c r="G90" s="90">
        <f>C90-SUM(D90:F90)</f>
        <v>10201.059999999969</v>
      </c>
    </row>
    <row r="91" spans="1:7" x14ac:dyDescent="0.2">
      <c r="A91" s="288" t="s">
        <v>124</v>
      </c>
      <c r="B91" s="290" t="str">
        <f>VLOOKUP(A91,'Orçamento Sintético'!$A:$H,4,0)</f>
        <v>Copia da SINAPI (87640) - Regularização / preparação de superfície horizontal com argamassa, traço 1:3 (cimento e areia), preparo mecânico, espessura média 4cm</v>
      </c>
      <c r="C91" s="91">
        <f>ROUND(C92/$G$425,4)</f>
        <v>2.2700000000000001E-2</v>
      </c>
      <c r="D91" s="91">
        <v>1</v>
      </c>
      <c r="E91" s="91"/>
      <c r="F91" s="91"/>
      <c r="G91" s="91">
        <f>ROUND(G92/C92,4)</f>
        <v>0</v>
      </c>
    </row>
    <row r="92" spans="1:7" x14ac:dyDescent="0.2">
      <c r="A92" s="289"/>
      <c r="B92" s="291"/>
      <c r="C92" s="89">
        <f>VLOOKUP(A91,'Orçamento Sintético'!$A:$H,8,0)</f>
        <v>20353.189999999999</v>
      </c>
      <c r="D92" s="89">
        <f>ROUND($C92*D91,2)</f>
        <v>20353.189999999999</v>
      </c>
      <c r="E92" s="89">
        <f t="shared" ref="E92" si="86">ROUND($C92*E91,2)</f>
        <v>0</v>
      </c>
      <c r="F92" s="89">
        <f t="shared" ref="F92" si="87">ROUND($C92*F91,2)</f>
        <v>0</v>
      </c>
      <c r="G92" s="89">
        <f>$C92-SUM(D92:F92)</f>
        <v>0</v>
      </c>
    </row>
    <row r="93" spans="1:7" x14ac:dyDescent="0.2">
      <c r="A93" s="288" t="s">
        <v>127</v>
      </c>
      <c r="B93" s="290" t="str">
        <f>VLOOKUP(A93,'Orçamento Sintético'!$A:$H,4,0)</f>
        <v>Copia da SINAPI (87263) - Porcelanato 60x60cm, linha Mineral (cod. 22285E), cor Argento, acabamento natural, fab. Portobello</v>
      </c>
      <c r="C93" s="91">
        <f>ROUND(C94/$G$425,4)</f>
        <v>4.2999999999999997E-2</v>
      </c>
      <c r="D93" s="91"/>
      <c r="E93" s="91">
        <v>0.5</v>
      </c>
      <c r="F93" s="91">
        <v>0.5</v>
      </c>
      <c r="G93" s="91">
        <f>ROUND(G94/C94,4)</f>
        <v>0</v>
      </c>
    </row>
    <row r="94" spans="1:7" x14ac:dyDescent="0.2">
      <c r="A94" s="289"/>
      <c r="B94" s="291"/>
      <c r="C94" s="89">
        <f>VLOOKUP(A93,'Orçamento Sintético'!$A:$H,8,0)</f>
        <v>38591.03</v>
      </c>
      <c r="D94" s="89">
        <f>ROUND($C94*D93,2)</f>
        <v>0</v>
      </c>
      <c r="E94" s="89">
        <f t="shared" ref="E94" si="88">ROUND($C94*E93,2)</f>
        <v>19295.52</v>
      </c>
      <c r="F94" s="89">
        <f t="shared" ref="F94" si="89">ROUND($C94*F93,2)</f>
        <v>19295.52</v>
      </c>
      <c r="G94" s="89">
        <f>$C94-SUM(D94:F94)</f>
        <v>-1.0000000002037268E-2</v>
      </c>
    </row>
    <row r="95" spans="1:7" x14ac:dyDescent="0.2">
      <c r="A95" s="288" t="s">
        <v>130</v>
      </c>
      <c r="B95" s="290" t="str">
        <f>VLOOKUP(A95,'Orçamento Sintético'!$A:$H,4,0)</f>
        <v>Copia da SINAPI (87263) - Porcelanato 60x60cm, linha Mineral (cod. 22281E), cor Portland, acabamento natural, fab. Portobello</v>
      </c>
      <c r="C95" s="91">
        <f>ROUND(C96/$G$425,4)</f>
        <v>2.1000000000000001E-2</v>
      </c>
      <c r="D95" s="91"/>
      <c r="E95" s="91">
        <v>0.5</v>
      </c>
      <c r="F95" s="91">
        <v>0.5</v>
      </c>
      <c r="G95" s="91">
        <f>ROUND(G96/C96,4)</f>
        <v>0</v>
      </c>
    </row>
    <row r="96" spans="1:7" x14ac:dyDescent="0.2">
      <c r="A96" s="289"/>
      <c r="B96" s="291"/>
      <c r="C96" s="89">
        <f>VLOOKUP(A95,'Orçamento Sintético'!$A:$H,8,0)</f>
        <v>18848.830000000002</v>
      </c>
      <c r="D96" s="89">
        <f>ROUND($C96*D95,2)</f>
        <v>0</v>
      </c>
      <c r="E96" s="89">
        <f t="shared" ref="E96" si="90">ROUND($C96*E95,2)</f>
        <v>9424.42</v>
      </c>
      <c r="F96" s="89">
        <f t="shared" ref="F96" si="91">ROUND($C96*F95,2)</f>
        <v>9424.42</v>
      </c>
      <c r="G96" s="89">
        <f>$C96-SUM(D96:F96)</f>
        <v>-9.9999999983992893E-3</v>
      </c>
    </row>
    <row r="97" spans="1:7" x14ac:dyDescent="0.2">
      <c r="A97" s="288" t="s">
        <v>133</v>
      </c>
      <c r="B97" s="290" t="str">
        <f>VLOOKUP(A97,'Orçamento Sintético'!$A:$H,4,0)</f>
        <v>Copia da SINAPI (87263) - Porcelanato para escada 32 x 60 cm com friso, linha Mineral Técnica (cód. 21757E), cor Argento, acabamento natural Fab. Portobello</v>
      </c>
      <c r="C97" s="91">
        <f>ROUND(C98/$G$425,4)</f>
        <v>3.0999999999999999E-3</v>
      </c>
      <c r="D97" s="91"/>
      <c r="E97" s="91"/>
      <c r="F97" s="91">
        <v>0.5</v>
      </c>
      <c r="G97" s="91">
        <f>ROUND(G98/C98,4)</f>
        <v>0.5</v>
      </c>
    </row>
    <row r="98" spans="1:7" x14ac:dyDescent="0.2">
      <c r="A98" s="289"/>
      <c r="B98" s="291"/>
      <c r="C98" s="89">
        <f>VLOOKUP(A97,'Orçamento Sintético'!$A:$H,8,0)</f>
        <v>2816.06</v>
      </c>
      <c r="D98" s="89">
        <f>ROUND($C98*D97,2)</f>
        <v>0</v>
      </c>
      <c r="E98" s="89">
        <f t="shared" ref="E98" si="92">ROUND($C98*E97,2)</f>
        <v>0</v>
      </c>
      <c r="F98" s="89">
        <f t="shared" ref="F98" si="93">ROUND($C98*F97,2)</f>
        <v>1408.03</v>
      </c>
      <c r="G98" s="89">
        <f>$C98-SUM(D98:F98)</f>
        <v>1408.03</v>
      </c>
    </row>
    <row r="99" spans="1:7" x14ac:dyDescent="0.2">
      <c r="A99" s="288" t="s">
        <v>136</v>
      </c>
      <c r="B99" s="290" t="str">
        <f>VLOOKUP(A99,'Orçamento Sintético'!$A:$H,4,0)</f>
        <v>Copia da SINAPI (88650) - Rodapé em porcelanato cinza escuro, DM 20x90cm, linha Mineral, cor Argento, acabamento natural, ref. 21447E, fab. Portobello</v>
      </c>
      <c r="C99" s="91">
        <f>ROUND(C100/$G$425,4)</f>
        <v>2.7799999999999998E-2</v>
      </c>
      <c r="D99" s="91">
        <v>0.25</v>
      </c>
      <c r="E99" s="91">
        <v>0.25</v>
      </c>
      <c r="F99" s="91">
        <v>0.25</v>
      </c>
      <c r="G99" s="91">
        <f>ROUND(G100/C100,4)</f>
        <v>0.25</v>
      </c>
    </row>
    <row r="100" spans="1:7" x14ac:dyDescent="0.2">
      <c r="A100" s="289"/>
      <c r="B100" s="291"/>
      <c r="C100" s="89">
        <f>VLOOKUP(A99,'Orçamento Sintético'!$A:$H,8,0)</f>
        <v>24922.26</v>
      </c>
      <c r="D100" s="89">
        <f>ROUND($C100*D99,2)</f>
        <v>6230.57</v>
      </c>
      <c r="E100" s="89">
        <f t="shared" ref="E100" si="94">ROUND($C100*E99,2)</f>
        <v>6230.57</v>
      </c>
      <c r="F100" s="89">
        <f t="shared" ref="F100" si="95">ROUND($C100*F99,2)</f>
        <v>6230.57</v>
      </c>
      <c r="G100" s="89">
        <f>$C100-SUM(D100:F100)</f>
        <v>6230.5499999999993</v>
      </c>
    </row>
    <row r="101" spans="1:7" x14ac:dyDescent="0.2">
      <c r="A101" s="288" t="s">
        <v>139</v>
      </c>
      <c r="B101" s="290" t="str">
        <f>VLOOKUP(A101,'Orçamento Sintético'!$A:$H,4,0)</f>
        <v>Copia da SINAPI (88650) - Rodapé cinza claro acabamento natural, dimensões 20x90cm, Portobello - Linha Mineral, cor Portland - cód 21445E</v>
      </c>
      <c r="C101" s="91">
        <f>ROUND(C102/$G$425,4)</f>
        <v>5.7000000000000002E-3</v>
      </c>
      <c r="D101" s="91"/>
      <c r="E101" s="91"/>
      <c r="F101" s="91">
        <v>0.5</v>
      </c>
      <c r="G101" s="91">
        <f>ROUND(G102/C102,4)</f>
        <v>0.5</v>
      </c>
    </row>
    <row r="102" spans="1:7" x14ac:dyDescent="0.2">
      <c r="A102" s="289"/>
      <c r="B102" s="291"/>
      <c r="C102" s="89">
        <f>VLOOKUP(A101,'Orçamento Sintético'!$A:$H,8,0)</f>
        <v>5125</v>
      </c>
      <c r="D102" s="89">
        <f>ROUND($C102*D101,2)</f>
        <v>0</v>
      </c>
      <c r="E102" s="89">
        <f t="shared" ref="E102" si="96">ROUND($C102*E101,2)</f>
        <v>0</v>
      </c>
      <c r="F102" s="89">
        <f t="shared" ref="F102" si="97">ROUND($C102*F101,2)</f>
        <v>2562.5</v>
      </c>
      <c r="G102" s="89">
        <f>$C102-SUM(D102:F102)</f>
        <v>2562.5</v>
      </c>
    </row>
    <row r="103" spans="1:7" x14ac:dyDescent="0.2">
      <c r="A103" s="288" t="s">
        <v>142</v>
      </c>
      <c r="B103" s="290" t="str">
        <f>VLOOKUP(A103,'Orçamento Sintético'!$A:$H,4,0)</f>
        <v>Cóipa SINAPI (72183+72137) - Piso em concreto estrutural de 25MPa, acabamento desempenado, espessura de 10cm, armado com tela soldada Q196 barra 5mm</v>
      </c>
      <c r="C103" s="91">
        <f>ROUND(C104/$G$425,4)</f>
        <v>4.8999999999999998E-3</v>
      </c>
      <c r="D103" s="91">
        <v>0.3</v>
      </c>
      <c r="E103" s="91">
        <v>0.7</v>
      </c>
      <c r="F103" s="91"/>
      <c r="G103" s="91">
        <f>ROUND(G104/C104,4)</f>
        <v>0</v>
      </c>
    </row>
    <row r="104" spans="1:7" x14ac:dyDescent="0.2">
      <c r="A104" s="289"/>
      <c r="B104" s="291"/>
      <c r="C104" s="89">
        <f>VLOOKUP(A103,'Orçamento Sintético'!$A:$H,8,0)</f>
        <v>4363.26</v>
      </c>
      <c r="D104" s="89">
        <f>ROUND($C104*D103,2)</f>
        <v>1308.98</v>
      </c>
      <c r="E104" s="89">
        <f t="shared" ref="E104" si="98">ROUND($C104*E103,2)</f>
        <v>3054.28</v>
      </c>
      <c r="F104" s="89">
        <f t="shared" ref="F104" si="99">ROUND($C104*F103,2)</f>
        <v>0</v>
      </c>
      <c r="G104" s="89">
        <f>$C104-SUM(D104:F104)</f>
        <v>0</v>
      </c>
    </row>
    <row r="105" spans="1:7" x14ac:dyDescent="0.2">
      <c r="A105" s="288" t="s">
        <v>145</v>
      </c>
      <c r="B105" s="290" t="str">
        <f>VLOOKUP(A105,'Orçamento Sintético'!$A:$H,4,0)</f>
        <v>Lastro de brita nº 1, espessura de 5cm, incluindo lona plástica para isolar o lastro do solo</v>
      </c>
      <c r="C105" s="91">
        <f>ROUND(C106/$G$425,4)</f>
        <v>4.0000000000000002E-4</v>
      </c>
      <c r="D105" s="91">
        <v>1</v>
      </c>
      <c r="E105" s="91"/>
      <c r="F105" s="91"/>
      <c r="G105" s="91">
        <f>ROUND(G106/C106,4)</f>
        <v>0</v>
      </c>
    </row>
    <row r="106" spans="1:7" x14ac:dyDescent="0.2">
      <c r="A106" s="289"/>
      <c r="B106" s="291"/>
      <c r="C106" s="89">
        <f>VLOOKUP(A105,'Orçamento Sintético'!$A:$H,8,0)</f>
        <v>317.79000000000002</v>
      </c>
      <c r="D106" s="89">
        <f>ROUND($C$106*D105,2)</f>
        <v>317.79000000000002</v>
      </c>
      <c r="E106" s="89">
        <f t="shared" ref="E106:F106" si="100">ROUND($C$106*E105,2)</f>
        <v>0</v>
      </c>
      <c r="F106" s="89">
        <f t="shared" si="100"/>
        <v>0</v>
      </c>
      <c r="G106" s="89">
        <f>C106-SUM(D106:F106)</f>
        <v>0</v>
      </c>
    </row>
    <row r="107" spans="1:7" x14ac:dyDescent="0.2">
      <c r="A107" s="292" t="s">
        <v>148</v>
      </c>
      <c r="B107" s="294" t="str">
        <f>VLOOKUP(A107,'Orçamento Sintético'!$A:$H,4,0)</f>
        <v>Revestimentos de paredes</v>
      </c>
      <c r="C107" s="80">
        <f>ROUND(C108/$G$425,4)</f>
        <v>6.2799999999999995E-2</v>
      </c>
      <c r="D107" s="80">
        <f t="shared" ref="D107:G107" si="101">ROUND(D108/$C108,4)</f>
        <v>5.7700000000000001E-2</v>
      </c>
      <c r="E107" s="80">
        <f t="shared" si="101"/>
        <v>8.4000000000000005E-2</v>
      </c>
      <c r="F107" s="80">
        <f t="shared" si="101"/>
        <v>0.32440000000000002</v>
      </c>
      <c r="G107" s="80">
        <f t="shared" si="101"/>
        <v>0.53390000000000004</v>
      </c>
    </row>
    <row r="108" spans="1:7" x14ac:dyDescent="0.2">
      <c r="A108" s="293"/>
      <c r="B108" s="295"/>
      <c r="C108" s="90">
        <f>VLOOKUP(A107,'Orçamento Sintético'!$A:$H,8,0)</f>
        <v>56347.03</v>
      </c>
      <c r="D108" s="90">
        <f>D110+D112+D114+D116+D118</f>
        <v>3249</v>
      </c>
      <c r="E108" s="90">
        <f t="shared" ref="E108:F108" si="102">E110+E112+E114+E116+E118</f>
        <v>4732.25</v>
      </c>
      <c r="F108" s="90">
        <f t="shared" si="102"/>
        <v>18280.93</v>
      </c>
      <c r="G108" s="90">
        <f>C108-SUM(D108:F108)</f>
        <v>30084.85</v>
      </c>
    </row>
    <row r="109" spans="1:7" x14ac:dyDescent="0.2">
      <c r="A109" s="288" t="s">
        <v>150</v>
      </c>
      <c r="B109" s="290" t="str">
        <f>VLOOKUP(A109,'Orçamento Sintético'!$A:$H,4,0)</f>
        <v>CHAPISCO APLICADO EM ALVENARIAS E ESTRUTURAS DE CONCRETO INTERNAS, COM COLHER DE PEDREIRO.  ARGAMASSA TRAÇO 1:3 COM PREPARO EM BETONEIRA 400L. AF_06/2014</v>
      </c>
      <c r="C109" s="91">
        <f>ROUND(C110/$G$425,4)</f>
        <v>4.0000000000000002E-4</v>
      </c>
      <c r="D109" s="91">
        <v>1</v>
      </c>
      <c r="E109" s="91"/>
      <c r="F109" s="91"/>
      <c r="G109" s="91">
        <f>ROUND(G110/C110,4)</f>
        <v>0</v>
      </c>
    </row>
    <row r="110" spans="1:7" x14ac:dyDescent="0.2">
      <c r="A110" s="289"/>
      <c r="B110" s="291"/>
      <c r="C110" s="89">
        <f>VLOOKUP(A109,'Orçamento Sintético'!$A:$H,8,0)</f>
        <v>325.85000000000002</v>
      </c>
      <c r="D110" s="89">
        <f>ROUND($C110*D109,2)</f>
        <v>325.85000000000002</v>
      </c>
      <c r="E110" s="89">
        <f t="shared" ref="E110" si="103">ROUND($C110*E109,2)</f>
        <v>0</v>
      </c>
      <c r="F110" s="89">
        <f t="shared" ref="F110" si="104">ROUND($C110*F109,2)</f>
        <v>0</v>
      </c>
      <c r="G110" s="89">
        <f>$C110-SUM(D110:F110)</f>
        <v>0</v>
      </c>
    </row>
    <row r="111" spans="1:7" x14ac:dyDescent="0.2">
      <c r="A111" s="288" t="s">
        <v>153</v>
      </c>
      <c r="B111" s="290" t="str">
        <f>VLOOKUP(A111,'Orçamento Sintético'!$A:$H,4,0)</f>
        <v>(COMPOSIÇÃO REPRESENTATIVA) DO SERVIÇO DE EMBOÇO/MASSA ÚNICA, APLICADO MANUALMENTE, TRAÇO 1:2:8, EM BETONEIRA DE 400L, PAREDES INTERNAS, COM EXECUÇÃO DE TALISCAS, EDIFICAÇÃO HABITACIONAL UNIFAMILIAR (CASAS) E EDIFICAÇÃO PÚBLICA PADRÃO. AF_12/2014</v>
      </c>
      <c r="C111" s="91">
        <f>ROUND(C112/$G$425,4)</f>
        <v>3.3E-3</v>
      </c>
      <c r="D111" s="91">
        <v>1</v>
      </c>
      <c r="E111" s="91"/>
      <c r="F111" s="91"/>
      <c r="G111" s="91">
        <f>ROUND(G112/C112,4)</f>
        <v>0</v>
      </c>
    </row>
    <row r="112" spans="1:7" x14ac:dyDescent="0.2">
      <c r="A112" s="289"/>
      <c r="B112" s="291"/>
      <c r="C112" s="89">
        <f>VLOOKUP(A111,'Orçamento Sintético'!$A:$H,8,0)</f>
        <v>2923.15</v>
      </c>
      <c r="D112" s="89">
        <f>ROUND($C112*D111,2)</f>
        <v>2923.15</v>
      </c>
      <c r="E112" s="89">
        <f t="shared" ref="E112" si="105">ROUND($C112*E111,2)</f>
        <v>0</v>
      </c>
      <c r="F112" s="89">
        <f t="shared" ref="F112" si="106">ROUND($C112*F111,2)</f>
        <v>0</v>
      </c>
      <c r="G112" s="89">
        <f>$C112-SUM(D112:F112)</f>
        <v>0</v>
      </c>
    </row>
    <row r="113" spans="1:7" x14ac:dyDescent="0.2">
      <c r="A113" s="288" t="s">
        <v>156</v>
      </c>
      <c r="B113" s="290" t="str">
        <f>VLOOKUP(A113,'Orçamento Sintético'!$A:$H,4,0)</f>
        <v>Cópia SINAPI (87242) - Pastilha de porcelana 5,0x5,0cm, linha Engenharia, cor Boráx, fab. Atlas (ref.SG8414), assentada com argamassa pré-fabricada, incluindo rejuntamento</v>
      </c>
      <c r="C113" s="91">
        <f>ROUND(C114/$G$425,4)</f>
        <v>1.7600000000000001E-2</v>
      </c>
      <c r="D113" s="91"/>
      <c r="E113" s="91">
        <v>0.3</v>
      </c>
      <c r="F113" s="91">
        <v>0.4</v>
      </c>
      <c r="G113" s="91">
        <f>ROUND(G114/C114,4)</f>
        <v>0.3</v>
      </c>
    </row>
    <row r="114" spans="1:7" x14ac:dyDescent="0.2">
      <c r="A114" s="289"/>
      <c r="B114" s="291"/>
      <c r="C114" s="89">
        <f>VLOOKUP(A113,'Orçamento Sintético'!$A:$H,8,0)</f>
        <v>15774.18</v>
      </c>
      <c r="D114" s="89">
        <f>ROUND($C114*D113,2)</f>
        <v>0</v>
      </c>
      <c r="E114" s="89">
        <f t="shared" ref="E114" si="107">ROUND($C114*E113,2)</f>
        <v>4732.25</v>
      </c>
      <c r="F114" s="89">
        <f t="shared" ref="F114" si="108">ROUND($C114*F113,2)</f>
        <v>6309.67</v>
      </c>
      <c r="G114" s="89">
        <f>$C114-SUM(D114:F114)</f>
        <v>4732.26</v>
      </c>
    </row>
    <row r="115" spans="1:7" x14ac:dyDescent="0.2">
      <c r="A115" s="288" t="s">
        <v>159</v>
      </c>
      <c r="B115" s="290" t="str">
        <f>VLOOKUP(A115,'Orçamento Sintético'!$A:$H,4,0)</f>
        <v>Copia da SINAPI (87269) - Cerâmica grês 30x60cm, assentada com argamassa pré-fabricada, incluindo rejuntamento</v>
      </c>
      <c r="C115" s="91">
        <f>ROUND(C116/$G$425,4)</f>
        <v>1.1999999999999999E-3</v>
      </c>
      <c r="D115" s="91"/>
      <c r="E115" s="91"/>
      <c r="F115" s="91">
        <v>1</v>
      </c>
      <c r="G115" s="91">
        <f>ROUND(G116/C116,4)</f>
        <v>0</v>
      </c>
    </row>
    <row r="116" spans="1:7" x14ac:dyDescent="0.2">
      <c r="A116" s="289"/>
      <c r="B116" s="291"/>
      <c r="C116" s="89">
        <f>VLOOKUP(A115,'Orçamento Sintético'!$A:$H,8,0)</f>
        <v>1105.8599999999999</v>
      </c>
      <c r="D116" s="89">
        <f>ROUND($C116*D115,2)</f>
        <v>0</v>
      </c>
      <c r="E116" s="89">
        <f t="shared" ref="E116" si="109">ROUND($C116*E115,2)</f>
        <v>0</v>
      </c>
      <c r="F116" s="89">
        <f t="shared" ref="F116" si="110">ROUND($C116*F115,2)</f>
        <v>1105.8599999999999</v>
      </c>
      <c r="G116" s="89">
        <f>$C116-SUM(D116:F116)</f>
        <v>0</v>
      </c>
    </row>
    <row r="117" spans="1:7" x14ac:dyDescent="0.2">
      <c r="A117" s="288" t="s">
        <v>162</v>
      </c>
      <c r="B117" s="290" t="str">
        <f>VLOOKUP(A117,'Orçamento Sintético'!$A:$H,4,0)</f>
        <v>Cópia SINAPI (72200) - Laminado melamínico, acabamento texturizado, Polar, espessura 1,3mm, referência L190, fab. Fórmica</v>
      </c>
      <c r="C117" s="91">
        <f>ROUND(C118/$G$425,4)</f>
        <v>4.0399999999999998E-2</v>
      </c>
      <c r="D117" s="91"/>
      <c r="E117" s="91"/>
      <c r="F117" s="91">
        <v>0.3</v>
      </c>
      <c r="G117" s="91">
        <f>ROUND(G118/C118,4)</f>
        <v>0.7</v>
      </c>
    </row>
    <row r="118" spans="1:7" x14ac:dyDescent="0.2">
      <c r="A118" s="289"/>
      <c r="B118" s="291"/>
      <c r="C118" s="89">
        <f>VLOOKUP(A117,'Orçamento Sintético'!$A:$H,8,0)</f>
        <v>36217.99</v>
      </c>
      <c r="D118" s="89">
        <f>ROUND($C118*D117,2)</f>
        <v>0</v>
      </c>
      <c r="E118" s="89">
        <f t="shared" ref="E118" si="111">ROUND($C118*E117,2)</f>
        <v>0</v>
      </c>
      <c r="F118" s="89">
        <f t="shared" ref="F118" si="112">ROUND($C118*F117,2)</f>
        <v>10865.4</v>
      </c>
      <c r="G118" s="89">
        <f>$C118-SUM(D118:F118)</f>
        <v>25352.589999999997</v>
      </c>
    </row>
    <row r="119" spans="1:7" x14ac:dyDescent="0.2">
      <c r="A119" s="292" t="s">
        <v>165</v>
      </c>
      <c r="B119" s="294" t="str">
        <f>VLOOKUP(A119,'Orçamento Sintético'!$A:$H,4,0)</f>
        <v>Revestimentos de forro</v>
      </c>
      <c r="C119" s="80">
        <f>ROUND(C120/$G$425,4)</f>
        <v>1.7899999999999999E-2</v>
      </c>
      <c r="D119" s="80">
        <f t="shared" ref="D119:G119" si="113">ROUND(D120/$C120,4)</f>
        <v>0</v>
      </c>
      <c r="E119" s="80">
        <f t="shared" si="113"/>
        <v>0</v>
      </c>
      <c r="F119" s="80">
        <f t="shared" si="113"/>
        <v>0.3</v>
      </c>
      <c r="G119" s="80">
        <f t="shared" si="113"/>
        <v>0.7</v>
      </c>
    </row>
    <row r="120" spans="1:7" x14ac:dyDescent="0.2">
      <c r="A120" s="293"/>
      <c r="B120" s="295"/>
      <c r="C120" s="90">
        <f>VLOOKUP(A119,'Orçamento Sintético'!$A:$H,8,0)</f>
        <v>16074.62</v>
      </c>
      <c r="D120" s="90">
        <f>D122+D124</f>
        <v>0</v>
      </c>
      <c r="E120" s="90">
        <f t="shared" ref="E120:F120" si="114">E122+E124</f>
        <v>0</v>
      </c>
      <c r="F120" s="90">
        <f t="shared" si="114"/>
        <v>4822.38</v>
      </c>
      <c r="G120" s="90">
        <f>C120-SUM(D120:F120)</f>
        <v>11252.240000000002</v>
      </c>
    </row>
    <row r="121" spans="1:7" x14ac:dyDescent="0.2">
      <c r="A121" s="288" t="s">
        <v>167</v>
      </c>
      <c r="B121" s="290" t="str">
        <f>VLOOKUP(A121,'Orçamento Sintético'!$A:$H,4,0)</f>
        <v>Forro estruturado em placas de gesso acartonado, modelo D-112 unidirecional - 1ST 12,5/BR</v>
      </c>
      <c r="C121" s="91">
        <f>ROUND(C122/$G$425,4)</f>
        <v>1.5100000000000001E-2</v>
      </c>
      <c r="D121" s="91"/>
      <c r="E121" s="91"/>
      <c r="F121" s="91">
        <v>0.3</v>
      </c>
      <c r="G121" s="91">
        <f>ROUND(G122/C122,4)</f>
        <v>0.7</v>
      </c>
    </row>
    <row r="122" spans="1:7" x14ac:dyDescent="0.2">
      <c r="A122" s="289"/>
      <c r="B122" s="291"/>
      <c r="C122" s="89">
        <f>VLOOKUP(A121,'Orçamento Sintético'!$A:$H,8,0)</f>
        <v>13553.54</v>
      </c>
      <c r="D122" s="89">
        <f>ROUND($C122*D121,2)</f>
        <v>0</v>
      </c>
      <c r="E122" s="89">
        <f t="shared" ref="E122" si="115">ROUND($C122*E121,2)</f>
        <v>0</v>
      </c>
      <c r="F122" s="89">
        <f t="shared" ref="F122" si="116">ROUND($C122*F121,2)</f>
        <v>4066.06</v>
      </c>
      <c r="G122" s="89">
        <f>$C122-SUM(D122:F122)</f>
        <v>9487.4800000000014</v>
      </c>
    </row>
    <row r="123" spans="1:7" x14ac:dyDescent="0.2">
      <c r="A123" s="288" t="s">
        <v>170</v>
      </c>
      <c r="B123" s="290" t="str">
        <f>VLOOKUP(A123,'Orçamento Sintético'!$A:$H,4,0)</f>
        <v>Copia da SINAPI (96121) - Perfil tabica fechada, lisa, formato z, em aço galvanizado natural, largura total na horizontal 40mm, para estrutura forro drywall</v>
      </c>
      <c r="C123" s="91">
        <f>ROUND(C124/$G$425,4)</f>
        <v>2.8E-3</v>
      </c>
      <c r="D123" s="91"/>
      <c r="E123" s="91"/>
      <c r="F123" s="91">
        <v>0.3</v>
      </c>
      <c r="G123" s="91">
        <f>ROUND(G124/C124,4)</f>
        <v>0.7</v>
      </c>
    </row>
    <row r="124" spans="1:7" x14ac:dyDescent="0.2">
      <c r="A124" s="289"/>
      <c r="B124" s="291"/>
      <c r="C124" s="89">
        <f>VLOOKUP(A123,'Orçamento Sintético'!$A:$H,8,0)</f>
        <v>2521.08</v>
      </c>
      <c r="D124" s="89">
        <f>ROUND($C124*D123,2)</f>
        <v>0</v>
      </c>
      <c r="E124" s="89">
        <f t="shared" ref="E124" si="117">ROUND($C124*E123,2)</f>
        <v>0</v>
      </c>
      <c r="F124" s="89">
        <f t="shared" ref="F124" si="118">ROUND($C124*F123,2)</f>
        <v>756.32</v>
      </c>
      <c r="G124" s="89">
        <f>$C124-SUM(D124:F124)</f>
        <v>1764.7599999999998</v>
      </c>
    </row>
    <row r="125" spans="1:7" x14ac:dyDescent="0.2">
      <c r="A125" s="292" t="s">
        <v>173</v>
      </c>
      <c r="B125" s="294" t="str">
        <f>VLOOKUP(A125,'Orçamento Sintético'!$A:$H,4,0)</f>
        <v>Pinturas</v>
      </c>
      <c r="C125" s="80">
        <f>ROUND(C126/$G$425,4)</f>
        <v>1.78E-2</v>
      </c>
      <c r="D125" s="80">
        <f t="shared" ref="D125:G125" si="119">ROUND(D126/$C126,4)</f>
        <v>0</v>
      </c>
      <c r="E125" s="80">
        <f t="shared" si="119"/>
        <v>0</v>
      </c>
      <c r="F125" s="80">
        <f t="shared" si="119"/>
        <v>0.35449999999999998</v>
      </c>
      <c r="G125" s="80">
        <f t="shared" si="119"/>
        <v>0.64549999999999996</v>
      </c>
    </row>
    <row r="126" spans="1:7" x14ac:dyDescent="0.2">
      <c r="A126" s="293"/>
      <c r="B126" s="295"/>
      <c r="C126" s="90">
        <f>VLOOKUP(A125,'Orçamento Sintético'!$A:$H,8,0)</f>
        <v>15989.939999999999</v>
      </c>
      <c r="D126" s="90">
        <f>D128+D130+D132+D134+D136+D138+D140+D142</f>
        <v>0</v>
      </c>
      <c r="E126" s="90">
        <f t="shared" ref="E126:F126" si="120">E128+E130+E132+E134+E136+E138+E140+E142</f>
        <v>0</v>
      </c>
      <c r="F126" s="90">
        <f t="shared" si="120"/>
        <v>5669.03</v>
      </c>
      <c r="G126" s="90">
        <f>C126-SUM(D126:F126)</f>
        <v>10320.91</v>
      </c>
    </row>
    <row r="127" spans="1:7" x14ac:dyDescent="0.2">
      <c r="A127" s="288" t="s">
        <v>175</v>
      </c>
      <c r="B127" s="290" t="str">
        <f>VLOOKUP(A127,'Orçamento Sintético'!$A:$H,4,0)</f>
        <v>APLICAÇÃO MANUAL DE PINTURA COM TINTA LÁTEX ACRÍLICA EM TETO, DUAS DEMÃOS. AF_06/2014</v>
      </c>
      <c r="C127" s="91">
        <f>ROUND(C128/$G$425,4)</f>
        <v>2.2000000000000001E-3</v>
      </c>
      <c r="D127" s="91"/>
      <c r="E127" s="91"/>
      <c r="F127" s="91">
        <v>0.3</v>
      </c>
      <c r="G127" s="91">
        <f>ROUND(G128/C128,4)</f>
        <v>0.7</v>
      </c>
    </row>
    <row r="128" spans="1:7" x14ac:dyDescent="0.2">
      <c r="A128" s="289"/>
      <c r="B128" s="291"/>
      <c r="C128" s="89">
        <f>VLOOKUP(A127,'Orçamento Sintético'!$A:$H,8,0)</f>
        <v>2016.3</v>
      </c>
      <c r="D128" s="89">
        <f>ROUND($C128*D127,2)</f>
        <v>0</v>
      </c>
      <c r="E128" s="89">
        <f t="shared" ref="E128" si="121">ROUND($C128*E127,2)</f>
        <v>0</v>
      </c>
      <c r="F128" s="89">
        <f t="shared" ref="F128" si="122">ROUND($C128*F127,2)</f>
        <v>604.89</v>
      </c>
      <c r="G128" s="89">
        <f>$C128-SUM(D128:F128)</f>
        <v>1411.4099999999999</v>
      </c>
    </row>
    <row r="129" spans="1:7" x14ac:dyDescent="0.2">
      <c r="A129" s="288" t="s">
        <v>178</v>
      </c>
      <c r="B129" s="290" t="str">
        <f>VLOOKUP(A129,'Orçamento Sintético'!$A:$H,4,0)</f>
        <v>APLICAÇÃO E LIXAMENTO DE MASSA LÁTEX EM TETO, DUAS DEMÃOS. AF_06/2014</v>
      </c>
      <c r="C129" s="91">
        <f>ROUND(C130/$G$425,4)</f>
        <v>3.8999999999999998E-3</v>
      </c>
      <c r="D129" s="91"/>
      <c r="E129" s="91"/>
      <c r="F129" s="91">
        <v>0.4</v>
      </c>
      <c r="G129" s="91">
        <f>ROUND(G130/C130,4)</f>
        <v>0.6</v>
      </c>
    </row>
    <row r="130" spans="1:7" x14ac:dyDescent="0.2">
      <c r="A130" s="289"/>
      <c r="B130" s="291"/>
      <c r="C130" s="89">
        <f>VLOOKUP(A129,'Orçamento Sintético'!$A:$H,8,0)</f>
        <v>3466.32</v>
      </c>
      <c r="D130" s="89">
        <f>ROUND($C130*D129,2)</f>
        <v>0</v>
      </c>
      <c r="E130" s="89">
        <f t="shared" ref="E130" si="123">ROUND($C130*E129,2)</f>
        <v>0</v>
      </c>
      <c r="F130" s="89">
        <f t="shared" ref="F130" si="124">ROUND($C130*F129,2)</f>
        <v>1386.53</v>
      </c>
      <c r="G130" s="89">
        <f>$C130-SUM(D130:F130)</f>
        <v>2079.79</v>
      </c>
    </row>
    <row r="131" spans="1:7" x14ac:dyDescent="0.2">
      <c r="A131" s="288" t="s">
        <v>181</v>
      </c>
      <c r="B131" s="290" t="str">
        <f>VLOOKUP(A131,'Orçamento Sintético'!$A:$H,4,0)</f>
        <v>APLICAÇÃO MANUAL DE PINTURA COM TINTA LÁTEX ACRÍLICA EM PAREDES, DUAS DEMÃOS. AF_06/2014</v>
      </c>
      <c r="C131" s="91">
        <f>ROUND(C132/$G$425,4)</f>
        <v>8.3999999999999995E-3</v>
      </c>
      <c r="D131" s="91"/>
      <c r="E131" s="91"/>
      <c r="F131" s="91">
        <v>0.4</v>
      </c>
      <c r="G131" s="91">
        <f>ROUND(G132/C132,4)</f>
        <v>0.6</v>
      </c>
    </row>
    <row r="132" spans="1:7" x14ac:dyDescent="0.2">
      <c r="A132" s="289"/>
      <c r="B132" s="291"/>
      <c r="C132" s="89">
        <f>VLOOKUP(A131,'Orçamento Sintético'!$A:$H,8,0)</f>
        <v>7527.04</v>
      </c>
      <c r="D132" s="89">
        <f>ROUND($C132*D131,2)</f>
        <v>0</v>
      </c>
      <c r="E132" s="89">
        <f t="shared" ref="E132" si="125">ROUND($C132*E131,2)</f>
        <v>0</v>
      </c>
      <c r="F132" s="89">
        <f t="shared" ref="F132" si="126">ROUND($C132*F131,2)</f>
        <v>3010.82</v>
      </c>
      <c r="G132" s="89">
        <f>$C132-SUM(D132:F132)</f>
        <v>4516.2199999999993</v>
      </c>
    </row>
    <row r="133" spans="1:7" x14ac:dyDescent="0.2">
      <c r="A133" s="288" t="s">
        <v>184</v>
      </c>
      <c r="B133" s="290" t="str">
        <f>VLOOKUP(A133,'Orçamento Sintético'!$A:$H,4,0)</f>
        <v>APLICAÇÃO E LIXAMENTO DE MASSA LÁTEX EM PAREDES, DUAS DEMÃOS. AF_06/2014</v>
      </c>
      <c r="C133" s="91">
        <f>ROUND(C134/$G$425,4)</f>
        <v>1.9E-3</v>
      </c>
      <c r="D133" s="91"/>
      <c r="E133" s="91"/>
      <c r="F133" s="91">
        <v>0.4</v>
      </c>
      <c r="G133" s="91">
        <f>ROUND(G134/C134,4)</f>
        <v>0.6</v>
      </c>
    </row>
    <row r="134" spans="1:7" x14ac:dyDescent="0.2">
      <c r="A134" s="289"/>
      <c r="B134" s="291"/>
      <c r="C134" s="89">
        <f>VLOOKUP(A133,'Orçamento Sintético'!$A:$H,8,0)</f>
        <v>1666.98</v>
      </c>
      <c r="D134" s="89">
        <f>ROUND($C134*D133,2)</f>
        <v>0</v>
      </c>
      <c r="E134" s="89">
        <f t="shared" ref="E134" si="127">ROUND($C134*E133,2)</f>
        <v>0</v>
      </c>
      <c r="F134" s="89">
        <f t="shared" ref="F134" si="128">ROUND($C134*F133,2)</f>
        <v>666.79</v>
      </c>
      <c r="G134" s="89">
        <f>$C134-SUM(D134:F134)</f>
        <v>1000.19</v>
      </c>
    </row>
    <row r="135" spans="1:7" x14ac:dyDescent="0.2">
      <c r="A135" s="288" t="s">
        <v>187</v>
      </c>
      <c r="B135" s="290" t="str">
        <f>VLOOKUP(A135,'Orçamento Sintético'!$A:$H,4,0)</f>
        <v>PINTURA COM TINTA ALQUÍDICA DE ACABAMENTO (ESMALTE SINTÉTICO ACETINADO) APLICADA A ROLO OU PINCEL SOBRE SUPERFÍCIES METÁLICAS (EXCETO PERFIL) EXECUTADO EM OBRA (02 DEMÃOS). AF_01/2020</v>
      </c>
      <c r="C135" s="91">
        <f>ROUND(C136/$G$425,4)</f>
        <v>8.9999999999999998E-4</v>
      </c>
      <c r="D135" s="91"/>
      <c r="E135" s="91"/>
      <c r="F135" s="91"/>
      <c r="G135" s="91">
        <f>ROUND(G136/C136,4)</f>
        <v>1</v>
      </c>
    </row>
    <row r="136" spans="1:7" x14ac:dyDescent="0.2">
      <c r="A136" s="289"/>
      <c r="B136" s="291"/>
      <c r="C136" s="89">
        <f>VLOOKUP(A135,'Orçamento Sintético'!$A:$H,8,0)</f>
        <v>779.76</v>
      </c>
      <c r="D136" s="89">
        <f>ROUND($C136*D135,2)</f>
        <v>0</v>
      </c>
      <c r="E136" s="89">
        <f t="shared" ref="E136" si="129">ROUND($C136*E135,2)</f>
        <v>0</v>
      </c>
      <c r="F136" s="89">
        <f t="shared" ref="F136" si="130">ROUND($C136*F135,2)</f>
        <v>0</v>
      </c>
      <c r="G136" s="89">
        <f>$C136-SUM(D136:F136)</f>
        <v>779.76</v>
      </c>
    </row>
    <row r="137" spans="1:7" x14ac:dyDescent="0.2">
      <c r="A137" s="288" t="s">
        <v>190</v>
      </c>
      <c r="B137" s="290" t="str">
        <f>VLOOKUP(A137,'Orçamento Sintético'!$A:$H,4,0)</f>
        <v>PINTURA COM TINTA ALQUÍDICA DE FUNDO (TIPO ZARCÃO) APLICADA A ROLO OU PINCEL SOBRE SUPERFÍCIES METÁLICAS (EXCETO PERFIL) EXECUTADO EM OBRA (POR DEMÃO). AF_01/2020</v>
      </c>
      <c r="C137" s="91">
        <f>ROUND(C138/$G$425,4)</f>
        <v>4.0000000000000002E-4</v>
      </c>
      <c r="D137" s="91"/>
      <c r="E137" s="91"/>
      <c r="F137" s="91"/>
      <c r="G137" s="91">
        <f>ROUND(G138/C138,4)</f>
        <v>1</v>
      </c>
    </row>
    <row r="138" spans="1:7" x14ac:dyDescent="0.2">
      <c r="A138" s="289"/>
      <c r="B138" s="291"/>
      <c r="C138" s="89">
        <f>VLOOKUP(A137,'Orçamento Sintético'!$A:$H,8,0)</f>
        <v>381.9</v>
      </c>
      <c r="D138" s="89">
        <f>ROUND($C138*D137,2)</f>
        <v>0</v>
      </c>
      <c r="E138" s="89">
        <f t="shared" ref="E138" si="131">ROUND($C138*E137,2)</f>
        <v>0</v>
      </c>
      <c r="F138" s="89">
        <f t="shared" ref="F138" si="132">ROUND($C138*F137,2)</f>
        <v>0</v>
      </c>
      <c r="G138" s="89">
        <f>$C138-SUM(D138:F138)</f>
        <v>381.9</v>
      </c>
    </row>
    <row r="139" spans="1:7" x14ac:dyDescent="0.2">
      <c r="A139" s="288" t="s">
        <v>193</v>
      </c>
      <c r="B139" s="290" t="str">
        <f>VLOOKUP(A139,'Orçamento Sintético'!$A:$H,4,0)</f>
        <v>Copia da SINAPI (84665) - Pintura de sinalização vertical em faixas amarelo e preto</v>
      </c>
      <c r="C139" s="91">
        <f>ROUND(C140/$G$425,4)</f>
        <v>1E-4</v>
      </c>
      <c r="D139" s="91"/>
      <c r="E139" s="91"/>
      <c r="F139" s="91"/>
      <c r="G139" s="91">
        <f>ROUND(G140/C140,4)</f>
        <v>1</v>
      </c>
    </row>
    <row r="140" spans="1:7" x14ac:dyDescent="0.2">
      <c r="A140" s="289"/>
      <c r="B140" s="291"/>
      <c r="C140" s="89">
        <f>VLOOKUP(A139,'Orçamento Sintético'!$A:$H,8,0)</f>
        <v>46.22</v>
      </c>
      <c r="D140" s="89">
        <f>ROUND($C140*D139,2)</f>
        <v>0</v>
      </c>
      <c r="E140" s="89">
        <f t="shared" ref="E140" si="133">ROUND($C140*E139,2)</f>
        <v>0</v>
      </c>
      <c r="F140" s="89">
        <f t="shared" ref="F140" si="134">ROUND($C140*F139,2)</f>
        <v>0</v>
      </c>
      <c r="G140" s="89">
        <f>$C140-SUM(D140:F140)</f>
        <v>46.22</v>
      </c>
    </row>
    <row r="141" spans="1:7" x14ac:dyDescent="0.2">
      <c r="A141" s="288" t="s">
        <v>196</v>
      </c>
      <c r="B141" s="290" t="str">
        <f>VLOOKUP(A141,'Orçamento Sintético'!$A:$H,4,0)</f>
        <v>PINTURA ACRILICA EM PISO CIMENTADO DUAS DEMAOS</v>
      </c>
      <c r="C141" s="91">
        <f>ROUND(C142/$G$425,4)</f>
        <v>1E-4</v>
      </c>
      <c r="D141" s="91"/>
      <c r="E141" s="91"/>
      <c r="F141" s="91"/>
      <c r="G141" s="91">
        <f>ROUND(G142/C142,4)</f>
        <v>1</v>
      </c>
    </row>
    <row r="142" spans="1:7" x14ac:dyDescent="0.2">
      <c r="A142" s="289"/>
      <c r="B142" s="291"/>
      <c r="C142" s="89">
        <f>VLOOKUP(A141,'Orçamento Sintético'!$A:$H,8,0)</f>
        <v>105.42</v>
      </c>
      <c r="D142" s="89">
        <f>ROUND($C142*D141,2)</f>
        <v>0</v>
      </c>
      <c r="E142" s="89">
        <f t="shared" ref="E142" si="135">ROUND($C142*E141,2)</f>
        <v>0</v>
      </c>
      <c r="F142" s="89">
        <f t="shared" ref="F142" si="136">ROUND($C142*F141,2)</f>
        <v>0</v>
      </c>
      <c r="G142" s="89">
        <f>$C142-SUM(D142:F142)</f>
        <v>105.42</v>
      </c>
    </row>
    <row r="143" spans="1:7" x14ac:dyDescent="0.2">
      <c r="A143" s="292" t="s">
        <v>199</v>
      </c>
      <c r="B143" s="294" t="str">
        <f>VLOOKUP(A143,'Orçamento Sintético'!$A:$H,4,0)</f>
        <v>Impermeabilizações</v>
      </c>
      <c r="C143" s="80">
        <f>ROUND(C144/$G$425,4)</f>
        <v>5.1999999999999998E-3</v>
      </c>
      <c r="D143" s="80">
        <f t="shared" ref="D143:G143" si="137">ROUND(D144/$C144,4)</f>
        <v>0.5</v>
      </c>
      <c r="E143" s="80">
        <f t="shared" si="137"/>
        <v>0.5</v>
      </c>
      <c r="F143" s="80">
        <f t="shared" si="137"/>
        <v>0</v>
      </c>
      <c r="G143" s="80">
        <f t="shared" si="137"/>
        <v>0</v>
      </c>
    </row>
    <row r="144" spans="1:7" x14ac:dyDescent="0.2">
      <c r="A144" s="293"/>
      <c r="B144" s="295"/>
      <c r="C144" s="90">
        <f>VLOOKUP(A143,'Orçamento Sintético'!$A:$H,8,0)</f>
        <v>4645.26</v>
      </c>
      <c r="D144" s="90">
        <f>D146</f>
        <v>2322.63</v>
      </c>
      <c r="E144" s="90">
        <f t="shared" ref="E144:F144" si="138">E146</f>
        <v>2322.63</v>
      </c>
      <c r="F144" s="90">
        <f t="shared" si="138"/>
        <v>0</v>
      </c>
      <c r="G144" s="90">
        <f>C144-SUM(D144:F144)</f>
        <v>0</v>
      </c>
    </row>
    <row r="145" spans="1:7" x14ac:dyDescent="0.2">
      <c r="A145" s="288" t="s">
        <v>201</v>
      </c>
      <c r="B145" s="290" t="str">
        <f>VLOOKUP(A145,'Orçamento Sintético'!$A:$H,4,0)</f>
        <v>IMPERMEABILIZAÇÃO DE SUPERFÍCIE COM ARGAMASSA POLIMÉRICA / MEMBRANA ACRÍLICA, 3 DEMÃOS. AF_06/2018</v>
      </c>
      <c r="C145" s="91">
        <f>ROUND(C146/$G$425,4)</f>
        <v>5.1999999999999998E-3</v>
      </c>
      <c r="D145" s="91">
        <v>0.5</v>
      </c>
      <c r="E145" s="91">
        <v>0.5</v>
      </c>
      <c r="F145" s="91"/>
      <c r="G145" s="91">
        <f>ROUND(G146/C146,4)</f>
        <v>0</v>
      </c>
    </row>
    <row r="146" spans="1:7" x14ac:dyDescent="0.2">
      <c r="A146" s="289"/>
      <c r="B146" s="291"/>
      <c r="C146" s="89">
        <f>VLOOKUP(A145,'Orçamento Sintético'!$A:$H,8,0)</f>
        <v>4645.26</v>
      </c>
      <c r="D146" s="89">
        <f>ROUND($C146*D145,2)</f>
        <v>2322.63</v>
      </c>
      <c r="E146" s="89">
        <f t="shared" ref="E146" si="139">ROUND($C146*E145,2)</f>
        <v>2322.63</v>
      </c>
      <c r="F146" s="89">
        <f t="shared" ref="F146" si="140">ROUND($C146*F145,2)</f>
        <v>0</v>
      </c>
      <c r="G146" s="89">
        <f>$C146-SUM(D146:F146)</f>
        <v>0</v>
      </c>
    </row>
    <row r="147" spans="1:7" x14ac:dyDescent="0.2">
      <c r="A147" s="292" t="s">
        <v>204</v>
      </c>
      <c r="B147" s="294" t="str">
        <f>VLOOKUP(A147,'Orçamento Sintético'!$A:$H,4,0)</f>
        <v>Acabamentos e Arremates</v>
      </c>
      <c r="C147" s="80">
        <f>ROUND(C148/$G$425,4)</f>
        <v>1.8E-3</v>
      </c>
      <c r="D147" s="80">
        <f t="shared" ref="D147:G147" si="141">ROUND(D148/$C148,4)</f>
        <v>0</v>
      </c>
      <c r="E147" s="80">
        <f t="shared" si="141"/>
        <v>0.86209999999999998</v>
      </c>
      <c r="F147" s="80">
        <f t="shared" si="141"/>
        <v>0</v>
      </c>
      <c r="G147" s="80">
        <f t="shared" si="141"/>
        <v>0.13789999999999999</v>
      </c>
    </row>
    <row r="148" spans="1:7" x14ac:dyDescent="0.2">
      <c r="A148" s="293"/>
      <c r="B148" s="295"/>
      <c r="C148" s="90">
        <f>VLOOKUP(A147,'Orçamento Sintético'!$A:$H,8,0)</f>
        <v>1631.9199999999998</v>
      </c>
      <c r="D148" s="90">
        <f>D150+D152</f>
        <v>0</v>
      </c>
      <c r="E148" s="90">
        <f t="shared" ref="E148:F148" si="142">E150+E152</f>
        <v>1406.86</v>
      </c>
      <c r="F148" s="90">
        <f t="shared" si="142"/>
        <v>0</v>
      </c>
      <c r="G148" s="90">
        <f>C148-SUM(D148:F148)</f>
        <v>225.05999999999995</v>
      </c>
    </row>
    <row r="149" spans="1:7" x14ac:dyDescent="0.2">
      <c r="A149" s="288" t="s">
        <v>206</v>
      </c>
      <c r="B149" s="290" t="str">
        <f>VLOOKUP(A149,'Orçamento Sintético'!$A:$H,4,0)</f>
        <v>Copia da SETOP (PIS-FAI-005) - Fita antiderrapante 3M Safety Walk,  linha Conformable.</v>
      </c>
      <c r="C149" s="91">
        <f>ROUND(C150/$G$425,4)</f>
        <v>2.9999999999999997E-4</v>
      </c>
      <c r="D149" s="91"/>
      <c r="E149" s="91"/>
      <c r="F149" s="91"/>
      <c r="G149" s="91">
        <f>ROUND(G150/C150,4)</f>
        <v>1</v>
      </c>
    </row>
    <row r="150" spans="1:7" x14ac:dyDescent="0.2">
      <c r="A150" s="289"/>
      <c r="B150" s="291"/>
      <c r="C150" s="89">
        <f>VLOOKUP(A149,'Orçamento Sintético'!$A:$H,8,0)</f>
        <v>225.06</v>
      </c>
      <c r="D150" s="89">
        <f>ROUND($C150*D149,2)</f>
        <v>0</v>
      </c>
      <c r="E150" s="89">
        <f t="shared" ref="E150" si="143">ROUND($C150*E149,2)</f>
        <v>0</v>
      </c>
      <c r="F150" s="89">
        <f t="shared" ref="F150" si="144">ROUND($C150*F149,2)</f>
        <v>0</v>
      </c>
      <c r="G150" s="89">
        <f>$C150-SUM(D150:F150)</f>
        <v>225.06</v>
      </c>
    </row>
    <row r="151" spans="1:7" x14ac:dyDescent="0.2">
      <c r="A151" s="288" t="s">
        <v>209</v>
      </c>
      <c r="B151" s="290" t="str">
        <f>VLOOKUP(A151,'Orçamento Sintético'!$A:$H,4,0)</f>
        <v>SOLEIRA EM GRANITO, LARGURA 15 CM, ESPESSURA 2,0 CM. AF_06/2018</v>
      </c>
      <c r="C151" s="91">
        <f>ROUND(C152/$G$425,4)</f>
        <v>1.6000000000000001E-3</v>
      </c>
      <c r="D151" s="91"/>
      <c r="E151" s="91">
        <v>1</v>
      </c>
      <c r="F151" s="91"/>
      <c r="G151" s="91">
        <f>ROUND(G152/C152,4)</f>
        <v>0</v>
      </c>
    </row>
    <row r="152" spans="1:7" x14ac:dyDescent="0.2">
      <c r="A152" s="289"/>
      <c r="B152" s="291"/>
      <c r="C152" s="89">
        <f>VLOOKUP(A151,'Orçamento Sintético'!$A:$H,8,0)</f>
        <v>1406.86</v>
      </c>
      <c r="D152" s="89">
        <f>ROUND($C152*D151,2)</f>
        <v>0</v>
      </c>
      <c r="E152" s="89">
        <f t="shared" ref="E152" si="145">ROUND($C152*E151,2)</f>
        <v>1406.86</v>
      </c>
      <c r="F152" s="89">
        <f t="shared" ref="F152" si="146">ROUND($C152*F151,2)</f>
        <v>0</v>
      </c>
      <c r="G152" s="89">
        <f>$C152-SUM(D152:F152)</f>
        <v>0</v>
      </c>
    </row>
    <row r="153" spans="1:7" x14ac:dyDescent="0.2">
      <c r="A153" s="292" t="s">
        <v>212</v>
      </c>
      <c r="B153" s="294" t="str">
        <f>VLOOKUP(A153,'Orçamento Sintético'!$A:$H,4,0)</f>
        <v>Equipamentos e Acessórios</v>
      </c>
      <c r="C153" s="80">
        <f>ROUND(C154/$G$425,4)</f>
        <v>2.63E-2</v>
      </c>
      <c r="D153" s="80">
        <f t="shared" ref="D153:G153" si="147">ROUND(D154/$C154,4)</f>
        <v>0</v>
      </c>
      <c r="E153" s="80">
        <f t="shared" si="147"/>
        <v>0</v>
      </c>
      <c r="F153" s="80">
        <f t="shared" si="147"/>
        <v>0.49730000000000002</v>
      </c>
      <c r="G153" s="80">
        <f t="shared" si="147"/>
        <v>0.50270000000000004</v>
      </c>
    </row>
    <row r="154" spans="1:7" x14ac:dyDescent="0.2">
      <c r="A154" s="293"/>
      <c r="B154" s="295"/>
      <c r="C154" s="90">
        <f>VLOOKUP(A153,'Orçamento Sintético'!$A:$H,8,0)</f>
        <v>23591.62</v>
      </c>
      <c r="D154" s="90">
        <f>D156+D158+D160</f>
        <v>0</v>
      </c>
      <c r="E154" s="90">
        <f t="shared" ref="E154:F154" si="148">E156+E158+E160</f>
        <v>0</v>
      </c>
      <c r="F154" s="90">
        <f t="shared" si="148"/>
        <v>11731.25</v>
      </c>
      <c r="G154" s="90">
        <f>C154-SUM(D154:F154)</f>
        <v>11860.369999999999</v>
      </c>
    </row>
    <row r="155" spans="1:7" x14ac:dyDescent="0.2">
      <c r="A155" s="288" t="s">
        <v>214</v>
      </c>
      <c r="B155" s="290" t="str">
        <f>VLOOKUP(A155,'Orçamento Sintético'!$A:$H,4,0)</f>
        <v>Cópia SINAPI 99855 -Corrimão duplo de Ø 1.1/2" (38,1mm) em tubo de aço industrial, para pintura esmalte. Instalado em alvenaria</v>
      </c>
      <c r="C155" s="91">
        <f>ROUND(C156/$G$425,4)</f>
        <v>3.0999999999999999E-3</v>
      </c>
      <c r="D155" s="91"/>
      <c r="E155" s="91"/>
      <c r="F155" s="91">
        <v>0.5</v>
      </c>
      <c r="G155" s="91">
        <f>ROUND(G156/C156,4)</f>
        <v>0.5</v>
      </c>
    </row>
    <row r="156" spans="1:7" x14ac:dyDescent="0.2">
      <c r="A156" s="289"/>
      <c r="B156" s="291"/>
      <c r="C156" s="89">
        <f>VLOOKUP(A155,'Orçamento Sintético'!$A:$H,8,0)</f>
        <v>2785.9</v>
      </c>
      <c r="D156" s="89">
        <f>ROUND($C156*D155,2)</f>
        <v>0</v>
      </c>
      <c r="E156" s="89">
        <f t="shared" ref="E156" si="149">ROUND($C156*E155,2)</f>
        <v>0</v>
      </c>
      <c r="F156" s="89">
        <f t="shared" ref="F156" si="150">ROUND($C156*F155,2)</f>
        <v>1392.95</v>
      </c>
      <c r="G156" s="89">
        <f>$C156-SUM(D156:F156)</f>
        <v>1392.95</v>
      </c>
    </row>
    <row r="157" spans="1:7" x14ac:dyDescent="0.2">
      <c r="A157" s="288" t="s">
        <v>217</v>
      </c>
      <c r="B157" s="290" t="str">
        <f>VLOOKUP(A157,'Orçamento Sintético'!$A:$H,4,0)</f>
        <v>Complemento de corrimão simples para duplo 1 1/2", de aço galvanizado para pintura, fixado em alvenaria ou guarda corpo</v>
      </c>
      <c r="C157" s="91">
        <f>ROUND(C158/$G$425,4)</f>
        <v>2.3099999999999999E-2</v>
      </c>
      <c r="D157" s="91"/>
      <c r="E157" s="91"/>
      <c r="F157" s="91">
        <v>0.5</v>
      </c>
      <c r="G157" s="91">
        <f>ROUND(G158/C158,4)</f>
        <v>0.5</v>
      </c>
    </row>
    <row r="158" spans="1:7" x14ac:dyDescent="0.2">
      <c r="A158" s="289"/>
      <c r="B158" s="291"/>
      <c r="C158" s="89">
        <f>VLOOKUP(A157,'Orçamento Sintético'!$A:$H,8,0)</f>
        <v>20676.599999999999</v>
      </c>
      <c r="D158" s="89">
        <f>ROUND($C158*D157,2)</f>
        <v>0</v>
      </c>
      <c r="E158" s="89">
        <f t="shared" ref="E158" si="151">ROUND($C158*E157,2)</f>
        <v>0</v>
      </c>
      <c r="F158" s="89">
        <f t="shared" ref="F158" si="152">ROUND($C158*F157,2)</f>
        <v>10338.299999999999</v>
      </c>
      <c r="G158" s="89">
        <f>$C158-SUM(D158:F158)</f>
        <v>10338.299999999999</v>
      </c>
    </row>
    <row r="159" spans="1:7" x14ac:dyDescent="0.2">
      <c r="A159" s="288" t="s">
        <v>220</v>
      </c>
      <c r="B159" s="290" t="str">
        <f>VLOOKUP(A159,'Orçamento Sintético'!$A:$H,4,0)</f>
        <v>Plaquetas de sinalização em braile em placas de alumínio, escrita em alfabeto braile, identificando o pavimento em que o usuário se encontra, referência: Andaluz</v>
      </c>
      <c r="C159" s="91">
        <f>ROUND(C160/$G$425,4)</f>
        <v>1E-4</v>
      </c>
      <c r="D159" s="91"/>
      <c r="E159" s="91"/>
      <c r="F159" s="91"/>
      <c r="G159" s="91">
        <f>ROUND(G160/C160,4)</f>
        <v>1</v>
      </c>
    </row>
    <row r="160" spans="1:7" x14ac:dyDescent="0.2">
      <c r="A160" s="289"/>
      <c r="B160" s="291"/>
      <c r="C160" s="89">
        <f>VLOOKUP(A159,'Orçamento Sintético'!$A:$H,8,0)</f>
        <v>129.12</v>
      </c>
      <c r="D160" s="89">
        <f>ROUND($C160*D159,2)</f>
        <v>0</v>
      </c>
      <c r="E160" s="89">
        <f t="shared" ref="E160" si="153">ROUND($C160*E159,2)</f>
        <v>0</v>
      </c>
      <c r="F160" s="89">
        <f t="shared" ref="F160" si="154">ROUND($C160*F159,2)</f>
        <v>0</v>
      </c>
      <c r="G160" s="89">
        <f>$C160-SUM(D160:F160)</f>
        <v>129.12</v>
      </c>
    </row>
    <row r="161" spans="1:7" x14ac:dyDescent="0.2">
      <c r="A161" s="292" t="s">
        <v>223</v>
      </c>
      <c r="B161" s="294" t="str">
        <f>VLOOKUP(A161,'Orçamento Sintético'!$A:$H,4,0)</f>
        <v>Sanitários e Vestiários</v>
      </c>
      <c r="C161" s="80">
        <f>ROUND(C162/$G$425,4)</f>
        <v>0.11840000000000001</v>
      </c>
      <c r="D161" s="80">
        <f t="shared" ref="D161:G161" si="155">ROUND(D162/$C162,4)</f>
        <v>5.4600000000000003E-2</v>
      </c>
      <c r="E161" s="80">
        <f t="shared" si="155"/>
        <v>0.23649999999999999</v>
      </c>
      <c r="F161" s="80">
        <f t="shared" si="155"/>
        <v>0.27350000000000002</v>
      </c>
      <c r="G161" s="80">
        <f t="shared" si="155"/>
        <v>0.43540000000000001</v>
      </c>
    </row>
    <row r="162" spans="1:7" x14ac:dyDescent="0.2">
      <c r="A162" s="293"/>
      <c r="B162" s="295"/>
      <c r="C162" s="90">
        <f>VLOOKUP(A161,'Orçamento Sintético'!$A:$H,8,0)</f>
        <v>106227.02999999998</v>
      </c>
      <c r="D162" s="90">
        <f>D164+D166+D168+D170+D172+D174+D176+D178+D180+D182+D184+D186+D188+D190+D192+D194+D196+D198+D200+D202+D204+D206+D208+D210+D212</f>
        <v>5802.16</v>
      </c>
      <c r="E162" s="90">
        <f t="shared" ref="E162:F162" si="156">E164+E166+E168+E170+E172+E174+E176+E178+E180+E182+E184+E186+E188+E190+E192+E194+E196+E198+E200+E202+E204+E206+E208+E210+E212</f>
        <v>25120.039999999997</v>
      </c>
      <c r="F162" s="90">
        <f t="shared" si="156"/>
        <v>29054.719999999998</v>
      </c>
      <c r="G162" s="90">
        <f>C162-SUM(D162:F162)</f>
        <v>46250.109999999986</v>
      </c>
    </row>
    <row r="163" spans="1:7" x14ac:dyDescent="0.2">
      <c r="A163" s="288" t="s">
        <v>225</v>
      </c>
      <c r="B163" s="290" t="str">
        <f>VLOOKUP(A163,'Orçamento Sintético'!$A:$H,4,0)</f>
        <v>Copia - Copia da SINAPI (95470) - Bacia sanitária, cor branco gelo, Linha Monte Carlo cód. P.8.17, fab. Deca com assento PLÁSTICO</v>
      </c>
      <c r="C163" s="91">
        <f>ROUND(C164/$G$425,4)</f>
        <v>1.3100000000000001E-2</v>
      </c>
      <c r="D163" s="91"/>
      <c r="E163" s="91">
        <v>0.5</v>
      </c>
      <c r="F163" s="91">
        <v>0.5</v>
      </c>
      <c r="G163" s="91">
        <f>ROUND(G164/C164,4)</f>
        <v>0</v>
      </c>
    </row>
    <row r="164" spans="1:7" x14ac:dyDescent="0.2">
      <c r="A164" s="289"/>
      <c r="B164" s="291"/>
      <c r="C164" s="89">
        <f>VLOOKUP(A163,'Orçamento Sintético'!$A:$H,8,0)</f>
        <v>11735.64</v>
      </c>
      <c r="D164" s="89">
        <f>ROUND($C164*D163,2)</f>
        <v>0</v>
      </c>
      <c r="E164" s="89">
        <f t="shared" ref="E164" si="157">ROUND($C164*E163,2)</f>
        <v>5867.82</v>
      </c>
      <c r="F164" s="89">
        <f t="shared" ref="F164" si="158">ROUND($C164*F163,2)</f>
        <v>5867.82</v>
      </c>
      <c r="G164" s="89">
        <f>$C164-SUM(D164:F164)</f>
        <v>0</v>
      </c>
    </row>
    <row r="165" spans="1:7" x14ac:dyDescent="0.2">
      <c r="A165" s="288" t="s">
        <v>228</v>
      </c>
      <c r="B165" s="290" t="str">
        <f>VLOOKUP(A165,'Orçamento Sintético'!$A:$H,4,0)</f>
        <v>Copia da SINAPI (95470) - Bacia sanitária, Linha Studio Kids, cor branco gelo, código PI.16.17, fabricação Deca</v>
      </c>
      <c r="C165" s="91">
        <f>ROUND(C166/$G$425,4)</f>
        <v>2E-3</v>
      </c>
      <c r="D165" s="91"/>
      <c r="E165" s="91">
        <v>0.5</v>
      </c>
      <c r="F165" s="91">
        <v>0.5</v>
      </c>
      <c r="G165" s="91">
        <f>ROUND(G166/C166,4)</f>
        <v>0</v>
      </c>
    </row>
    <row r="166" spans="1:7" x14ac:dyDescent="0.2">
      <c r="A166" s="289"/>
      <c r="B166" s="291"/>
      <c r="C166" s="89">
        <f>VLOOKUP(A165,'Orçamento Sintético'!$A:$H,8,0)</f>
        <v>1836.36</v>
      </c>
      <c r="D166" s="89">
        <f>ROUND($C166*D165,2)</f>
        <v>0</v>
      </c>
      <c r="E166" s="89">
        <f t="shared" ref="E166" si="159">ROUND($C166*E165,2)</f>
        <v>918.18</v>
      </c>
      <c r="F166" s="89">
        <f t="shared" ref="F166" si="160">ROUND($C166*F165,2)</f>
        <v>918.18</v>
      </c>
      <c r="G166" s="89">
        <f>$C166-SUM(D166:F166)</f>
        <v>0</v>
      </c>
    </row>
    <row r="167" spans="1:7" x14ac:dyDescent="0.2">
      <c r="A167" s="288" t="s">
        <v>231</v>
      </c>
      <c r="B167" s="290" t="str">
        <f>VLOOKUP(A167,'Orçamento Sintético'!$A:$H,4,0)</f>
        <v>Copia da SINAPI (95471) - Bacia sanitária, Linha Vogue Plus Conforto, cor branco gelo, código P. 510, fabricação Deca com assento PLÁSTICO</v>
      </c>
      <c r="C167" s="91">
        <f>ROUND(C168/$G$425,4)</f>
        <v>2.5999999999999999E-3</v>
      </c>
      <c r="D167" s="91"/>
      <c r="E167" s="91"/>
      <c r="F167" s="91">
        <v>0.5</v>
      </c>
      <c r="G167" s="91">
        <f>ROUND(G168/C168,4)</f>
        <v>0.5</v>
      </c>
    </row>
    <row r="168" spans="1:7" x14ac:dyDescent="0.2">
      <c r="A168" s="289"/>
      <c r="B168" s="291"/>
      <c r="C168" s="89">
        <f>VLOOKUP(A167,'Orçamento Sintético'!$A:$H,8,0)</f>
        <v>2291.4899999999998</v>
      </c>
      <c r="D168" s="89">
        <f>ROUND($C168*D167,2)</f>
        <v>0</v>
      </c>
      <c r="E168" s="89">
        <f t="shared" ref="E168" si="161">ROUND($C168*E167,2)</f>
        <v>0</v>
      </c>
      <c r="F168" s="89">
        <f t="shared" ref="F168" si="162">ROUND($C168*F167,2)</f>
        <v>1145.75</v>
      </c>
      <c r="G168" s="89">
        <f>$C168-SUM(D168:F168)</f>
        <v>1145.7399999999998</v>
      </c>
    </row>
    <row r="169" spans="1:7" x14ac:dyDescent="0.2">
      <c r="A169" s="288" t="s">
        <v>234</v>
      </c>
      <c r="B169" s="290" t="str">
        <f>VLOOKUP(A169,'Orçamento Sintético'!$A:$H,4,0)</f>
        <v>Copia da (SINAPI 99635+SBC 190802) - Válvula de descarga com acabamento cromado duplo acionamento, antivandalismo, Linha Hidra Duo 1 1/2”, cód. 2545.C.112PRO e 4900.C.DUO.PRO, fab. Deca ou similar equivalente</v>
      </c>
      <c r="C169" s="91">
        <f>ROUND(C170/$G$425,4)</f>
        <v>1.29E-2</v>
      </c>
      <c r="D169" s="91">
        <v>0.5</v>
      </c>
      <c r="E169" s="91">
        <v>0.5</v>
      </c>
      <c r="F169" s="91"/>
      <c r="G169" s="91">
        <f>ROUND(G170/C170,4)</f>
        <v>0</v>
      </c>
    </row>
    <row r="170" spans="1:7" x14ac:dyDescent="0.2">
      <c r="A170" s="289"/>
      <c r="B170" s="291"/>
      <c r="C170" s="89">
        <f>VLOOKUP(A169,'Orçamento Sintético'!$A:$H,8,0)</f>
        <v>11604.32</v>
      </c>
      <c r="D170" s="89">
        <f>ROUND($C170*D169,2)</f>
        <v>5802.16</v>
      </c>
      <c r="E170" s="89">
        <f t="shared" ref="E170" si="163">ROUND($C170*E169,2)</f>
        <v>5802.16</v>
      </c>
      <c r="F170" s="89">
        <f t="shared" ref="F170" si="164">ROUND($C170*F169,2)</f>
        <v>0</v>
      </c>
      <c r="G170" s="89">
        <f>$C170-SUM(D170:F170)</f>
        <v>0</v>
      </c>
    </row>
    <row r="171" spans="1:7" x14ac:dyDescent="0.2">
      <c r="A171" s="288" t="s">
        <v>237</v>
      </c>
      <c r="B171" s="290" t="str">
        <f>VLOOKUP(A171,'Orçamento Sintético'!$A:$H,4,0)</f>
        <v>Copia da Sinapi (100858) - Mictório branco com sifão integrado, cód. M 715.17, fab. Deca - completo</v>
      </c>
      <c r="C171" s="91">
        <f>ROUND(C172/$G$425,4)</f>
        <v>1.01E-2</v>
      </c>
      <c r="D171" s="91"/>
      <c r="E171" s="91">
        <v>0.5</v>
      </c>
      <c r="F171" s="91">
        <v>0.5</v>
      </c>
      <c r="G171" s="91">
        <f>ROUND(G172/C172,4)</f>
        <v>0</v>
      </c>
    </row>
    <row r="172" spans="1:7" x14ac:dyDescent="0.2">
      <c r="A172" s="289"/>
      <c r="B172" s="291"/>
      <c r="C172" s="89">
        <f>VLOOKUP(A171,'Orçamento Sintético'!$A:$H,8,0)</f>
        <v>9079.14</v>
      </c>
      <c r="D172" s="89">
        <f>ROUND($C172*D171,2)</f>
        <v>0</v>
      </c>
      <c r="E172" s="89">
        <f t="shared" ref="E172" si="165">ROUND($C172*E171,2)</f>
        <v>4539.57</v>
      </c>
      <c r="F172" s="89">
        <f t="shared" ref="F172" si="166">ROUND($C172*F171,2)</f>
        <v>4539.57</v>
      </c>
      <c r="G172" s="89">
        <f>$C172-SUM(D172:F172)</f>
        <v>0</v>
      </c>
    </row>
    <row r="173" spans="1:7" x14ac:dyDescent="0.2">
      <c r="A173" s="288" t="s">
        <v>240</v>
      </c>
      <c r="B173" s="290" t="str">
        <f>VLOOKUP(A173,'Orçamento Sintético'!$A:$H,4,0)</f>
        <v>Copia da SINAPI (86904) - Lavatório de semi-encaixe (padrão), branco, fixado sobre a bancada. Linha Monte Carlo, cód.:L82.17, fab. Deca ou similar equivalante</v>
      </c>
      <c r="C173" s="91">
        <f>ROUND(C174/$G$425,4)</f>
        <v>7.4999999999999997E-3</v>
      </c>
      <c r="D173" s="91"/>
      <c r="E173" s="91">
        <v>0.5</v>
      </c>
      <c r="F173" s="91">
        <v>0.5</v>
      </c>
      <c r="G173" s="91">
        <f>ROUND(G174/C174,4)</f>
        <v>0</v>
      </c>
    </row>
    <row r="174" spans="1:7" x14ac:dyDescent="0.2">
      <c r="A174" s="289"/>
      <c r="B174" s="291"/>
      <c r="C174" s="89">
        <f>VLOOKUP(A173,'Orçamento Sintético'!$A:$H,8,0)</f>
        <v>6753.6</v>
      </c>
      <c r="D174" s="89">
        <f>ROUND($C174*D173,2)</f>
        <v>0</v>
      </c>
      <c r="E174" s="89">
        <f t="shared" ref="E174" si="167">ROUND($C174*E173,2)</f>
        <v>3376.8</v>
      </c>
      <c r="F174" s="89">
        <f t="shared" ref="F174" si="168">ROUND($C174*F173,2)</f>
        <v>3376.8</v>
      </c>
      <c r="G174" s="89">
        <f>$C174-SUM(D174:F174)</f>
        <v>0</v>
      </c>
    </row>
    <row r="175" spans="1:7" x14ac:dyDescent="0.2">
      <c r="A175" s="288" t="s">
        <v>243</v>
      </c>
      <c r="B175" s="290" t="str">
        <f>VLOOKUP(A175,'Orçamento Sintético'!$A:$H,4,0)</f>
        <v>Conjunto de metais para lavatório em bancada de granito</v>
      </c>
      <c r="C175" s="91">
        <f>ROUND(C176/$G$425,4)</f>
        <v>1.34E-2</v>
      </c>
      <c r="D175" s="91"/>
      <c r="E175" s="91"/>
      <c r="F175" s="91">
        <v>0.5</v>
      </c>
      <c r="G175" s="91">
        <f>ROUND(G176/C176,4)</f>
        <v>0.5</v>
      </c>
    </row>
    <row r="176" spans="1:7" x14ac:dyDescent="0.2">
      <c r="A176" s="289"/>
      <c r="B176" s="291"/>
      <c r="C176" s="89">
        <f>VLOOKUP(A175,'Orçamento Sintético'!$A:$H,8,0)</f>
        <v>11994.6</v>
      </c>
      <c r="D176" s="89">
        <f>ROUND($C176*D175,2)</f>
        <v>0</v>
      </c>
      <c r="E176" s="89">
        <f t="shared" ref="E176" si="169">ROUND($C176*E175,2)</f>
        <v>0</v>
      </c>
      <c r="F176" s="89">
        <f t="shared" ref="F176" si="170">ROUND($C176*F175,2)</f>
        <v>5997.3</v>
      </c>
      <c r="G176" s="89">
        <f>$C176-SUM(D176:F176)</f>
        <v>5997.3</v>
      </c>
    </row>
    <row r="177" spans="1:7" ht="11.25" customHeight="1" x14ac:dyDescent="0.2">
      <c r="A177" s="288" t="s">
        <v>247</v>
      </c>
      <c r="B177" s="290" t="str">
        <f>VLOOKUP(A177,'Orçamento Sintético'!$A:$H,4,0)</f>
        <v>Copia da SINAPI (86903) - Lavatório com coluna suspensa (PCD), branco. Linha Vogue Plus, cód.:L51.17 (lavatório) e cód.: CS1.17 (coluna suspensa), fab. Deca</v>
      </c>
      <c r="C177" s="91">
        <f>ROUND(C178/$G$425,4)</f>
        <v>2E-3</v>
      </c>
      <c r="D177" s="91"/>
      <c r="E177" s="91"/>
      <c r="F177" s="91">
        <v>0.5</v>
      </c>
      <c r="G177" s="91">
        <f>ROUND(G178/C178,4)</f>
        <v>0.5</v>
      </c>
    </row>
    <row r="178" spans="1:7" x14ac:dyDescent="0.2">
      <c r="A178" s="289"/>
      <c r="B178" s="291"/>
      <c r="C178" s="89">
        <f>VLOOKUP(A177,'Orçamento Sintético'!$A:$H,8,0)</f>
        <v>1772.46</v>
      </c>
      <c r="D178" s="89">
        <f>ROUND($C178*D177,2)</f>
        <v>0</v>
      </c>
      <c r="E178" s="89">
        <f t="shared" ref="E178" si="171">ROUND($C178*E177,2)</f>
        <v>0</v>
      </c>
      <c r="F178" s="89">
        <f t="shared" ref="F178" si="172">ROUND($C178*F177,2)</f>
        <v>886.23</v>
      </c>
      <c r="G178" s="89">
        <f>$C178-SUM(D178:F178)</f>
        <v>886.23</v>
      </c>
    </row>
    <row r="179" spans="1:7" ht="11.25" customHeight="1" x14ac:dyDescent="0.2">
      <c r="A179" s="288" t="s">
        <v>250</v>
      </c>
      <c r="B179" s="290" t="str">
        <f>VLOOKUP(A179,'Orçamento Sintético'!$A:$H,4,0)</f>
        <v>Conjunto de metais para lavatório com coluna suspensa (PCD) ou semi-encaixe, inclusive torneira de mesa com alavanca</v>
      </c>
      <c r="C179" s="91">
        <f>ROUND(C180/$G$425,4)</f>
        <v>2.2000000000000001E-3</v>
      </c>
      <c r="D179" s="91"/>
      <c r="E179" s="91"/>
      <c r="F179" s="91">
        <v>0.5</v>
      </c>
      <c r="G179" s="91">
        <f>ROUND(G180/C180,4)</f>
        <v>0.5</v>
      </c>
    </row>
    <row r="180" spans="1:7" x14ac:dyDescent="0.2">
      <c r="A180" s="289"/>
      <c r="B180" s="291"/>
      <c r="C180" s="89">
        <f>VLOOKUP(A179,'Orçamento Sintético'!$A:$H,8,0)</f>
        <v>1956.63</v>
      </c>
      <c r="D180" s="89">
        <f>ROUND($C180*D179,2)</f>
        <v>0</v>
      </c>
      <c r="E180" s="89">
        <f t="shared" ref="E180" si="173">ROUND($C180*E179,2)</f>
        <v>0</v>
      </c>
      <c r="F180" s="89">
        <f t="shared" ref="F180" si="174">ROUND($C180*F179,2)</f>
        <v>978.32</v>
      </c>
      <c r="G180" s="89">
        <f>$C180-SUM(D180:F180)</f>
        <v>978.31000000000006</v>
      </c>
    </row>
    <row r="181" spans="1:7" ht="11.25" customHeight="1" x14ac:dyDescent="0.2">
      <c r="A181" s="288" t="s">
        <v>253</v>
      </c>
      <c r="B181" s="290" t="str">
        <f>VLOOKUP(A181,'Orçamento Sintético'!$A:$H,4,0)</f>
        <v>Copia da SINAPI (86914) - Torneira de parede uso geral com arejador, metálica com acabamento cromado, Linha Standard, cód. 1154.C39, fab. Deca ou similar</v>
      </c>
      <c r="C181" s="91">
        <f>ROUND(C182/$G$425,4)</f>
        <v>2.3E-3</v>
      </c>
      <c r="D181" s="91"/>
      <c r="E181" s="91"/>
      <c r="F181" s="91">
        <v>0.5</v>
      </c>
      <c r="G181" s="91">
        <f>ROUND(G182/C182,4)</f>
        <v>0.5</v>
      </c>
    </row>
    <row r="182" spans="1:7" x14ac:dyDescent="0.2">
      <c r="A182" s="289"/>
      <c r="B182" s="291"/>
      <c r="C182" s="89">
        <f>VLOOKUP(A181,'Orçamento Sintético'!$A:$H,8,0)</f>
        <v>2104.5</v>
      </c>
      <c r="D182" s="89">
        <f>ROUND($C182*D181,2)</f>
        <v>0</v>
      </c>
      <c r="E182" s="89">
        <f t="shared" ref="E182" si="175">ROUND($C182*E181,2)</f>
        <v>0</v>
      </c>
      <c r="F182" s="89">
        <f t="shared" ref="F182" si="176">ROUND($C182*F181,2)</f>
        <v>1052.25</v>
      </c>
      <c r="G182" s="89">
        <f>$C182-SUM(D182:F182)</f>
        <v>1052.25</v>
      </c>
    </row>
    <row r="183" spans="1:7" ht="11.25" customHeight="1" x14ac:dyDescent="0.2">
      <c r="A183" s="288" t="s">
        <v>256</v>
      </c>
      <c r="B183" s="290" t="str">
        <f>VLOOKUP(A183,'Orçamento Sintético'!$A:$H,4,0)</f>
        <v>Copia da SBC (190832) -Barra de apoio tubular reta 80cm, Ø31,75mm e=2mm, em alumínio, acabamento com pintura epóxi branca, Linha Acessibilidade, fab. Leve Vida</v>
      </c>
      <c r="C183" s="91">
        <f>ROUND(C184/$G$425,4)</f>
        <v>1.2999999999999999E-3</v>
      </c>
      <c r="D183" s="91"/>
      <c r="E183" s="91"/>
      <c r="F183" s="91"/>
      <c r="G183" s="91">
        <f>ROUND(G184/C184,4)</f>
        <v>1</v>
      </c>
    </row>
    <row r="184" spans="1:7" x14ac:dyDescent="0.2">
      <c r="A184" s="289"/>
      <c r="B184" s="291"/>
      <c r="C184" s="89">
        <f>VLOOKUP(A183,'Orçamento Sintético'!$A:$H,8,0)</f>
        <v>1127.7</v>
      </c>
      <c r="D184" s="89">
        <f>ROUND($C184*D183,2)</f>
        <v>0</v>
      </c>
      <c r="E184" s="89">
        <f t="shared" ref="E184" si="177">ROUND($C184*E183,2)</f>
        <v>0</v>
      </c>
      <c r="F184" s="89">
        <f t="shared" ref="F184" si="178">ROUND($C184*F183,2)</f>
        <v>0</v>
      </c>
      <c r="G184" s="89">
        <f>$C184-SUM(D184:F184)</f>
        <v>1127.7</v>
      </c>
    </row>
    <row r="185" spans="1:7" ht="11.25" customHeight="1" x14ac:dyDescent="0.2">
      <c r="A185" s="288" t="s">
        <v>259</v>
      </c>
      <c r="B185" s="290" t="str">
        <f>VLOOKUP(A185,'Orçamento Sintético'!$A:$H,4,0)</f>
        <v>Copia da ORSE (12133) - Barra de apoio tubular reta 70cm, Ø31,75mm e=2mm, em alumínio, acabamento com pintura epóxi branca, Linha Acessibilidade, fab. Leve Vida</v>
      </c>
      <c r="C185" s="91">
        <f>ROUND(C186/$G$425,4)</f>
        <v>1.8E-3</v>
      </c>
      <c r="D185" s="91"/>
      <c r="E185" s="91"/>
      <c r="F185" s="91"/>
      <c r="G185" s="91">
        <f>ROUND(G186/C186,4)</f>
        <v>1</v>
      </c>
    </row>
    <row r="186" spans="1:7" x14ac:dyDescent="0.2">
      <c r="A186" s="289"/>
      <c r="B186" s="291"/>
      <c r="C186" s="89">
        <f>VLOOKUP(A185,'Orçamento Sintético'!$A:$H,8,0)</f>
        <v>1648.35</v>
      </c>
      <c r="D186" s="89">
        <f>ROUND($C186*D185,2)</f>
        <v>0</v>
      </c>
      <c r="E186" s="89">
        <f t="shared" ref="E186" si="179">ROUND($C186*E185,2)</f>
        <v>0</v>
      </c>
      <c r="F186" s="89">
        <f t="shared" ref="F186" si="180">ROUND($C186*F185,2)</f>
        <v>0</v>
      </c>
      <c r="G186" s="89">
        <f>$C186-SUM(D186:F186)</f>
        <v>1648.35</v>
      </c>
    </row>
    <row r="187" spans="1:7" ht="11.25" customHeight="1" x14ac:dyDescent="0.2">
      <c r="A187" s="288" t="s">
        <v>262</v>
      </c>
      <c r="B187" s="290" t="str">
        <f>VLOOKUP(A187,'Orçamento Sintético'!$A:$H,4,0)</f>
        <v>Copia da ORSE (12122) - Barra de apoio tubular reta 40cm, Ø31,75mm e=2mm, em alumínio, acabamento com pintura epóxi branca, Linha Acessibilidade, fab. Leve Vida</v>
      </c>
      <c r="C187" s="91">
        <f>ROUND(C188/$G$425,4)</f>
        <v>8.9999999999999998E-4</v>
      </c>
      <c r="D187" s="91"/>
      <c r="E187" s="91"/>
      <c r="F187" s="91"/>
      <c r="G187" s="91">
        <f>ROUND(G188/C188,4)</f>
        <v>1</v>
      </c>
    </row>
    <row r="188" spans="1:7" x14ac:dyDescent="0.2">
      <c r="A188" s="289"/>
      <c r="B188" s="291"/>
      <c r="C188" s="89">
        <f>VLOOKUP(A187,'Orçamento Sintético'!$A:$H,8,0)</f>
        <v>838.24</v>
      </c>
      <c r="D188" s="89">
        <f>ROUND($C188*D187,2)</f>
        <v>0</v>
      </c>
      <c r="E188" s="89">
        <f t="shared" ref="E188" si="181">ROUND($C188*E187,2)</f>
        <v>0</v>
      </c>
      <c r="F188" s="89">
        <f t="shared" ref="F188" si="182">ROUND($C188*F187,2)</f>
        <v>0</v>
      </c>
      <c r="G188" s="89">
        <f>$C188-SUM(D188:F188)</f>
        <v>838.24</v>
      </c>
    </row>
    <row r="189" spans="1:7" ht="11.25" customHeight="1" x14ac:dyDescent="0.2">
      <c r="A189" s="288" t="s">
        <v>265</v>
      </c>
      <c r="B189" s="290" t="str">
        <f>VLOOKUP(A189,'Orçamento Sintético'!$A:$H,4,0)</f>
        <v>Copia - Copia da ORSE (12123) - Barra de apoio tubular curva de 30cm para lavatório, Ø31,75mm e=2mm, em alumínio, acabamento com pintura epóxi branca, Linha Acessibilidade, fab. Leve Vida ou similar equivalente</v>
      </c>
      <c r="C189" s="91">
        <f>ROUND(C190/$G$425,4)</f>
        <v>2.9999999999999997E-4</v>
      </c>
      <c r="D189" s="91"/>
      <c r="E189" s="91"/>
      <c r="F189" s="91"/>
      <c r="G189" s="91">
        <f>ROUND(G190/C190,4)</f>
        <v>1</v>
      </c>
    </row>
    <row r="190" spans="1:7" x14ac:dyDescent="0.2">
      <c r="A190" s="289"/>
      <c r="B190" s="291"/>
      <c r="C190" s="89">
        <f>VLOOKUP(A189,'Orçamento Sintético'!$A:$H,8,0)</f>
        <v>270.69</v>
      </c>
      <c r="D190" s="89">
        <f>ROUND($C190*D189,2)</f>
        <v>0</v>
      </c>
      <c r="E190" s="89">
        <f t="shared" ref="E190" si="183">ROUND($C190*E189,2)</f>
        <v>0</v>
      </c>
      <c r="F190" s="89">
        <f t="shared" ref="F190" si="184">ROUND($C190*F189,2)</f>
        <v>0</v>
      </c>
      <c r="G190" s="89">
        <f>$C190-SUM(D190:F190)</f>
        <v>270.69</v>
      </c>
    </row>
    <row r="191" spans="1:7" ht="11.25" customHeight="1" x14ac:dyDescent="0.2">
      <c r="A191" s="288" t="s">
        <v>268</v>
      </c>
      <c r="B191" s="290" t="str">
        <f>VLOOKUP(A191,'Orçamento Sintético'!$A:$H,4,0)</f>
        <v>Copia da SEINFRA (C4642) - Banco articulado para banho, DM 70x45cm, assento em polipropileno com espessura de 30mm, articulações em aço inoxidável e sistema de travamento vertical, cor branco, Linha Acessibilidade, fab. Leve Vida</v>
      </c>
      <c r="C191" s="91">
        <f>ROUND(C192/$G$425,4)</f>
        <v>8.0000000000000004E-4</v>
      </c>
      <c r="D191" s="91"/>
      <c r="E191" s="91"/>
      <c r="F191" s="91">
        <v>1</v>
      </c>
      <c r="G191" s="91">
        <f>ROUND(G192/C192,4)</f>
        <v>0</v>
      </c>
    </row>
    <row r="192" spans="1:7" x14ac:dyDescent="0.2">
      <c r="A192" s="289"/>
      <c r="B192" s="291"/>
      <c r="C192" s="89">
        <f>VLOOKUP(A191,'Orçamento Sintético'!$A:$H,8,0)</f>
        <v>694.09</v>
      </c>
      <c r="D192" s="89">
        <f>ROUND($C192*D191,2)</f>
        <v>0</v>
      </c>
      <c r="E192" s="89">
        <f t="shared" ref="E192" si="185">ROUND($C192*E191,2)</f>
        <v>0</v>
      </c>
      <c r="F192" s="89">
        <f t="shared" ref="F192" si="186">ROUND($C192*F191,2)</f>
        <v>694.09</v>
      </c>
      <c r="G192" s="89">
        <f>$C192-SUM(D192:F192)</f>
        <v>0</v>
      </c>
    </row>
    <row r="193" spans="1:7" ht="11.25" customHeight="1" x14ac:dyDescent="0.2">
      <c r="A193" s="288" t="s">
        <v>271</v>
      </c>
      <c r="B193" s="290" t="str">
        <f>VLOOKUP(A193,'Orçamento Sintético'!$A:$H,4,0)</f>
        <v>BARRA DE APOIO EM "L", EM ACO INOX POLIDO 80 X 80 CM, FIXADA NA PAREDE - FORNECIMENTO E INSTALACAO. AF_01/2020</v>
      </c>
      <c r="C193" s="91">
        <f>ROUND(C194/$G$425,4)</f>
        <v>5.0000000000000001E-4</v>
      </c>
      <c r="D193" s="91"/>
      <c r="E193" s="91"/>
      <c r="F193" s="91"/>
      <c r="G193" s="91">
        <f>ROUND(G194/C194,4)</f>
        <v>1</v>
      </c>
    </row>
    <row r="194" spans="1:7" x14ac:dyDescent="0.2">
      <c r="A194" s="289"/>
      <c r="B194" s="291"/>
      <c r="C194" s="89">
        <f>VLOOKUP(A193,'Orçamento Sintético'!$A:$H,8,0)</f>
        <v>464.71</v>
      </c>
      <c r="D194" s="89">
        <f>ROUND($C194*D193,2)</f>
        <v>0</v>
      </c>
      <c r="E194" s="89">
        <f t="shared" ref="E194" si="187">ROUND($C194*E193,2)</f>
        <v>0</v>
      </c>
      <c r="F194" s="89">
        <f t="shared" ref="F194" si="188">ROUND($C194*F193,2)</f>
        <v>0</v>
      </c>
      <c r="G194" s="89">
        <f>$C194-SUM(D194:F194)</f>
        <v>464.71</v>
      </c>
    </row>
    <row r="195" spans="1:7" ht="11.25" customHeight="1" x14ac:dyDescent="0.2">
      <c r="A195" s="288" t="s">
        <v>274</v>
      </c>
      <c r="B195" s="290" t="str">
        <f>VLOOKUP(A195,'Orçamento Sintético'!$A:$H,4,0)</f>
        <v>CHUVEIRO ELÉTRICO COMUM CORPO PLÁSTICO, TIPO DUCHA  FORNECIMENTO E INSTALAÇÃO. AF_01/2020</v>
      </c>
      <c r="C195" s="91">
        <f>ROUND(C196/$G$425,4)</f>
        <v>4.0000000000000002E-4</v>
      </c>
      <c r="D195" s="91"/>
      <c r="E195" s="91">
        <v>0.5</v>
      </c>
      <c r="F195" s="91">
        <v>0.5</v>
      </c>
      <c r="G195" s="91">
        <f>ROUND(G196/C196,4)</f>
        <v>0</v>
      </c>
    </row>
    <row r="196" spans="1:7" x14ac:dyDescent="0.2">
      <c r="A196" s="289"/>
      <c r="B196" s="291"/>
      <c r="C196" s="89">
        <f>VLOOKUP(A195,'Orçamento Sintético'!$A:$H,8,0)</f>
        <v>380.95</v>
      </c>
      <c r="D196" s="89">
        <f>ROUND($C196*D195,2)</f>
        <v>0</v>
      </c>
      <c r="E196" s="89">
        <f t="shared" ref="E196" si="189">ROUND($C196*E195,2)</f>
        <v>190.48</v>
      </c>
      <c r="F196" s="89">
        <f t="shared" ref="F196" si="190">ROUND($C196*F195,2)</f>
        <v>190.48</v>
      </c>
      <c r="G196" s="89">
        <f>$C196-SUM(D196:F196)</f>
        <v>-9.9999999999909051E-3</v>
      </c>
    </row>
    <row r="197" spans="1:7" ht="11.25" customHeight="1" x14ac:dyDescent="0.2">
      <c r="A197" s="288" t="s">
        <v>277</v>
      </c>
      <c r="B197" s="290" t="str">
        <f>VLOOKUP(A197,'Orçamento Sintético'!$A:$H,4,0)</f>
        <v>Cópia da CPOS (49.11.140) - Ralo linear em alumínio com grelha, dimensões 46x900mm, com saída central vertical, anodizado fosco, fab. Sekabox / Sekapiso</v>
      </c>
      <c r="C197" s="91">
        <f>ROUND(C198/$G$425,4)</f>
        <v>1.1000000000000001E-3</v>
      </c>
      <c r="D197" s="91"/>
      <c r="E197" s="91">
        <v>1</v>
      </c>
      <c r="F197" s="91"/>
      <c r="G197" s="91">
        <f>ROUND(G198/C198,4)</f>
        <v>0</v>
      </c>
    </row>
    <row r="198" spans="1:7" x14ac:dyDescent="0.2">
      <c r="A198" s="289"/>
      <c r="B198" s="291"/>
      <c r="C198" s="89">
        <f>VLOOKUP(A197,'Orçamento Sintético'!$A:$H,8,0)</f>
        <v>1017.1</v>
      </c>
      <c r="D198" s="89">
        <f>ROUND($C198*D197,2)</f>
        <v>0</v>
      </c>
      <c r="E198" s="89">
        <f t="shared" ref="E198" si="191">ROUND($C198*E197,2)</f>
        <v>1017.1</v>
      </c>
      <c r="F198" s="89">
        <f t="shared" ref="F198" si="192">ROUND($C198*F197,2)</f>
        <v>0</v>
      </c>
      <c r="G198" s="89">
        <f>$C198-SUM(D198:F198)</f>
        <v>0</v>
      </c>
    </row>
    <row r="199" spans="1:7" ht="11.25" customHeight="1" x14ac:dyDescent="0.2">
      <c r="A199" s="288" t="s">
        <v>280</v>
      </c>
      <c r="B199" s="290" t="str">
        <f>VLOOKUP(A199,'Orçamento Sintético'!$A:$H,4,0)</f>
        <v>Copia da SINAPI (86895) - Bancada para lavatório em granito Branco Itaúnas, largura 0,30m, com saia e rodabanca, inclusive mão francesa</v>
      </c>
      <c r="C199" s="91">
        <f>ROUND(C200/$G$425,4)</f>
        <v>7.6E-3</v>
      </c>
      <c r="D199" s="91"/>
      <c r="E199" s="91">
        <v>0.5</v>
      </c>
      <c r="F199" s="91">
        <v>0.5</v>
      </c>
      <c r="G199" s="91">
        <f>ROUND(G200/C200,4)</f>
        <v>0</v>
      </c>
    </row>
    <row r="200" spans="1:7" x14ac:dyDescent="0.2">
      <c r="A200" s="289"/>
      <c r="B200" s="291"/>
      <c r="C200" s="89">
        <f>VLOOKUP(A199,'Orçamento Sintético'!$A:$H,8,0)</f>
        <v>6815.85</v>
      </c>
      <c r="D200" s="89">
        <f>ROUND($C200*D199,2)</f>
        <v>0</v>
      </c>
      <c r="E200" s="89">
        <f t="shared" ref="E200" si="193">ROUND($C200*E199,2)</f>
        <v>3407.93</v>
      </c>
      <c r="F200" s="89">
        <f t="shared" ref="F200" si="194">ROUND($C200*F199,2)</f>
        <v>3407.93</v>
      </c>
      <c r="G200" s="89">
        <f>$C200-SUM(D200:F200)</f>
        <v>-9.999999999308784E-3</v>
      </c>
    </row>
    <row r="201" spans="1:7" ht="11.25" customHeight="1" x14ac:dyDescent="0.2">
      <c r="A201" s="288" t="s">
        <v>283</v>
      </c>
      <c r="B201" s="290" t="str">
        <f>VLOOKUP(A201,'Orçamento Sintético'!$A:$H,4,0)</f>
        <v>Copia da ORSE (2425) - Porta objetos em laminado melamínico (0,15 x 0,4 cm), cor Polar L190, linha Alcoplac Normatizado, Fab. Neocom</v>
      </c>
      <c r="C201" s="91">
        <f>ROUND(C202/$G$425,4)</f>
        <v>2.12E-2</v>
      </c>
      <c r="D201" s="91"/>
      <c r="E201" s="91"/>
      <c r="F201" s="91"/>
      <c r="G201" s="91">
        <f>ROUND(G202/C202,4)</f>
        <v>1</v>
      </c>
    </row>
    <row r="202" spans="1:7" x14ac:dyDescent="0.2">
      <c r="A202" s="289"/>
      <c r="B202" s="291"/>
      <c r="C202" s="89">
        <f>VLOOKUP(A201,'Orçamento Sintético'!$A:$H,8,0)</f>
        <v>19017.599999999999</v>
      </c>
      <c r="D202" s="89">
        <f>ROUND($C202*D201,2)</f>
        <v>0</v>
      </c>
      <c r="E202" s="89">
        <f t="shared" ref="E202" si="195">ROUND($C202*E201,2)</f>
        <v>0</v>
      </c>
      <c r="F202" s="89">
        <f t="shared" ref="F202" si="196">ROUND($C202*F201,2)</f>
        <v>0</v>
      </c>
      <c r="G202" s="89">
        <f>$C202-SUM(D202:F202)</f>
        <v>19017.599999999999</v>
      </c>
    </row>
    <row r="203" spans="1:7" ht="11.25" customHeight="1" x14ac:dyDescent="0.2">
      <c r="A203" s="288" t="s">
        <v>286</v>
      </c>
      <c r="B203" s="290" t="str">
        <f>VLOOKUP(A203,'Orçamento Sintético'!$A:$H,4,0)</f>
        <v>Copia da SBC (190085) - Cabide para divisória, em inox escovado, linha Alcoplac Normatizado, Fab. Neocom</v>
      </c>
      <c r="C203" s="91">
        <f>ROUND(C204/$G$425,4)</f>
        <v>1.0699999999999999E-2</v>
      </c>
      <c r="D203" s="91"/>
      <c r="E203" s="91"/>
      <c r="F203" s="91"/>
      <c r="G203" s="91">
        <f>ROUND(G204/C204,4)</f>
        <v>1</v>
      </c>
    </row>
    <row r="204" spans="1:7" x14ac:dyDescent="0.2">
      <c r="A204" s="289"/>
      <c r="B204" s="291"/>
      <c r="C204" s="89">
        <f>VLOOKUP(A203,'Orçamento Sintético'!$A:$H,8,0)</f>
        <v>9560.4</v>
      </c>
      <c r="D204" s="89">
        <f>ROUND($C204*D203,2)</f>
        <v>0</v>
      </c>
      <c r="E204" s="89">
        <f t="shared" ref="E204" si="197">ROUND($C204*E203,2)</f>
        <v>0</v>
      </c>
      <c r="F204" s="89">
        <f t="shared" ref="F204" si="198">ROUND($C204*F203,2)</f>
        <v>0</v>
      </c>
      <c r="G204" s="89">
        <f>$C204-SUM(D204:F204)</f>
        <v>9560.4</v>
      </c>
    </row>
    <row r="205" spans="1:7" ht="11.25" customHeight="1" x14ac:dyDescent="0.2">
      <c r="A205" s="288" t="s">
        <v>289</v>
      </c>
      <c r="B205" s="290" t="str">
        <f>VLOOKUP(A205,'Orçamento Sintético'!$A:$H,4,0)</f>
        <v>Copia da SEINFRA (C4642) - Trocador de fraldas horizontal, retrátil, dimensões: 85x55x10cm, linha Clean Horizontal, marca Ampliando o Espaço</v>
      </c>
      <c r="C205" s="91">
        <f>ROUND(C206/$G$425,4)</f>
        <v>1.6999999999999999E-3</v>
      </c>
      <c r="D205" s="91"/>
      <c r="E205" s="91"/>
      <c r="F205" s="91"/>
      <c r="G205" s="91">
        <f>ROUND(G206/C206,4)</f>
        <v>1</v>
      </c>
    </row>
    <row r="206" spans="1:7" x14ac:dyDescent="0.2">
      <c r="A206" s="289"/>
      <c r="B206" s="291"/>
      <c r="C206" s="89">
        <f>VLOOKUP(A205,'Orçamento Sintético'!$A:$H,8,0)</f>
        <v>1490.2</v>
      </c>
      <c r="D206" s="89">
        <f>ROUND($C206*D205,2)</f>
        <v>0</v>
      </c>
      <c r="E206" s="89">
        <f t="shared" ref="E206" si="199">ROUND($C206*E205,2)</f>
        <v>0</v>
      </c>
      <c r="F206" s="89">
        <f t="shared" ref="F206" si="200">ROUND($C206*F205,2)</f>
        <v>0</v>
      </c>
      <c r="G206" s="89">
        <f>$C206-SUM(D206:F206)</f>
        <v>1490.2</v>
      </c>
    </row>
    <row r="207" spans="1:7" ht="11.25" customHeight="1" x14ac:dyDescent="0.2">
      <c r="A207" s="288" t="s">
        <v>292</v>
      </c>
      <c r="B207" s="290" t="str">
        <f>VLOOKUP(A207,'Orçamento Sintético'!$A:$H,4,0)</f>
        <v>Copia da SEINFRA (C4642) - Trocador de fraldas vertical, retrátil, dimensões: 53x69x10cm, linha Ultra Clean, marca Ampliando Espaço</v>
      </c>
      <c r="C207" s="91">
        <f>ROUND(C208/$G$425,4)</f>
        <v>1.6000000000000001E-3</v>
      </c>
      <c r="D207" s="91"/>
      <c r="E207" s="91"/>
      <c r="F207" s="91"/>
      <c r="G207" s="91">
        <f>ROUND(G208/C208,4)</f>
        <v>1</v>
      </c>
    </row>
    <row r="208" spans="1:7" x14ac:dyDescent="0.2">
      <c r="A208" s="289"/>
      <c r="B208" s="291"/>
      <c r="C208" s="89">
        <f>VLOOKUP(A207,'Orçamento Sintético'!$A:$H,8,0)</f>
        <v>1450.2</v>
      </c>
      <c r="D208" s="89">
        <f>ROUND($C208*D207,2)</f>
        <v>0</v>
      </c>
      <c r="E208" s="89">
        <f t="shared" ref="E208" si="201">ROUND($C208*E207,2)</f>
        <v>0</v>
      </c>
      <c r="F208" s="89">
        <f t="shared" ref="F208" si="202">ROUND($C208*F207,2)</f>
        <v>0</v>
      </c>
      <c r="G208" s="89">
        <f>$C208-SUM(D208:F208)</f>
        <v>1450.2</v>
      </c>
    </row>
    <row r="209" spans="1:7" ht="11.25" customHeight="1" x14ac:dyDescent="0.2">
      <c r="A209" s="288" t="s">
        <v>295</v>
      </c>
      <c r="B209" s="290" t="str">
        <f>VLOOKUP(A209,'Orçamento Sintético'!$A:$H,4,0)</f>
        <v>Cópia da CAERN (1070222) - Grelha para ralo quadrado em aço inox AISI 304, fab. Tramontina, código 94535002, dimensões (comprimento x largura x altura) 100 x 100 x 4 mm</v>
      </c>
      <c r="C209" s="91">
        <f>ROUND(C210/$G$425,4)</f>
        <v>0</v>
      </c>
      <c r="D209" s="91"/>
      <c r="E209" s="91"/>
      <c r="F209" s="91"/>
      <c r="G209" s="91">
        <f>ROUND(G210/C210,4)</f>
        <v>1</v>
      </c>
    </row>
    <row r="210" spans="1:7" x14ac:dyDescent="0.2">
      <c r="A210" s="289"/>
      <c r="B210" s="291"/>
      <c r="C210" s="89">
        <f>VLOOKUP(A209,'Orçamento Sintético'!$A:$H,8,0)</f>
        <v>14.22</v>
      </c>
      <c r="D210" s="89">
        <f>ROUND($C210*D209,2)</f>
        <v>0</v>
      </c>
      <c r="E210" s="89">
        <f t="shared" ref="E210" si="203">ROUND($C210*E209,2)</f>
        <v>0</v>
      </c>
      <c r="F210" s="89">
        <f t="shared" ref="F210" si="204">ROUND($C210*F209,2)</f>
        <v>0</v>
      </c>
      <c r="G210" s="89">
        <f>$C210-SUM(D210:F210)</f>
        <v>14.22</v>
      </c>
    </row>
    <row r="211" spans="1:7" ht="11.25" customHeight="1" x14ac:dyDescent="0.2">
      <c r="A211" s="288" t="s">
        <v>298</v>
      </c>
      <c r="B211" s="290" t="str">
        <f>VLOOKUP(A211,'Orçamento Sintético'!$A:$H,4,0)</f>
        <v>Cópia da CAERN (1070207) - Grelha quadrada para ralo 15x15cm, em aço inox AISI 304, ref. 94535103, fab. Tramontina</v>
      </c>
      <c r="C211" s="91">
        <f>ROUND(C212/$G$425,4)</f>
        <v>2.9999999999999997E-4</v>
      </c>
      <c r="D211" s="91"/>
      <c r="E211" s="91"/>
      <c r="F211" s="91"/>
      <c r="G211" s="91">
        <f>ROUND(G212/C212,4)</f>
        <v>1</v>
      </c>
    </row>
    <row r="212" spans="1:7" x14ac:dyDescent="0.2">
      <c r="A212" s="289"/>
      <c r="B212" s="291"/>
      <c r="C212" s="89">
        <f>VLOOKUP(A211,'Orçamento Sintético'!$A:$H,8,0)</f>
        <v>307.99</v>
      </c>
      <c r="D212" s="89">
        <f>ROUND($C212*D211,2)</f>
        <v>0</v>
      </c>
      <c r="E212" s="89">
        <f t="shared" ref="E212" si="205">ROUND($C212*E211,2)</f>
        <v>0</v>
      </c>
      <c r="F212" s="89">
        <f t="shared" ref="F212" si="206">ROUND($C212*F211,2)</f>
        <v>0</v>
      </c>
      <c r="G212" s="89">
        <f>$C212-SUM(D212:F212)</f>
        <v>307.99</v>
      </c>
    </row>
    <row r="213" spans="1:7" x14ac:dyDescent="0.2">
      <c r="A213" s="292" t="s">
        <v>301</v>
      </c>
      <c r="B213" s="294" t="str">
        <f>VLOOKUP(A213,'Orçamento Sintético'!$A:$H,4,0)</f>
        <v>de cozinha, copa e lavanderia</v>
      </c>
      <c r="C213" s="80">
        <f>ROUND(C214/$G$425,4)</f>
        <v>7.0000000000000001E-3</v>
      </c>
      <c r="D213" s="80">
        <f t="shared" ref="D213:G213" si="207">ROUND(D214/$C214,4)</f>
        <v>0</v>
      </c>
      <c r="E213" s="80">
        <f t="shared" si="207"/>
        <v>0.90100000000000002</v>
      </c>
      <c r="F213" s="80">
        <f t="shared" si="207"/>
        <v>0</v>
      </c>
      <c r="G213" s="80">
        <f t="shared" si="207"/>
        <v>9.9000000000000005E-2</v>
      </c>
    </row>
    <row r="214" spans="1:7" x14ac:dyDescent="0.2">
      <c r="A214" s="293"/>
      <c r="B214" s="295"/>
      <c r="C214" s="90">
        <f>VLOOKUP(A213,'Orçamento Sintético'!$A:$H,8,0)</f>
        <v>6241.6</v>
      </c>
      <c r="D214" s="90">
        <f>D216+D218+D220+D222+D224</f>
        <v>0</v>
      </c>
      <c r="E214" s="90">
        <f t="shared" ref="E214:F214" si="208">E216+E218+E220+E222+E224</f>
        <v>5623.84</v>
      </c>
      <c r="F214" s="90">
        <f t="shared" si="208"/>
        <v>0</v>
      </c>
      <c r="G214" s="90">
        <f>C214-SUM(D214:F214)</f>
        <v>617.76000000000022</v>
      </c>
    </row>
    <row r="215" spans="1:7" ht="11.25" customHeight="1" x14ac:dyDescent="0.2">
      <c r="A215" s="288" t="s">
        <v>303</v>
      </c>
      <c r="B215" s="290" t="str">
        <f>VLOOKUP(A215,'Orçamento Sintético'!$A:$H,4,0)</f>
        <v>Copia da SINAPI (86872 + 86914 + 86883 + 86877) - Tanque de louça 40 litros com coluna e acessórios de metal, cor branco gelo GE17, cód. TQ.03 (tanque) e CT25 (coluna), fab. Deca</v>
      </c>
      <c r="C215" s="91">
        <f>ROUND(C216/$G$425,4)</f>
        <v>1E-3</v>
      </c>
      <c r="D215" s="91"/>
      <c r="E215" s="91">
        <v>1</v>
      </c>
      <c r="F215" s="91"/>
      <c r="G215" s="91">
        <f>ROUND(G216/C216,4)</f>
        <v>0</v>
      </c>
    </row>
    <row r="216" spans="1:7" x14ac:dyDescent="0.2">
      <c r="A216" s="289"/>
      <c r="B216" s="291"/>
      <c r="C216" s="89">
        <f>VLOOKUP(A215,'Orçamento Sintético'!$A:$H,8,0)</f>
        <v>864.42</v>
      </c>
      <c r="D216" s="89">
        <f>ROUND($C216*D215,2)</f>
        <v>0</v>
      </c>
      <c r="E216" s="89">
        <f t="shared" ref="E216" si="209">ROUND($C216*E215,2)</f>
        <v>864.42</v>
      </c>
      <c r="F216" s="89">
        <f t="shared" ref="F216" si="210">ROUND($C216*F215,2)</f>
        <v>0</v>
      </c>
      <c r="G216" s="89">
        <f>$C216-SUM(D216:F216)</f>
        <v>0</v>
      </c>
    </row>
    <row r="217" spans="1:7" ht="12" customHeight="1" x14ac:dyDescent="0.2">
      <c r="A217" s="288" t="s">
        <v>306</v>
      </c>
      <c r="B217" s="290" t="str">
        <f>VLOOKUP(A217,'Orçamento Sintético'!$A:$H,4,0)</f>
        <v>Copia da SINAPI (86900) - Cuba de aço inox, DM 34x56x17 cm, linha Prime, mod. Retangular BL, ref. 94024206, fab. Tramontina, inclusive furo e colagem</v>
      </c>
      <c r="C217" s="91">
        <f>ROUND(C218/$G$425,4)</f>
        <v>5.0000000000000001E-4</v>
      </c>
      <c r="D217" s="91"/>
      <c r="E217" s="91">
        <v>1</v>
      </c>
      <c r="F217" s="91"/>
      <c r="G217" s="91">
        <f>ROUND(G218/C218,4)</f>
        <v>0</v>
      </c>
    </row>
    <row r="218" spans="1:7" x14ac:dyDescent="0.2">
      <c r="A218" s="289"/>
      <c r="B218" s="291"/>
      <c r="C218" s="89">
        <f>VLOOKUP(A217,'Orçamento Sintético'!$A:$H,8,0)</f>
        <v>427.79</v>
      </c>
      <c r="D218" s="89">
        <f>ROUND($C218*D217,2)</f>
        <v>0</v>
      </c>
      <c r="E218" s="89">
        <f t="shared" ref="E218" si="211">ROUND($C218*E217,2)</f>
        <v>427.79</v>
      </c>
      <c r="F218" s="89">
        <f t="shared" ref="F218" si="212">ROUND($C218*F217,2)</f>
        <v>0</v>
      </c>
      <c r="G218" s="89">
        <f>$C218-SUM(D218:F218)</f>
        <v>0</v>
      </c>
    </row>
    <row r="219" spans="1:7" ht="11.25" customHeight="1" x14ac:dyDescent="0.2">
      <c r="A219" s="288" t="s">
        <v>309</v>
      </c>
      <c r="B219" s="290" t="str">
        <f>VLOOKUP(A219,'Orçamento Sintético'!$A:$H,4,0)</f>
        <v>Copia da SINAPI (86909 + 86887 + 86877 + 86881) - Conjunto de metais para pia com cuba inox</v>
      </c>
      <c r="C219" s="91">
        <f>ROUND(C220/$G$425,4)</f>
        <v>6.9999999999999999E-4</v>
      </c>
      <c r="D219" s="91"/>
      <c r="E219" s="91"/>
      <c r="F219" s="91"/>
      <c r="G219" s="91">
        <f>ROUND(G220/C220,4)</f>
        <v>1</v>
      </c>
    </row>
    <row r="220" spans="1:7" x14ac:dyDescent="0.2">
      <c r="A220" s="289"/>
      <c r="B220" s="291"/>
      <c r="C220" s="89">
        <f>VLOOKUP(A219,'Orçamento Sintético'!$A:$H,8,0)</f>
        <v>617.76</v>
      </c>
      <c r="D220" s="89">
        <f>ROUND($C220*D219,2)</f>
        <v>0</v>
      </c>
      <c r="E220" s="89">
        <f t="shared" ref="E220" si="213">ROUND($C220*E219,2)</f>
        <v>0</v>
      </c>
      <c r="F220" s="89">
        <f t="shared" ref="F220" si="214">ROUND($C220*F219,2)</f>
        <v>0</v>
      </c>
      <c r="G220" s="89">
        <f>$C220-SUM(D220:F220)</f>
        <v>617.76</v>
      </c>
    </row>
    <row r="221" spans="1:7" ht="11.25" customHeight="1" x14ac:dyDescent="0.2">
      <c r="A221" s="288" t="s">
        <v>312</v>
      </c>
      <c r="B221" s="290" t="str">
        <f>VLOOKUP(A221,'Orçamento Sintético'!$A:$H,4,0)</f>
        <v>Copia da SINAPI (86895) - Prateleira em granito, incluindo mão francesa</v>
      </c>
      <c r="C221" s="91">
        <f>ROUND(C222/$G$425,4)</f>
        <v>1.1000000000000001E-3</v>
      </c>
      <c r="D221" s="91"/>
      <c r="E221" s="91">
        <v>1</v>
      </c>
      <c r="F221" s="91"/>
      <c r="G221" s="91">
        <f>ROUND(G222/C222,4)</f>
        <v>0</v>
      </c>
    </row>
    <row r="222" spans="1:7" x14ac:dyDescent="0.2">
      <c r="A222" s="289"/>
      <c r="B222" s="291"/>
      <c r="C222" s="89">
        <f>VLOOKUP(A221,'Orçamento Sintético'!$A:$H,8,0)</f>
        <v>949.13</v>
      </c>
      <c r="D222" s="89">
        <f>ROUND($C222*D221,2)</f>
        <v>0</v>
      </c>
      <c r="E222" s="89">
        <f t="shared" ref="E222" si="215">ROUND($C222*E221,2)</f>
        <v>949.13</v>
      </c>
      <c r="F222" s="89">
        <f t="shared" ref="F222" si="216">ROUND($C222*F221,2)</f>
        <v>0</v>
      </c>
      <c r="G222" s="89">
        <f>$C222-SUM(D222:F222)</f>
        <v>0</v>
      </c>
    </row>
    <row r="223" spans="1:7" ht="11.25" customHeight="1" x14ac:dyDescent="0.2">
      <c r="A223" s="288" t="s">
        <v>315</v>
      </c>
      <c r="B223" s="290" t="str">
        <f>VLOOKUP(A223,'Orçamento Sintético'!$A:$H,4,0)</f>
        <v>Copia da SINAPI (86889) -  Bancada para copa/ refeitório em granito Preto São Gabriel, largura 0,55m, com saia e rodabanca, inclusive mão francesa</v>
      </c>
      <c r="C223" s="91">
        <f>ROUND(C224/$G$425,4)</f>
        <v>3.8E-3</v>
      </c>
      <c r="D223" s="91"/>
      <c r="E223" s="91">
        <v>1</v>
      </c>
      <c r="F223" s="91"/>
      <c r="G223" s="91">
        <f>ROUND(G224/C224,4)</f>
        <v>0</v>
      </c>
    </row>
    <row r="224" spans="1:7" x14ac:dyDescent="0.2">
      <c r="A224" s="289"/>
      <c r="B224" s="291"/>
      <c r="C224" s="89">
        <f>VLOOKUP(A223,'Orçamento Sintético'!$A:$H,8,0)</f>
        <v>3382.5</v>
      </c>
      <c r="D224" s="89">
        <f>ROUND($C224*D223,2)</f>
        <v>0</v>
      </c>
      <c r="E224" s="89">
        <f t="shared" ref="E224" si="217">ROUND($C224*E223,2)</f>
        <v>3382.5</v>
      </c>
      <c r="F224" s="89">
        <f t="shared" ref="F224" si="218">ROUND($C224*F223,2)</f>
        <v>0</v>
      </c>
      <c r="G224" s="89">
        <f>$C224-SUM(D224:F224)</f>
        <v>0</v>
      </c>
    </row>
    <row r="225" spans="1:7" s="83" customFormat="1" ht="12" customHeight="1" x14ac:dyDescent="0.2">
      <c r="A225" s="280" t="s">
        <v>318</v>
      </c>
      <c r="B225" s="282" t="str">
        <f>VLOOKUP(A225,'Orçamento Sintético'!$A:$H,4,0)</f>
        <v>INSTALAÇÕES HIDRÁULICAS E SANITÁRIAS</v>
      </c>
      <c r="C225" s="78">
        <f>ROUND(C226/$G$425,4)</f>
        <v>5.8900000000000001E-2</v>
      </c>
      <c r="D225" s="78">
        <f>ROUND(D226/$C226,4)</f>
        <v>1</v>
      </c>
      <c r="E225" s="78">
        <f t="shared" ref="E225:G225" si="219">ROUND(E226/$C226,4)</f>
        <v>0</v>
      </c>
      <c r="F225" s="78">
        <f t="shared" si="219"/>
        <v>0</v>
      </c>
      <c r="G225" s="78">
        <f t="shared" si="219"/>
        <v>0</v>
      </c>
    </row>
    <row r="226" spans="1:7" s="83" customFormat="1" x14ac:dyDescent="0.2">
      <c r="A226" s="281"/>
      <c r="B226" s="283"/>
      <c r="C226" s="168">
        <f>VLOOKUP(A225,'Orçamento Sintético'!$A:$H,8,0)</f>
        <v>52788.7</v>
      </c>
      <c r="D226" s="168">
        <f>D228+D280+D304</f>
        <v>52788.7</v>
      </c>
      <c r="E226" s="168">
        <f t="shared" ref="E226:G226" si="220">E228+E280+E304</f>
        <v>0</v>
      </c>
      <c r="F226" s="168">
        <f t="shared" si="220"/>
        <v>0</v>
      </c>
      <c r="G226" s="168">
        <f t="shared" si="220"/>
        <v>0</v>
      </c>
    </row>
    <row r="227" spans="1:7" s="83" customFormat="1" x14ac:dyDescent="0.2">
      <c r="A227" s="284" t="s">
        <v>320</v>
      </c>
      <c r="B227" s="286" t="str">
        <f>VLOOKUP(A227,'Orçamento Sintético'!$A:$H,4,0)</f>
        <v>ÁGUA FRIA</v>
      </c>
      <c r="C227" s="79">
        <f>ROUND(C228/$G$425,4)</f>
        <v>2.98E-2</v>
      </c>
      <c r="D227" s="79">
        <f t="shared" ref="D227:G227" si="221">ROUND(D228/$C228,4)</f>
        <v>1</v>
      </c>
      <c r="E227" s="79">
        <f t="shared" si="221"/>
        <v>0</v>
      </c>
      <c r="F227" s="79">
        <f t="shared" si="221"/>
        <v>0</v>
      </c>
      <c r="G227" s="79">
        <f t="shared" si="221"/>
        <v>0</v>
      </c>
    </row>
    <row r="228" spans="1:7" s="83" customFormat="1" x14ac:dyDescent="0.2">
      <c r="A228" s="285"/>
      <c r="B228" s="287"/>
      <c r="C228" s="169">
        <f>VLOOKUP(A227,'Orçamento Sintético'!$A:$H,8,0)</f>
        <v>26773.309999999994</v>
      </c>
      <c r="D228" s="169">
        <f>D230+D266</f>
        <v>26773.309999999994</v>
      </c>
      <c r="E228" s="169">
        <f t="shared" ref="E228:F228" si="222">E230+E266</f>
        <v>0</v>
      </c>
      <c r="F228" s="169">
        <f t="shared" si="222"/>
        <v>0</v>
      </c>
      <c r="G228" s="169">
        <f t="shared" ref="G228" si="223">G230+G266</f>
        <v>0</v>
      </c>
    </row>
    <row r="229" spans="1:7" s="173" customFormat="1" ht="11.25" customHeight="1" x14ac:dyDescent="0.2">
      <c r="A229" s="292" t="s">
        <v>322</v>
      </c>
      <c r="B229" s="294" t="str">
        <f>VLOOKUP(A229,'Orçamento Sintético'!$A:$H,4,0)</f>
        <v>Tubulações e Conexões de PVC Rígido</v>
      </c>
      <c r="C229" s="80">
        <f>ROUND(C230/$G$425,4)</f>
        <v>2.29E-2</v>
      </c>
      <c r="D229" s="80">
        <f t="shared" ref="D229:G229" si="224">ROUND(D230/$C230,4)</f>
        <v>1</v>
      </c>
      <c r="E229" s="80">
        <f t="shared" si="224"/>
        <v>0</v>
      </c>
      <c r="F229" s="80">
        <f t="shared" si="224"/>
        <v>0</v>
      </c>
      <c r="G229" s="80">
        <f t="shared" si="224"/>
        <v>0</v>
      </c>
    </row>
    <row r="230" spans="1:7" s="173" customFormat="1" x14ac:dyDescent="0.2">
      <c r="A230" s="293"/>
      <c r="B230" s="295"/>
      <c r="C230" s="90">
        <f>VLOOKUP(A229,'Orçamento Sintético'!$A:$H,8,0)</f>
        <v>20501.629999999994</v>
      </c>
      <c r="D230" s="90">
        <f>D232+D234+D236+D238+D240+D242+D244+D246+D248+D250+D252+D254+D256+D258+D260+D262+D264</f>
        <v>20501.629999999994</v>
      </c>
      <c r="E230" s="90">
        <f t="shared" ref="E230:F230" si="225">E232+E234+E236+E238+E240+E242+E244+E246+E248+E250+E252+E254+E256+E258+E260+E262+E264</f>
        <v>0</v>
      </c>
      <c r="F230" s="90">
        <f t="shared" si="225"/>
        <v>0</v>
      </c>
      <c r="G230" s="90">
        <f>C230-SUM(D230:F230)</f>
        <v>0</v>
      </c>
    </row>
    <row r="231" spans="1:7" ht="11.25" customHeight="1" x14ac:dyDescent="0.2">
      <c r="A231" s="288" t="s">
        <v>324</v>
      </c>
      <c r="B231" s="290" t="str">
        <f>VLOOKUP(A231,'Orçamento Sintético'!$A:$H,4,0)</f>
        <v>TUBO, PVC, SOLDÁVEL, DN 110 MM, INSTALADO EM RESERVAÇÃO DE ÁGUA DE EDIFICAÇÃO QUE POSSUA RESERVATÓRIO DE FIBRA/FIBROCIMENTO   FORNECIMENTO E INSTALAÇÃO. AF_06/2016</v>
      </c>
      <c r="C231" s="91">
        <f>ROUND(C232/$G$425,4)</f>
        <v>5.9999999999999995E-4</v>
      </c>
      <c r="D231" s="91">
        <v>1</v>
      </c>
      <c r="E231" s="91"/>
      <c r="F231" s="91"/>
      <c r="G231" s="91">
        <f>ROUND(G232/C232,4)</f>
        <v>0</v>
      </c>
    </row>
    <row r="232" spans="1:7" x14ac:dyDescent="0.2">
      <c r="A232" s="289"/>
      <c r="B232" s="291"/>
      <c r="C232" s="89">
        <f>VLOOKUP(A231,'Orçamento Sintético'!$A:$H,8,0)</f>
        <v>513.95000000000005</v>
      </c>
      <c r="D232" s="89">
        <f>ROUND($C232*D231,2)</f>
        <v>513.95000000000005</v>
      </c>
      <c r="E232" s="89">
        <f t="shared" ref="E232" si="226">ROUND($C232*E231,2)</f>
        <v>0</v>
      </c>
      <c r="F232" s="89">
        <f t="shared" ref="F232" si="227">ROUND($C232*F231,2)</f>
        <v>0</v>
      </c>
      <c r="G232" s="89">
        <f>$C232-SUM(D232:F232)</f>
        <v>0</v>
      </c>
    </row>
    <row r="233" spans="1:7" ht="11.25" customHeight="1" x14ac:dyDescent="0.2">
      <c r="A233" s="288" t="s">
        <v>327</v>
      </c>
      <c r="B233" s="290" t="str">
        <f>VLOOKUP(A233,'Orçamento Sintético'!$A:$H,4,0)</f>
        <v>TUBO, PVC, SOLDÁVEL, DN 85MM, INSTALADO EM PRUMADA DE ÁGUA - FORNECIMENTO E INSTALAÇÃO. AF_12/2014</v>
      </c>
      <c r="C233" s="91">
        <f>ROUND(C234/$G$425,4)</f>
        <v>4.0000000000000001E-3</v>
      </c>
      <c r="D233" s="91">
        <v>1</v>
      </c>
      <c r="E233" s="91"/>
      <c r="F233" s="91"/>
      <c r="G233" s="91">
        <f>ROUND(G234/C234,4)</f>
        <v>0</v>
      </c>
    </row>
    <row r="234" spans="1:7" x14ac:dyDescent="0.2">
      <c r="A234" s="289"/>
      <c r="B234" s="291"/>
      <c r="C234" s="89">
        <f>VLOOKUP(A233,'Orçamento Sintético'!$A:$H,8,0)</f>
        <v>3583.14</v>
      </c>
      <c r="D234" s="89">
        <f>ROUND($C234*D233,2)</f>
        <v>3583.14</v>
      </c>
      <c r="E234" s="89">
        <f t="shared" ref="E234" si="228">ROUND($C234*E233,2)</f>
        <v>0</v>
      </c>
      <c r="F234" s="89">
        <f t="shared" ref="F234" si="229">ROUND($C234*F233,2)</f>
        <v>0</v>
      </c>
      <c r="G234" s="89">
        <f>$C234-SUM(D234:F234)</f>
        <v>0</v>
      </c>
    </row>
    <row r="235" spans="1:7" ht="11.25" customHeight="1" x14ac:dyDescent="0.2">
      <c r="A235" s="288" t="s">
        <v>330</v>
      </c>
      <c r="B235" s="290" t="str">
        <f>VLOOKUP(A235,'Orçamento Sintético'!$A:$H,4,0)</f>
        <v>Copia da SINAPI (91788) - (Composição representativa) do serviço de instalação de tubos de PVC, soldável, água fria, DO 75 mm, inclusive conexões, cortes e fixações</v>
      </c>
      <c r="C235" s="91">
        <f>ROUND(C236/$G$425,4)</f>
        <v>3.5999999999999999E-3</v>
      </c>
      <c r="D235" s="91">
        <v>1</v>
      </c>
      <c r="E235" s="91"/>
      <c r="F235" s="91"/>
      <c r="G235" s="91">
        <f>ROUND(G236/C236,4)</f>
        <v>0</v>
      </c>
    </row>
    <row r="236" spans="1:7" x14ac:dyDescent="0.2">
      <c r="A236" s="289"/>
      <c r="B236" s="291"/>
      <c r="C236" s="89">
        <f>VLOOKUP(A235,'Orçamento Sintético'!$A:$H,8,0)</f>
        <v>3211.92</v>
      </c>
      <c r="D236" s="89">
        <f>ROUND($C236*D235,2)</f>
        <v>3211.92</v>
      </c>
      <c r="E236" s="89">
        <f t="shared" ref="E236" si="230">ROUND($C236*E235,2)</f>
        <v>0</v>
      </c>
      <c r="F236" s="89">
        <f t="shared" ref="F236" si="231">ROUND($C236*F235,2)</f>
        <v>0</v>
      </c>
      <c r="G236" s="89">
        <f>$C236-SUM(D236:F236)</f>
        <v>0</v>
      </c>
    </row>
    <row r="237" spans="1:7" ht="11.25" customHeight="1" x14ac:dyDescent="0.2">
      <c r="A237" s="288" t="s">
        <v>333</v>
      </c>
      <c r="B237" s="290" t="str">
        <f>VLOOKUP(A237,'Orçamento Sintético'!$A:$H,4,0)</f>
        <v>Cópia da Sinapi (91794) - (Composição representativa) do serviço de instalação de tubos de PVC, soldável, água fria, DN 60mm (instalado em prumada), inclusive conexões, cortes e fixações, para prédios.</v>
      </c>
      <c r="C237" s="91">
        <f>ROUND(C238/$G$425,4)</f>
        <v>2.5999999999999999E-3</v>
      </c>
      <c r="D237" s="91">
        <v>1</v>
      </c>
      <c r="E237" s="91"/>
      <c r="F237" s="91"/>
      <c r="G237" s="91">
        <f>ROUND(G238/C238,4)</f>
        <v>0</v>
      </c>
    </row>
    <row r="238" spans="1:7" x14ac:dyDescent="0.2">
      <c r="A238" s="289"/>
      <c r="B238" s="291"/>
      <c r="C238" s="89">
        <f>VLOOKUP(A237,'Orçamento Sintético'!$A:$H,8,0)</f>
        <v>2333.1</v>
      </c>
      <c r="D238" s="89">
        <f>ROUND($C238*D237,2)</f>
        <v>2333.1</v>
      </c>
      <c r="E238" s="89">
        <f t="shared" ref="E238" si="232">ROUND($C238*E237,2)</f>
        <v>0</v>
      </c>
      <c r="F238" s="89">
        <f t="shared" ref="F238" si="233">ROUND($C238*F237,2)</f>
        <v>0</v>
      </c>
      <c r="G238" s="89">
        <f>$C238-SUM(D238:F238)</f>
        <v>0</v>
      </c>
    </row>
    <row r="239" spans="1:7" ht="11.25" customHeight="1" x14ac:dyDescent="0.2">
      <c r="A239" s="288" t="s">
        <v>336</v>
      </c>
      <c r="B239" s="290" t="str">
        <f>VLOOKUP(A239,'Orçamento Sintético'!$A:$H,4,0)</f>
        <v>(COMPOSIÇÃO REPRESENTATIVA) DO SERVIÇO DE INSTALAÇÃO DE TUBOS DE PVC, SOLDÁVEL, ÁGUA FRIA, DN 50 MM (INSTALADO EM PRUMADA), INCLUSIVE CONEXÕES, CORTES E FIXAÇÕES, PARA PRÉDIOS. AF_10/2015</v>
      </c>
      <c r="C239" s="91">
        <f>ROUND(C240/$G$425,4)</f>
        <v>2.3E-3</v>
      </c>
      <c r="D239" s="91">
        <v>1</v>
      </c>
      <c r="E239" s="91"/>
      <c r="F239" s="91"/>
      <c r="G239" s="91">
        <f>ROUND(G240/C240,4)</f>
        <v>0</v>
      </c>
    </row>
    <row r="240" spans="1:7" x14ac:dyDescent="0.2">
      <c r="A240" s="289"/>
      <c r="B240" s="291"/>
      <c r="C240" s="89">
        <f>VLOOKUP(A239,'Orçamento Sintético'!$A:$H,8,0)</f>
        <v>2101.84</v>
      </c>
      <c r="D240" s="89">
        <f>ROUND($C240*D239,2)</f>
        <v>2101.84</v>
      </c>
      <c r="E240" s="89">
        <f t="shared" ref="E240" si="234">ROUND($C240*E239,2)</f>
        <v>0</v>
      </c>
      <c r="F240" s="89">
        <f t="shared" ref="F240" si="235">ROUND($C240*F239,2)</f>
        <v>0</v>
      </c>
      <c r="G240" s="89">
        <f>$C240-SUM(D240:F240)</f>
        <v>0</v>
      </c>
    </row>
    <row r="241" spans="1:7" ht="11.25" customHeight="1" x14ac:dyDescent="0.2">
      <c r="A241" s="288" t="s">
        <v>339</v>
      </c>
      <c r="B241" s="290" t="str">
        <f>VLOOKUP(A241,'Orçamento Sintético'!$A:$H,4,0)</f>
        <v>(COMPOSIÇÃO REPRESENTATIVA) DO SERVIÇO DE INSTALAÇÃO TUBOS DE PVC, SOLDÁVEL, ÁGUA FRIA, DN 32 MM (INSTALADO EM RAMAL, SUB-RAMAL, RAMAL DE DISTRIBUIÇÃO OU PRUMADA), INCLUSIVE CONEXÕES, CORTES E FIXAÇÕES, PARA PRÉDIOS. AF_10/2015</v>
      </c>
      <c r="C241" s="91">
        <f>ROUND(C242/$G$425,4)</f>
        <v>2.9999999999999997E-4</v>
      </c>
      <c r="D241" s="91">
        <v>1</v>
      </c>
      <c r="E241" s="91"/>
      <c r="F241" s="91"/>
      <c r="G241" s="91">
        <f>ROUND(G242/C242,4)</f>
        <v>0</v>
      </c>
    </row>
    <row r="242" spans="1:7" x14ac:dyDescent="0.2">
      <c r="A242" s="289"/>
      <c r="B242" s="291"/>
      <c r="C242" s="89">
        <f>VLOOKUP(A241,'Orçamento Sintético'!$A:$H,8,0)</f>
        <v>278.60000000000002</v>
      </c>
      <c r="D242" s="89">
        <f>ROUND($C242*D241,2)</f>
        <v>278.60000000000002</v>
      </c>
      <c r="E242" s="89">
        <f t="shared" ref="E242" si="236">ROUND($C242*E241,2)</f>
        <v>0</v>
      </c>
      <c r="F242" s="89">
        <f t="shared" ref="F242" si="237">ROUND($C242*F241,2)</f>
        <v>0</v>
      </c>
      <c r="G242" s="89">
        <f>$C242-SUM(D242:F242)</f>
        <v>0</v>
      </c>
    </row>
    <row r="243" spans="1:7" ht="11.25" customHeight="1" x14ac:dyDescent="0.2">
      <c r="A243" s="288" t="s">
        <v>342</v>
      </c>
      <c r="B243" s="290" t="str">
        <f>VLOOKUP(A243,'Orçamento Sintético'!$A:$H,4,0)</f>
        <v>(COMPOSIÇÃO REPRESENTATIVA) DO SERVIÇO DE INSTALAÇÃO DE TUBOS DE PVC, SOLDÁVEL, ÁGUA FRIA, DN 25 MM (INSTALADO EM RAMAL, SUB-RAMAL, RAMAL DE DISTRIBUIÇÃO OU PRUMADA), INCLUSIVE CONEXÕES, CORTES E FIXAÇÕES, PARA PRÉDIOS. AF_10/2015</v>
      </c>
      <c r="C243" s="91">
        <f>ROUND(C244/$G$425,4)</f>
        <v>5.3E-3</v>
      </c>
      <c r="D243" s="91">
        <v>1</v>
      </c>
      <c r="E243" s="91"/>
      <c r="F243" s="91"/>
      <c r="G243" s="91">
        <f>ROUND(G244/C244,4)</f>
        <v>0</v>
      </c>
    </row>
    <row r="244" spans="1:7" x14ac:dyDescent="0.2">
      <c r="A244" s="289"/>
      <c r="B244" s="291"/>
      <c r="C244" s="89">
        <f>VLOOKUP(A243,'Orçamento Sintético'!$A:$H,8,0)</f>
        <v>4782.3999999999996</v>
      </c>
      <c r="D244" s="89">
        <f>ROUND($C244*D243,2)</f>
        <v>4782.3999999999996</v>
      </c>
      <c r="E244" s="89">
        <f t="shared" ref="E244" si="238">ROUND($C244*E243,2)</f>
        <v>0</v>
      </c>
      <c r="F244" s="89">
        <f t="shared" ref="F244" si="239">ROUND($C244*F243,2)</f>
        <v>0</v>
      </c>
      <c r="G244" s="89">
        <f>$C244-SUM(D244:F244)</f>
        <v>0</v>
      </c>
    </row>
    <row r="245" spans="1:7" ht="11.25" customHeight="1" x14ac:dyDescent="0.2">
      <c r="A245" s="288" t="s">
        <v>345</v>
      </c>
      <c r="B245" s="290" t="str">
        <f>VLOOKUP(A245,'Orçamento Sintético'!$A:$H,4,0)</f>
        <v>TÊ, PVC, SOLDÁVEL, DN 85 MM INSTALADO EM RESERVAÇÃO DE ÁGUA DE EDIFICAÇÃO QUE POSSUA RESERVATÓRIO DE FIBRA/FIBROCIMENTO   FORNECIMENTO E INSTALAÇÃO. AF_06/2016</v>
      </c>
      <c r="C245" s="91">
        <f>ROUND(C246/$G$425,4)</f>
        <v>6.9999999999999999E-4</v>
      </c>
      <c r="D245" s="91">
        <v>1</v>
      </c>
      <c r="E245" s="91"/>
      <c r="F245" s="91"/>
      <c r="G245" s="91">
        <f>ROUND(G246/C246,4)</f>
        <v>0</v>
      </c>
    </row>
    <row r="246" spans="1:7" x14ac:dyDescent="0.2">
      <c r="A246" s="289"/>
      <c r="B246" s="291"/>
      <c r="C246" s="89">
        <f>VLOOKUP(A245,'Orçamento Sintético'!$A:$H,8,0)</f>
        <v>611.52</v>
      </c>
      <c r="D246" s="89">
        <f>ROUND($C246*D245,2)</f>
        <v>611.52</v>
      </c>
      <c r="E246" s="89">
        <f t="shared" ref="E246" si="240">ROUND($C246*E245,2)</f>
        <v>0</v>
      </c>
      <c r="F246" s="89">
        <f t="shared" ref="F246" si="241">ROUND($C246*F245,2)</f>
        <v>0</v>
      </c>
      <c r="G246" s="89">
        <f>$C246-SUM(D246:F246)</f>
        <v>0</v>
      </c>
    </row>
    <row r="247" spans="1:7" ht="11.25" customHeight="1" x14ac:dyDescent="0.2">
      <c r="A247" s="288" t="s">
        <v>348</v>
      </c>
      <c r="B247" s="290" t="str">
        <f>VLOOKUP(A247,'Orçamento Sintético'!$A:$H,4,0)</f>
        <v>TE, PVC, SOLDÁVEL, DN 75MM, INSTALADO EM PRUMADA DE ÁGUA - FORNECIMENTO E INSTALAÇÃO. AF_12/2014</v>
      </c>
      <c r="C247" s="91">
        <f>ROUND(C248/$G$425,4)</f>
        <v>1E-4</v>
      </c>
      <c r="D247" s="91">
        <v>1</v>
      </c>
      <c r="E247" s="91"/>
      <c r="F247" s="91"/>
      <c r="G247" s="91">
        <f>ROUND(G248/C248,4)</f>
        <v>0</v>
      </c>
    </row>
    <row r="248" spans="1:7" x14ac:dyDescent="0.2">
      <c r="A248" s="289"/>
      <c r="B248" s="291"/>
      <c r="C248" s="89">
        <f>VLOOKUP(A247,'Orçamento Sintético'!$A:$H,8,0)</f>
        <v>84.39</v>
      </c>
      <c r="D248" s="89">
        <f>ROUND($C248*D247,2)</f>
        <v>84.39</v>
      </c>
      <c r="E248" s="89">
        <f t="shared" ref="E248" si="242">ROUND($C248*E247,2)</f>
        <v>0</v>
      </c>
      <c r="F248" s="89">
        <f t="shared" ref="F248" si="243">ROUND($C248*F247,2)</f>
        <v>0</v>
      </c>
      <c r="G248" s="89">
        <f>$C248-SUM(D248:F248)</f>
        <v>0</v>
      </c>
    </row>
    <row r="249" spans="1:7" ht="11.25" customHeight="1" x14ac:dyDescent="0.2">
      <c r="A249" s="288" t="s">
        <v>351</v>
      </c>
      <c r="B249" s="290" t="str">
        <f>VLOOKUP(A249,'Orçamento Sintético'!$A:$H,4,0)</f>
        <v>JOELHO 90 GRAUS, PVC, SOLDÁVEL, DN 110 MM INSTALADO EM RESERVAÇÃO DE ÁGUA DE EDIFICAÇÃO QUE POSSUA RESERVATÓRIO DE FIBRA/FIBROCIMENTO   FORNECIMENTO E INSTALAÇÃO. AF_06/2016</v>
      </c>
      <c r="C249" s="91">
        <f>ROUND(C250/$G$425,4)</f>
        <v>5.9999999999999995E-4</v>
      </c>
      <c r="D249" s="91">
        <v>1</v>
      </c>
      <c r="E249" s="91"/>
      <c r="F249" s="91"/>
      <c r="G249" s="91">
        <f>ROUND(G250/C250,4)</f>
        <v>0</v>
      </c>
    </row>
    <row r="250" spans="1:7" x14ac:dyDescent="0.2">
      <c r="A250" s="289"/>
      <c r="B250" s="291"/>
      <c r="C250" s="89">
        <f>VLOOKUP(A249,'Orçamento Sintético'!$A:$H,8,0)</f>
        <v>562.6</v>
      </c>
      <c r="D250" s="89">
        <f>ROUND($C250*D249,2)</f>
        <v>562.6</v>
      </c>
      <c r="E250" s="89">
        <f t="shared" ref="E250" si="244">ROUND($C250*E249,2)</f>
        <v>0</v>
      </c>
      <c r="F250" s="89">
        <f t="shared" ref="F250" si="245">ROUND($C250*F249,2)</f>
        <v>0</v>
      </c>
      <c r="G250" s="89">
        <f>$C250-SUM(D250:F250)</f>
        <v>0</v>
      </c>
    </row>
    <row r="251" spans="1:7" ht="11.25" customHeight="1" x14ac:dyDescent="0.2">
      <c r="A251" s="288" t="s">
        <v>354</v>
      </c>
      <c r="B251" s="290" t="str">
        <f>VLOOKUP(A251,'Orçamento Sintético'!$A:$H,4,0)</f>
        <v>JOELHO 90 GRAUS, PVC, SOLDÁVEL, DN 85MM, INSTALADO EM PRUMADA DE ÁGUA - FORNECIMENTO E INSTALAÇÃO. AF_12/2014</v>
      </c>
      <c r="C251" s="91">
        <f>ROUND(C252/$G$425,4)</f>
        <v>1E-3</v>
      </c>
      <c r="D251" s="91">
        <v>1</v>
      </c>
      <c r="E251" s="91"/>
      <c r="F251" s="91"/>
      <c r="G251" s="91">
        <f>ROUND(G252/C252,4)</f>
        <v>0</v>
      </c>
    </row>
    <row r="252" spans="1:7" x14ac:dyDescent="0.2">
      <c r="A252" s="289"/>
      <c r="B252" s="291"/>
      <c r="C252" s="89">
        <f>VLOOKUP(A251,'Orçamento Sintético'!$A:$H,8,0)</f>
        <v>931.77</v>
      </c>
      <c r="D252" s="89">
        <f>ROUND($C252*D251,2)</f>
        <v>931.77</v>
      </c>
      <c r="E252" s="89">
        <f t="shared" ref="E252" si="246">ROUND($C252*E251,2)</f>
        <v>0</v>
      </c>
      <c r="F252" s="89">
        <f t="shared" ref="F252" si="247">ROUND($C252*F251,2)</f>
        <v>0</v>
      </c>
      <c r="G252" s="89">
        <f>$C252-SUM(D252:F252)</f>
        <v>0</v>
      </c>
    </row>
    <row r="253" spans="1:7" ht="11.25" customHeight="1" x14ac:dyDescent="0.2">
      <c r="A253" s="288" t="s">
        <v>357</v>
      </c>
      <c r="B253" s="290" t="str">
        <f>VLOOKUP(A253,'Orçamento Sintético'!$A:$H,4,0)</f>
        <v>JOELHO 90 GRAUS, PVC, SOLDÁVEL, DN 75MM, INSTALADO EM PRUMADA DE ÁGUA - FORNECIMENTO E INSTALAÇÃO. AF_12/2014</v>
      </c>
      <c r="C253" s="91">
        <f>ROUND(C254/$G$425,4)</f>
        <v>5.9999999999999995E-4</v>
      </c>
      <c r="D253" s="91">
        <v>1</v>
      </c>
      <c r="E253" s="91"/>
      <c r="F253" s="91"/>
      <c r="G253" s="91">
        <f>ROUND(G254/C254,4)</f>
        <v>0</v>
      </c>
    </row>
    <row r="254" spans="1:7" x14ac:dyDescent="0.2">
      <c r="A254" s="289"/>
      <c r="B254" s="291"/>
      <c r="C254" s="89">
        <f>VLOOKUP(A253,'Orçamento Sintético'!$A:$H,8,0)</f>
        <v>564.45000000000005</v>
      </c>
      <c r="D254" s="89">
        <f>ROUND($C254*D253,2)</f>
        <v>564.45000000000005</v>
      </c>
      <c r="E254" s="89">
        <f t="shared" ref="E254" si="248">ROUND($C254*E253,2)</f>
        <v>0</v>
      </c>
      <c r="F254" s="89">
        <f t="shared" ref="F254" si="249">ROUND($C254*F253,2)</f>
        <v>0</v>
      </c>
      <c r="G254" s="89">
        <f>$C254-SUM(D254:F254)</f>
        <v>0</v>
      </c>
    </row>
    <row r="255" spans="1:7" ht="11.25" customHeight="1" x14ac:dyDescent="0.2">
      <c r="A255" s="288" t="s">
        <v>360</v>
      </c>
      <c r="B255" s="290" t="str">
        <f>VLOOKUP(A255,'Orçamento Sintético'!$A:$H,4,0)</f>
        <v>JOELHO 45 GRAUS, PVC, SOLDÁVEL, DN 85MM, INSTALADO EM PRUMADA DE ÁGUA - FORNECIMENTO E INSTALAÇÃO. AF_12/2014</v>
      </c>
      <c r="C255" s="91">
        <f>ROUND(C256/$G$425,4)</f>
        <v>2.9999999999999997E-4</v>
      </c>
      <c r="D255" s="91">
        <v>1</v>
      </c>
      <c r="E255" s="91"/>
      <c r="F255" s="91"/>
      <c r="G255" s="91">
        <f>ROUND(G256/C256,4)</f>
        <v>0</v>
      </c>
    </row>
    <row r="256" spans="1:7" x14ac:dyDescent="0.2">
      <c r="A256" s="289"/>
      <c r="B256" s="291"/>
      <c r="C256" s="89">
        <f>VLOOKUP(A255,'Orçamento Sintético'!$A:$H,8,0)</f>
        <v>300.12</v>
      </c>
      <c r="D256" s="89">
        <f>ROUND($C256*D255,2)</f>
        <v>300.12</v>
      </c>
      <c r="E256" s="89">
        <f t="shared" ref="E256" si="250">ROUND($C256*E255,2)</f>
        <v>0</v>
      </c>
      <c r="F256" s="89">
        <f t="shared" ref="F256" si="251">ROUND($C256*F255,2)</f>
        <v>0</v>
      </c>
      <c r="G256" s="89">
        <f>$C256-SUM(D256:F256)</f>
        <v>0</v>
      </c>
    </row>
    <row r="257" spans="1:7" ht="11.25" customHeight="1" x14ac:dyDescent="0.2">
      <c r="A257" s="288" t="s">
        <v>363</v>
      </c>
      <c r="B257" s="290" t="str">
        <f>VLOOKUP(A257,'Orçamento Sintético'!$A:$H,4,0)</f>
        <v>JOELHO 45 GRAUS, PVC, SOLDÁVEL, DN 75MM, INSTALADO EM PRUMADA DE ÁGUA - FORNECIMENTO E INSTALAÇÃO. AF_12/2014</v>
      </c>
      <c r="C257" s="91">
        <f>ROUND(C258/$G$425,4)</f>
        <v>2.0000000000000001E-4</v>
      </c>
      <c r="D257" s="91">
        <v>1</v>
      </c>
      <c r="E257" s="91"/>
      <c r="F257" s="91"/>
      <c r="G257" s="91">
        <f>ROUND(G258/C258,4)</f>
        <v>0</v>
      </c>
    </row>
    <row r="258" spans="1:7" x14ac:dyDescent="0.2">
      <c r="A258" s="289"/>
      <c r="B258" s="291"/>
      <c r="C258" s="89">
        <f>VLOOKUP(A257,'Orçamento Sintético'!$A:$H,8,0)</f>
        <v>169.62</v>
      </c>
      <c r="D258" s="89">
        <f>ROUND($C258*D257,2)</f>
        <v>169.62</v>
      </c>
      <c r="E258" s="89">
        <f t="shared" ref="E258" si="252">ROUND($C258*E257,2)</f>
        <v>0</v>
      </c>
      <c r="F258" s="89">
        <f t="shared" ref="F258" si="253">ROUND($C258*F257,2)</f>
        <v>0</v>
      </c>
      <c r="G258" s="89">
        <f>$C258-SUM(D258:F258)</f>
        <v>0</v>
      </c>
    </row>
    <row r="259" spans="1:7" ht="11.25" customHeight="1" x14ac:dyDescent="0.2">
      <c r="A259" s="288" t="s">
        <v>366</v>
      </c>
      <c r="B259" s="290" t="str">
        <f>VLOOKUP(A259,'Orçamento Sintético'!$A:$H,4,0)</f>
        <v>Copia da SBC (052598) - BUCHA REDUCAO PVC SOLDAVEL DIAM. 110x85mm</v>
      </c>
      <c r="C259" s="91">
        <f>ROUND(C260/$G$425,4)</f>
        <v>1E-4</v>
      </c>
      <c r="D259" s="91">
        <v>1</v>
      </c>
      <c r="E259" s="91"/>
      <c r="F259" s="91"/>
      <c r="G259" s="91">
        <f>ROUND(G260/C260,4)</f>
        <v>0</v>
      </c>
    </row>
    <row r="260" spans="1:7" x14ac:dyDescent="0.2">
      <c r="A260" s="289"/>
      <c r="B260" s="291"/>
      <c r="C260" s="89">
        <f>VLOOKUP(A259,'Orçamento Sintético'!$A:$H,8,0)</f>
        <v>108.76</v>
      </c>
      <c r="D260" s="89">
        <f>ROUND($C260*D259,2)</f>
        <v>108.76</v>
      </c>
      <c r="E260" s="89">
        <f t="shared" ref="E260" si="254">ROUND($C260*E259,2)</f>
        <v>0</v>
      </c>
      <c r="F260" s="89">
        <f t="shared" ref="F260" si="255">ROUND($C260*F259,2)</f>
        <v>0</v>
      </c>
      <c r="G260" s="89">
        <f>$C260-SUM(D260:F260)</f>
        <v>0</v>
      </c>
    </row>
    <row r="261" spans="1:7" ht="11.25" customHeight="1" x14ac:dyDescent="0.2">
      <c r="A261" s="288" t="s">
        <v>369</v>
      </c>
      <c r="B261" s="290" t="str">
        <f>VLOOKUP(A261,'Orçamento Sintético'!$A:$H,4,0)</f>
        <v>Copia da SBC (055125) - BUCHA DE REDUCAO PVC SOLDAVEL 85X75MM</v>
      </c>
      <c r="C261" s="91">
        <f>ROUND(C262/$G$425,4)</f>
        <v>2.0000000000000001E-4</v>
      </c>
      <c r="D261" s="91">
        <v>1</v>
      </c>
      <c r="E261" s="91"/>
      <c r="F261" s="91"/>
      <c r="G261" s="91">
        <f>ROUND(G262/C262,4)</f>
        <v>0</v>
      </c>
    </row>
    <row r="262" spans="1:7" x14ac:dyDescent="0.2">
      <c r="A262" s="289"/>
      <c r="B262" s="291"/>
      <c r="C262" s="89">
        <f>VLOOKUP(A261,'Orçamento Sintético'!$A:$H,8,0)</f>
        <v>142.6</v>
      </c>
      <c r="D262" s="89">
        <f>ROUND($C262*D261,2)</f>
        <v>142.6</v>
      </c>
      <c r="E262" s="89">
        <f t="shared" ref="E262" si="256">ROUND($C262*E261,2)</f>
        <v>0</v>
      </c>
      <c r="F262" s="89">
        <f t="shared" ref="F262" si="257">ROUND($C262*F261,2)</f>
        <v>0</v>
      </c>
      <c r="G262" s="89">
        <f>$C262-SUM(D262:F262)</f>
        <v>0</v>
      </c>
    </row>
    <row r="263" spans="1:7" ht="11.25" customHeight="1" x14ac:dyDescent="0.2">
      <c r="A263" s="288" t="s">
        <v>372</v>
      </c>
      <c r="B263" s="290" t="str">
        <f>VLOOKUP(A263,'Orçamento Sintético'!$A:$H,4,0)</f>
        <v>Copia da SBC (052237) - BUCHA REDUCAO SOLDAVEL PVC 75x60mm</v>
      </c>
      <c r="C263" s="91">
        <f>ROUND(C264/$G$425,4)</f>
        <v>2.0000000000000001E-4</v>
      </c>
      <c r="D263" s="91">
        <v>1</v>
      </c>
      <c r="E263" s="91"/>
      <c r="F263" s="91"/>
      <c r="G263" s="91">
        <f>ROUND(G264/C264,4)</f>
        <v>0</v>
      </c>
    </row>
    <row r="264" spans="1:7" x14ac:dyDescent="0.2">
      <c r="A264" s="289"/>
      <c r="B264" s="291"/>
      <c r="C264" s="89">
        <f>VLOOKUP(A263,'Orçamento Sintético'!$A:$H,8,0)</f>
        <v>220.85</v>
      </c>
      <c r="D264" s="89">
        <f>ROUND($C264*D263,2)</f>
        <v>220.85</v>
      </c>
      <c r="E264" s="89">
        <f t="shared" ref="E264" si="258">ROUND($C264*E263,2)</f>
        <v>0</v>
      </c>
      <c r="F264" s="89">
        <f t="shared" ref="F264" si="259">ROUND($C264*F263,2)</f>
        <v>0</v>
      </c>
      <c r="G264" s="89">
        <f>$C264-SUM(D264:F264)</f>
        <v>0</v>
      </c>
    </row>
    <row r="265" spans="1:7" s="173" customFormat="1" ht="11.25" customHeight="1" x14ac:dyDescent="0.2">
      <c r="A265" s="292" t="s">
        <v>375</v>
      </c>
      <c r="B265" s="294" t="str">
        <f>VLOOKUP(A265,'Orçamento Sintético'!$A:$H,4,0)</f>
        <v>Metais e Acessórios Sanitários</v>
      </c>
      <c r="C265" s="80">
        <f>ROUND(C266/$G$425,4)</f>
        <v>7.0000000000000001E-3</v>
      </c>
      <c r="D265" s="80">
        <f t="shared" ref="D265:G265" si="260">ROUND(D266/$C266,4)</f>
        <v>1</v>
      </c>
      <c r="E265" s="80">
        <f t="shared" si="260"/>
        <v>0</v>
      </c>
      <c r="F265" s="80">
        <f t="shared" si="260"/>
        <v>0</v>
      </c>
      <c r="G265" s="80">
        <f t="shared" si="260"/>
        <v>0</v>
      </c>
    </row>
    <row r="266" spans="1:7" s="173" customFormat="1" x14ac:dyDescent="0.2">
      <c r="A266" s="293"/>
      <c r="B266" s="295"/>
      <c r="C266" s="90">
        <f>VLOOKUP(A265,'Orçamento Sintético'!$A:$H,8,0)</f>
        <v>6271.68</v>
      </c>
      <c r="D266" s="90">
        <f>D268+D270+D272+D274+D276+D278</f>
        <v>6271.68</v>
      </c>
      <c r="E266" s="90">
        <f t="shared" ref="E266:F266" si="261">E268+E270+E272+E274+E276+E278</f>
        <v>0</v>
      </c>
      <c r="F266" s="90">
        <f t="shared" si="261"/>
        <v>0</v>
      </c>
      <c r="G266" s="90">
        <f>C266-SUM(D266:F266)</f>
        <v>0</v>
      </c>
    </row>
    <row r="267" spans="1:7" ht="11.25" customHeight="1" x14ac:dyDescent="0.2">
      <c r="A267" s="288" t="s">
        <v>377</v>
      </c>
      <c r="B267" s="290" t="str">
        <f>VLOOKUP(A267,'Orçamento Sintético'!$A:$H,4,0)</f>
        <v>REGISTRO DE GAVETA BRUTO, LATÃO, ROSCÁVEL, 1 1/2, COM ACABAMENTO E CANOPLA CROMADOS, INSTALADO EM RESERVAÇÃO DE ÁGUA DE EDIFICAÇÃO QUE POSSUA RESERVATÓRIO DE FIBRA/FIBROCIMENTO  FORNECIMENTO E INSTALAÇÃO. AF_06/2016</v>
      </c>
      <c r="C267" s="91">
        <f>ROUND(C268/$G$425,4)</f>
        <v>2.3999999999999998E-3</v>
      </c>
      <c r="D267" s="91">
        <v>1</v>
      </c>
      <c r="E267" s="91"/>
      <c r="F267" s="91"/>
      <c r="G267" s="91">
        <f>ROUND(G268/C268,4)</f>
        <v>0</v>
      </c>
    </row>
    <row r="268" spans="1:7" x14ac:dyDescent="0.2">
      <c r="A268" s="289"/>
      <c r="B268" s="291"/>
      <c r="C268" s="89">
        <f>VLOOKUP(A267,'Orçamento Sintético'!$A:$H,8,0)</f>
        <v>2154.75</v>
      </c>
      <c r="D268" s="89">
        <f>ROUND($C268*D267,2)</f>
        <v>2154.75</v>
      </c>
      <c r="E268" s="89">
        <f t="shared" ref="E268" si="262">ROUND($C268*E267,2)</f>
        <v>0</v>
      </c>
      <c r="F268" s="89">
        <f t="shared" ref="F268" si="263">ROUND($C268*F267,2)</f>
        <v>0</v>
      </c>
      <c r="G268" s="89">
        <f>$C268-SUM(D268:F268)</f>
        <v>0</v>
      </c>
    </row>
    <row r="269" spans="1:7" ht="11.25" customHeight="1" x14ac:dyDescent="0.2">
      <c r="A269" s="288" t="s">
        <v>380</v>
      </c>
      <c r="B269" s="290" t="str">
        <f>VLOOKUP(A269,'Orçamento Sintético'!$A:$H,4,0)</f>
        <v>REGISTRO DE GAVETA BRUTO, LATÃO, ROSCÁVEL, 3, INSTALADO EM RESERVAÇÃO DE ÁGUA DE EDIFICAÇÃO QUE POSSUA RESERVATÓRIO DE FIBRA/FIBROCIMENTO  FORNECIMENTO E INSTALAÇÃO. AF_06/2016</v>
      </c>
      <c r="C269" s="91">
        <f>ROUND(C270/$G$425,4)</f>
        <v>6.9999999999999999E-4</v>
      </c>
      <c r="D269" s="91">
        <v>1</v>
      </c>
      <c r="E269" s="91"/>
      <c r="F269" s="91"/>
      <c r="G269" s="91">
        <f>ROUND(G270/C270,4)</f>
        <v>0</v>
      </c>
    </row>
    <row r="270" spans="1:7" x14ac:dyDescent="0.2">
      <c r="A270" s="289"/>
      <c r="B270" s="291"/>
      <c r="C270" s="89">
        <f>VLOOKUP(A269,'Orçamento Sintético'!$A:$H,8,0)</f>
        <v>654.26</v>
      </c>
      <c r="D270" s="89">
        <f>ROUND($C270*D269,2)</f>
        <v>654.26</v>
      </c>
      <c r="E270" s="89">
        <f t="shared" ref="E270" si="264">ROUND($C270*E269,2)</f>
        <v>0</v>
      </c>
      <c r="F270" s="89">
        <f t="shared" ref="F270" si="265">ROUND($C270*F269,2)</f>
        <v>0</v>
      </c>
      <c r="G270" s="89">
        <f>$C270-SUM(D270:F270)</f>
        <v>0</v>
      </c>
    </row>
    <row r="271" spans="1:7" ht="11.25" customHeight="1" x14ac:dyDescent="0.2">
      <c r="A271" s="288" t="s">
        <v>383</v>
      </c>
      <c r="B271" s="290" t="str">
        <f>VLOOKUP(A271,'Orçamento Sintético'!$A:$H,4,0)</f>
        <v>Copia da SINAPI (89987) - REGISTRO DE GAVETA BRUTO, LATÃO, ROSCÁVEL, 1", COM ACABAMENTO E CANOPLA CROMADOS. FORNECIDO E INSTALADO EM RAMAL DE ÁGUA.</v>
      </c>
      <c r="C271" s="91">
        <f>ROUND(C272/$G$425,4)</f>
        <v>1E-4</v>
      </c>
      <c r="D271" s="91">
        <v>1</v>
      </c>
      <c r="E271" s="91"/>
      <c r="F271" s="91"/>
      <c r="G271" s="91">
        <f>ROUND(G272/C272,4)</f>
        <v>0</v>
      </c>
    </row>
    <row r="272" spans="1:7" x14ac:dyDescent="0.2">
      <c r="A272" s="289"/>
      <c r="B272" s="291"/>
      <c r="C272" s="89">
        <f>VLOOKUP(A271,'Orçamento Sintético'!$A:$H,8,0)</f>
        <v>102.89</v>
      </c>
      <c r="D272" s="89">
        <f>ROUND($C272*D271,2)</f>
        <v>102.89</v>
      </c>
      <c r="E272" s="89">
        <f t="shared" ref="E272" si="266">ROUND($C272*E271,2)</f>
        <v>0</v>
      </c>
      <c r="F272" s="89">
        <f t="shared" ref="F272" si="267">ROUND($C272*F271,2)</f>
        <v>0</v>
      </c>
      <c r="G272" s="89">
        <f>$C272-SUM(D272:F272)</f>
        <v>0</v>
      </c>
    </row>
    <row r="273" spans="1:7" ht="11.25" customHeight="1" x14ac:dyDescent="0.2">
      <c r="A273" s="288" t="s">
        <v>386</v>
      </c>
      <c r="B273" s="290" t="str">
        <f>VLOOKUP(A273,'Orçamento Sintético'!$A:$H,4,0)</f>
        <v>REGISTRO DE GAVETA BRUTO, LATÃO, ROSCÁVEL, 4, INSTALADO EM RESERVAÇÃO DE ÁGUA DE EDIFICAÇÃO QUE POSSUA RESERVATÓRIO DE FIBRA/FIBROCIMENTO  FORNECIMENTO E INSTALAÇÃO. AF_06/2016</v>
      </c>
      <c r="C273" s="91">
        <f>ROUND(C274/$G$425,4)</f>
        <v>6.9999999999999999E-4</v>
      </c>
      <c r="D273" s="91">
        <v>1</v>
      </c>
      <c r="E273" s="91"/>
      <c r="F273" s="91"/>
      <c r="G273" s="91">
        <f>ROUND(G274/C274,4)</f>
        <v>0</v>
      </c>
    </row>
    <row r="274" spans="1:7" x14ac:dyDescent="0.2">
      <c r="A274" s="289"/>
      <c r="B274" s="291"/>
      <c r="C274" s="89">
        <f>VLOOKUP(A273,'Orçamento Sintético'!$A:$H,8,0)</f>
        <v>643.55999999999995</v>
      </c>
      <c r="D274" s="89">
        <f>ROUND($C274*D273,2)</f>
        <v>643.55999999999995</v>
      </c>
      <c r="E274" s="89">
        <f t="shared" ref="E274" si="268">ROUND($C274*E273,2)</f>
        <v>0</v>
      </c>
      <c r="F274" s="89">
        <f t="shared" ref="F274" si="269">ROUND($C274*F273,2)</f>
        <v>0</v>
      </c>
      <c r="G274" s="89">
        <f>$C274-SUM(D274:F274)</f>
        <v>0</v>
      </c>
    </row>
    <row r="275" spans="1:7" ht="11.25" customHeight="1" x14ac:dyDescent="0.2">
      <c r="A275" s="288" t="s">
        <v>389</v>
      </c>
      <c r="B275" s="290" t="str">
        <f>VLOOKUP(A275,'Orçamento Sintético'!$A:$H,4,0)</f>
        <v>REGISTRO DE GAVETA BRUTO, LATÃO, ROSCÁVEL, 3/4", COM ACABAMENTO E CANOPLA CROMADOS. FORNECIDO E INSTALADO EM RAMAL DE ÁGUA. AF_12/2014</v>
      </c>
      <c r="C275" s="91">
        <f>ROUND(C276/$G$425,4)</f>
        <v>2.2000000000000001E-3</v>
      </c>
      <c r="D275" s="91">
        <v>1</v>
      </c>
      <c r="E275" s="91"/>
      <c r="F275" s="91"/>
      <c r="G275" s="91">
        <f>ROUND(G276/C276,4)</f>
        <v>0</v>
      </c>
    </row>
    <row r="276" spans="1:7" x14ac:dyDescent="0.2">
      <c r="A276" s="289"/>
      <c r="B276" s="291"/>
      <c r="C276" s="89">
        <f>VLOOKUP(A275,'Orçamento Sintético'!$A:$H,8,0)</f>
        <v>1979.84</v>
      </c>
      <c r="D276" s="89">
        <f>ROUND($C276*D275,2)</f>
        <v>1979.84</v>
      </c>
      <c r="E276" s="89">
        <f t="shared" ref="E276" si="270">ROUND($C276*E275,2)</f>
        <v>0</v>
      </c>
      <c r="F276" s="89">
        <f t="shared" ref="F276" si="271">ROUND($C276*F275,2)</f>
        <v>0</v>
      </c>
      <c r="G276" s="89">
        <f>$C276-SUM(D276:F276)</f>
        <v>0</v>
      </c>
    </row>
    <row r="277" spans="1:7" ht="11.25" customHeight="1" x14ac:dyDescent="0.2">
      <c r="A277" s="288" t="s">
        <v>392</v>
      </c>
      <c r="B277" s="290" t="str">
        <f>VLOOKUP(A277,'Orçamento Sintético'!$A:$H,4,0)</f>
        <v>REGISTRO DE PRESSÃO BRUTO, LATÃO, ROSCÁVEL, 3/4", COM ACABAMENTO E CANOPLA CROMADOS. FORNECIDO E INSTALADO EM RAMAL DE ÁGUA. AF_12/2014</v>
      </c>
      <c r="C277" s="91">
        <f>ROUND(C278/$G$425,4)</f>
        <v>8.0000000000000004E-4</v>
      </c>
      <c r="D277" s="91">
        <v>1</v>
      </c>
      <c r="E277" s="91"/>
      <c r="F277" s="91"/>
      <c r="G277" s="91">
        <f>ROUND(G278/C278,4)</f>
        <v>0</v>
      </c>
    </row>
    <row r="278" spans="1:7" x14ac:dyDescent="0.2">
      <c r="A278" s="289"/>
      <c r="B278" s="291"/>
      <c r="C278" s="89">
        <f>VLOOKUP(A277,'Orçamento Sintético'!$A:$H,8,0)</f>
        <v>736.38</v>
      </c>
      <c r="D278" s="89">
        <f>ROUND($C278*D277,2)</f>
        <v>736.38</v>
      </c>
      <c r="E278" s="89">
        <f t="shared" ref="E278" si="272">ROUND($C278*E277,2)</f>
        <v>0</v>
      </c>
      <c r="F278" s="89">
        <f t="shared" ref="F278" si="273">ROUND($C278*F277,2)</f>
        <v>0</v>
      </c>
      <c r="G278" s="89">
        <f>$C278-SUM(D278:F278)</f>
        <v>0</v>
      </c>
    </row>
    <row r="279" spans="1:7" s="83" customFormat="1" x14ac:dyDescent="0.2">
      <c r="A279" s="284" t="s">
        <v>395</v>
      </c>
      <c r="B279" s="286" t="str">
        <f>VLOOKUP(A279,'Orçamento Sintético'!$A:$H,4,0)</f>
        <v>ESGOTOS SANITÁRIOS</v>
      </c>
      <c r="C279" s="79">
        <f>ROUND(C280/$G$425,4)</f>
        <v>2.1299999999999999E-2</v>
      </c>
      <c r="D279" s="79">
        <f>ROUND(D280/$C280,4)</f>
        <v>1</v>
      </c>
      <c r="E279" s="79">
        <f t="shared" ref="E279:G279" si="274">ROUND(E280/$C280,4)</f>
        <v>0</v>
      </c>
      <c r="F279" s="79">
        <f t="shared" si="274"/>
        <v>0</v>
      </c>
      <c r="G279" s="79">
        <f t="shared" si="274"/>
        <v>0</v>
      </c>
    </row>
    <row r="280" spans="1:7" s="83" customFormat="1" x14ac:dyDescent="0.2">
      <c r="A280" s="285"/>
      <c r="B280" s="287"/>
      <c r="C280" s="169">
        <f>VLOOKUP(A279,'Orçamento Sintético'!$A:$H,8,0)</f>
        <v>19099.990000000002</v>
      </c>
      <c r="D280" s="169">
        <f>D282+D292</f>
        <v>19099.990000000002</v>
      </c>
      <c r="E280" s="169">
        <f t="shared" ref="E280:G280" si="275">E282+E292</f>
        <v>0</v>
      </c>
      <c r="F280" s="169">
        <f t="shared" si="275"/>
        <v>0</v>
      </c>
      <c r="G280" s="169">
        <f t="shared" si="275"/>
        <v>0</v>
      </c>
    </row>
    <row r="281" spans="1:7" s="173" customFormat="1" ht="11.25" customHeight="1" x14ac:dyDescent="0.2">
      <c r="A281" s="292" t="s">
        <v>397</v>
      </c>
      <c r="B281" s="294" t="str">
        <f>VLOOKUP(A281,'Orçamento Sintético'!$A:$H,4,0)</f>
        <v>Tubulações e Conexões de PVC</v>
      </c>
      <c r="C281" s="80">
        <f>ROUND(C282/$G$425,4)</f>
        <v>1.41E-2</v>
      </c>
      <c r="D281" s="80">
        <f t="shared" ref="D281:G281" si="276">ROUND(D282/$C282,4)</f>
        <v>1</v>
      </c>
      <c r="E281" s="80">
        <f t="shared" si="276"/>
        <v>0</v>
      </c>
      <c r="F281" s="80">
        <f t="shared" si="276"/>
        <v>0</v>
      </c>
      <c r="G281" s="80">
        <f t="shared" si="276"/>
        <v>0</v>
      </c>
    </row>
    <row r="282" spans="1:7" s="173" customFormat="1" x14ac:dyDescent="0.2">
      <c r="A282" s="293"/>
      <c r="B282" s="295"/>
      <c r="C282" s="90">
        <f>VLOOKUP(A281,'Orçamento Sintético'!$A:$H,8,0)</f>
        <v>12657.740000000002</v>
      </c>
      <c r="D282" s="90">
        <f>D284+D286+D288+D290</f>
        <v>12657.740000000002</v>
      </c>
      <c r="E282" s="90">
        <f t="shared" ref="E282:F282" si="277">E284+E286+E288+E290</f>
        <v>0</v>
      </c>
      <c r="F282" s="90">
        <f t="shared" si="277"/>
        <v>0</v>
      </c>
      <c r="G282" s="90">
        <f>C282-SUM(D282:F282)</f>
        <v>0</v>
      </c>
    </row>
    <row r="283" spans="1:7" ht="11.25" customHeight="1" x14ac:dyDescent="0.2">
      <c r="A283" s="288" t="s">
        <v>399</v>
      </c>
      <c r="B283" s="290" t="str">
        <f>VLOOKUP(A283,'Orçamento Sintético'!$A:$H,4,0)</f>
        <v>(COMPOSIÇÃO REPRESENTATIVA) DO SERVIÇO DE INST. TUBO PVC, SÉRIE N, ESGOTO PREDIAL, 100 MM (INST. RAMAL DESCARGA, RAMAL DE ESG. SANIT., PRUMADA ESG. SANIT., VENTILAÇÃO OU SUB-COLETOR AÉREO), INCL. CONEXÕES E CORTES, FIXAÇÕES, P/ PRÉDIOS. AF_10/2015</v>
      </c>
      <c r="C283" s="91">
        <f>ROUND(C284/$G$425,4)</f>
        <v>5.0000000000000001E-3</v>
      </c>
      <c r="D283" s="91">
        <v>1</v>
      </c>
      <c r="E283" s="91"/>
      <c r="F283" s="91"/>
      <c r="G283" s="91">
        <f>ROUND(G284/C284,4)</f>
        <v>0</v>
      </c>
    </row>
    <row r="284" spans="1:7" x14ac:dyDescent="0.2">
      <c r="A284" s="289"/>
      <c r="B284" s="291"/>
      <c r="C284" s="89">
        <f>VLOOKUP(A283,'Orçamento Sintético'!$A:$H,8,0)</f>
        <v>4451.7</v>
      </c>
      <c r="D284" s="89">
        <f>ROUND($C284*D283,2)</f>
        <v>4451.7</v>
      </c>
      <c r="E284" s="89">
        <f t="shared" ref="E284" si="278">ROUND($C284*E283,2)</f>
        <v>0</v>
      </c>
      <c r="F284" s="89">
        <f t="shared" ref="F284" si="279">ROUND($C284*F283,2)</f>
        <v>0</v>
      </c>
      <c r="G284" s="89">
        <f>$C284-SUM(D284:F284)</f>
        <v>0</v>
      </c>
    </row>
    <row r="285" spans="1:7" ht="11.25" customHeight="1" x14ac:dyDescent="0.2">
      <c r="A285" s="288" t="s">
        <v>402</v>
      </c>
      <c r="B285" s="290" t="str">
        <f>VLOOKUP(A285,'Orçamento Sintético'!$A:$H,4,0)</f>
        <v>(COMPOSIÇÃO REPRESENTATIVA) DO SERVIÇO DE INST. TUBO PVC, SÉRIE N, ESGOTO PREDIAL, DN 75 MM, (INST. EM RAMAL DE DESCARGA, RAMAL DE ESG. SANITÁRIO, PRUMADA DE ESG. SANITÁRIO OU VENTILAÇÃO), INCL. CONEXÕES, CORTES E FIXAÇÕES, P/ PRÉDIOS. AF_10/2015</v>
      </c>
      <c r="C285" s="91">
        <f>ROUND(C286/$G$425,4)</f>
        <v>5.1000000000000004E-3</v>
      </c>
      <c r="D285" s="91">
        <v>1</v>
      </c>
      <c r="E285" s="91"/>
      <c r="F285" s="91"/>
      <c r="G285" s="91">
        <f>ROUND(G286/C286,4)</f>
        <v>0</v>
      </c>
    </row>
    <row r="286" spans="1:7" x14ac:dyDescent="0.2">
      <c r="A286" s="289"/>
      <c r="B286" s="291"/>
      <c r="C286" s="89">
        <f>VLOOKUP(A285,'Orçamento Sintético'!$A:$H,8,0)</f>
        <v>4570.12</v>
      </c>
      <c r="D286" s="89">
        <f>ROUND($C286*D285,2)</f>
        <v>4570.12</v>
      </c>
      <c r="E286" s="89">
        <f t="shared" ref="E286" si="280">ROUND($C286*E285,2)</f>
        <v>0</v>
      </c>
      <c r="F286" s="89">
        <f t="shared" ref="F286" si="281">ROUND($C286*F285,2)</f>
        <v>0</v>
      </c>
      <c r="G286" s="89">
        <f>$C286-SUM(D286:F286)</f>
        <v>0</v>
      </c>
    </row>
    <row r="287" spans="1:7" ht="11.25" customHeight="1" x14ac:dyDescent="0.2">
      <c r="A287" s="288" t="s">
        <v>405</v>
      </c>
      <c r="B287" s="290" t="str">
        <f>VLOOKUP(A287,'Orçamento Sintético'!$A:$H,4,0)</f>
        <v>(COMPOSIÇÃO REPRESENTATIVA) DO SERVIÇO DE INSTALAÇÃO DE TUBO DE PVC, SÉRIE NORMAL, ESGOTO PREDIAL, DN 50 MM (INSTALADO EM RAMAL DE DESCARGA OU RAMAL DE ESGOTO SANITÁRIO), INCLUSIVE CONEXÕES, CORTES E FIXAÇÕES PARA, PRÉDIOS. AF_10/2015</v>
      </c>
      <c r="C287" s="91">
        <f>ROUND(C288/$G$425,4)</f>
        <v>1E-3</v>
      </c>
      <c r="D287" s="91">
        <v>1</v>
      </c>
      <c r="E287" s="91"/>
      <c r="F287" s="91"/>
      <c r="G287" s="91">
        <f>ROUND(G288/C288,4)</f>
        <v>0</v>
      </c>
    </row>
    <row r="288" spans="1:7" x14ac:dyDescent="0.2">
      <c r="A288" s="289"/>
      <c r="B288" s="291"/>
      <c r="C288" s="89">
        <f>VLOOKUP(A287,'Orçamento Sintético'!$A:$H,8,0)</f>
        <v>935.04</v>
      </c>
      <c r="D288" s="89">
        <f>ROUND($C288*D287,2)</f>
        <v>935.04</v>
      </c>
      <c r="E288" s="89">
        <f t="shared" ref="E288" si="282">ROUND($C288*E287,2)</f>
        <v>0</v>
      </c>
      <c r="F288" s="89">
        <f t="shared" ref="F288" si="283">ROUND($C288*F287,2)</f>
        <v>0</v>
      </c>
      <c r="G288" s="89">
        <f>$C288-SUM(D288:F288)</f>
        <v>0</v>
      </c>
    </row>
    <row r="289" spans="1:7" ht="11.25" customHeight="1" x14ac:dyDescent="0.2">
      <c r="A289" s="288" t="s">
        <v>408</v>
      </c>
      <c r="B289" s="290" t="str">
        <f>VLOOKUP(A289,'Orçamento Sintético'!$A:$H,4,0)</f>
        <v>(COMPOSIÇÃO REPRESENTATIVA) DO SERVIÇO DE INSTALAÇÃO DE TUBO DE PVC, SÉRIE NORMAL, ESGOTO PREDIAL, DN 40 MM (INSTALADO EM RAMAL DE DESCARGA OU RAMAL DE ESGOTO SANITÁRIO), INCLUSIVE CONEXÕES, CORTES E FIXAÇÕES, PARA PRÉDIOS. AF_10/2015</v>
      </c>
      <c r="C289" s="91">
        <f>ROUND(C290/$G$425,4)</f>
        <v>3.0000000000000001E-3</v>
      </c>
      <c r="D289" s="91">
        <v>1</v>
      </c>
      <c r="E289" s="91"/>
      <c r="F289" s="91"/>
      <c r="G289" s="91">
        <f>ROUND(G290/C290,4)</f>
        <v>0</v>
      </c>
    </row>
    <row r="290" spans="1:7" x14ac:dyDescent="0.2">
      <c r="A290" s="289"/>
      <c r="B290" s="291"/>
      <c r="C290" s="89">
        <f>VLOOKUP(A289,'Orçamento Sintético'!$A:$H,8,0)</f>
        <v>2700.88</v>
      </c>
      <c r="D290" s="89">
        <f>ROUND($C290*D289,2)</f>
        <v>2700.88</v>
      </c>
      <c r="E290" s="89">
        <f t="shared" ref="E290" si="284">ROUND($C290*E289,2)</f>
        <v>0</v>
      </c>
      <c r="F290" s="89">
        <f t="shared" ref="F290" si="285">ROUND($C290*F289,2)</f>
        <v>0</v>
      </c>
      <c r="G290" s="89">
        <f>$C290-SUM(D290:F290)</f>
        <v>0</v>
      </c>
    </row>
    <row r="291" spans="1:7" s="173" customFormat="1" ht="11.25" customHeight="1" x14ac:dyDescent="0.2">
      <c r="A291" s="292" t="s">
        <v>411</v>
      </c>
      <c r="B291" s="294" t="str">
        <f>VLOOKUP(A291,'Orçamento Sintético'!$A:$H,4,0)</f>
        <v>Acessórios</v>
      </c>
      <c r="C291" s="80">
        <f>ROUND(C292/$G$425,4)</f>
        <v>7.1999999999999998E-3</v>
      </c>
      <c r="D291" s="80">
        <f t="shared" ref="D291:G291" si="286">ROUND(D292/$C292,4)</f>
        <v>1</v>
      </c>
      <c r="E291" s="80">
        <f t="shared" si="286"/>
        <v>0</v>
      </c>
      <c r="F291" s="80">
        <f t="shared" si="286"/>
        <v>0</v>
      </c>
      <c r="G291" s="80">
        <f t="shared" si="286"/>
        <v>0</v>
      </c>
    </row>
    <row r="292" spans="1:7" s="173" customFormat="1" x14ac:dyDescent="0.2">
      <c r="A292" s="293"/>
      <c r="B292" s="295"/>
      <c r="C292" s="90">
        <f>VLOOKUP(A291,'Orçamento Sintético'!$A:$H,8,0)</f>
        <v>6442.25</v>
      </c>
      <c r="D292" s="90">
        <f>D294+D296+D298+D300+D302</f>
        <v>6442.25</v>
      </c>
      <c r="E292" s="90">
        <f t="shared" ref="E292:F292" si="287">E294+E296+E298+E300+E302</f>
        <v>0</v>
      </c>
      <c r="F292" s="90">
        <f t="shared" si="287"/>
        <v>0</v>
      </c>
      <c r="G292" s="90">
        <f>C292-SUM(D292:F292)</f>
        <v>0</v>
      </c>
    </row>
    <row r="293" spans="1:7" ht="11.25" customHeight="1" x14ac:dyDescent="0.2">
      <c r="A293" s="288" t="s">
        <v>413</v>
      </c>
      <c r="B293" s="290" t="str">
        <f>VLOOKUP(A293,'Orçamento Sintético'!$A:$H,4,0)</f>
        <v>CAIXA SIFONADA, PVC, DN 100 X 100 X 50 MM, JUNTA ELÁSTICA, FORNECIDA E INSTALADA EM RAMAL DE DESCARGA OU EM RAMAL DE ESGOTO SANITÁRIO. AF_12/2014</v>
      </c>
      <c r="C293" s="91">
        <f>ROUND(C294/$G$425,4)</f>
        <v>0</v>
      </c>
      <c r="D293" s="91">
        <v>1</v>
      </c>
      <c r="E293" s="91"/>
      <c r="F293" s="91"/>
      <c r="G293" s="91">
        <f>ROUND(G294/C294,4)</f>
        <v>0</v>
      </c>
    </row>
    <row r="294" spans="1:7" x14ac:dyDescent="0.2">
      <c r="A294" s="289"/>
      <c r="B294" s="291"/>
      <c r="C294" s="89">
        <f>VLOOKUP(A293,'Orçamento Sintético'!$A:$H,8,0)</f>
        <v>33.5</v>
      </c>
      <c r="D294" s="89">
        <f>ROUND($C294*D293,2)</f>
        <v>33.5</v>
      </c>
      <c r="E294" s="89">
        <f t="shared" ref="E294" si="288">ROUND($C294*E293,2)</f>
        <v>0</v>
      </c>
      <c r="F294" s="89">
        <f t="shared" ref="F294" si="289">ROUND($C294*F293,2)</f>
        <v>0</v>
      </c>
      <c r="G294" s="89">
        <f>$C294-SUM(D294:F294)</f>
        <v>0</v>
      </c>
    </row>
    <row r="295" spans="1:7" ht="11.25" customHeight="1" x14ac:dyDescent="0.2">
      <c r="A295" s="288" t="s">
        <v>416</v>
      </c>
      <c r="B295" s="290" t="str">
        <f>VLOOKUP(A295,'Orçamento Sintético'!$A:$H,4,0)</f>
        <v>Copia da SINAPI (89708) - Caixa sifonada, PVC, DN 150x185x75mm, incluindo tampa hermética em aço inox - fornecimento e instalação</v>
      </c>
      <c r="C295" s="91">
        <f>ROUND(C296/$G$425,4)</f>
        <v>5.0000000000000001E-4</v>
      </c>
      <c r="D295" s="91">
        <v>1</v>
      </c>
      <c r="E295" s="91"/>
      <c r="F295" s="91"/>
      <c r="G295" s="91">
        <f>ROUND(G296/C296,4)</f>
        <v>0</v>
      </c>
    </row>
    <row r="296" spans="1:7" x14ac:dyDescent="0.2">
      <c r="A296" s="289"/>
      <c r="B296" s="291"/>
      <c r="C296" s="89">
        <f>VLOOKUP(A295,'Orçamento Sintético'!$A:$H,8,0)</f>
        <v>467.65</v>
      </c>
      <c r="D296" s="89">
        <f>ROUND($C296*D295,2)</f>
        <v>467.65</v>
      </c>
      <c r="E296" s="89">
        <f t="shared" ref="E296" si="290">ROUND($C296*E295,2)</f>
        <v>0</v>
      </c>
      <c r="F296" s="89">
        <f t="shared" ref="F296" si="291">ROUND($C296*F295,2)</f>
        <v>0</v>
      </c>
      <c r="G296" s="89">
        <f>$C296-SUM(D296:F296)</f>
        <v>0</v>
      </c>
    </row>
    <row r="297" spans="1:7" ht="11.25" customHeight="1" x14ac:dyDescent="0.2">
      <c r="A297" s="288" t="s">
        <v>419</v>
      </c>
      <c r="B297" s="290" t="str">
        <f>VLOOKUP(A297,'Orçamento Sintético'!$A:$H,4,0)</f>
        <v>CAIXA SIFONADA, PVC, DN 150 X 185 X 75 MM, JUNTA ELÁSTICA, FORNECIDA E INSTALADA EM RAMAL DE DESCARGA OU EM RAMAL DE ESGOTO SANITÁRIO. AF_12/2014</v>
      </c>
      <c r="C297" s="91">
        <f>ROUND(C298/$G$425,4)</f>
        <v>1.6999999999999999E-3</v>
      </c>
      <c r="D297" s="91">
        <v>1</v>
      </c>
      <c r="E297" s="91"/>
      <c r="F297" s="91"/>
      <c r="G297" s="91">
        <f>ROUND(G298/C298,4)</f>
        <v>0</v>
      </c>
    </row>
    <row r="298" spans="1:7" x14ac:dyDescent="0.2">
      <c r="A298" s="289"/>
      <c r="B298" s="291"/>
      <c r="C298" s="89">
        <f>VLOOKUP(A297,'Orçamento Sintético'!$A:$H,8,0)</f>
        <v>1502.14</v>
      </c>
      <c r="D298" s="89">
        <f>ROUND($C298*D297,2)</f>
        <v>1502.14</v>
      </c>
      <c r="E298" s="89">
        <f t="shared" ref="E298" si="292">ROUND($C298*E297,2)</f>
        <v>0</v>
      </c>
      <c r="F298" s="89">
        <f t="shared" ref="F298" si="293">ROUND($C298*F297,2)</f>
        <v>0</v>
      </c>
      <c r="G298" s="89">
        <f>$C298-SUM(D298:F298)</f>
        <v>0</v>
      </c>
    </row>
    <row r="299" spans="1:7" ht="11.25" customHeight="1" x14ac:dyDescent="0.2">
      <c r="A299" s="288" t="s">
        <v>422</v>
      </c>
      <c r="B299" s="290" t="str">
        <f>VLOOKUP(A299,'Orçamento Sintético'!$A:$H,4,0)</f>
        <v>CAIXA DE GORDURA PEQUENA (CAPACIDADE: 19 L), CIRCULAR, EM PVC, DIÂMETRO INTERNO= 0,3 M. AF_05/2018</v>
      </c>
      <c r="C299" s="91">
        <f>ROUND(C300/$G$425,4)</f>
        <v>6.9999999999999999E-4</v>
      </c>
      <c r="D299" s="91">
        <v>1</v>
      </c>
      <c r="E299" s="91"/>
      <c r="F299" s="91"/>
      <c r="G299" s="91">
        <f>ROUND(G300/C300,4)</f>
        <v>0</v>
      </c>
    </row>
    <row r="300" spans="1:7" x14ac:dyDescent="0.2">
      <c r="A300" s="289"/>
      <c r="B300" s="291"/>
      <c r="C300" s="89">
        <f>VLOOKUP(A299,'Orçamento Sintético'!$A:$H,8,0)</f>
        <v>619.48</v>
      </c>
      <c r="D300" s="89">
        <f>ROUND($C300*D299,2)</f>
        <v>619.48</v>
      </c>
      <c r="E300" s="89">
        <f t="shared" ref="E300" si="294">ROUND($C300*E299,2)</f>
        <v>0</v>
      </c>
      <c r="F300" s="89">
        <f t="shared" ref="F300" si="295">ROUND($C300*F299,2)</f>
        <v>0</v>
      </c>
      <c r="G300" s="89">
        <f>$C300-SUM(D300:F300)</f>
        <v>0</v>
      </c>
    </row>
    <row r="301" spans="1:7" ht="11.25" customHeight="1" x14ac:dyDescent="0.2">
      <c r="A301" s="288" t="s">
        <v>425</v>
      </c>
      <c r="B301" s="290" t="str">
        <f>VLOOKUP(A301,'Orçamento Sintético'!$A:$H,4,0)</f>
        <v>Caixa de inspeção em alvenaria 60x60 com tampa em ferro fundido T33, fundo e laje em concreto.</v>
      </c>
      <c r="C301" s="91">
        <f>ROUND(C302/$G$425,4)</f>
        <v>4.3E-3</v>
      </c>
      <c r="D301" s="91">
        <v>1</v>
      </c>
      <c r="E301" s="91"/>
      <c r="F301" s="91"/>
      <c r="G301" s="91">
        <f>ROUND(G302/C302,4)</f>
        <v>0</v>
      </c>
    </row>
    <row r="302" spans="1:7" x14ac:dyDescent="0.2">
      <c r="A302" s="289"/>
      <c r="B302" s="291"/>
      <c r="C302" s="89">
        <f>VLOOKUP(A301,'Orçamento Sintético'!$A:$H,8,0)</f>
        <v>3819.48</v>
      </c>
      <c r="D302" s="89">
        <f>ROUND($C302*D301,2)</f>
        <v>3819.48</v>
      </c>
      <c r="E302" s="89">
        <f t="shared" ref="E302" si="296">ROUND($C302*E301,2)</f>
        <v>0</v>
      </c>
      <c r="F302" s="89">
        <f t="shared" ref="F302" si="297">ROUND($C302*F301,2)</f>
        <v>0</v>
      </c>
      <c r="G302" s="89">
        <f>$C302-SUM(D302:F302)</f>
        <v>0</v>
      </c>
    </row>
    <row r="303" spans="1:7" s="83" customFormat="1" x14ac:dyDescent="0.2">
      <c r="A303" s="284" t="s">
        <v>428</v>
      </c>
      <c r="B303" s="286" t="str">
        <f>VLOOKUP(A303,'Orçamento Sintético'!$A:$H,4,0)</f>
        <v>SERVIÇOS DIVERSOS</v>
      </c>
      <c r="C303" s="79">
        <f>ROUND(C304/$G$425,4)</f>
        <v>7.7000000000000002E-3</v>
      </c>
      <c r="D303" s="79">
        <f>ROUND(D304/$C304,4)</f>
        <v>1</v>
      </c>
      <c r="E303" s="79">
        <f t="shared" ref="E303:G303" si="298">ROUND(E304/$C304,4)</f>
        <v>0</v>
      </c>
      <c r="F303" s="79">
        <f t="shared" si="298"/>
        <v>0</v>
      </c>
      <c r="G303" s="79">
        <f t="shared" si="298"/>
        <v>0</v>
      </c>
    </row>
    <row r="304" spans="1:7" s="83" customFormat="1" x14ac:dyDescent="0.2">
      <c r="A304" s="285"/>
      <c r="B304" s="287"/>
      <c r="C304" s="169">
        <f>VLOOKUP(A303,'Orçamento Sintético'!$A:$H,8,0)</f>
        <v>6915.4</v>
      </c>
      <c r="D304" s="169">
        <f>D306</f>
        <v>6915.4</v>
      </c>
      <c r="E304" s="169">
        <f t="shared" ref="E304:G304" si="299">E306</f>
        <v>0</v>
      </c>
      <c r="F304" s="169">
        <f t="shared" si="299"/>
        <v>0</v>
      </c>
      <c r="G304" s="169">
        <f t="shared" si="299"/>
        <v>0</v>
      </c>
    </row>
    <row r="305" spans="1:7" s="83" customFormat="1" x14ac:dyDescent="0.2">
      <c r="A305" s="292" t="s">
        <v>430</v>
      </c>
      <c r="B305" s="294" t="str">
        <f>VLOOKUP(A305,'Orçamento Sintético'!$A:$H,4,0)</f>
        <v>Serviços diversos</v>
      </c>
      <c r="C305" s="80">
        <f>ROUND(C306/$G$425,4)</f>
        <v>7.7000000000000002E-3</v>
      </c>
      <c r="D305" s="80">
        <f t="shared" ref="D305:G305" si="300">ROUND(D306/$C306,4)</f>
        <v>1</v>
      </c>
      <c r="E305" s="80">
        <f t="shared" si="300"/>
        <v>0</v>
      </c>
      <c r="F305" s="80">
        <f t="shared" si="300"/>
        <v>0</v>
      </c>
      <c r="G305" s="80">
        <f t="shared" si="300"/>
        <v>0</v>
      </c>
    </row>
    <row r="306" spans="1:7" s="83" customFormat="1" x14ac:dyDescent="0.2">
      <c r="A306" s="293"/>
      <c r="B306" s="295"/>
      <c r="C306" s="90">
        <f>VLOOKUP(A305,'Orçamento Sintético'!$A:$H,8,0)</f>
        <v>6915.4</v>
      </c>
      <c r="D306" s="90">
        <f>D308+D310+D312+D314</f>
        <v>6915.4</v>
      </c>
      <c r="E306" s="90">
        <f t="shared" ref="E306:F306" si="301">E308+E310+E312+E314</f>
        <v>0</v>
      </c>
      <c r="F306" s="90">
        <f t="shared" si="301"/>
        <v>0</v>
      </c>
      <c r="G306" s="90">
        <f>C306-SUM(D306:F306)</f>
        <v>0</v>
      </c>
    </row>
    <row r="307" spans="1:7" ht="11.25" customHeight="1" x14ac:dyDescent="0.2">
      <c r="A307" s="288" t="s">
        <v>432</v>
      </c>
      <c r="B307" s="290" t="str">
        <f>VLOOKUP(A307,'Orçamento Sintético'!$A:$H,4,0)</f>
        <v>Copia da CPOS (04.30.060) - Remoção de tubulação hidráulica em geral, incluindo conexões, caixas e ralos</v>
      </c>
      <c r="C307" s="91">
        <f>ROUND(C308/$G$425,4)</f>
        <v>4.3E-3</v>
      </c>
      <c r="D307" s="91">
        <v>1</v>
      </c>
      <c r="E307" s="91"/>
      <c r="F307" s="91"/>
      <c r="G307" s="91">
        <f>ROUND(G308/C308,4)</f>
        <v>0</v>
      </c>
    </row>
    <row r="308" spans="1:7" x14ac:dyDescent="0.2">
      <c r="A308" s="289"/>
      <c r="B308" s="291"/>
      <c r="C308" s="89">
        <f>VLOOKUP(A307,'Orçamento Sintético'!$A:$H,8,0)</f>
        <v>3841.6</v>
      </c>
      <c r="D308" s="89">
        <f>ROUND($C308*D307,2)</f>
        <v>3841.6</v>
      </c>
      <c r="E308" s="89">
        <f t="shared" ref="E308" si="302">ROUND($C308*E307,2)</f>
        <v>0</v>
      </c>
      <c r="F308" s="89">
        <f t="shared" ref="F308" si="303">ROUND($C308*F307,2)</f>
        <v>0</v>
      </c>
      <c r="G308" s="89">
        <f>$C308-SUM(D308:F308)</f>
        <v>0</v>
      </c>
    </row>
    <row r="309" spans="1:7" ht="11.25" customHeight="1" x14ac:dyDescent="0.2">
      <c r="A309" s="288" t="s">
        <v>435</v>
      </c>
      <c r="B309" s="290" t="str">
        <f>VLOOKUP(A309,'Orçamento Sintético'!$A:$H,4,0)</f>
        <v>FIXAÇÃO DE TUBOS HORIZONTAIS DE PPR DIÂMETROS MAIORES QUE 40 MM E MENORES OU IGUAIS A 75 MM COM ABRAÇADEIRA METÁLICA FLEXÍVEL 18 MM, FIXADA DIRETAMENTE NA LAJE. AF_05/2015</v>
      </c>
      <c r="C309" s="91">
        <f>ROUND(C310/$G$425,4)</f>
        <v>1E-3</v>
      </c>
      <c r="D309" s="91">
        <v>1</v>
      </c>
      <c r="E309" s="91"/>
      <c r="F309" s="91"/>
      <c r="G309" s="91">
        <f>ROUND(G310/C310,4)</f>
        <v>0</v>
      </c>
    </row>
    <row r="310" spans="1:7" x14ac:dyDescent="0.2">
      <c r="A310" s="289"/>
      <c r="B310" s="291"/>
      <c r="C310" s="89">
        <f>VLOOKUP(A309,'Orçamento Sintético'!$A:$H,8,0)</f>
        <v>856.92</v>
      </c>
      <c r="D310" s="89">
        <f>ROUND($C310*D309,2)</f>
        <v>856.92</v>
      </c>
      <c r="E310" s="89">
        <f t="shared" ref="E310" si="304">ROUND($C310*E309,2)</f>
        <v>0</v>
      </c>
      <c r="F310" s="89">
        <f t="shared" ref="F310" si="305">ROUND($C310*F309,2)</f>
        <v>0</v>
      </c>
      <c r="G310" s="89">
        <f>$C310-SUM(D310:F310)</f>
        <v>0</v>
      </c>
    </row>
    <row r="311" spans="1:7" ht="11.25" customHeight="1" x14ac:dyDescent="0.2">
      <c r="A311" s="288" t="s">
        <v>438</v>
      </c>
      <c r="B311" s="290" t="str">
        <f>VLOOKUP(A311,'Orçamento Sintético'!$A:$H,4,0)</f>
        <v>ESCAVAÇÃO MANUAL DE VALA COM PROFUNDIDADE MENOR OU IGUAL A 1,30 M. AF_03/2016</v>
      </c>
      <c r="C311" s="91">
        <f>ROUND(C312/$G$425,4)</f>
        <v>1.8E-3</v>
      </c>
      <c r="D311" s="91">
        <v>1</v>
      </c>
      <c r="E311" s="91"/>
      <c r="F311" s="91"/>
      <c r="G311" s="91">
        <f>ROUND(G312/C312,4)</f>
        <v>0</v>
      </c>
    </row>
    <row r="312" spans="1:7" x14ac:dyDescent="0.2">
      <c r="A312" s="289"/>
      <c r="B312" s="291"/>
      <c r="C312" s="89">
        <f>VLOOKUP(A311,'Orçamento Sintético'!$A:$H,8,0)</f>
        <v>1630.08</v>
      </c>
      <c r="D312" s="89">
        <f>ROUND($C312*D311,2)</f>
        <v>1630.08</v>
      </c>
      <c r="E312" s="89">
        <f t="shared" ref="E312" si="306">ROUND($C312*E311,2)</f>
        <v>0</v>
      </c>
      <c r="F312" s="89">
        <f t="shared" ref="F312" si="307">ROUND($C312*F311,2)</f>
        <v>0</v>
      </c>
      <c r="G312" s="89">
        <f>$C312-SUM(D312:F312)</f>
        <v>0</v>
      </c>
    </row>
    <row r="313" spans="1:7" ht="11.25" customHeight="1" x14ac:dyDescent="0.2">
      <c r="A313" s="288" t="s">
        <v>441</v>
      </c>
      <c r="B313" s="290" t="str">
        <f>VLOOKUP(A313,'Orçamento Sintético'!$A:$H,4,0)</f>
        <v>REATERRO MANUAL DE VALAS COM COMPACTAÇÃO MECANIZADA. AF_04/2016</v>
      </c>
      <c r="C313" s="91">
        <f>ROUND(C314/$G$425,4)</f>
        <v>6.9999999999999999E-4</v>
      </c>
      <c r="D313" s="91">
        <v>1</v>
      </c>
      <c r="E313" s="91"/>
      <c r="F313" s="91"/>
      <c r="G313" s="91">
        <f>ROUND(G314/C314,4)</f>
        <v>0</v>
      </c>
    </row>
    <row r="314" spans="1:7" x14ac:dyDescent="0.2">
      <c r="A314" s="289"/>
      <c r="B314" s="291"/>
      <c r="C314" s="89">
        <f>VLOOKUP(A313,'Orçamento Sintético'!$A:$H,8,0)</f>
        <v>586.79999999999995</v>
      </c>
      <c r="D314" s="89">
        <f>ROUND($C314*D313,2)</f>
        <v>586.79999999999995</v>
      </c>
      <c r="E314" s="89">
        <f t="shared" ref="E314" si="308">ROUND($C314*E313,2)</f>
        <v>0</v>
      </c>
      <c r="F314" s="89">
        <f t="shared" ref="F314" si="309">ROUND($C314*F313,2)</f>
        <v>0</v>
      </c>
      <c r="G314" s="89">
        <f>$C314-SUM(D314:F314)</f>
        <v>0</v>
      </c>
    </row>
    <row r="315" spans="1:7" s="83" customFormat="1" ht="12" customHeight="1" x14ac:dyDescent="0.2">
      <c r="A315" s="280" t="s">
        <v>444</v>
      </c>
      <c r="B315" s="282" t="str">
        <f>VLOOKUP(A315,'Orçamento Sintético'!$A:$H,4,0)</f>
        <v>INSTALAÇÕES ELÉTRICAS E ELETRÔNICAS</v>
      </c>
      <c r="C315" s="78">
        <f>ROUND(C316/$G$425,4)</f>
        <v>6.0999999999999999E-2</v>
      </c>
      <c r="D315" s="78">
        <f>ROUND(D316/$C316,4)</f>
        <v>0.1779</v>
      </c>
      <c r="E315" s="78">
        <f t="shared" ref="E315:G315" si="310">ROUND(E316/$C316,4)</f>
        <v>0.52449999999999997</v>
      </c>
      <c r="F315" s="78">
        <f t="shared" si="310"/>
        <v>0.29759999999999998</v>
      </c>
      <c r="G315" s="78">
        <f t="shared" si="310"/>
        <v>0</v>
      </c>
    </row>
    <row r="316" spans="1:7" s="83" customFormat="1" x14ac:dyDescent="0.2">
      <c r="A316" s="281"/>
      <c r="B316" s="283"/>
      <c r="C316" s="168">
        <f>VLOOKUP(A315,'Orçamento Sintético'!$A:$H,8,0)</f>
        <v>54739.25</v>
      </c>
      <c r="D316" s="168">
        <f>D318</f>
        <v>9738.98</v>
      </c>
      <c r="E316" s="168">
        <f>E318</f>
        <v>28710.950000000004</v>
      </c>
      <c r="F316" s="168">
        <f>F318</f>
        <v>16289.339999999998</v>
      </c>
      <c r="G316" s="168">
        <f>G318</f>
        <v>-2.0000000004074536E-2</v>
      </c>
    </row>
    <row r="317" spans="1:7" s="83" customFormat="1" x14ac:dyDescent="0.2">
      <c r="A317" s="284" t="s">
        <v>446</v>
      </c>
      <c r="B317" s="286" t="str">
        <f>VLOOKUP(A317,'Orçamento Sintético'!$A:$H,4,0)</f>
        <v>INSTALAÇÕES ELÉTRICAS</v>
      </c>
      <c r="C317" s="79">
        <f>ROUND(C318/$G$425,4)</f>
        <v>6.0999999999999999E-2</v>
      </c>
      <c r="D317" s="79">
        <f>ROUND(D318/$C318,4)</f>
        <v>0.1779</v>
      </c>
      <c r="E317" s="79">
        <f t="shared" ref="E317:G317" si="311">ROUND(E318/$C318,4)</f>
        <v>0.52449999999999997</v>
      </c>
      <c r="F317" s="79">
        <f t="shared" si="311"/>
        <v>0.29759999999999998</v>
      </c>
      <c r="G317" s="79">
        <f t="shared" si="311"/>
        <v>0</v>
      </c>
    </row>
    <row r="318" spans="1:7" s="83" customFormat="1" x14ac:dyDescent="0.2">
      <c r="A318" s="285"/>
      <c r="B318" s="287"/>
      <c r="C318" s="169">
        <f>VLOOKUP(A317,'Orçamento Sintético'!$A:$H,8,0)</f>
        <v>54739.25</v>
      </c>
      <c r="D318" s="169">
        <f>D320+D330</f>
        <v>9738.98</v>
      </c>
      <c r="E318" s="169">
        <f t="shared" ref="E318:G318" si="312">E320+E330</f>
        <v>28710.950000000004</v>
      </c>
      <c r="F318" s="169">
        <f t="shared" si="312"/>
        <v>16289.339999999998</v>
      </c>
      <c r="G318" s="169">
        <f t="shared" si="312"/>
        <v>-2.0000000004074536E-2</v>
      </c>
    </row>
    <row r="319" spans="1:7" s="173" customFormat="1" ht="11.25" customHeight="1" x14ac:dyDescent="0.2">
      <c r="A319" s="292" t="s">
        <v>448</v>
      </c>
      <c r="B319" s="294" t="str">
        <f>VLOOKUP(A319,'Orçamento Sintético'!$A:$H,4,0)</f>
        <v>Rede Elétrica Primária</v>
      </c>
      <c r="C319" s="80">
        <f>ROUND(C320/$G$425,4)</f>
        <v>1.1299999999999999E-2</v>
      </c>
      <c r="D319" s="80">
        <f t="shared" ref="D319:G319" si="313">ROUND(D320/$C320,4)</f>
        <v>0.44529999999999997</v>
      </c>
      <c r="E319" s="80">
        <f t="shared" si="313"/>
        <v>0.48220000000000002</v>
      </c>
      <c r="F319" s="80">
        <f t="shared" si="313"/>
        <v>7.2499999999999995E-2</v>
      </c>
      <c r="G319" s="80">
        <f t="shared" si="313"/>
        <v>0</v>
      </c>
    </row>
    <row r="320" spans="1:7" s="173" customFormat="1" x14ac:dyDescent="0.2">
      <c r="A320" s="293"/>
      <c r="B320" s="295"/>
      <c r="C320" s="90">
        <f>VLOOKUP(A319,'Orçamento Sintético'!$A:$H,8,0)</f>
        <v>10166.44</v>
      </c>
      <c r="D320" s="90">
        <f>D322+D324+D326+D328</f>
        <v>4526.619999999999</v>
      </c>
      <c r="E320" s="90">
        <f t="shared" ref="E320:F320" si="314">E322+E324+E326+E328</f>
        <v>4902.76</v>
      </c>
      <c r="F320" s="90">
        <f t="shared" si="314"/>
        <v>737.06</v>
      </c>
      <c r="G320" s="90">
        <f>C320-SUM(D320:F320)</f>
        <v>0</v>
      </c>
    </row>
    <row r="321" spans="1:7" x14ac:dyDescent="0.2">
      <c r="A321" s="288" t="s">
        <v>450</v>
      </c>
      <c r="B321" s="290" t="str">
        <f>VLOOKUP(A321,'Orçamento Sintético'!$A:$H,4,0)</f>
        <v>Quadro QT-N-SS - PJDIJ e PJSA</v>
      </c>
      <c r="C321" s="91">
        <f>ROUND(C322/$G$425,4)</f>
        <v>9.2999999999999992E-3</v>
      </c>
      <c r="D321" s="91">
        <v>0.5</v>
      </c>
      <c r="E321" s="91">
        <v>0.5</v>
      </c>
      <c r="F321" s="91"/>
      <c r="G321" s="91">
        <f>ROUND(G322/C322,4)</f>
        <v>0</v>
      </c>
    </row>
    <row r="322" spans="1:7" x14ac:dyDescent="0.2">
      <c r="A322" s="289"/>
      <c r="B322" s="291"/>
      <c r="C322" s="89">
        <f>VLOOKUP(A321,'Orçamento Sintético'!$A:$H,8,0)</f>
        <v>8331.4</v>
      </c>
      <c r="D322" s="89">
        <f>ROUND($C322*D321,2)</f>
        <v>4165.7</v>
      </c>
      <c r="E322" s="89">
        <f t="shared" ref="E322" si="315">ROUND($C322*E321,2)</f>
        <v>4165.7</v>
      </c>
      <c r="F322" s="89">
        <f t="shared" ref="F322" si="316">ROUND($C322*F321,2)</f>
        <v>0</v>
      </c>
      <c r="G322" s="89">
        <f>$C322-SUM(D322:F322)</f>
        <v>0</v>
      </c>
    </row>
    <row r="323" spans="1:7" ht="11.25" customHeight="1" x14ac:dyDescent="0.2">
      <c r="A323" s="288" t="s">
        <v>453</v>
      </c>
      <c r="B323" s="290" t="str">
        <f>VLOOKUP(A323,'Orçamento Sintético'!$A:$H,4,0)</f>
        <v>CABO DE COBRE FLEXÍVEL ISOLADO, 10 MM², ANTI-CHAMA 0,6/1,0 KV, PARA DISTRIBUIÇÃO - FORNECIMENTO E INSTALAÇÃO. AF_12/2015</v>
      </c>
      <c r="C323" s="91">
        <f>ROUND(C324/$G$425,4)</f>
        <v>1.6000000000000001E-3</v>
      </c>
      <c r="D323" s="91"/>
      <c r="E323" s="91">
        <v>0.5</v>
      </c>
      <c r="F323" s="91">
        <v>0.5</v>
      </c>
      <c r="G323" s="91"/>
    </row>
    <row r="324" spans="1:7" x14ac:dyDescent="0.2">
      <c r="A324" s="289"/>
      <c r="B324" s="291"/>
      <c r="C324" s="89">
        <f>VLOOKUP(A323,'Orçamento Sintético'!$A:$H,8,0)</f>
        <v>1474.12</v>
      </c>
      <c r="D324" s="89">
        <f>ROUND($C324*D323,2)</f>
        <v>0</v>
      </c>
      <c r="E324" s="89">
        <f t="shared" ref="E324" si="317">ROUND($C324*E323,2)</f>
        <v>737.06</v>
      </c>
      <c r="F324" s="89">
        <f t="shared" ref="F324" si="318">ROUND($C324*F323,2)</f>
        <v>737.06</v>
      </c>
      <c r="G324" s="89">
        <f>$C324-SUM(D324:F324)</f>
        <v>0</v>
      </c>
    </row>
    <row r="325" spans="1:7" ht="11.25" customHeight="1" x14ac:dyDescent="0.2">
      <c r="A325" s="288" t="s">
        <v>456</v>
      </c>
      <c r="B325" s="290" t="str">
        <f>VLOOKUP(A325,'Orçamento Sintético'!$A:$H,4,0)</f>
        <v>ELETRODUTO RÍGIDO SOLDÁVEL, PVC, DN 32 MM (1), APARENTE, INSTALADO EM PAREDE - FORNECIMENTO E INSTALAÇÃO. AF_11/2016_P</v>
      </c>
      <c r="C325" s="91">
        <f>ROUND(C326/$G$425,4)</f>
        <v>2.9999999999999997E-4</v>
      </c>
      <c r="D325" s="91">
        <v>1</v>
      </c>
      <c r="E325" s="91"/>
      <c r="F325" s="91"/>
      <c r="G325" s="91">
        <f>ROUND(G326/C326,4)</f>
        <v>0</v>
      </c>
    </row>
    <row r="326" spans="1:7" x14ac:dyDescent="0.2">
      <c r="A326" s="289"/>
      <c r="B326" s="291"/>
      <c r="C326" s="89">
        <f>VLOOKUP(A325,'Orçamento Sintético'!$A:$H,8,0)</f>
        <v>279.44</v>
      </c>
      <c r="D326" s="89">
        <f>ROUND($C326*D325,2)</f>
        <v>279.44</v>
      </c>
      <c r="E326" s="89">
        <f t="shared" ref="E326" si="319">ROUND($C326*E325,2)</f>
        <v>0</v>
      </c>
      <c r="F326" s="89">
        <f t="shared" ref="F326" si="320">ROUND($C326*F325,2)</f>
        <v>0</v>
      </c>
      <c r="G326" s="89">
        <f>$C326-SUM(D326:F326)</f>
        <v>0</v>
      </c>
    </row>
    <row r="327" spans="1:7" ht="11.25" customHeight="1" x14ac:dyDescent="0.2">
      <c r="A327" s="288" t="s">
        <v>459</v>
      </c>
      <c r="B327" s="290" t="str">
        <f>VLOOKUP(A327,'Orçamento Sintético'!$A:$H,4,0)</f>
        <v>CONDULETE DE PVC, TIPO LL, PARA ELETRODUTO DE PVC SOLDÁVEL DN 32 MM (1''), APARENTE - FORNECIMENTO E INSTALAÇÃO. AF_11/2016</v>
      </c>
      <c r="C327" s="91">
        <f>ROUND(C328/$G$425,4)</f>
        <v>1E-4</v>
      </c>
      <c r="D327" s="91">
        <v>1</v>
      </c>
      <c r="E327" s="91"/>
      <c r="F327" s="91"/>
      <c r="G327" s="91">
        <f>ROUND(G328/C328,4)</f>
        <v>0</v>
      </c>
    </row>
    <row r="328" spans="1:7" x14ac:dyDescent="0.2">
      <c r="A328" s="289"/>
      <c r="B328" s="291"/>
      <c r="C328" s="89">
        <f>VLOOKUP(A327,'Orçamento Sintético'!$A:$H,8,0)</f>
        <v>81.48</v>
      </c>
      <c r="D328" s="89">
        <f>ROUND($C328*D327,2)</f>
        <v>81.48</v>
      </c>
      <c r="E328" s="89">
        <f t="shared" ref="E328" si="321">ROUND($C328*E327,2)</f>
        <v>0</v>
      </c>
      <c r="F328" s="89">
        <f t="shared" ref="F328" si="322">ROUND($C328*F327,2)</f>
        <v>0</v>
      </c>
      <c r="G328" s="89">
        <f>$C328-SUM(D328:F328)</f>
        <v>0</v>
      </c>
    </row>
    <row r="329" spans="1:7" s="173" customFormat="1" ht="11.25" customHeight="1" x14ac:dyDescent="0.2">
      <c r="A329" s="292" t="s">
        <v>462</v>
      </c>
      <c r="B329" s="294" t="str">
        <f>VLOOKUP(A329,'Orçamento Sintético'!$A:$H,4,0)</f>
        <v>Rede Elétrica Secundária</v>
      </c>
      <c r="C329" s="80">
        <f>ROUND(C330/$G$425,4)</f>
        <v>4.9700000000000001E-2</v>
      </c>
      <c r="D329" s="80">
        <f t="shared" ref="D329:G329" si="323">ROUND(D330/$C330,4)</f>
        <v>0.1169</v>
      </c>
      <c r="E329" s="80">
        <f t="shared" si="323"/>
        <v>0.53410000000000002</v>
      </c>
      <c r="F329" s="80">
        <f t="shared" si="323"/>
        <v>0.34889999999999999</v>
      </c>
      <c r="G329" s="80">
        <f t="shared" si="323"/>
        <v>0</v>
      </c>
    </row>
    <row r="330" spans="1:7" s="173" customFormat="1" x14ac:dyDescent="0.2">
      <c r="A330" s="293"/>
      <c r="B330" s="295"/>
      <c r="C330" s="90">
        <f>VLOOKUP(A329,'Orçamento Sintético'!$A:$H,8,0)</f>
        <v>44572.81</v>
      </c>
      <c r="D330" s="90">
        <f>D332+D334+D336+D338+D340+D342+D344+D346+D348+D350+D352+D354+D356+D358+D360</f>
        <v>5212.3599999999997</v>
      </c>
      <c r="E330" s="90">
        <f>E332+E334+E336+E338+E340+E342+E344+E346+E348+E350+E352+E354+E356+E358+E360</f>
        <v>23808.190000000002</v>
      </c>
      <c r="F330" s="90">
        <f>F332+F334+F336+F338+F340+F342+F344+F346+F348+F350+F352+F354+F356+F358+F360</f>
        <v>15552.279999999999</v>
      </c>
      <c r="G330" s="90">
        <f>C330-SUM(D330:F330)</f>
        <v>-2.0000000004074536E-2</v>
      </c>
    </row>
    <row r="331" spans="1:7" ht="11.25" customHeight="1" x14ac:dyDescent="0.2">
      <c r="A331" s="288" t="s">
        <v>464</v>
      </c>
      <c r="B331" s="290" t="str">
        <f>VLOOKUP(A331,'Orçamento Sintético'!$A:$H,4,0)</f>
        <v>CABO DE COBRE FLEXÍVEL ISOLADO, 2,5 MM², ANTI-CHAMA 450/750 V, PARA CIRCUITOS TERMINAIS - FORNECIMENTO E INSTALAÇÃO. AF_12/2015</v>
      </c>
      <c r="C331" s="91">
        <f>ROUND(C332/$G$425,4)</f>
        <v>4.0000000000000002E-4</v>
      </c>
      <c r="D331" s="91">
        <v>0.5</v>
      </c>
      <c r="E331" s="91">
        <v>0.5</v>
      </c>
      <c r="F331" s="91"/>
      <c r="G331" s="91">
        <f>ROUND(G332/C332,4)</f>
        <v>0</v>
      </c>
    </row>
    <row r="332" spans="1:7" x14ac:dyDescent="0.2">
      <c r="A332" s="289"/>
      <c r="B332" s="291"/>
      <c r="C332" s="89">
        <f>VLOOKUP(A331,'Orçamento Sintético'!$A:$H,8,0)</f>
        <v>334.08</v>
      </c>
      <c r="D332" s="89">
        <f>ROUND($C332*D331,2)</f>
        <v>167.04</v>
      </c>
      <c r="E332" s="89">
        <f t="shared" ref="E332" si="324">ROUND($C332*E331,2)</f>
        <v>167.04</v>
      </c>
      <c r="F332" s="89">
        <f t="shared" ref="F332" si="325">ROUND($C332*F331,2)</f>
        <v>0</v>
      </c>
      <c r="G332" s="89">
        <f>$C332-SUM(D332:F332)</f>
        <v>0</v>
      </c>
    </row>
    <row r="333" spans="1:7" ht="11.25" customHeight="1" x14ac:dyDescent="0.2">
      <c r="A333" s="288" t="s">
        <v>467</v>
      </c>
      <c r="B333" s="290" t="str">
        <f>VLOOKUP(A333,'Orçamento Sintético'!$A:$H,4,0)</f>
        <v>CABO DE COBRE FLEXÍVEL ISOLADO, 6 MM², ANTI-CHAMA 450/750 V, PARA CIRCUITOS TERMINAIS - FORNECIMENTO E INSTALAÇÃO. AF_12/2015</v>
      </c>
      <c r="C333" s="91">
        <f>ROUND(C334/$G$425,4)</f>
        <v>7.3000000000000001E-3</v>
      </c>
      <c r="D333" s="91">
        <v>0.5</v>
      </c>
      <c r="E333" s="91">
        <v>0.5</v>
      </c>
      <c r="F333" s="91"/>
      <c r="G333" s="91">
        <f>ROUND(G334/C334,4)</f>
        <v>0</v>
      </c>
    </row>
    <row r="334" spans="1:7" x14ac:dyDescent="0.2">
      <c r="A334" s="289"/>
      <c r="B334" s="291"/>
      <c r="C334" s="89">
        <f>VLOOKUP(A333,'Orçamento Sintético'!$A:$H,8,0)</f>
        <v>6533.96</v>
      </c>
      <c r="D334" s="89">
        <f>ROUND($C334*D333,2)</f>
        <v>3266.98</v>
      </c>
      <c r="E334" s="89">
        <f t="shared" ref="E334" si="326">ROUND($C334*E333,2)</f>
        <v>3266.98</v>
      </c>
      <c r="F334" s="89">
        <f t="shared" ref="F334" si="327">ROUND($C334*F333,2)</f>
        <v>0</v>
      </c>
      <c r="G334" s="89">
        <f>$C334-SUM(D334:F334)</f>
        <v>0</v>
      </c>
    </row>
    <row r="335" spans="1:7" ht="11.25" customHeight="1" x14ac:dyDescent="0.2">
      <c r="A335" s="288" t="s">
        <v>470</v>
      </c>
      <c r="B335" s="290" t="str">
        <f>VLOOKUP(A335,'Orçamento Sintético'!$A:$H,4,0)</f>
        <v>Copia da SINAPI (95727) - Eletroduto rígido soldável, PVC cor cinza, dn 25mm (3/4”), aparente, instalado em teto – fornecimento e instalação</v>
      </c>
      <c r="C335" s="91">
        <f>ROUND(C336/$G$425,4)</f>
        <v>6.9999999999999999E-4</v>
      </c>
      <c r="D335" s="91">
        <v>1</v>
      </c>
      <c r="E335" s="91"/>
      <c r="F335" s="91"/>
      <c r="G335" s="91">
        <f>ROUND(G336/C336,4)</f>
        <v>0</v>
      </c>
    </row>
    <row r="336" spans="1:7" x14ac:dyDescent="0.2">
      <c r="A336" s="289"/>
      <c r="B336" s="291"/>
      <c r="C336" s="89">
        <f>VLOOKUP(A335,'Orçamento Sintético'!$A:$H,8,0)</f>
        <v>605.34</v>
      </c>
      <c r="D336" s="89">
        <f>ROUND($C336*D335,2)</f>
        <v>605.34</v>
      </c>
      <c r="E336" s="89">
        <f t="shared" ref="E336" si="328">ROUND($C336*E335,2)</f>
        <v>0</v>
      </c>
      <c r="F336" s="89">
        <f t="shared" ref="F336" si="329">ROUND($C336*F335,2)</f>
        <v>0</v>
      </c>
      <c r="G336" s="89">
        <f>$C336-SUM(D336:F336)</f>
        <v>0</v>
      </c>
    </row>
    <row r="337" spans="1:7" x14ac:dyDescent="0.2">
      <c r="A337" s="288" t="s">
        <v>473</v>
      </c>
      <c r="B337" s="290" t="str">
        <f>VLOOKUP(A337,'Orçamento Sintético'!$A:$H,4,0)</f>
        <v>Ponto de tomada simples (PTS) média</v>
      </c>
      <c r="C337" s="91">
        <f>ROUND(C338/$G$425,4)</f>
        <v>1E-3</v>
      </c>
      <c r="D337" s="91">
        <v>0.5</v>
      </c>
      <c r="E337" s="91">
        <v>0.5</v>
      </c>
      <c r="F337" s="91"/>
      <c r="G337" s="91">
        <f>ROUND(G338/C338,4)</f>
        <v>0</v>
      </c>
    </row>
    <row r="338" spans="1:7" x14ac:dyDescent="0.2">
      <c r="A338" s="289"/>
      <c r="B338" s="291"/>
      <c r="C338" s="89">
        <f>VLOOKUP(A337,'Orçamento Sintético'!$A:$H,8,0)</f>
        <v>900.91</v>
      </c>
      <c r="D338" s="89">
        <f>ROUND($C338*D337,2)</f>
        <v>450.46</v>
      </c>
      <c r="E338" s="89">
        <f t="shared" ref="E338" si="330">ROUND($C338*E337,2)</f>
        <v>450.46</v>
      </c>
      <c r="F338" s="89">
        <f t="shared" ref="F338" si="331">ROUND($C338*F337,2)</f>
        <v>0</v>
      </c>
      <c r="G338" s="89">
        <f>$C338-SUM(D338:F338)</f>
        <v>-9.9999999999909051E-3</v>
      </c>
    </row>
    <row r="339" spans="1:7" ht="11.25" customHeight="1" x14ac:dyDescent="0.2">
      <c r="A339" s="288" t="s">
        <v>476</v>
      </c>
      <c r="B339" s="290" t="str">
        <f>VLOOKUP(A339,'Orçamento Sintético'!$A:$H,4,0)</f>
        <v>Copia da SINAPI (95728) - Eletroduto rígido soldável, PVC cor cinza, dn 32mm (1”), aparente, instalado em teto – fornecimento e instalação</v>
      </c>
      <c r="C339" s="91">
        <f>ROUND(C340/$G$425,4)</f>
        <v>5.9999999999999995E-4</v>
      </c>
      <c r="D339" s="91">
        <v>1</v>
      </c>
      <c r="E339" s="91"/>
      <c r="F339" s="91"/>
      <c r="G339" s="91">
        <f>ROUND(G340/C340,4)</f>
        <v>0</v>
      </c>
    </row>
    <row r="340" spans="1:7" x14ac:dyDescent="0.2">
      <c r="A340" s="289"/>
      <c r="B340" s="291"/>
      <c r="C340" s="89">
        <f>VLOOKUP(A339,'Orçamento Sintético'!$A:$H,8,0)</f>
        <v>543.75</v>
      </c>
      <c r="D340" s="89">
        <f>ROUND($C340*D339,2)</f>
        <v>543.75</v>
      </c>
      <c r="E340" s="89">
        <f t="shared" ref="E340" si="332">ROUND($C340*E339,2)</f>
        <v>0</v>
      </c>
      <c r="F340" s="89">
        <f t="shared" ref="F340" si="333">ROUND($C340*F339,2)</f>
        <v>0</v>
      </c>
      <c r="G340" s="89">
        <f>$C340-SUM(D340:F340)</f>
        <v>0</v>
      </c>
    </row>
    <row r="341" spans="1:7" x14ac:dyDescent="0.2">
      <c r="A341" s="288" t="s">
        <v>479</v>
      </c>
      <c r="B341" s="290" t="str">
        <f>VLOOKUP(A341,'Orçamento Sintético'!$A:$H,4,0)</f>
        <v>Ponto de tomada de potência (PTP) alta</v>
      </c>
      <c r="C341" s="91">
        <f>ROUND(C342/$G$425,4)</f>
        <v>2.9999999999999997E-4</v>
      </c>
      <c r="D341" s="91">
        <v>0.5</v>
      </c>
      <c r="E341" s="91">
        <v>0.5</v>
      </c>
      <c r="F341" s="91"/>
      <c r="G341" s="91">
        <f>ROUND(G342/C342,4)</f>
        <v>0</v>
      </c>
    </row>
    <row r="342" spans="1:7" x14ac:dyDescent="0.2">
      <c r="A342" s="289"/>
      <c r="B342" s="291"/>
      <c r="C342" s="89">
        <f>VLOOKUP(A341,'Orçamento Sintético'!$A:$H,8,0)</f>
        <v>301.3</v>
      </c>
      <c r="D342" s="89">
        <f>ROUND($C342*D341,2)</f>
        <v>150.65</v>
      </c>
      <c r="E342" s="89">
        <f t="shared" ref="E342" si="334">ROUND($C342*E341,2)</f>
        <v>150.65</v>
      </c>
      <c r="F342" s="89">
        <f t="shared" ref="F342" si="335">ROUND($C342*F341,2)</f>
        <v>0</v>
      </c>
      <c r="G342" s="89">
        <f>$C342-SUM(D342:F342)</f>
        <v>0</v>
      </c>
    </row>
    <row r="343" spans="1:7" x14ac:dyDescent="0.2">
      <c r="A343" s="288" t="s">
        <v>482</v>
      </c>
      <c r="B343" s="290" t="str">
        <f>VLOOKUP(A343,'Orçamento Sintético'!$A:$H,4,0)</f>
        <v>Ponto de tomada dupla média</v>
      </c>
      <c r="C343" s="91">
        <f>ROUND(C344/$G$425,4)</f>
        <v>1E-4</v>
      </c>
      <c r="D343" s="91">
        <v>0.5</v>
      </c>
      <c r="E343" s="91">
        <v>0.5</v>
      </c>
      <c r="F343" s="91"/>
      <c r="G343" s="91">
        <f>ROUND(G344/C344,4)</f>
        <v>-2.0000000000000001E-4</v>
      </c>
    </row>
    <row r="344" spans="1:7" x14ac:dyDescent="0.2">
      <c r="A344" s="289"/>
      <c r="B344" s="291"/>
      <c r="C344" s="89">
        <f>VLOOKUP(A343,'Orçamento Sintético'!$A:$H,8,0)</f>
        <v>56.27</v>
      </c>
      <c r="D344" s="89">
        <f>ROUND($C344*D343,2)</f>
        <v>28.14</v>
      </c>
      <c r="E344" s="89">
        <f t="shared" ref="E344" si="336">ROUND($C344*E343,2)</f>
        <v>28.14</v>
      </c>
      <c r="F344" s="89">
        <f t="shared" ref="F344" si="337">ROUND($C344*F343,2)</f>
        <v>0</v>
      </c>
      <c r="G344" s="89">
        <f>$C344-SUM(D344:F344)</f>
        <v>-9.9999999999980105E-3</v>
      </c>
    </row>
    <row r="345" spans="1:7" ht="11.25" customHeight="1" x14ac:dyDescent="0.2">
      <c r="A345" s="288" t="s">
        <v>485</v>
      </c>
      <c r="B345" s="290" t="str">
        <f>VLOOKUP(A345,'Orçamento Sintético'!$A:$H,4,0)</f>
        <v>INTERRUPTOR SIMPLES (1 MÓDULO) COM 1 TOMADA DE EMBUTIR 2P+T 10 A,  INCLUINDO SUPORTE E PLACA - FORNECIMENTO E INSTALAÇÃO. AF_12/2015</v>
      </c>
      <c r="C345" s="91">
        <f>ROUND(C346/$G$425,4)</f>
        <v>5.9999999999999995E-4</v>
      </c>
      <c r="D345" s="91"/>
      <c r="E345" s="91">
        <v>1</v>
      </c>
      <c r="F345" s="91"/>
      <c r="G345" s="91">
        <f>ROUND(G346/C346,4)</f>
        <v>0</v>
      </c>
    </row>
    <row r="346" spans="1:7" x14ac:dyDescent="0.2">
      <c r="A346" s="289"/>
      <c r="B346" s="291"/>
      <c r="C346" s="89">
        <f>VLOOKUP(A345,'Orçamento Sintético'!$A:$H,8,0)</f>
        <v>548.66</v>
      </c>
      <c r="D346" s="89">
        <f>ROUND($C346*D345,2)</f>
        <v>0</v>
      </c>
      <c r="E346" s="89">
        <f t="shared" ref="E346" si="338">ROUND($C346*E345,2)</f>
        <v>548.66</v>
      </c>
      <c r="F346" s="89">
        <f t="shared" ref="F346" si="339">ROUND($C346*F345,2)</f>
        <v>0</v>
      </c>
      <c r="G346" s="89">
        <f>$C346-SUM(D346:F346)</f>
        <v>0</v>
      </c>
    </row>
    <row r="347" spans="1:7" ht="11.25" customHeight="1" x14ac:dyDescent="0.2">
      <c r="A347" s="288" t="s">
        <v>488</v>
      </c>
      <c r="B347" s="290" t="str">
        <f>VLOOKUP(A347,'Orçamento Sintético'!$A:$H,4,0)</f>
        <v>INTERRUPTOR SIMPLES (1 MÓDULO), 10A/250V, INCLUINDO SUPORTE E PLACA - FORNECIMENTO E INSTALAÇÃO. AF_12/2015</v>
      </c>
      <c r="C347" s="91">
        <f>ROUND(C348/$G$425,4)</f>
        <v>0</v>
      </c>
      <c r="D347" s="91"/>
      <c r="E347" s="91">
        <v>1</v>
      </c>
      <c r="F347" s="91"/>
      <c r="G347" s="91">
        <f>ROUND(G348/C348,4)</f>
        <v>0</v>
      </c>
    </row>
    <row r="348" spans="1:7" x14ac:dyDescent="0.2">
      <c r="A348" s="289"/>
      <c r="B348" s="291"/>
      <c r="C348" s="89">
        <f>VLOOKUP(A347,'Orçamento Sintético'!$A:$H,8,0)</f>
        <v>22.09</v>
      </c>
      <c r="D348" s="89">
        <f>ROUND($C348*D347,2)</f>
        <v>0</v>
      </c>
      <c r="E348" s="89">
        <f t="shared" ref="E348" si="340">ROUND($C348*E347,2)</f>
        <v>22.09</v>
      </c>
      <c r="F348" s="89">
        <f t="shared" ref="F348" si="341">ROUND($C348*F347,2)</f>
        <v>0</v>
      </c>
      <c r="G348" s="89">
        <f>$C348-SUM(D348:F348)</f>
        <v>0</v>
      </c>
    </row>
    <row r="349" spans="1:7" ht="11.25" customHeight="1" x14ac:dyDescent="0.2">
      <c r="A349" s="288" t="s">
        <v>491</v>
      </c>
      <c r="B349" s="290" t="str">
        <f>VLOOKUP(A349,'Orçamento Sintético'!$A:$H,4,0)</f>
        <v>CAIXA RETANGULAR 4" X 2" MÉDIA (1,30 M DO PISO), PVC, INSTALADA EM PAREDE - FORNECIMENTO E INSTALAÇÃO. AF_12/2015</v>
      </c>
      <c r="C349" s="91">
        <f>ROUND(C350/$G$425,4)</f>
        <v>2.0000000000000001E-4</v>
      </c>
      <c r="D349" s="91"/>
      <c r="E349" s="91">
        <v>1</v>
      </c>
      <c r="F349" s="91"/>
      <c r="G349" s="91">
        <f>ROUND(G350/C350,4)</f>
        <v>0</v>
      </c>
    </row>
    <row r="350" spans="1:7" x14ac:dyDescent="0.2">
      <c r="A350" s="289"/>
      <c r="B350" s="291"/>
      <c r="C350" s="89">
        <f>VLOOKUP(A349,'Orçamento Sintético'!$A:$H,8,0)</f>
        <v>191.85</v>
      </c>
      <c r="D350" s="89">
        <f>ROUND($C350*D349,2)</f>
        <v>0</v>
      </c>
      <c r="E350" s="89">
        <f t="shared" ref="E350" si="342">ROUND($C350*E349,2)</f>
        <v>191.85</v>
      </c>
      <c r="F350" s="89">
        <f t="shared" ref="F350" si="343">ROUND($C350*F349,2)</f>
        <v>0</v>
      </c>
      <c r="G350" s="89">
        <f>$C350-SUM(D350:F350)</f>
        <v>0</v>
      </c>
    </row>
    <row r="351" spans="1:7" ht="11.25" customHeight="1" x14ac:dyDescent="0.2">
      <c r="A351" s="288" t="s">
        <v>494</v>
      </c>
      <c r="B351" s="290" t="str">
        <f>VLOOKUP(A351,'Orçamento Sintético'!$A:$H,4,0)</f>
        <v>Luminária circular de embutir, com difusor translúcido recuado, refletor multifacetado em alumínio anodizado  alto brilho LED EF45-E12000840, cor alumínio - Lumicenter LED Solution</v>
      </c>
      <c r="C351" s="91">
        <f>ROUND(C352/$G$425,4)</f>
        <v>3.0499999999999999E-2</v>
      </c>
      <c r="D351" s="91"/>
      <c r="E351" s="91">
        <v>0.5</v>
      </c>
      <c r="F351" s="91">
        <v>0.5</v>
      </c>
      <c r="G351" s="91">
        <f>ROUND(G352/C352,4)</f>
        <v>0</v>
      </c>
    </row>
    <row r="352" spans="1:7" x14ac:dyDescent="0.2">
      <c r="A352" s="289"/>
      <c r="B352" s="291"/>
      <c r="C352" s="89">
        <f>VLOOKUP(A351,'Orçamento Sintético'!$A:$H,8,0)</f>
        <v>27349.279999999999</v>
      </c>
      <c r="D352" s="89">
        <f>ROUND($C352*D351,2)</f>
        <v>0</v>
      </c>
      <c r="E352" s="89">
        <f t="shared" ref="E352" si="344">ROUND($C352*E351,2)</f>
        <v>13674.64</v>
      </c>
      <c r="F352" s="89">
        <f t="shared" ref="F352" si="345">ROUND($C352*F351,2)</f>
        <v>13674.64</v>
      </c>
      <c r="G352" s="89">
        <f>$C352-SUM(D352:F352)</f>
        <v>0</v>
      </c>
    </row>
    <row r="353" spans="1:7" ht="11.25" customHeight="1" x14ac:dyDescent="0.2">
      <c r="A353" s="288" t="s">
        <v>497</v>
      </c>
      <c r="B353" s="290" t="str">
        <f>VLOOKUP(A353,'Orçamento Sintético'!$A:$H,4,0)</f>
        <v>Cópia da SBC (061790) - Campainha de sinalização de emergência com acionador e sinaleira de porta para PCD - GRA branco.</v>
      </c>
      <c r="C353" s="91">
        <f>ROUND(C354/$G$425,4)</f>
        <v>4.1999999999999997E-3</v>
      </c>
      <c r="D353" s="91"/>
      <c r="E353" s="91">
        <v>0.5</v>
      </c>
      <c r="F353" s="91">
        <v>0.5</v>
      </c>
      <c r="G353" s="91">
        <f>ROUND(G354/C354,4)</f>
        <v>0</v>
      </c>
    </row>
    <row r="354" spans="1:7" x14ac:dyDescent="0.2">
      <c r="A354" s="289"/>
      <c r="B354" s="291"/>
      <c r="C354" s="89">
        <f>VLOOKUP(A353,'Orçamento Sintético'!$A:$H,8,0)</f>
        <v>3755.28</v>
      </c>
      <c r="D354" s="89">
        <f>ROUND($C354*D353,2)</f>
        <v>0</v>
      </c>
      <c r="E354" s="89">
        <f t="shared" ref="E354" si="346">ROUND($C354*E353,2)</f>
        <v>1877.64</v>
      </c>
      <c r="F354" s="89">
        <f t="shared" ref="F354" si="347">ROUND($C354*F353,2)</f>
        <v>1877.64</v>
      </c>
      <c r="G354" s="89">
        <f>$C354-SUM(D354:F354)</f>
        <v>0</v>
      </c>
    </row>
    <row r="355" spans="1:7" ht="11.25" customHeight="1" x14ac:dyDescent="0.2">
      <c r="A355" s="288" t="s">
        <v>500</v>
      </c>
      <c r="B355" s="290" t="str">
        <f>VLOOKUP(A355,'Orçamento Sintético'!$A:$H,4,0)</f>
        <v>CONDULETE DE PVC, TIPO LB, PARA ELETRODUTO DE PVC SOLDÁVEL DN 25 MM (3/4''), APARENTE - FORNECIMENTO E INSTALAÇÃO. AF_11/2016</v>
      </c>
      <c r="C355" s="91">
        <f>ROUND(C356/$G$425,4)</f>
        <v>0</v>
      </c>
      <c r="D355" s="91"/>
      <c r="E355" s="91">
        <v>1</v>
      </c>
      <c r="F355" s="91"/>
      <c r="G355" s="91">
        <f>ROUND(G356/C356,4)</f>
        <v>0</v>
      </c>
    </row>
    <row r="356" spans="1:7" x14ac:dyDescent="0.2">
      <c r="A356" s="289"/>
      <c r="B356" s="291"/>
      <c r="C356" s="89">
        <f>VLOOKUP(A355,'Orçamento Sintético'!$A:$H,8,0)</f>
        <v>40.56</v>
      </c>
      <c r="D356" s="89">
        <f>ROUND($C356*D355,2)</f>
        <v>0</v>
      </c>
      <c r="E356" s="89">
        <f t="shared" ref="E356" si="348">ROUND($C356*E355,2)</f>
        <v>40.56</v>
      </c>
      <c r="F356" s="89">
        <f t="shared" ref="F356" si="349">ROUND($C356*F355,2)</f>
        <v>0</v>
      </c>
      <c r="G356" s="89">
        <f>$C356-SUM(D356:F356)</f>
        <v>0</v>
      </c>
    </row>
    <row r="357" spans="1:7" ht="11.25" customHeight="1" x14ac:dyDescent="0.2">
      <c r="A357" s="288" t="s">
        <v>503</v>
      </c>
      <c r="B357" s="290" t="str">
        <f>VLOOKUP(A357,'Orçamento Sintético'!$A:$H,4,0)</f>
        <v>CONDULETE DE PVC, TIPO LB, PARA ELETRODUTO DE PVC SOLDÁVEL DN 32 MM (1</v>
      </c>
      <c r="C357" s="91">
        <f>ROUND(C358/$G$425,4)</f>
        <v>1E-4</v>
      </c>
      <c r="D357" s="91"/>
      <c r="E357" s="91">
        <v>1</v>
      </c>
      <c r="F357" s="91"/>
      <c r="G357" s="91">
        <f>ROUND(G358/C358,4)</f>
        <v>0</v>
      </c>
    </row>
    <row r="358" spans="1:7" x14ac:dyDescent="0.2">
      <c r="A358" s="289"/>
      <c r="B358" s="291"/>
      <c r="C358" s="89">
        <f>VLOOKUP(A357,'Orçamento Sintético'!$A:$H,8,0)</f>
        <v>63.64</v>
      </c>
      <c r="D358" s="89">
        <f>ROUND($C358*D357,2)</f>
        <v>0</v>
      </c>
      <c r="E358" s="89">
        <f t="shared" ref="E358" si="350">ROUND($C358*E357,2)</f>
        <v>63.64</v>
      </c>
      <c r="F358" s="89">
        <f t="shared" ref="F358" si="351">ROUND($C358*F357,2)</f>
        <v>0</v>
      </c>
      <c r="G358" s="89">
        <f>$C358-SUM(D358:F358)</f>
        <v>0</v>
      </c>
    </row>
    <row r="359" spans="1:7" ht="11.25" customHeight="1" x14ac:dyDescent="0.2">
      <c r="A359" s="288" t="s">
        <v>506</v>
      </c>
      <c r="B359" s="290" t="str">
        <f>VLOOKUP(A359,'Orçamento Sintético'!$A:$H,4,0)</f>
        <v>Cópia da CPOS (37.25.090) - Disjuntor tripolar caixa moldada 63A 50kA/380V Schneider LV429006+LV429032</v>
      </c>
      <c r="C359" s="91">
        <f>ROUND(C360/$G$425,4)</f>
        <v>3.7000000000000002E-3</v>
      </c>
      <c r="D359" s="91"/>
      <c r="E359" s="91">
        <v>1</v>
      </c>
      <c r="F359" s="91"/>
      <c r="G359" s="91">
        <f>ROUND(G360/C360,4)</f>
        <v>0</v>
      </c>
    </row>
    <row r="360" spans="1:7" x14ac:dyDescent="0.2">
      <c r="A360" s="289"/>
      <c r="B360" s="291"/>
      <c r="C360" s="89">
        <f>VLOOKUP(A359,'Orçamento Sintético'!$A:$H,8,0)</f>
        <v>3325.84</v>
      </c>
      <c r="D360" s="89">
        <f>ROUND($C360*D359,2)</f>
        <v>0</v>
      </c>
      <c r="E360" s="89">
        <f t="shared" ref="E360" si="352">ROUND($C360*E359,2)</f>
        <v>3325.84</v>
      </c>
      <c r="F360" s="89">
        <f t="shared" ref="F360" si="353">ROUND($C360*F359,2)</f>
        <v>0</v>
      </c>
      <c r="G360" s="89">
        <f>$C360-SUM(D360:F360)</f>
        <v>0</v>
      </c>
    </row>
    <row r="361" spans="1:7" s="83" customFormat="1" ht="12" customHeight="1" x14ac:dyDescent="0.2">
      <c r="A361" s="280" t="s">
        <v>509</v>
      </c>
      <c r="B361" s="282" t="str">
        <f>VLOOKUP(A361,'Orçamento Sintético'!$A:$H,4,0)</f>
        <v>INSTALAÇÕES MECÂNICAS E DE UTILIDADES</v>
      </c>
      <c r="C361" s="78">
        <f>ROUND(C362/$G$425,4)</f>
        <v>1.2800000000000001E-2</v>
      </c>
      <c r="D361" s="78">
        <f>ROUND(D362/$C362,4)</f>
        <v>0.29470000000000002</v>
      </c>
      <c r="E361" s="78">
        <f t="shared" ref="E361:G361" si="354">ROUND(E362/$C362,4)</f>
        <v>0.4798</v>
      </c>
      <c r="F361" s="78">
        <f t="shared" si="354"/>
        <v>0.22550000000000001</v>
      </c>
      <c r="G361" s="78">
        <f t="shared" si="354"/>
        <v>0</v>
      </c>
    </row>
    <row r="362" spans="1:7" s="83" customFormat="1" x14ac:dyDescent="0.2">
      <c r="A362" s="281"/>
      <c r="B362" s="283"/>
      <c r="C362" s="168">
        <f>VLOOKUP(A361,'Orçamento Sintético'!$A:$H,8,0)</f>
        <v>11508.09</v>
      </c>
      <c r="D362" s="168">
        <f>D364+D384</f>
        <v>3391.4100000000003</v>
      </c>
      <c r="E362" s="168">
        <f t="shared" ref="E362:G362" si="355">E364+E384</f>
        <v>5521.619999999999</v>
      </c>
      <c r="F362" s="168">
        <f t="shared" si="355"/>
        <v>2595.0700000000002</v>
      </c>
      <c r="G362" s="168">
        <f t="shared" si="355"/>
        <v>-9.9999999983992893E-3</v>
      </c>
    </row>
    <row r="363" spans="1:7" s="83" customFormat="1" x14ac:dyDescent="0.2">
      <c r="A363" s="284" t="s">
        <v>511</v>
      </c>
      <c r="B363" s="286" t="str">
        <f>VLOOKUP(A363,'Orçamento Sintético'!$A:$H,4,0)</f>
        <v>Ar Condicionado Central</v>
      </c>
      <c r="C363" s="79">
        <f>ROUND(C364/$G$425,4)</f>
        <v>1.23E-2</v>
      </c>
      <c r="D363" s="79">
        <f>ROUND(D364/$C364,4)</f>
        <v>0.26500000000000001</v>
      </c>
      <c r="E363" s="79">
        <f t="shared" ref="E363:G363" si="356">ROUND(E364/$C364,4)</f>
        <v>0.5</v>
      </c>
      <c r="F363" s="79">
        <f t="shared" si="356"/>
        <v>0.23499999999999999</v>
      </c>
      <c r="G363" s="79">
        <f t="shared" si="356"/>
        <v>0</v>
      </c>
    </row>
    <row r="364" spans="1:7" s="83" customFormat="1" x14ac:dyDescent="0.2">
      <c r="A364" s="285"/>
      <c r="B364" s="287"/>
      <c r="C364" s="169">
        <f>VLOOKUP(A363,'Orçamento Sintético'!$A:$H,8,0)</f>
        <v>11043.23</v>
      </c>
      <c r="D364" s="169">
        <f>D366</f>
        <v>2926.55</v>
      </c>
      <c r="E364" s="169">
        <f t="shared" ref="E364:G364" si="357">E366</f>
        <v>5521.619999999999</v>
      </c>
      <c r="F364" s="169">
        <f t="shared" si="357"/>
        <v>2595.0700000000002</v>
      </c>
      <c r="G364" s="169">
        <f t="shared" si="357"/>
        <v>-9.9999999983992893E-3</v>
      </c>
    </row>
    <row r="365" spans="1:7" s="173" customFormat="1" ht="11.25" customHeight="1" x14ac:dyDescent="0.2">
      <c r="A365" s="292" t="s">
        <v>513</v>
      </c>
      <c r="B365" s="294" t="str">
        <f>VLOOKUP(A365,'Orçamento Sintético'!$A:$H,4,0)</f>
        <v>Redes de Dutos</v>
      </c>
      <c r="C365" s="80">
        <f>ROUND(C366/$G$425,4)</f>
        <v>1.23E-2</v>
      </c>
      <c r="D365" s="80">
        <f t="shared" ref="D365:G365" si="358">ROUND(D366/$C366,4)</f>
        <v>0.26500000000000001</v>
      </c>
      <c r="E365" s="80">
        <f t="shared" si="358"/>
        <v>0.5</v>
      </c>
      <c r="F365" s="80">
        <f t="shared" si="358"/>
        <v>0.23499999999999999</v>
      </c>
      <c r="G365" s="80">
        <f t="shared" si="358"/>
        <v>0</v>
      </c>
    </row>
    <row r="366" spans="1:7" s="173" customFormat="1" x14ac:dyDescent="0.2">
      <c r="A366" s="293"/>
      <c r="B366" s="295"/>
      <c r="C366" s="90">
        <f>VLOOKUP(A365,'Orçamento Sintético'!$A:$H,8,0)</f>
        <v>11043.23</v>
      </c>
      <c r="D366" s="90">
        <f>D368+D370+D372+D374+D376+D378+D380+D382</f>
        <v>2926.55</v>
      </c>
      <c r="E366" s="90">
        <f t="shared" ref="E366:F366" si="359">E368+E370+E372+E374+E376+E378+E380+E382</f>
        <v>5521.619999999999</v>
      </c>
      <c r="F366" s="90">
        <f t="shared" si="359"/>
        <v>2595.0700000000002</v>
      </c>
      <c r="G366" s="90">
        <f>C366-SUM(D366:F366)</f>
        <v>-9.9999999983992893E-3</v>
      </c>
    </row>
    <row r="367" spans="1:7" ht="11.25" customHeight="1" x14ac:dyDescent="0.2">
      <c r="A367" s="288" t="s">
        <v>515</v>
      </c>
      <c r="B367" s="290" t="str">
        <f>VLOOKUP(A367,'Orçamento Sintético'!$A:$H,4,0)</f>
        <v>Cópia da CPOS (61.10.574) - G2 - Grelha de exaustão, dimensões 225x225mm,  aletas fixas e horizontais, fabricada com perfis de alumínio extrudado, anodizado, na cor natural, incluindo registro de lâminas opostas e dupla deflexão. Modelo de referência: TROX AR/AG</v>
      </c>
      <c r="C367" s="91">
        <f>ROUND(C368/$G$425,4)</f>
        <v>6.9999999999999999E-4</v>
      </c>
      <c r="D367" s="91">
        <v>0.5</v>
      </c>
      <c r="E367" s="91">
        <v>0.5</v>
      </c>
      <c r="F367" s="91"/>
      <c r="G367" s="91">
        <f>ROUND(G368/C368,4)</f>
        <v>0</v>
      </c>
    </row>
    <row r="368" spans="1:7" x14ac:dyDescent="0.2">
      <c r="A368" s="289"/>
      <c r="B368" s="291"/>
      <c r="C368" s="89">
        <f>VLOOKUP(A367,'Orçamento Sintético'!$A:$H,8,0)</f>
        <v>632.76</v>
      </c>
      <c r="D368" s="89">
        <f>ROUND($C368*D367,2)</f>
        <v>316.38</v>
      </c>
      <c r="E368" s="89">
        <f t="shared" ref="E368" si="360">ROUND($C368*E367,2)</f>
        <v>316.38</v>
      </c>
      <c r="F368" s="89">
        <f t="shared" ref="F368" si="361">ROUND($C368*F367,2)</f>
        <v>0</v>
      </c>
      <c r="G368" s="89">
        <f>$C368-SUM(D368:F368)</f>
        <v>0</v>
      </c>
    </row>
    <row r="369" spans="1:7" ht="11.25" customHeight="1" x14ac:dyDescent="0.2">
      <c r="A369" s="288" t="s">
        <v>518</v>
      </c>
      <c r="B369" s="290" t="str">
        <f>VLOOKUP(A369,'Orçamento Sintético'!$A:$H,4,0)</f>
        <v>Cópia da SBC (073893) - G3 - Grelha de exaustão de plástico para duto flexível diâmetro 100mm, com lâminas inclinadas. Modelo de referência: Soler&amp;Palau OTAM GR-100 ou similar equivalente.</v>
      </c>
      <c r="C369" s="91">
        <f>ROUND(C370/$G$425,4)</f>
        <v>1E-4</v>
      </c>
      <c r="D369" s="91">
        <v>0.5</v>
      </c>
      <c r="E369" s="91">
        <v>0.5</v>
      </c>
      <c r="F369" s="91"/>
      <c r="G369" s="91">
        <f>ROUND(G370/C370,4)</f>
        <v>0</v>
      </c>
    </row>
    <row r="370" spans="1:7" x14ac:dyDescent="0.2">
      <c r="A370" s="289"/>
      <c r="B370" s="291"/>
      <c r="C370" s="89">
        <f>VLOOKUP(A369,'Orçamento Sintético'!$A:$H,8,0)</f>
        <v>129.4</v>
      </c>
      <c r="D370" s="89">
        <f>ROUND($C370*D369,2)</f>
        <v>64.7</v>
      </c>
      <c r="E370" s="89">
        <f t="shared" ref="E370" si="362">ROUND($C370*E369,2)</f>
        <v>64.7</v>
      </c>
      <c r="F370" s="89">
        <f t="shared" ref="F370" si="363">ROUND($C370*F369,2)</f>
        <v>0</v>
      </c>
      <c r="G370" s="89">
        <f>$C370-SUM(D370:F370)</f>
        <v>0</v>
      </c>
    </row>
    <row r="371" spans="1:7" ht="11.25" customHeight="1" x14ac:dyDescent="0.2">
      <c r="A371" s="288" t="s">
        <v>521</v>
      </c>
      <c r="B371" s="290" t="str">
        <f>VLOOKUP(A371,'Orçamento Sintético'!$A:$H,4,0)</f>
        <v>Dutos de ar condicionado (ar exterior, retorno e exaustão) em espuma rígida de poliuretano com revestimento em alumínio nas superfícies internas e externas, nas dimensões internas indicadas em projeto, painéis com densidade de 42kg/m³, espessura 20mm, construído conforme orientação do fabricante, incluindo visitas pré-fabricadas (portas de inspeção) a cada 7 metros de trecho reto ou após curvas, perfis de união, baioneta, canto de reforço, canto de acabamento, perfis, barras de reforço, colarinhos, cola adesiva, massa de vedação, etc., com utilização das ferramentas bancada, facas especiais, punhos, marcadores de fita, caneta de nylon, aplicador de fita, alicate de bico, esquadro, estilete, martela de borracha, esquadros, vincadeira, compasso, cortador de colarinho, régua, etc. Modelo de referência:  Multivac MPU ou similar equivalente.</v>
      </c>
      <c r="C371" s="91">
        <f>ROUND(C372/$G$425,4)</f>
        <v>1.8E-3</v>
      </c>
      <c r="D371" s="91">
        <v>0.5</v>
      </c>
      <c r="E371" s="91">
        <v>0.5</v>
      </c>
      <c r="F371" s="91"/>
      <c r="G371" s="91">
        <f>ROUND(G372/C372,4)</f>
        <v>0</v>
      </c>
    </row>
    <row r="372" spans="1:7" x14ac:dyDescent="0.2">
      <c r="A372" s="289"/>
      <c r="B372" s="291"/>
      <c r="C372" s="89">
        <f>VLOOKUP(A371,'Orçamento Sintético'!$A:$H,8,0)</f>
        <v>1577.64</v>
      </c>
      <c r="D372" s="89">
        <f>ROUND($C372*D371,2)</f>
        <v>788.82</v>
      </c>
      <c r="E372" s="89">
        <f t="shared" ref="E372" si="364">ROUND($C372*E371,2)</f>
        <v>788.82</v>
      </c>
      <c r="F372" s="89">
        <f t="shared" ref="F372" si="365">ROUND($C372*F371,2)</f>
        <v>0</v>
      </c>
      <c r="G372" s="89">
        <f>$C372-SUM(D372:F372)</f>
        <v>0</v>
      </c>
    </row>
    <row r="373" spans="1:7" ht="11.25" customHeight="1" x14ac:dyDescent="0.2">
      <c r="A373" s="288" t="s">
        <v>524</v>
      </c>
      <c r="B373" s="290" t="str">
        <f>VLOOKUP(A373,'Orçamento Sintético'!$A:$H,4,0)</f>
        <v>Cópia da SBC (070473) - Duto flexível #250 para ventilação ou exaustão, fabricado em alumínio e poliéster com espiral de arame de aço bronzeado, anticorrosivo e indeformável.  Modelo de referência: Multivac Aludec 60 CO2</v>
      </c>
      <c r="C373" s="91">
        <f>ROUND(C374/$G$425,4)</f>
        <v>1.1999999999999999E-3</v>
      </c>
      <c r="D373" s="91">
        <v>0.5</v>
      </c>
      <c r="E373" s="91">
        <v>0.5</v>
      </c>
      <c r="F373" s="91"/>
      <c r="G373" s="91">
        <f>ROUND(G374/C374,4)</f>
        <v>0</v>
      </c>
    </row>
    <row r="374" spans="1:7" x14ac:dyDescent="0.2">
      <c r="A374" s="289"/>
      <c r="B374" s="291"/>
      <c r="C374" s="89">
        <f>VLOOKUP(A373,'Orçamento Sintético'!$A:$H,8,0)</f>
        <v>1116.01</v>
      </c>
      <c r="D374" s="89">
        <f>ROUND($C374*D373,2)</f>
        <v>558.01</v>
      </c>
      <c r="E374" s="89">
        <f t="shared" ref="E374" si="366">ROUND($C374*E373,2)</f>
        <v>558.01</v>
      </c>
      <c r="F374" s="89">
        <f t="shared" ref="F374" si="367">ROUND($C374*F373,2)</f>
        <v>0</v>
      </c>
      <c r="G374" s="89">
        <f>$C374-SUM(D374:F374)</f>
        <v>-9.9999999999909051E-3</v>
      </c>
    </row>
    <row r="375" spans="1:7" ht="11.25" customHeight="1" x14ac:dyDescent="0.2">
      <c r="A375" s="288" t="s">
        <v>527</v>
      </c>
      <c r="B375" s="290" t="str">
        <f>VLOOKUP(A375,'Orçamento Sintético'!$A:$H,4,0)</f>
        <v>Ventilador helicocentrífugo com isolamento fono-absorvente, construído em material plástico, desmontável, motor regulável 60 Hz, 220V, potência 245W, rotação 2775rpm, vazão em descarga livre 1060m³/h, nível de pressão sonora 31 dB(A), diâmetro do duto 250mm, peso 20kg, incluindo comporta anti-retorno, acoplamento para duto retangular, damper regulador de vazão, flanges e juntas de borrachas (admissão e saída) e suporte para instalação no entreforro. Modelo de referência: Soler&amp;Palau OTAM TD-1300/250 Silent + MCA+MAR ou similar equivalente.</v>
      </c>
      <c r="C375" s="91">
        <f>ROUND(C376/$G$425,4)</f>
        <v>5.0000000000000001E-3</v>
      </c>
      <c r="D375" s="91"/>
      <c r="E375" s="91">
        <v>0.5</v>
      </c>
      <c r="F375" s="91">
        <v>0.5</v>
      </c>
      <c r="G375" s="91">
        <f>ROUND(G376/C376,4)</f>
        <v>0</v>
      </c>
    </row>
    <row r="376" spans="1:7" x14ac:dyDescent="0.2">
      <c r="A376" s="289"/>
      <c r="B376" s="291"/>
      <c r="C376" s="89">
        <f>VLOOKUP(A375,'Orçamento Sintético'!$A:$H,8,0)</f>
        <v>4519.34</v>
      </c>
      <c r="D376" s="89">
        <f>ROUND($C376*D375,2)</f>
        <v>0</v>
      </c>
      <c r="E376" s="89">
        <f t="shared" ref="E376" si="368">ROUND($C376*E375,2)</f>
        <v>2259.67</v>
      </c>
      <c r="F376" s="89">
        <f t="shared" ref="F376" si="369">ROUND($C376*F375,2)</f>
        <v>2259.67</v>
      </c>
      <c r="G376" s="89">
        <f>$C376-SUM(D376:F376)</f>
        <v>0</v>
      </c>
    </row>
    <row r="377" spans="1:7" ht="11.25" customHeight="1" x14ac:dyDescent="0.2">
      <c r="A377" s="288" t="s">
        <v>530</v>
      </c>
      <c r="B377" s="290" t="str">
        <f>VLOOKUP(A377,'Orçamento Sintético'!$A:$H,4,0)</f>
        <v>Cópia da SBC (070473) - Duto flexível #100 para ventilação ou exaustão, fabricado em alumínio e poliéster com espiral de arame de aço bronzeado, anticorrosivo e indeformável.  Modelo de referência: Multivac Aludec 60 CO2</v>
      </c>
      <c r="C377" s="91">
        <f>ROUND(C378/$G$425,4)</f>
        <v>2.0000000000000001E-4</v>
      </c>
      <c r="D377" s="91">
        <v>0.5</v>
      </c>
      <c r="E377" s="91">
        <v>0.5</v>
      </c>
      <c r="F377" s="91"/>
      <c r="G377" s="91">
        <f>ROUND(G378/C378,4)</f>
        <v>0</v>
      </c>
    </row>
    <row r="378" spans="1:7" x14ac:dyDescent="0.2">
      <c r="A378" s="289"/>
      <c r="B378" s="291"/>
      <c r="C378" s="89">
        <f>VLOOKUP(A377,'Orçamento Sintético'!$A:$H,8,0)</f>
        <v>141.16</v>
      </c>
      <c r="D378" s="89">
        <f>ROUND($C378*D377,2)</f>
        <v>70.58</v>
      </c>
      <c r="E378" s="89">
        <f t="shared" ref="E378" si="370">ROUND($C378*E377,2)</f>
        <v>70.58</v>
      </c>
      <c r="F378" s="89">
        <f t="shared" ref="F378" si="371">ROUND($C378*F377,2)</f>
        <v>0</v>
      </c>
      <c r="G378" s="89">
        <f>$C378-SUM(D378:F378)</f>
        <v>0</v>
      </c>
    </row>
    <row r="379" spans="1:7" ht="11.25" customHeight="1" x14ac:dyDescent="0.2">
      <c r="A379" s="288" t="s">
        <v>533</v>
      </c>
      <c r="B379" s="290" t="str">
        <f>VLOOKUP(A379,'Orçamento Sintético'!$A:$H,4,0)</f>
        <v>Cópia da CPOS (61.10.574) - G1 - Grelha de exaustão, dimensões 225x125mm,  aletas fixas e horizontais, fabricada com perfis de alumínio extrudado, anodizado, na cor natural, incluindo registro de lâminas opostas e dupla deflexão. Modelo de referência: TROX AR/AG</v>
      </c>
      <c r="C379" s="91">
        <f>ROUND(C380/$G$425,4)</f>
        <v>2.5000000000000001E-3</v>
      </c>
      <c r="D379" s="91">
        <v>0.5</v>
      </c>
      <c r="E379" s="91">
        <v>0.5</v>
      </c>
      <c r="F379" s="91"/>
      <c r="G379" s="91">
        <f>ROUND(G380/C380,4)</f>
        <v>0</v>
      </c>
    </row>
    <row r="380" spans="1:7" x14ac:dyDescent="0.2">
      <c r="A380" s="289"/>
      <c r="B380" s="291"/>
      <c r="C380" s="89">
        <f>VLOOKUP(A379,'Orçamento Sintético'!$A:$H,8,0)</f>
        <v>2256.12</v>
      </c>
      <c r="D380" s="89">
        <f>ROUND($C380*D379,2)</f>
        <v>1128.06</v>
      </c>
      <c r="E380" s="89">
        <f t="shared" ref="E380" si="372">ROUND($C380*E379,2)</f>
        <v>1128.06</v>
      </c>
      <c r="F380" s="89">
        <f t="shared" ref="F380" si="373">ROUND($C380*F379,2)</f>
        <v>0</v>
      </c>
      <c r="G380" s="89">
        <f>$C380-SUM(D380:F380)</f>
        <v>0</v>
      </c>
    </row>
    <row r="381" spans="1:7" ht="11.25" customHeight="1" x14ac:dyDescent="0.2">
      <c r="A381" s="288" t="s">
        <v>536</v>
      </c>
      <c r="B381" s="290" t="str">
        <f>VLOOKUP(A381,'Orçamento Sintético'!$A:$H,4,0)</f>
        <v>Ventilador helicocentrífugo com isolamento fono-absorvente, construído em material plástico, desmontável, motor regulável 60 Hz, 220V, potência 43W, rotação 2570rpm, vazão em descarga livre 395m³/h, nível de pressão sonora 23 dB(A), diâmetro do duto 125mm, peso 5kg, incluindo comporta anti-retorno, acoplamento para duto retangular, damper regulador de vazão, flanges e juntas de borrachas (admissão e saída) e suporte para instalação no entreforro. Modelo de referência: Soler&amp;Palau OTAM TD-350/125 Silent + MCA+MAR ou similar equivalente.</v>
      </c>
      <c r="C381" s="91">
        <f>ROUND(C382/$G$425,4)</f>
        <v>6.9999999999999999E-4</v>
      </c>
      <c r="D381" s="91"/>
      <c r="E381" s="91">
        <v>0.5</v>
      </c>
      <c r="F381" s="91">
        <v>0.5</v>
      </c>
      <c r="G381" s="91">
        <f>ROUND(G382/C382,4)</f>
        <v>0</v>
      </c>
    </row>
    <row r="382" spans="1:7" x14ac:dyDescent="0.2">
      <c r="A382" s="289"/>
      <c r="B382" s="291"/>
      <c r="C382" s="89">
        <f>VLOOKUP(A381,'Orçamento Sintético'!$A:$H,8,0)</f>
        <v>670.8</v>
      </c>
      <c r="D382" s="89">
        <f>ROUND($C382*D381,2)</f>
        <v>0</v>
      </c>
      <c r="E382" s="89">
        <f t="shared" ref="E382" si="374">ROUND($C382*E381,2)</f>
        <v>335.4</v>
      </c>
      <c r="F382" s="89">
        <f t="shared" ref="F382" si="375">ROUND($C382*F381,2)</f>
        <v>335.4</v>
      </c>
      <c r="G382" s="89">
        <f>$C382-SUM(D382:F382)</f>
        <v>0</v>
      </c>
    </row>
    <row r="383" spans="1:7" s="83" customFormat="1" x14ac:dyDescent="0.2">
      <c r="A383" s="284" t="s">
        <v>539</v>
      </c>
      <c r="B383" s="286" t="str">
        <f>VLOOKUP(A383,'Orçamento Sintético'!$A:$H,4,0)</f>
        <v>Ventilação Mecânica</v>
      </c>
      <c r="C383" s="79">
        <f>ROUND(C384/$G$425,4)</f>
        <v>5.0000000000000001E-4</v>
      </c>
      <c r="D383" s="79">
        <f>ROUND(D384/$C384,4)</f>
        <v>1</v>
      </c>
      <c r="E383" s="79">
        <f t="shared" ref="E383:G383" si="376">ROUND(E384/$C384,4)</f>
        <v>0</v>
      </c>
      <c r="F383" s="79">
        <f t="shared" si="376"/>
        <v>0</v>
      </c>
      <c r="G383" s="79">
        <f t="shared" si="376"/>
        <v>0</v>
      </c>
    </row>
    <row r="384" spans="1:7" s="83" customFormat="1" x14ac:dyDescent="0.2">
      <c r="A384" s="285"/>
      <c r="B384" s="287"/>
      <c r="C384" s="169">
        <f>VLOOKUP(A383,'Orçamento Sintético'!$A:$H,8,0)</f>
        <v>464.86</v>
      </c>
      <c r="D384" s="169">
        <f>D386</f>
        <v>464.86</v>
      </c>
      <c r="E384" s="169">
        <f t="shared" ref="E384:G384" si="377">E386</f>
        <v>0</v>
      </c>
      <c r="F384" s="169">
        <f t="shared" si="377"/>
        <v>0</v>
      </c>
      <c r="G384" s="169">
        <f t="shared" si="377"/>
        <v>0</v>
      </c>
    </row>
    <row r="385" spans="1:7" s="173" customFormat="1" ht="11.25" customHeight="1" x14ac:dyDescent="0.2">
      <c r="A385" s="292" t="s">
        <v>541</v>
      </c>
      <c r="B385" s="294" t="str">
        <f>VLOOKUP(A385,'Orçamento Sintético'!$A:$H,4,0)</f>
        <v>Serviços Diversos</v>
      </c>
      <c r="C385" s="80">
        <f>ROUND(C386/$G$425,4)</f>
        <v>5.0000000000000001E-4</v>
      </c>
      <c r="D385" s="80">
        <f t="shared" ref="D385:G385" si="378">ROUND(D386/$C386,4)</f>
        <v>1</v>
      </c>
      <c r="E385" s="80">
        <f t="shared" si="378"/>
        <v>0</v>
      </c>
      <c r="F385" s="80">
        <f t="shared" si="378"/>
        <v>0</v>
      </c>
      <c r="G385" s="80">
        <f t="shared" si="378"/>
        <v>0</v>
      </c>
    </row>
    <row r="386" spans="1:7" s="173" customFormat="1" x14ac:dyDescent="0.2">
      <c r="A386" s="293"/>
      <c r="B386" s="295"/>
      <c r="C386" s="90">
        <f>VLOOKUP(A385,'Orçamento Sintético'!$A:$H,8,0)</f>
        <v>464.86</v>
      </c>
      <c r="D386" s="90">
        <f>D388+D390</f>
        <v>464.86</v>
      </c>
      <c r="E386" s="90">
        <f t="shared" ref="E386:F386" si="379">E388+E390</f>
        <v>0</v>
      </c>
      <c r="F386" s="90">
        <f t="shared" si="379"/>
        <v>0</v>
      </c>
      <c r="G386" s="90">
        <f>C386-SUM(D386:F386)</f>
        <v>0</v>
      </c>
    </row>
    <row r="387" spans="1:7" x14ac:dyDescent="0.2">
      <c r="A387" s="288" t="s">
        <v>543</v>
      </c>
      <c r="B387" s="290" t="str">
        <f>VLOOKUP(A387,'Orçamento Sintético'!$A:$H,4,0)</f>
        <v>Copia da ORSE (8857) - Remoção de Difusor de Ar-Condicionado</v>
      </c>
      <c r="C387" s="91">
        <f>ROUND(C388/$G$425,4)</f>
        <v>1E-4</v>
      </c>
      <c r="D387" s="91">
        <v>1</v>
      </c>
      <c r="E387" s="91"/>
      <c r="F387" s="91"/>
      <c r="G387" s="91">
        <f>ROUND(G388/C388,4)</f>
        <v>0</v>
      </c>
    </row>
    <row r="388" spans="1:7" x14ac:dyDescent="0.2">
      <c r="A388" s="289"/>
      <c r="B388" s="291"/>
      <c r="C388" s="89">
        <f>VLOOKUP(A387,'Orçamento Sintético'!$A:$H,8,0)</f>
        <v>49.72</v>
      </c>
      <c r="D388" s="89">
        <f>ROUND($C388*D387,2)</f>
        <v>49.72</v>
      </c>
      <c r="E388" s="89">
        <f t="shared" ref="E388" si="380">ROUND($C388*E387,2)</f>
        <v>0</v>
      </c>
      <c r="F388" s="89">
        <f t="shared" ref="F388" si="381">ROUND($C388*F387,2)</f>
        <v>0</v>
      </c>
      <c r="G388" s="89">
        <f>$C388-SUM(D388:F388)</f>
        <v>0</v>
      </c>
    </row>
    <row r="389" spans="1:7" x14ac:dyDescent="0.2">
      <c r="A389" s="288" t="s">
        <v>546</v>
      </c>
      <c r="B389" s="290" t="str">
        <f>VLOOKUP(A389,'Orçamento Sintético'!$A:$H,4,0)</f>
        <v>Copia da SIURB (176093) - RETIRADA DE DUTO DE EXAUSTÃO</v>
      </c>
      <c r="C389" s="91">
        <f>ROUND(C390/$G$425,4)</f>
        <v>5.0000000000000001E-4</v>
      </c>
      <c r="D389" s="91">
        <v>1</v>
      </c>
      <c r="E389" s="91"/>
      <c r="F389" s="91"/>
      <c r="G389" s="91">
        <f>ROUND(G390/C390,4)</f>
        <v>0</v>
      </c>
    </row>
    <row r="390" spans="1:7" x14ac:dyDescent="0.2">
      <c r="A390" s="289"/>
      <c r="B390" s="291"/>
      <c r="C390" s="89">
        <f>VLOOKUP(A389,'Orçamento Sintético'!$A:$H,8,0)</f>
        <v>415.14</v>
      </c>
      <c r="D390" s="89">
        <f>ROUND($C390*D389,2)</f>
        <v>415.14</v>
      </c>
      <c r="E390" s="89">
        <f t="shared" ref="E390" si="382">ROUND($C390*E389,2)</f>
        <v>0</v>
      </c>
      <c r="F390" s="89">
        <f t="shared" ref="F390" si="383">ROUND($C390*F389,2)</f>
        <v>0</v>
      </c>
      <c r="G390" s="89">
        <f>$C390-SUM(D390:F390)</f>
        <v>0</v>
      </c>
    </row>
    <row r="391" spans="1:7" s="83" customFormat="1" ht="12" customHeight="1" x14ac:dyDescent="0.2">
      <c r="A391" s="280" t="s">
        <v>549</v>
      </c>
      <c r="B391" s="282" t="str">
        <f>VLOOKUP(A391,'Orçamento Sintético'!$A:$H,4,0)</f>
        <v>INSTALAÇÕES DE PREVENÇÃO E COMBATE A INCÊNDIO</v>
      </c>
      <c r="C391" s="78">
        <f>ROUND(C392/$G$425,4)</f>
        <v>1E-4</v>
      </c>
      <c r="D391" s="78">
        <f>ROUND(D392/$C392,4)</f>
        <v>0</v>
      </c>
      <c r="E391" s="78">
        <f t="shared" ref="E391:G391" si="384">ROUND(E392/$C392,4)</f>
        <v>0</v>
      </c>
      <c r="F391" s="78">
        <f t="shared" si="384"/>
        <v>0</v>
      </c>
      <c r="G391" s="78">
        <f t="shared" si="384"/>
        <v>1</v>
      </c>
    </row>
    <row r="392" spans="1:7" s="83" customFormat="1" x14ac:dyDescent="0.2">
      <c r="A392" s="281"/>
      <c r="B392" s="283"/>
      <c r="C392" s="168">
        <f>VLOOKUP(A391,'Orçamento Sintético'!$A:$H,8,0)</f>
        <v>128.58000000000001</v>
      </c>
      <c r="D392" s="168">
        <f>D394+D451</f>
        <v>0</v>
      </c>
      <c r="E392" s="168">
        <f>E394+E451</f>
        <v>0</v>
      </c>
      <c r="F392" s="168">
        <f>F394+F451</f>
        <v>0</v>
      </c>
      <c r="G392" s="168">
        <f>G394+G451</f>
        <v>128.58000000000001</v>
      </c>
    </row>
    <row r="393" spans="1:7" s="83" customFormat="1" x14ac:dyDescent="0.2">
      <c r="A393" s="284" t="s">
        <v>551</v>
      </c>
      <c r="B393" s="286" t="str">
        <f>VLOOKUP(A393,'Orçamento Sintético'!$A:$H,4,0)</f>
        <v>PREVENÇÃO E COMBATE A INCÊNDIO</v>
      </c>
      <c r="C393" s="79">
        <f>ROUND(C394/$G$425,4)</f>
        <v>1E-4</v>
      </c>
      <c r="D393" s="79">
        <f>ROUND(D394/$C394,4)</f>
        <v>0</v>
      </c>
      <c r="E393" s="79">
        <f t="shared" ref="E393:G393" si="385">ROUND(E394/$C394,4)</f>
        <v>0</v>
      </c>
      <c r="F393" s="79">
        <f t="shared" si="385"/>
        <v>0</v>
      </c>
      <c r="G393" s="79">
        <f t="shared" si="385"/>
        <v>1</v>
      </c>
    </row>
    <row r="394" spans="1:7" s="83" customFormat="1" x14ac:dyDescent="0.2">
      <c r="A394" s="285"/>
      <c r="B394" s="287"/>
      <c r="C394" s="169">
        <f>VLOOKUP(A393,'Orçamento Sintético'!$A:$H,8,0)</f>
        <v>128.58000000000001</v>
      </c>
      <c r="D394" s="169">
        <f>D396</f>
        <v>0</v>
      </c>
      <c r="E394" s="169">
        <f t="shared" ref="E394:G394" si="386">E396</f>
        <v>0</v>
      </c>
      <c r="F394" s="169">
        <f t="shared" si="386"/>
        <v>0</v>
      </c>
      <c r="G394" s="169">
        <f t="shared" si="386"/>
        <v>128.58000000000001</v>
      </c>
    </row>
    <row r="395" spans="1:7" s="173" customFormat="1" ht="11.25" customHeight="1" x14ac:dyDescent="0.2">
      <c r="A395" s="292" t="s">
        <v>553</v>
      </c>
      <c r="B395" s="294" t="str">
        <f>VLOOKUP(A395,'Orçamento Sintético'!$A:$H,4,0)</f>
        <v>Sinalização de rota e fuga</v>
      </c>
      <c r="C395" s="80">
        <f>ROUND(C396/$G$425,4)</f>
        <v>1E-4</v>
      </c>
      <c r="D395" s="80">
        <f t="shared" ref="D395:G395" si="387">ROUND(D396/$C396,4)</f>
        <v>0</v>
      </c>
      <c r="E395" s="80">
        <f t="shared" si="387"/>
        <v>0</v>
      </c>
      <c r="F395" s="80">
        <f t="shared" si="387"/>
        <v>0</v>
      </c>
      <c r="G395" s="80">
        <f t="shared" si="387"/>
        <v>1</v>
      </c>
    </row>
    <row r="396" spans="1:7" s="173" customFormat="1" x14ac:dyDescent="0.2">
      <c r="A396" s="293"/>
      <c r="B396" s="295"/>
      <c r="C396" s="90">
        <f>VLOOKUP(A395,'Orçamento Sintético'!$A:$H,8,0)</f>
        <v>128.58000000000001</v>
      </c>
      <c r="D396" s="90">
        <f>D398</f>
        <v>0</v>
      </c>
      <c r="E396" s="90">
        <f t="shared" ref="E396:F396" si="388">E398</f>
        <v>0</v>
      </c>
      <c r="F396" s="90">
        <f t="shared" si="388"/>
        <v>0</v>
      </c>
      <c r="G396" s="90">
        <f>C396-SUM(D396:F396)</f>
        <v>128.58000000000001</v>
      </c>
    </row>
    <row r="397" spans="1:7" ht="11.25" customHeight="1" x14ac:dyDescent="0.2">
      <c r="A397" s="288" t="s">
        <v>555</v>
      </c>
      <c r="B397" s="290" t="str">
        <f>VLOOKUP(A397,'Orçamento Sintético'!$A:$H,4,0)</f>
        <v>19a - Placa de Identificação de Pavimento (PIP), 150x150mm, fixada nas superfícies por meio de fita dupla-face, fundo em chapa de acrílico opaca, espessura 3mm, acabamento pintura esmalte automotivo sobre  primer surfacer, referência cromática Verde C60, M0, Y40, K30, símbolo em vinil fotoluminescente, texto em Braile em alto relevo 1mm de PVC conforme NBR 9050.</v>
      </c>
      <c r="C397" s="91">
        <f>ROUND(C398/$G$425,4)</f>
        <v>1E-4</v>
      </c>
      <c r="D397" s="91"/>
      <c r="E397" s="91"/>
      <c r="F397" s="91"/>
      <c r="G397" s="91">
        <f>ROUND(G398/C398,4)</f>
        <v>1</v>
      </c>
    </row>
    <row r="398" spans="1:7" ht="34.5" customHeight="1" x14ac:dyDescent="0.2">
      <c r="A398" s="289"/>
      <c r="B398" s="291"/>
      <c r="C398" s="89">
        <f>VLOOKUP(A397,'Orçamento Sintético'!$A:$H,8,0)</f>
        <v>128.58000000000001</v>
      </c>
      <c r="D398" s="89">
        <f>ROUND($C398*D397,2)</f>
        <v>0</v>
      </c>
      <c r="E398" s="89">
        <f t="shared" ref="E398" si="389">ROUND($C398*E397,2)</f>
        <v>0</v>
      </c>
      <c r="F398" s="89">
        <f t="shared" ref="F398" si="390">ROUND($C398*F397,2)</f>
        <v>0</v>
      </c>
      <c r="G398" s="89">
        <f>$C398-SUM(D398:F398)</f>
        <v>128.58000000000001</v>
      </c>
    </row>
    <row r="399" spans="1:7" s="83" customFormat="1" ht="12" customHeight="1" x14ac:dyDescent="0.2">
      <c r="A399" s="280" t="s">
        <v>558</v>
      </c>
      <c r="B399" s="282" t="str">
        <f>VLOOKUP(A399,'Orçamento Sintético'!$A:$H,4,0)</f>
        <v>SERVIÇOS COMPLEMENTARES</v>
      </c>
      <c r="C399" s="78">
        <f>ROUND(C400/$G$425,4)</f>
        <v>1.46E-2</v>
      </c>
      <c r="D399" s="78">
        <f>ROUND(D400/$C400,4)</f>
        <v>0.1988</v>
      </c>
      <c r="E399" s="78">
        <f t="shared" ref="E399:G399" si="391">ROUND(E400/$C400,4)</f>
        <v>0.1988</v>
      </c>
      <c r="F399" s="78">
        <f t="shared" si="391"/>
        <v>0.1411</v>
      </c>
      <c r="G399" s="78">
        <f t="shared" si="391"/>
        <v>0.4612</v>
      </c>
    </row>
    <row r="400" spans="1:7" s="83" customFormat="1" x14ac:dyDescent="0.2">
      <c r="A400" s="281"/>
      <c r="B400" s="283"/>
      <c r="C400" s="168">
        <f>VLOOKUP(A399,'Orçamento Sintético'!$A:$H,8,0)</f>
        <v>13095.22</v>
      </c>
      <c r="D400" s="168">
        <f>D402+D459</f>
        <v>2603.83</v>
      </c>
      <c r="E400" s="168">
        <f>E402+E459</f>
        <v>2603.83</v>
      </c>
      <c r="F400" s="168">
        <f>F402+F459</f>
        <v>1847.4299999999998</v>
      </c>
      <c r="G400" s="168">
        <f>G402+G459</f>
        <v>6040.13</v>
      </c>
    </row>
    <row r="401" spans="1:7" s="83" customFormat="1" x14ac:dyDescent="0.2">
      <c r="A401" s="284" t="s">
        <v>560</v>
      </c>
      <c r="B401" s="286" t="str">
        <f>VLOOKUP(A401,'Orçamento Sintético'!$A:$H,4,0)</f>
        <v>Limpeza de obra</v>
      </c>
      <c r="C401" s="79">
        <f>ROUND(C402/$G$425,4)</f>
        <v>1.46E-2</v>
      </c>
      <c r="D401" s="79">
        <f>ROUND(D402/$C402,4)</f>
        <v>0.1988</v>
      </c>
      <c r="E401" s="79">
        <f t="shared" ref="E401:G401" si="392">ROUND(E402/$C402,4)</f>
        <v>0.1988</v>
      </c>
      <c r="F401" s="79">
        <f t="shared" si="392"/>
        <v>0.1411</v>
      </c>
      <c r="G401" s="79">
        <f t="shared" si="392"/>
        <v>0.4612</v>
      </c>
    </row>
    <row r="402" spans="1:7" s="83" customFormat="1" x14ac:dyDescent="0.2">
      <c r="A402" s="285"/>
      <c r="B402" s="287"/>
      <c r="C402" s="169">
        <f>VLOOKUP(A401,'Orçamento Sintético'!$A:$H,8,0)</f>
        <v>13095.22</v>
      </c>
      <c r="D402" s="169">
        <f>D404+D406+D408+D410</f>
        <v>2603.83</v>
      </c>
      <c r="E402" s="169">
        <f t="shared" ref="E402:F402" si="393">E404+E406+E408+E410</f>
        <v>2603.83</v>
      </c>
      <c r="F402" s="169">
        <f t="shared" si="393"/>
        <v>1847.4299999999998</v>
      </c>
      <c r="G402" s="169">
        <f t="shared" ref="G402" si="394">G404+G406+G408+G410</f>
        <v>6040.13</v>
      </c>
    </row>
    <row r="403" spans="1:7" ht="11.25" customHeight="1" x14ac:dyDescent="0.2">
      <c r="A403" s="288" t="s">
        <v>562</v>
      </c>
      <c r="B403" s="290" t="str">
        <f>VLOOKUP(A403,'Orçamento Sintético'!$A:$H,4,0)</f>
        <v>LIMPEZA DE CONTRAPISO COM VASSOURA A SECO. AF_04/2019</v>
      </c>
      <c r="C403" s="91">
        <f>ROUND(C404/$G$425,4)</f>
        <v>1.5E-3</v>
      </c>
      <c r="D403" s="91">
        <v>0.25</v>
      </c>
      <c r="E403" s="91">
        <v>0.25</v>
      </c>
      <c r="F403" s="91">
        <v>0.25</v>
      </c>
      <c r="G403" s="91">
        <f>ROUND(G404/C404,4)</f>
        <v>0.25</v>
      </c>
    </row>
    <row r="404" spans="1:7" x14ac:dyDescent="0.2">
      <c r="A404" s="289"/>
      <c r="B404" s="291"/>
      <c r="C404" s="89">
        <f>VLOOKUP(A403,'Orçamento Sintético'!$A:$H,8,0)</f>
        <v>1338.59</v>
      </c>
      <c r="D404" s="89">
        <f>ROUND($C404*D403,2)</f>
        <v>334.65</v>
      </c>
      <c r="E404" s="89">
        <f t="shared" ref="E404" si="395">ROUND($C404*E403,2)</f>
        <v>334.65</v>
      </c>
      <c r="F404" s="89">
        <f t="shared" ref="F404" si="396">ROUND($C404*F403,2)</f>
        <v>334.65</v>
      </c>
      <c r="G404" s="89">
        <f>$C404-SUM(D404:F404)</f>
        <v>334.64</v>
      </c>
    </row>
    <row r="405" spans="1:7" ht="11.25" customHeight="1" x14ac:dyDescent="0.2">
      <c r="A405" s="288" t="s">
        <v>564</v>
      </c>
      <c r="B405" s="290" t="str">
        <f>VLOOKUP(A405,'Orçamento Sintético'!$A:$H,4,0)</f>
        <v>LIMPEZA DE REVESTIMENTO CERÂMICO EM PAREDE COM PANO ÚMIDO AF_04/2019</v>
      </c>
      <c r="C405" s="91">
        <f>ROUND(C406/$G$425,4)</f>
        <v>1E-4</v>
      </c>
      <c r="D405" s="91"/>
      <c r="E405" s="91"/>
      <c r="F405" s="91"/>
      <c r="G405" s="91">
        <f>ROUND(G406/C406,4)</f>
        <v>1</v>
      </c>
    </row>
    <row r="406" spans="1:7" x14ac:dyDescent="0.2">
      <c r="A406" s="289"/>
      <c r="B406" s="291"/>
      <c r="C406" s="89">
        <f>VLOOKUP(A405,'Orçamento Sintético'!$A:$H,8,0)</f>
        <v>91.8</v>
      </c>
      <c r="D406" s="89">
        <f>ROUND($C406*D405,2)</f>
        <v>0</v>
      </c>
      <c r="E406" s="89">
        <f t="shared" ref="E406" si="397">ROUND($C406*E405,2)</f>
        <v>0</v>
      </c>
      <c r="F406" s="89">
        <f t="shared" ref="F406" si="398">ROUND($C406*F405,2)</f>
        <v>0</v>
      </c>
      <c r="G406" s="89">
        <f>$C406-SUM(D406:F406)</f>
        <v>91.8</v>
      </c>
    </row>
    <row r="407" spans="1:7" ht="11.25" customHeight="1" x14ac:dyDescent="0.2">
      <c r="A407" s="288" t="s">
        <v>567</v>
      </c>
      <c r="B407" s="290" t="str">
        <f>VLOOKUP(A407,'Orçamento Sintético'!$A:$H,4,0)</f>
        <v>LIMPEZA DE PISO CERÂMICO OU COM PEDRAS RÚSTICAS UTILIZANDO ÁCIDO MURIÁTICO. AF_04/2019</v>
      </c>
      <c r="C407" s="91">
        <f>ROUND(C408/$G$425,4)</f>
        <v>4.5999999999999999E-3</v>
      </c>
      <c r="D407" s="91"/>
      <c r="E407" s="91"/>
      <c r="F407" s="91"/>
      <c r="G407" s="91">
        <f>ROUND(G408/C408,4)</f>
        <v>1</v>
      </c>
    </row>
    <row r="408" spans="1:7" x14ac:dyDescent="0.2">
      <c r="A408" s="289"/>
      <c r="B408" s="291"/>
      <c r="C408" s="89">
        <f>VLOOKUP(A407,'Orçamento Sintético'!$A:$H,8,0)</f>
        <v>4100.91</v>
      </c>
      <c r="D408" s="89">
        <f>ROUND($C408*D407,2)</f>
        <v>0</v>
      </c>
      <c r="E408" s="89">
        <f t="shared" ref="E408" si="399">ROUND($C408*E407,2)</f>
        <v>0</v>
      </c>
      <c r="F408" s="89">
        <f t="shared" ref="F408" si="400">ROUND($C408*F407,2)</f>
        <v>0</v>
      </c>
      <c r="G408" s="89">
        <f>$C408-SUM(D408:F408)</f>
        <v>4100.91</v>
      </c>
    </row>
    <row r="409" spans="1:7" x14ac:dyDescent="0.2">
      <c r="A409" s="288" t="s">
        <v>570</v>
      </c>
      <c r="B409" s="290" t="str">
        <f>VLOOKUP(A409,'Orçamento Sintético'!$A:$H,4,0)</f>
        <v>Transporte de material – bota-fora, D.M.T = 80,0 km</v>
      </c>
      <c r="C409" s="91">
        <f>ROUND(C410/$G$425,4)</f>
        <v>8.3999999999999995E-3</v>
      </c>
      <c r="D409" s="91">
        <v>0.3</v>
      </c>
      <c r="E409" s="91">
        <v>0.3</v>
      </c>
      <c r="F409" s="91">
        <v>0.2</v>
      </c>
      <c r="G409" s="91">
        <f>ROUND(G410/C410,4)</f>
        <v>0.2</v>
      </c>
    </row>
    <row r="410" spans="1:7" x14ac:dyDescent="0.2">
      <c r="A410" s="289"/>
      <c r="B410" s="291"/>
      <c r="C410" s="89">
        <f>VLOOKUP(A409,'Orçamento Sintético'!$A:$H,8,0)</f>
        <v>7563.92</v>
      </c>
      <c r="D410" s="89">
        <f>ROUND($C410*D409,2)</f>
        <v>2269.1799999999998</v>
      </c>
      <c r="E410" s="89">
        <f t="shared" ref="E410" si="401">ROUND($C410*E409,2)</f>
        <v>2269.1799999999998</v>
      </c>
      <c r="F410" s="89">
        <f t="shared" ref="F410" si="402">ROUND($C410*F409,2)</f>
        <v>1512.78</v>
      </c>
      <c r="G410" s="89">
        <f>$C410-SUM(D410:F410)</f>
        <v>1512.7800000000007</v>
      </c>
    </row>
    <row r="411" spans="1:7" s="83" customFormat="1" ht="12" customHeight="1" x14ac:dyDescent="0.2">
      <c r="A411" s="280" t="s">
        <v>573</v>
      </c>
      <c r="B411" s="282" t="str">
        <f>VLOOKUP(A411,'Orçamento Sintético'!$A:$H,4,0)</f>
        <v>SERVIÇOS AUXILIARES E ADMINISTRATIVOS</v>
      </c>
      <c r="C411" s="78">
        <f>ROUND(C412/$G$425,4)</f>
        <v>2.5499999999999998E-2</v>
      </c>
      <c r="D411" s="78">
        <f>ROUND(D412/$C412,4)</f>
        <v>0.18</v>
      </c>
      <c r="E411" s="78">
        <f t="shared" ref="E411:G411" si="403">ROUND(E412/$C412,4)</f>
        <v>0.21</v>
      </c>
      <c r="F411" s="78">
        <f t="shared" si="403"/>
        <v>0.33</v>
      </c>
      <c r="G411" s="78">
        <f t="shared" si="403"/>
        <v>0.28000000000000003</v>
      </c>
    </row>
    <row r="412" spans="1:7" s="83" customFormat="1" x14ac:dyDescent="0.2">
      <c r="A412" s="281"/>
      <c r="B412" s="283"/>
      <c r="C412" s="168">
        <f>VLOOKUP(A411,'Orçamento Sintético'!$A:$H,8,0)</f>
        <v>22903.739999999998</v>
      </c>
      <c r="D412" s="168">
        <f>D414+D471</f>
        <v>4122.67</v>
      </c>
      <c r="E412" s="168">
        <f>E414+E471</f>
        <v>4809.79</v>
      </c>
      <c r="F412" s="168">
        <f>F414+F471</f>
        <v>7558.24</v>
      </c>
      <c r="G412" s="168">
        <f>G414+G471</f>
        <v>6413.04</v>
      </c>
    </row>
    <row r="413" spans="1:7" s="83" customFormat="1" x14ac:dyDescent="0.2">
      <c r="A413" s="284" t="s">
        <v>575</v>
      </c>
      <c r="B413" s="286" t="str">
        <f>VLOOKUP(A413,'Orçamento Sintético'!$A:$H,4,0)</f>
        <v>Pessoal</v>
      </c>
      <c r="C413" s="79">
        <f>ROUND(C414/$G$425,4)</f>
        <v>2.5499999999999998E-2</v>
      </c>
      <c r="D413" s="79">
        <f>ROUND(D414/$C414,4)</f>
        <v>0.18</v>
      </c>
      <c r="E413" s="79">
        <f t="shared" ref="E413:G413" si="404">ROUND(E414/$C414,4)</f>
        <v>0.21</v>
      </c>
      <c r="F413" s="79">
        <f t="shared" si="404"/>
        <v>0.33</v>
      </c>
      <c r="G413" s="79">
        <f t="shared" si="404"/>
        <v>0.28000000000000003</v>
      </c>
    </row>
    <row r="414" spans="1:7" s="83" customFormat="1" x14ac:dyDescent="0.2">
      <c r="A414" s="285"/>
      <c r="B414" s="287"/>
      <c r="C414" s="169">
        <f>VLOOKUP(A413,'Orçamento Sintético'!$A:$H,8,0)</f>
        <v>22903.739999999998</v>
      </c>
      <c r="D414" s="169">
        <f>D416+D418</f>
        <v>4122.67</v>
      </c>
      <c r="E414" s="169">
        <f t="shared" ref="E414:G414" si="405">E416+E418</f>
        <v>4809.79</v>
      </c>
      <c r="F414" s="169">
        <f t="shared" si="405"/>
        <v>7558.24</v>
      </c>
      <c r="G414" s="169">
        <f t="shared" si="405"/>
        <v>6413.04</v>
      </c>
    </row>
    <row r="415" spans="1:7" ht="11.25" customHeight="1" x14ac:dyDescent="0.2">
      <c r="A415" s="288" t="s">
        <v>577</v>
      </c>
      <c r="B415" s="290" t="str">
        <f>VLOOKUP(A415,'Orçamento Sintético'!$A:$H,4,0)</f>
        <v>ENCARREGADO GERAL DE OBRAS COM ENCARGOS COMPLEMENTARES</v>
      </c>
      <c r="C415" s="91">
        <f>ROUND(C416/$G$425,4)</f>
        <v>1.49E-2</v>
      </c>
      <c r="D415" s="91">
        <v>0.18</v>
      </c>
      <c r="E415" s="91">
        <v>0.21</v>
      </c>
      <c r="F415" s="91">
        <v>0.33</v>
      </c>
      <c r="G415" s="91">
        <f>ROUND(G416/C416,4)</f>
        <v>0.28000000000000003</v>
      </c>
    </row>
    <row r="416" spans="1:7" x14ac:dyDescent="0.2">
      <c r="A416" s="289"/>
      <c r="B416" s="291"/>
      <c r="C416" s="89">
        <f>VLOOKUP(A415,'Orçamento Sintético'!$A:$H,8,0)</f>
        <v>13398.84</v>
      </c>
      <c r="D416" s="89">
        <f>ROUND($C416*D415,2)</f>
        <v>2411.79</v>
      </c>
      <c r="E416" s="89">
        <f t="shared" ref="E416" si="406">ROUND($C416*E415,2)</f>
        <v>2813.76</v>
      </c>
      <c r="F416" s="89">
        <f t="shared" ref="F416" si="407">ROUND($C416*F415,2)</f>
        <v>4421.62</v>
      </c>
      <c r="G416" s="89">
        <f>$C416-SUM(D416:F416)</f>
        <v>3751.67</v>
      </c>
    </row>
    <row r="417" spans="1:7" ht="11.25" customHeight="1" x14ac:dyDescent="0.2">
      <c r="A417" s="288" t="s">
        <v>581</v>
      </c>
      <c r="B417" s="290" t="str">
        <f>VLOOKUP(A417,'Orçamento Sintético'!$A:$H,4,0)</f>
        <v>ENGENHEIRO CIVIL DE OBRA PLENO COM ENCARGOS COMPLEMENTARES</v>
      </c>
      <c r="C417" s="91">
        <f>ROUND(C418/$G$425,4)</f>
        <v>1.06E-2</v>
      </c>
      <c r="D417" s="91">
        <v>0.18</v>
      </c>
      <c r="E417" s="91">
        <v>0.21</v>
      </c>
      <c r="F417" s="91">
        <v>0.33</v>
      </c>
      <c r="G417" s="91">
        <f>ROUND(G418/C418,4)</f>
        <v>0.28000000000000003</v>
      </c>
    </row>
    <row r="418" spans="1:7" x14ac:dyDescent="0.2">
      <c r="A418" s="289"/>
      <c r="B418" s="291"/>
      <c r="C418" s="89">
        <f>VLOOKUP(A417,'Orçamento Sintético'!$A:$H,8,0)</f>
        <v>9504.9</v>
      </c>
      <c r="D418" s="89">
        <f>ROUND($C418*D417,2)</f>
        <v>1710.88</v>
      </c>
      <c r="E418" s="89">
        <f t="shared" ref="E418" si="408">ROUND($C418*E417,2)</f>
        <v>1996.03</v>
      </c>
      <c r="F418" s="89">
        <f t="shared" ref="F418" si="409">ROUND($C418*F417,2)</f>
        <v>3136.62</v>
      </c>
      <c r="G418" s="89">
        <f>$C418-SUM(D418:F418)</f>
        <v>2661.37</v>
      </c>
    </row>
    <row r="419" spans="1:7" x14ac:dyDescent="0.2">
      <c r="A419" s="313" t="s">
        <v>1144</v>
      </c>
      <c r="B419" s="313"/>
      <c r="C419" s="175"/>
      <c r="D419" s="176">
        <f>D420/$G$424</f>
        <v>0.18038714105300202</v>
      </c>
      <c r="E419" s="176">
        <f t="shared" ref="E419:G419" si="410">E420/$G$424</f>
        <v>0.21197531687607496</v>
      </c>
      <c r="F419" s="176">
        <f t="shared" si="410"/>
        <v>0.27209759761188645</v>
      </c>
      <c r="G419" s="176">
        <f t="shared" si="410"/>
        <v>0.33553994445903662</v>
      </c>
    </row>
    <row r="420" spans="1:7" x14ac:dyDescent="0.2">
      <c r="A420" s="306" t="s">
        <v>1145</v>
      </c>
      <c r="B420" s="306"/>
      <c r="C420" s="175"/>
      <c r="D420" s="177">
        <f>D10+D16+D64+D226+D316+D362+D392+D400+D412</f>
        <v>132498.78</v>
      </c>
      <c r="E420" s="177">
        <f>E10+E16+E64+E226+E316+E362+E392+E400+E412</f>
        <v>155701.07</v>
      </c>
      <c r="F420" s="177">
        <f>F10+F16+F64+F226+F316+F362+F392+F400+F412</f>
        <v>199862.36</v>
      </c>
      <c r="G420" s="177">
        <f>G10+G16+G64+G226+G316+G362+G392+G400+G412</f>
        <v>246462.31999999995</v>
      </c>
    </row>
    <row r="421" spans="1:7" x14ac:dyDescent="0.2">
      <c r="A421" s="279" t="s">
        <v>657</v>
      </c>
      <c r="B421" s="279"/>
      <c r="C421" s="175"/>
      <c r="D421" s="92">
        <f>ROUND(D420*'Composição de BDI'!$D$23,2)</f>
        <v>29308.73</v>
      </c>
      <c r="E421" s="92">
        <f>ROUND(E420*'Composição de BDI'!$D$23,2)</f>
        <v>34441.08</v>
      </c>
      <c r="F421" s="92">
        <f>ROUND(F420*'Composição de BDI'!$D$23,2)</f>
        <v>44209.55</v>
      </c>
      <c r="G421" s="92">
        <f>ROUND(G420*'Composição de BDI'!$D$23,2)</f>
        <v>54517.47</v>
      </c>
    </row>
    <row r="422" spans="1:7" x14ac:dyDescent="0.2">
      <c r="A422" s="94"/>
      <c r="B422" s="95" t="s">
        <v>1202</v>
      </c>
      <c r="C422" s="96"/>
      <c r="D422" s="93">
        <f t="shared" ref="D422" si="411">ROUND(SUM(D420:D421),2)</f>
        <v>161807.51</v>
      </c>
      <c r="E422" s="93">
        <f>E421+E420</f>
        <v>190142.15000000002</v>
      </c>
      <c r="F422" s="93">
        <f>F421+F420</f>
        <v>244071.90999999997</v>
      </c>
      <c r="G422" s="93">
        <f>G421+G420</f>
        <v>300979.78999999992</v>
      </c>
    </row>
    <row r="423" spans="1:7" ht="12.75" customHeight="1" x14ac:dyDescent="0.2">
      <c r="A423" s="313" t="s">
        <v>1146</v>
      </c>
      <c r="B423" s="313"/>
      <c r="C423" s="175"/>
      <c r="D423" s="176">
        <f>D419</f>
        <v>0.18038714105300202</v>
      </c>
      <c r="E423" s="176">
        <f t="shared" ref="E423:G424" si="412">D423+E419</f>
        <v>0.39236245792907698</v>
      </c>
      <c r="F423" s="176">
        <f t="shared" si="412"/>
        <v>0.66446005554096343</v>
      </c>
      <c r="G423" s="176">
        <f t="shared" si="412"/>
        <v>1</v>
      </c>
    </row>
    <row r="424" spans="1:7" ht="12.75" customHeight="1" x14ac:dyDescent="0.2">
      <c r="A424" s="279" t="s">
        <v>1201</v>
      </c>
      <c r="B424" s="279"/>
      <c r="C424" s="175"/>
      <c r="D424" s="177">
        <f>D420</f>
        <v>132498.78</v>
      </c>
      <c r="E424" s="177">
        <f t="shared" si="412"/>
        <v>288199.84999999998</v>
      </c>
      <c r="F424" s="177">
        <f t="shared" si="412"/>
        <v>488062.20999999996</v>
      </c>
      <c r="G424" s="177">
        <f t="shared" si="412"/>
        <v>734524.52999999991</v>
      </c>
    </row>
    <row r="425" spans="1:7" ht="12.75" customHeight="1" x14ac:dyDescent="0.2">
      <c r="A425" s="94"/>
      <c r="B425" s="95" t="s">
        <v>721</v>
      </c>
      <c r="C425" s="96"/>
      <c r="D425" s="93">
        <f>D422</f>
        <v>161807.51</v>
      </c>
      <c r="E425" s="93">
        <f>D425+E422</f>
        <v>351949.66000000003</v>
      </c>
      <c r="F425" s="93">
        <f>E425+F422</f>
        <v>596021.57000000007</v>
      </c>
      <c r="G425" s="93">
        <f>F425+G422</f>
        <v>897001.36</v>
      </c>
    </row>
  </sheetData>
  <mergeCells count="425">
    <mergeCell ref="A247:A248"/>
    <mergeCell ref="B247:B248"/>
    <mergeCell ref="A249:A250"/>
    <mergeCell ref="B249:B250"/>
    <mergeCell ref="A231:A232"/>
    <mergeCell ref="B231:B232"/>
    <mergeCell ref="A233:A234"/>
    <mergeCell ref="B233:B234"/>
    <mergeCell ref="A235:A236"/>
    <mergeCell ref="B235:B236"/>
    <mergeCell ref="A237:A238"/>
    <mergeCell ref="B237:B238"/>
    <mergeCell ref="A239:A240"/>
    <mergeCell ref="B239:B240"/>
    <mergeCell ref="A241:A242"/>
    <mergeCell ref="B241:B242"/>
    <mergeCell ref="A243:A244"/>
    <mergeCell ref="B243:B244"/>
    <mergeCell ref="A245:A246"/>
    <mergeCell ref="B245:B246"/>
    <mergeCell ref="A227:A228"/>
    <mergeCell ref="B227:B228"/>
    <mergeCell ref="A229:A230"/>
    <mergeCell ref="B229:B230"/>
    <mergeCell ref="A213:A214"/>
    <mergeCell ref="B213:B214"/>
    <mergeCell ref="A215:A216"/>
    <mergeCell ref="B215:B216"/>
    <mergeCell ref="A217:A218"/>
    <mergeCell ref="B217:B218"/>
    <mergeCell ref="A219:A220"/>
    <mergeCell ref="B219:B220"/>
    <mergeCell ref="A221:A222"/>
    <mergeCell ref="B221:B222"/>
    <mergeCell ref="A223:A224"/>
    <mergeCell ref="B223:B224"/>
    <mergeCell ref="A225:A226"/>
    <mergeCell ref="B225:B226"/>
    <mergeCell ref="A207:A208"/>
    <mergeCell ref="B207:B208"/>
    <mergeCell ref="A209:A210"/>
    <mergeCell ref="B209:B210"/>
    <mergeCell ref="A211:A212"/>
    <mergeCell ref="B211:B212"/>
    <mergeCell ref="A201:A202"/>
    <mergeCell ref="B201:B202"/>
    <mergeCell ref="A203:A204"/>
    <mergeCell ref="B203:B204"/>
    <mergeCell ref="A205:A206"/>
    <mergeCell ref="B205:B206"/>
    <mergeCell ref="A199:A200"/>
    <mergeCell ref="B199:B200"/>
    <mergeCell ref="A183:A184"/>
    <mergeCell ref="B183:B184"/>
    <mergeCell ref="A185:A186"/>
    <mergeCell ref="B185:B186"/>
    <mergeCell ref="A187:A188"/>
    <mergeCell ref="B187:B188"/>
    <mergeCell ref="A177:A178"/>
    <mergeCell ref="B177:B178"/>
    <mergeCell ref="A179:A180"/>
    <mergeCell ref="B179:B180"/>
    <mergeCell ref="A181:A182"/>
    <mergeCell ref="B181:B182"/>
    <mergeCell ref="A189:A190"/>
    <mergeCell ref="B189:B190"/>
    <mergeCell ref="A191:A192"/>
    <mergeCell ref="B191:B192"/>
    <mergeCell ref="A193:A194"/>
    <mergeCell ref="B193:B194"/>
    <mergeCell ref="A195:A196"/>
    <mergeCell ref="B195:B196"/>
    <mergeCell ref="A197:A198"/>
    <mergeCell ref="B197:B198"/>
    <mergeCell ref="A171:A172"/>
    <mergeCell ref="B171:B172"/>
    <mergeCell ref="A173:A174"/>
    <mergeCell ref="B173:B174"/>
    <mergeCell ref="A175:A176"/>
    <mergeCell ref="B175:B176"/>
    <mergeCell ref="A165:A166"/>
    <mergeCell ref="B165:B166"/>
    <mergeCell ref="A167:A168"/>
    <mergeCell ref="B167:B168"/>
    <mergeCell ref="A169:A170"/>
    <mergeCell ref="B169:B170"/>
    <mergeCell ref="A159:A160"/>
    <mergeCell ref="B159:B160"/>
    <mergeCell ref="A161:A162"/>
    <mergeCell ref="B161:B162"/>
    <mergeCell ref="A163:A164"/>
    <mergeCell ref="B163:B164"/>
    <mergeCell ref="A153:A154"/>
    <mergeCell ref="B153:B154"/>
    <mergeCell ref="A155:A156"/>
    <mergeCell ref="B155:B156"/>
    <mergeCell ref="A157:A158"/>
    <mergeCell ref="B157:B158"/>
    <mergeCell ref="A147:A148"/>
    <mergeCell ref="B147:B148"/>
    <mergeCell ref="A149:A150"/>
    <mergeCell ref="B149:B150"/>
    <mergeCell ref="A151:A152"/>
    <mergeCell ref="B151:B152"/>
    <mergeCell ref="A141:A142"/>
    <mergeCell ref="B141:B142"/>
    <mergeCell ref="A143:A144"/>
    <mergeCell ref="B143:B144"/>
    <mergeCell ref="A145:A146"/>
    <mergeCell ref="B145:B146"/>
    <mergeCell ref="A135:A136"/>
    <mergeCell ref="B135:B136"/>
    <mergeCell ref="A137:A138"/>
    <mergeCell ref="B137:B138"/>
    <mergeCell ref="A139:A140"/>
    <mergeCell ref="B139:B140"/>
    <mergeCell ref="A129:A130"/>
    <mergeCell ref="B129:B130"/>
    <mergeCell ref="A131:A132"/>
    <mergeCell ref="B131:B132"/>
    <mergeCell ref="A133:A134"/>
    <mergeCell ref="B133:B134"/>
    <mergeCell ref="A123:A124"/>
    <mergeCell ref="B123:B124"/>
    <mergeCell ref="A125:A126"/>
    <mergeCell ref="B125:B126"/>
    <mergeCell ref="A127:A128"/>
    <mergeCell ref="B127:B128"/>
    <mergeCell ref="A117:A118"/>
    <mergeCell ref="B117:B118"/>
    <mergeCell ref="A119:A120"/>
    <mergeCell ref="B119:B120"/>
    <mergeCell ref="A121:A122"/>
    <mergeCell ref="B121:B122"/>
    <mergeCell ref="A111:A112"/>
    <mergeCell ref="B111:B112"/>
    <mergeCell ref="A113:A114"/>
    <mergeCell ref="B113:B114"/>
    <mergeCell ref="A115:A116"/>
    <mergeCell ref="B115:B116"/>
    <mergeCell ref="A105:A106"/>
    <mergeCell ref="B105:B106"/>
    <mergeCell ref="A107:A108"/>
    <mergeCell ref="B107:B108"/>
    <mergeCell ref="A109:A110"/>
    <mergeCell ref="B109:B110"/>
    <mergeCell ref="A99:A100"/>
    <mergeCell ref="B99:B100"/>
    <mergeCell ref="A101:A102"/>
    <mergeCell ref="B101:B102"/>
    <mergeCell ref="A103:A104"/>
    <mergeCell ref="B103:B104"/>
    <mergeCell ref="A93:A94"/>
    <mergeCell ref="B93:B94"/>
    <mergeCell ref="A95:A96"/>
    <mergeCell ref="B95:B96"/>
    <mergeCell ref="A97:A98"/>
    <mergeCell ref="B97:B98"/>
    <mergeCell ref="A87:A88"/>
    <mergeCell ref="B87:B88"/>
    <mergeCell ref="A89:A90"/>
    <mergeCell ref="B89:B90"/>
    <mergeCell ref="A91:A92"/>
    <mergeCell ref="B91:B92"/>
    <mergeCell ref="A81:A82"/>
    <mergeCell ref="B81:B82"/>
    <mergeCell ref="A83:A84"/>
    <mergeCell ref="B83:B84"/>
    <mergeCell ref="A85:A86"/>
    <mergeCell ref="B85:B86"/>
    <mergeCell ref="A75:A76"/>
    <mergeCell ref="B75:B76"/>
    <mergeCell ref="A77:A78"/>
    <mergeCell ref="B77:B78"/>
    <mergeCell ref="A79:A80"/>
    <mergeCell ref="B79:B80"/>
    <mergeCell ref="A69:A70"/>
    <mergeCell ref="B69:B70"/>
    <mergeCell ref="A71:A72"/>
    <mergeCell ref="B71:B72"/>
    <mergeCell ref="A73:A74"/>
    <mergeCell ref="B73:B74"/>
    <mergeCell ref="A63:A64"/>
    <mergeCell ref="B63:B64"/>
    <mergeCell ref="A65:A66"/>
    <mergeCell ref="B65:B66"/>
    <mergeCell ref="A67:A68"/>
    <mergeCell ref="B67:B68"/>
    <mergeCell ref="A59:A60"/>
    <mergeCell ref="B59:B60"/>
    <mergeCell ref="A61:A62"/>
    <mergeCell ref="B61:B62"/>
    <mergeCell ref="B27:B28"/>
    <mergeCell ref="A53:A54"/>
    <mergeCell ref="B53:B54"/>
    <mergeCell ref="A55:A56"/>
    <mergeCell ref="B55:B56"/>
    <mergeCell ref="A57:A58"/>
    <mergeCell ref="B57:B58"/>
    <mergeCell ref="A47:A48"/>
    <mergeCell ref="B47:B48"/>
    <mergeCell ref="A49:A50"/>
    <mergeCell ref="B49:B50"/>
    <mergeCell ref="A51:A52"/>
    <mergeCell ref="B51:B52"/>
    <mergeCell ref="A39:A40"/>
    <mergeCell ref="B39:B40"/>
    <mergeCell ref="A43:A44"/>
    <mergeCell ref="B43:B44"/>
    <mergeCell ref="A45:A46"/>
    <mergeCell ref="B45:B46"/>
    <mergeCell ref="A41:A42"/>
    <mergeCell ref="B41:B42"/>
    <mergeCell ref="A33:A34"/>
    <mergeCell ref="B33:B34"/>
    <mergeCell ref="A35:A36"/>
    <mergeCell ref="B35:B36"/>
    <mergeCell ref="A37:A38"/>
    <mergeCell ref="B37:B38"/>
    <mergeCell ref="A423:B423"/>
    <mergeCell ref="A7:G7"/>
    <mergeCell ref="A419:B419"/>
    <mergeCell ref="A9:A10"/>
    <mergeCell ref="B9:B10"/>
    <mergeCell ref="B11:B12"/>
    <mergeCell ref="A11:A12"/>
    <mergeCell ref="B13:B14"/>
    <mergeCell ref="A13:A14"/>
    <mergeCell ref="A15:A16"/>
    <mergeCell ref="B15:B16"/>
    <mergeCell ref="A17:A18"/>
    <mergeCell ref="B17:B18"/>
    <mergeCell ref="A19:A20"/>
    <mergeCell ref="B253:B254"/>
    <mergeCell ref="A255:A256"/>
    <mergeCell ref="B255:B256"/>
    <mergeCell ref="A257:A258"/>
    <mergeCell ref="B257:B258"/>
    <mergeCell ref="A27:A28"/>
    <mergeCell ref="E2:F2"/>
    <mergeCell ref="B3:D3"/>
    <mergeCell ref="B1:D1"/>
    <mergeCell ref="B2:D2"/>
    <mergeCell ref="A420:B420"/>
    <mergeCell ref="B19:B20"/>
    <mergeCell ref="A21:A22"/>
    <mergeCell ref="B21:B22"/>
    <mergeCell ref="A23:A24"/>
    <mergeCell ref="B23:B24"/>
    <mergeCell ref="A25:A26"/>
    <mergeCell ref="B25:B26"/>
    <mergeCell ref="A29:A30"/>
    <mergeCell ref="B29:B30"/>
    <mergeCell ref="A31:A32"/>
    <mergeCell ref="B31:B32"/>
    <mergeCell ref="E4:F4"/>
    <mergeCell ref="E6:F6"/>
    <mergeCell ref="B5:D5"/>
    <mergeCell ref="B4:D4"/>
    <mergeCell ref="B6:D6"/>
    <mergeCell ref="A251:A252"/>
    <mergeCell ref="B251:B252"/>
    <mergeCell ref="A253:A254"/>
    <mergeCell ref="A259:A260"/>
    <mergeCell ref="B259:B260"/>
    <mergeCell ref="A261:A262"/>
    <mergeCell ref="B261:B262"/>
    <mergeCell ref="A263:A264"/>
    <mergeCell ref="B263:B264"/>
    <mergeCell ref="A265:A266"/>
    <mergeCell ref="B265:B266"/>
    <mergeCell ref="A267:A268"/>
    <mergeCell ref="B267:B268"/>
    <mergeCell ref="A269:A270"/>
    <mergeCell ref="B269:B270"/>
    <mergeCell ref="A271:A272"/>
    <mergeCell ref="B271:B272"/>
    <mergeCell ref="A273:A274"/>
    <mergeCell ref="B273:B274"/>
    <mergeCell ref="A275:A276"/>
    <mergeCell ref="B275:B276"/>
    <mergeCell ref="A277:A278"/>
    <mergeCell ref="B277:B278"/>
    <mergeCell ref="A279:A280"/>
    <mergeCell ref="B279:B280"/>
    <mergeCell ref="A281:A282"/>
    <mergeCell ref="B281:B282"/>
    <mergeCell ref="A283:A284"/>
    <mergeCell ref="B283:B284"/>
    <mergeCell ref="A285:A286"/>
    <mergeCell ref="B285:B286"/>
    <mergeCell ref="A287:A288"/>
    <mergeCell ref="B287:B288"/>
    <mergeCell ref="A299:A300"/>
    <mergeCell ref="B299:B300"/>
    <mergeCell ref="A301:A302"/>
    <mergeCell ref="B301:B302"/>
    <mergeCell ref="A289:A290"/>
    <mergeCell ref="B289:B290"/>
    <mergeCell ref="A291:A292"/>
    <mergeCell ref="B291:B292"/>
    <mergeCell ref="A293:A294"/>
    <mergeCell ref="B293:B294"/>
    <mergeCell ref="A295:A296"/>
    <mergeCell ref="B295:B296"/>
    <mergeCell ref="A297:A298"/>
    <mergeCell ref="B297:B298"/>
    <mergeCell ref="A303:A304"/>
    <mergeCell ref="B303:B304"/>
    <mergeCell ref="A315:A316"/>
    <mergeCell ref="B315:B316"/>
    <mergeCell ref="A317:A318"/>
    <mergeCell ref="B317:B318"/>
    <mergeCell ref="A319:A320"/>
    <mergeCell ref="B319:B320"/>
    <mergeCell ref="A321:A322"/>
    <mergeCell ref="B321:B322"/>
    <mergeCell ref="A311:A312"/>
    <mergeCell ref="B311:B312"/>
    <mergeCell ref="A313:A314"/>
    <mergeCell ref="B313:B314"/>
    <mergeCell ref="A305:A306"/>
    <mergeCell ref="B305:B306"/>
    <mergeCell ref="A307:A308"/>
    <mergeCell ref="B307:B308"/>
    <mergeCell ref="A309:A310"/>
    <mergeCell ref="B309:B310"/>
    <mergeCell ref="A323:A324"/>
    <mergeCell ref="B323:B324"/>
    <mergeCell ref="A325:A326"/>
    <mergeCell ref="B325:B326"/>
    <mergeCell ref="A327:A328"/>
    <mergeCell ref="B327:B328"/>
    <mergeCell ref="A331:A332"/>
    <mergeCell ref="B331:B332"/>
    <mergeCell ref="A333:A334"/>
    <mergeCell ref="B333:B334"/>
    <mergeCell ref="A335:A336"/>
    <mergeCell ref="B335:B336"/>
    <mergeCell ref="A337:A338"/>
    <mergeCell ref="B337:B338"/>
    <mergeCell ref="A329:A330"/>
    <mergeCell ref="B329:B330"/>
    <mergeCell ref="A339:A340"/>
    <mergeCell ref="B339:B340"/>
    <mergeCell ref="A341:A342"/>
    <mergeCell ref="B341:B342"/>
    <mergeCell ref="A343:A344"/>
    <mergeCell ref="B343:B344"/>
    <mergeCell ref="A345:A346"/>
    <mergeCell ref="B345:B346"/>
    <mergeCell ref="A347:A348"/>
    <mergeCell ref="B347:B348"/>
    <mergeCell ref="A349:A350"/>
    <mergeCell ref="B349:B350"/>
    <mergeCell ref="A351:A352"/>
    <mergeCell ref="B351:B352"/>
    <mergeCell ref="A353:A354"/>
    <mergeCell ref="B353:B354"/>
    <mergeCell ref="A355:A356"/>
    <mergeCell ref="B355:B356"/>
    <mergeCell ref="A357:A358"/>
    <mergeCell ref="B357:B358"/>
    <mergeCell ref="A359:A360"/>
    <mergeCell ref="B359:B360"/>
    <mergeCell ref="A361:A362"/>
    <mergeCell ref="B361:B362"/>
    <mergeCell ref="A363:A364"/>
    <mergeCell ref="B363:B364"/>
    <mergeCell ref="A365:A366"/>
    <mergeCell ref="B365:B366"/>
    <mergeCell ref="A367:A368"/>
    <mergeCell ref="B367:B368"/>
    <mergeCell ref="A369:A370"/>
    <mergeCell ref="B369:B370"/>
    <mergeCell ref="A371:A372"/>
    <mergeCell ref="B371:B372"/>
    <mergeCell ref="A373:A374"/>
    <mergeCell ref="B373:B374"/>
    <mergeCell ref="A375:A376"/>
    <mergeCell ref="B375:B376"/>
    <mergeCell ref="A377:A378"/>
    <mergeCell ref="B377:B378"/>
    <mergeCell ref="A379:A380"/>
    <mergeCell ref="B379:B380"/>
    <mergeCell ref="A381:A382"/>
    <mergeCell ref="B381:B382"/>
    <mergeCell ref="A383:A384"/>
    <mergeCell ref="B383:B384"/>
    <mergeCell ref="A385:A386"/>
    <mergeCell ref="B385:B386"/>
    <mergeCell ref="A387:A388"/>
    <mergeCell ref="B387:B388"/>
    <mergeCell ref="A389:A390"/>
    <mergeCell ref="B389:B390"/>
    <mergeCell ref="A391:A392"/>
    <mergeCell ref="B391:B392"/>
    <mergeCell ref="A403:A404"/>
    <mergeCell ref="B403:B404"/>
    <mergeCell ref="A405:A406"/>
    <mergeCell ref="B405:B406"/>
    <mergeCell ref="A407:A408"/>
    <mergeCell ref="B407:B408"/>
    <mergeCell ref="A409:A410"/>
    <mergeCell ref="B409:B410"/>
    <mergeCell ref="A393:A394"/>
    <mergeCell ref="B393:B394"/>
    <mergeCell ref="A395:A396"/>
    <mergeCell ref="B395:B396"/>
    <mergeCell ref="A397:A398"/>
    <mergeCell ref="B397:B398"/>
    <mergeCell ref="A399:A400"/>
    <mergeCell ref="B399:B400"/>
    <mergeCell ref="A401:A402"/>
    <mergeCell ref="B401:B402"/>
    <mergeCell ref="A424:B424"/>
    <mergeCell ref="A411:A412"/>
    <mergeCell ref="B411:B412"/>
    <mergeCell ref="A413:A414"/>
    <mergeCell ref="B413:B414"/>
    <mergeCell ref="A415:A416"/>
    <mergeCell ref="B415:B416"/>
    <mergeCell ref="A417:A418"/>
    <mergeCell ref="B417:B418"/>
    <mergeCell ref="A421:B421"/>
  </mergeCells>
  <phoneticPr fontId="4" type="noConversion"/>
  <conditionalFormatting sqref="D11">
    <cfRule type="cellIs" dxfId="1478" priority="1575" operator="equal">
      <formula>0</formula>
    </cfRule>
  </conditionalFormatting>
  <conditionalFormatting sqref="G24">
    <cfRule type="cellIs" dxfId="1477" priority="1500" operator="equal">
      <formula>0</formula>
    </cfRule>
  </conditionalFormatting>
  <conditionalFormatting sqref="G24">
    <cfRule type="cellIs" dxfId="1476" priority="1499" operator="notEqual">
      <formula>0</formula>
    </cfRule>
  </conditionalFormatting>
  <conditionalFormatting sqref="E56">
    <cfRule type="cellIs" dxfId="1475" priority="1300" operator="equal">
      <formula>0</formula>
    </cfRule>
  </conditionalFormatting>
  <conditionalFormatting sqref="E56">
    <cfRule type="cellIs" dxfId="1474" priority="1299" operator="notEqual">
      <formula>0</formula>
    </cfRule>
  </conditionalFormatting>
  <conditionalFormatting sqref="F51">
    <cfRule type="cellIs" dxfId="1473" priority="1330" operator="equal">
      <formula>0</formula>
    </cfRule>
  </conditionalFormatting>
  <conditionalFormatting sqref="F51">
    <cfRule type="cellIs" dxfId="1472" priority="1329" operator="notEqual">
      <formula>0</formula>
    </cfRule>
  </conditionalFormatting>
  <conditionalFormatting sqref="F50">
    <cfRule type="cellIs" dxfId="1471" priority="1344" operator="equal">
      <formula>0</formula>
    </cfRule>
  </conditionalFormatting>
  <conditionalFormatting sqref="F50">
    <cfRule type="cellIs" dxfId="1470" priority="1343" operator="notEqual">
      <formula>0</formula>
    </cfRule>
  </conditionalFormatting>
  <conditionalFormatting sqref="G47">
    <cfRule type="cellIs" dxfId="1469" priority="1358" operator="equal">
      <formula>0</formula>
    </cfRule>
  </conditionalFormatting>
  <conditionalFormatting sqref="G47">
    <cfRule type="cellIs" dxfId="1468" priority="1357" operator="notEqual">
      <formula>0</formula>
    </cfRule>
  </conditionalFormatting>
  <conditionalFormatting sqref="G46">
    <cfRule type="cellIs" dxfId="1467" priority="1372" operator="equal">
      <formula>0</formula>
    </cfRule>
  </conditionalFormatting>
  <conditionalFormatting sqref="G46">
    <cfRule type="cellIs" dxfId="1466" priority="1371" operator="notEqual">
      <formula>0</formula>
    </cfRule>
  </conditionalFormatting>
  <conditionalFormatting sqref="D45">
    <cfRule type="cellIs" dxfId="1465" priority="1386" operator="equal">
      <formula>0</formula>
    </cfRule>
  </conditionalFormatting>
  <conditionalFormatting sqref="D45">
    <cfRule type="cellIs" dxfId="1464" priority="1385" operator="notEqual">
      <formula>0</formula>
    </cfRule>
  </conditionalFormatting>
  <conditionalFormatting sqref="D44">
    <cfRule type="cellIs" dxfId="1463" priority="1400" operator="equal">
      <formula>0</formula>
    </cfRule>
  </conditionalFormatting>
  <conditionalFormatting sqref="D44">
    <cfRule type="cellIs" dxfId="1462" priority="1399" operator="notEqual">
      <formula>0</formula>
    </cfRule>
  </conditionalFormatting>
  <conditionalFormatting sqref="E41">
    <cfRule type="cellIs" dxfId="1461" priority="1414" operator="equal">
      <formula>0</formula>
    </cfRule>
  </conditionalFormatting>
  <conditionalFormatting sqref="E41">
    <cfRule type="cellIs" dxfId="1460" priority="1413" operator="notEqual">
      <formula>0</formula>
    </cfRule>
  </conditionalFormatting>
  <conditionalFormatting sqref="E38">
    <cfRule type="cellIs" dxfId="1459" priority="1428" operator="equal">
      <formula>0</formula>
    </cfRule>
  </conditionalFormatting>
  <conditionalFormatting sqref="E38">
    <cfRule type="cellIs" dxfId="1458" priority="1427" operator="notEqual">
      <formula>0</formula>
    </cfRule>
  </conditionalFormatting>
  <conditionalFormatting sqref="F35">
    <cfRule type="cellIs" dxfId="1457" priority="1442" operator="equal">
      <formula>0</formula>
    </cfRule>
  </conditionalFormatting>
  <conditionalFormatting sqref="F35">
    <cfRule type="cellIs" dxfId="1456" priority="1441" operator="notEqual">
      <formula>0</formula>
    </cfRule>
  </conditionalFormatting>
  <conditionalFormatting sqref="F34">
    <cfRule type="cellIs" dxfId="1455" priority="1456" operator="equal">
      <formula>0</formula>
    </cfRule>
  </conditionalFormatting>
  <conditionalFormatting sqref="F34">
    <cfRule type="cellIs" dxfId="1454" priority="1455" operator="notEqual">
      <formula>0</formula>
    </cfRule>
  </conditionalFormatting>
  <conditionalFormatting sqref="G31">
    <cfRule type="cellIs" dxfId="1453" priority="1470" operator="equal">
      <formula>0</formula>
    </cfRule>
  </conditionalFormatting>
  <conditionalFormatting sqref="G31">
    <cfRule type="cellIs" dxfId="1452" priority="1469" operator="notEqual">
      <formula>0</formula>
    </cfRule>
  </conditionalFormatting>
  <conditionalFormatting sqref="D31">
    <cfRule type="cellIs" dxfId="1451" priority="1482" operator="equal">
      <formula>0</formula>
    </cfRule>
  </conditionalFormatting>
  <conditionalFormatting sqref="D31">
    <cfRule type="cellIs" dxfId="1450" priority="1481" operator="notEqual">
      <formula>0</formula>
    </cfRule>
  </conditionalFormatting>
  <conditionalFormatting sqref="D30">
    <cfRule type="cellIs" dxfId="1449" priority="1496" operator="equal">
      <formula>0</formula>
    </cfRule>
  </conditionalFormatting>
  <conditionalFormatting sqref="D30">
    <cfRule type="cellIs" dxfId="1448" priority="1495" operator="notEqual">
      <formula>0</formula>
    </cfRule>
  </conditionalFormatting>
  <conditionalFormatting sqref="E23">
    <cfRule type="cellIs" dxfId="1447" priority="1510" operator="equal">
      <formula>0</formula>
    </cfRule>
  </conditionalFormatting>
  <conditionalFormatting sqref="E23">
    <cfRule type="cellIs" dxfId="1446" priority="1509" operator="notEqual">
      <formula>0</formula>
    </cfRule>
  </conditionalFormatting>
  <conditionalFormatting sqref="E22">
    <cfRule type="cellIs" dxfId="1445" priority="1524" operator="equal">
      <formula>0</formula>
    </cfRule>
  </conditionalFormatting>
  <conditionalFormatting sqref="E22">
    <cfRule type="cellIs" dxfId="1444" priority="1523" operator="notEqual">
      <formula>0</formula>
    </cfRule>
  </conditionalFormatting>
  <conditionalFormatting sqref="E37">
    <cfRule type="cellIs" dxfId="1443" priority="1430" operator="equal">
      <formula>0</formula>
    </cfRule>
  </conditionalFormatting>
  <conditionalFormatting sqref="E37">
    <cfRule type="cellIs" dxfId="1442" priority="1429" operator="notEqual">
      <formula>0</formula>
    </cfRule>
  </conditionalFormatting>
  <conditionalFormatting sqref="E33">
    <cfRule type="cellIs" dxfId="1441" priority="1462" operator="equal">
      <formula>0</formula>
    </cfRule>
  </conditionalFormatting>
  <conditionalFormatting sqref="E33">
    <cfRule type="cellIs" dxfId="1440" priority="1461" operator="notEqual">
      <formula>0</formula>
    </cfRule>
  </conditionalFormatting>
  <conditionalFormatting sqref="E30">
    <cfRule type="cellIs" dxfId="1439" priority="1492" operator="equal">
      <formula>0</formula>
    </cfRule>
  </conditionalFormatting>
  <conditionalFormatting sqref="E30">
    <cfRule type="cellIs" dxfId="1438" priority="1491" operator="notEqual">
      <formula>0</formula>
    </cfRule>
  </conditionalFormatting>
  <conditionalFormatting sqref="F23">
    <cfRule type="cellIs" dxfId="1437" priority="1506" operator="equal">
      <formula>0</formula>
    </cfRule>
  </conditionalFormatting>
  <conditionalFormatting sqref="F23">
    <cfRule type="cellIs" dxfId="1436" priority="1505" operator="notEqual">
      <formula>0</formula>
    </cfRule>
  </conditionalFormatting>
  <conditionalFormatting sqref="F22">
    <cfRule type="cellIs" dxfId="1435" priority="1520" operator="equal">
      <formula>0</formula>
    </cfRule>
  </conditionalFormatting>
  <conditionalFormatting sqref="F22">
    <cfRule type="cellIs" dxfId="1434" priority="1519" operator="notEqual">
      <formula>0</formula>
    </cfRule>
  </conditionalFormatting>
  <conditionalFormatting sqref="E55">
    <cfRule type="cellIs" dxfId="1433" priority="1302" operator="equal">
      <formula>0</formula>
    </cfRule>
  </conditionalFormatting>
  <conditionalFormatting sqref="E55">
    <cfRule type="cellIs" dxfId="1432" priority="1301" operator="notEqual">
      <formula>0</formula>
    </cfRule>
  </conditionalFormatting>
  <conditionalFormatting sqref="E54">
    <cfRule type="cellIs" dxfId="1431" priority="1316" operator="equal">
      <formula>0</formula>
    </cfRule>
  </conditionalFormatting>
  <conditionalFormatting sqref="E54">
    <cfRule type="cellIs" dxfId="1430" priority="1315" operator="notEqual">
      <formula>0</formula>
    </cfRule>
  </conditionalFormatting>
  <conditionalFormatting sqref="G30">
    <cfRule type="cellIs" dxfId="1429" priority="1484" operator="equal">
      <formula>0</formula>
    </cfRule>
  </conditionalFormatting>
  <conditionalFormatting sqref="G30">
    <cfRule type="cellIs" dxfId="1428" priority="1483" operator="notEqual">
      <formula>0</formula>
    </cfRule>
  </conditionalFormatting>
  <conditionalFormatting sqref="D29">
    <cfRule type="cellIs" dxfId="1427" priority="1498" operator="equal">
      <formula>0</formula>
    </cfRule>
  </conditionalFormatting>
  <conditionalFormatting sqref="D29">
    <cfRule type="cellIs" dxfId="1426" priority="1497" operator="notEqual">
      <formula>0</formula>
    </cfRule>
  </conditionalFormatting>
  <conditionalFormatting sqref="D24">
    <cfRule type="cellIs" dxfId="1425" priority="1512" operator="equal">
      <formula>0</formula>
    </cfRule>
  </conditionalFormatting>
  <conditionalFormatting sqref="D24">
    <cfRule type="cellIs" dxfId="1424" priority="1511" operator="notEqual">
      <formula>0</formula>
    </cfRule>
  </conditionalFormatting>
  <conditionalFormatting sqref="E21">
    <cfRule type="cellIs" dxfId="1423" priority="1526" operator="equal">
      <formula>0</formula>
    </cfRule>
  </conditionalFormatting>
  <conditionalFormatting sqref="E21">
    <cfRule type="cellIs" dxfId="1422" priority="1525" operator="notEqual">
      <formula>0</formula>
    </cfRule>
  </conditionalFormatting>
  <conditionalFormatting sqref="E101">
    <cfRule type="cellIs" dxfId="1421" priority="1030" operator="equal">
      <formula>0</formula>
    </cfRule>
  </conditionalFormatting>
  <conditionalFormatting sqref="E101">
    <cfRule type="cellIs" dxfId="1420" priority="1029" operator="notEqual">
      <formula>0</formula>
    </cfRule>
  </conditionalFormatting>
  <conditionalFormatting sqref="E102">
    <cfRule type="cellIs" dxfId="1419" priority="1028" operator="equal">
      <formula>0</formula>
    </cfRule>
  </conditionalFormatting>
  <conditionalFormatting sqref="E102">
    <cfRule type="cellIs" dxfId="1418" priority="1027" operator="notEqual">
      <formula>0</formula>
    </cfRule>
  </conditionalFormatting>
  <conditionalFormatting sqref="F99">
    <cfRule type="cellIs" dxfId="1417" priority="1042" operator="equal">
      <formula>0</formula>
    </cfRule>
  </conditionalFormatting>
  <conditionalFormatting sqref="F99">
    <cfRule type="cellIs" dxfId="1416" priority="1041" operator="notEqual">
      <formula>0</formula>
    </cfRule>
  </conditionalFormatting>
  <conditionalFormatting sqref="F100">
    <cfRule type="cellIs" dxfId="1415" priority="1040" operator="equal">
      <formula>0</formula>
    </cfRule>
  </conditionalFormatting>
  <conditionalFormatting sqref="F100">
    <cfRule type="cellIs" dxfId="1414" priority="1039" operator="notEqual">
      <formula>0</formula>
    </cfRule>
  </conditionalFormatting>
  <conditionalFormatting sqref="G97">
    <cfRule type="cellIs" dxfId="1413" priority="1054" operator="equal">
      <formula>0</formula>
    </cfRule>
  </conditionalFormatting>
  <conditionalFormatting sqref="G97">
    <cfRule type="cellIs" dxfId="1412" priority="1053" operator="notEqual">
      <formula>0</formula>
    </cfRule>
  </conditionalFormatting>
  <conditionalFormatting sqref="G98">
    <cfRule type="cellIs" dxfId="1411" priority="1052" operator="equal">
      <formula>0</formula>
    </cfRule>
  </conditionalFormatting>
  <conditionalFormatting sqref="G98">
    <cfRule type="cellIs" dxfId="1410" priority="1051" operator="notEqual">
      <formula>0</formula>
    </cfRule>
  </conditionalFormatting>
  <conditionalFormatting sqref="D97">
    <cfRule type="cellIs" dxfId="1409" priority="1066" operator="equal">
      <formula>0</formula>
    </cfRule>
  </conditionalFormatting>
  <conditionalFormatting sqref="D97">
    <cfRule type="cellIs" dxfId="1408" priority="1065" operator="notEqual">
      <formula>0</formula>
    </cfRule>
  </conditionalFormatting>
  <conditionalFormatting sqref="D98">
    <cfRule type="cellIs" dxfId="1407" priority="1064" operator="equal">
      <formula>0</formula>
    </cfRule>
  </conditionalFormatting>
  <conditionalFormatting sqref="D98">
    <cfRule type="cellIs" dxfId="1406" priority="1063" operator="notEqual">
      <formula>0</formula>
    </cfRule>
  </conditionalFormatting>
  <conditionalFormatting sqref="E95">
    <cfRule type="cellIs" dxfId="1405" priority="1078" operator="equal">
      <formula>0</formula>
    </cfRule>
  </conditionalFormatting>
  <conditionalFormatting sqref="E95">
    <cfRule type="cellIs" dxfId="1404" priority="1077" operator="notEqual">
      <formula>0</formula>
    </cfRule>
  </conditionalFormatting>
  <conditionalFormatting sqref="E96">
    <cfRule type="cellIs" dxfId="1403" priority="1076" operator="equal">
      <formula>0</formula>
    </cfRule>
  </conditionalFormatting>
  <conditionalFormatting sqref="E96">
    <cfRule type="cellIs" dxfId="1402" priority="1075" operator="notEqual">
      <formula>0</formula>
    </cfRule>
  </conditionalFormatting>
  <conditionalFormatting sqref="F93">
    <cfRule type="cellIs" dxfId="1401" priority="1090" operator="equal">
      <formula>0</formula>
    </cfRule>
  </conditionalFormatting>
  <conditionalFormatting sqref="F93">
    <cfRule type="cellIs" dxfId="1400" priority="1089" operator="notEqual">
      <formula>0</formula>
    </cfRule>
  </conditionalFormatting>
  <conditionalFormatting sqref="F94">
    <cfRule type="cellIs" dxfId="1399" priority="1088" operator="equal">
      <formula>0</formula>
    </cfRule>
  </conditionalFormatting>
  <conditionalFormatting sqref="F94">
    <cfRule type="cellIs" dxfId="1398" priority="1087" operator="notEqual">
      <formula>0</formula>
    </cfRule>
  </conditionalFormatting>
  <conditionalFormatting sqref="G91">
    <cfRule type="cellIs" dxfId="1397" priority="1102" operator="equal">
      <formula>0</formula>
    </cfRule>
  </conditionalFormatting>
  <conditionalFormatting sqref="G91">
    <cfRule type="cellIs" dxfId="1396" priority="1101" operator="notEqual">
      <formula>0</formula>
    </cfRule>
  </conditionalFormatting>
  <conditionalFormatting sqref="G92">
    <cfRule type="cellIs" dxfId="1395" priority="1100" operator="equal">
      <formula>0</formula>
    </cfRule>
  </conditionalFormatting>
  <conditionalFormatting sqref="G92">
    <cfRule type="cellIs" dxfId="1394" priority="1099" operator="notEqual">
      <formula>0</formula>
    </cfRule>
  </conditionalFormatting>
  <conditionalFormatting sqref="D91">
    <cfRule type="cellIs" dxfId="1393" priority="1114" operator="equal">
      <formula>0</formula>
    </cfRule>
  </conditionalFormatting>
  <conditionalFormatting sqref="D91">
    <cfRule type="cellIs" dxfId="1392" priority="1113" operator="notEqual">
      <formula>0</formula>
    </cfRule>
  </conditionalFormatting>
  <conditionalFormatting sqref="D92">
    <cfRule type="cellIs" dxfId="1391" priority="1112" operator="equal">
      <formula>0</formula>
    </cfRule>
  </conditionalFormatting>
  <conditionalFormatting sqref="D92">
    <cfRule type="cellIs" dxfId="1390" priority="1111" operator="notEqual">
      <formula>0</formula>
    </cfRule>
  </conditionalFormatting>
  <conditionalFormatting sqref="E87">
    <cfRule type="cellIs" dxfId="1389" priority="1126" operator="equal">
      <formula>0</formula>
    </cfRule>
  </conditionalFormatting>
  <conditionalFormatting sqref="E87">
    <cfRule type="cellIs" dxfId="1388" priority="1125" operator="notEqual">
      <formula>0</formula>
    </cfRule>
  </conditionalFormatting>
  <conditionalFormatting sqref="E88">
    <cfRule type="cellIs" dxfId="1387" priority="1124" operator="equal">
      <formula>0</formula>
    </cfRule>
  </conditionalFormatting>
  <conditionalFormatting sqref="E88">
    <cfRule type="cellIs" dxfId="1386" priority="1123" operator="notEqual">
      <formula>0</formula>
    </cfRule>
  </conditionalFormatting>
  <conditionalFormatting sqref="F83">
    <cfRule type="cellIs" dxfId="1385" priority="1138" operator="equal">
      <formula>0</formula>
    </cfRule>
  </conditionalFormatting>
  <conditionalFormatting sqref="F83">
    <cfRule type="cellIs" dxfId="1384" priority="1137" operator="notEqual">
      <formula>0</formula>
    </cfRule>
  </conditionalFormatting>
  <conditionalFormatting sqref="F84">
    <cfRule type="cellIs" dxfId="1383" priority="1136" operator="equal">
      <formula>0</formula>
    </cfRule>
  </conditionalFormatting>
  <conditionalFormatting sqref="F84">
    <cfRule type="cellIs" dxfId="1382" priority="1135" operator="notEqual">
      <formula>0</formula>
    </cfRule>
  </conditionalFormatting>
  <conditionalFormatting sqref="G81">
    <cfRule type="cellIs" dxfId="1381" priority="1150" operator="equal">
      <formula>0</formula>
    </cfRule>
  </conditionalFormatting>
  <conditionalFormatting sqref="G81">
    <cfRule type="cellIs" dxfId="1380" priority="1149" operator="notEqual">
      <formula>0</formula>
    </cfRule>
  </conditionalFormatting>
  <conditionalFormatting sqref="G82">
    <cfRule type="cellIs" dxfId="1379" priority="1148" operator="equal">
      <formula>0</formula>
    </cfRule>
  </conditionalFormatting>
  <conditionalFormatting sqref="G82">
    <cfRule type="cellIs" dxfId="1378" priority="1147" operator="notEqual">
      <formula>0</formula>
    </cfRule>
  </conditionalFormatting>
  <conditionalFormatting sqref="D81">
    <cfRule type="cellIs" dxfId="1377" priority="1162" operator="equal">
      <formula>0</formula>
    </cfRule>
  </conditionalFormatting>
  <conditionalFormatting sqref="D81">
    <cfRule type="cellIs" dxfId="1376" priority="1161" operator="notEqual">
      <formula>0</formula>
    </cfRule>
  </conditionalFormatting>
  <conditionalFormatting sqref="D82">
    <cfRule type="cellIs" dxfId="1375" priority="1160" operator="equal">
      <formula>0</formula>
    </cfRule>
  </conditionalFormatting>
  <conditionalFormatting sqref="D82">
    <cfRule type="cellIs" dxfId="1374" priority="1159" operator="notEqual">
      <formula>0</formula>
    </cfRule>
  </conditionalFormatting>
  <conditionalFormatting sqref="E79">
    <cfRule type="cellIs" dxfId="1373" priority="1174" operator="equal">
      <formula>0</formula>
    </cfRule>
  </conditionalFormatting>
  <conditionalFormatting sqref="E79">
    <cfRule type="cellIs" dxfId="1372" priority="1173" operator="notEqual">
      <formula>0</formula>
    </cfRule>
  </conditionalFormatting>
  <conditionalFormatting sqref="E80">
    <cfRule type="cellIs" dxfId="1371" priority="1172" operator="equal">
      <formula>0</formula>
    </cfRule>
  </conditionalFormatting>
  <conditionalFormatting sqref="E80">
    <cfRule type="cellIs" dxfId="1370" priority="1171" operator="notEqual">
      <formula>0</formula>
    </cfRule>
  </conditionalFormatting>
  <conditionalFormatting sqref="F75">
    <cfRule type="cellIs" dxfId="1369" priority="1186" operator="equal">
      <formula>0</formula>
    </cfRule>
  </conditionalFormatting>
  <conditionalFormatting sqref="F75">
    <cfRule type="cellIs" dxfId="1368" priority="1185" operator="notEqual">
      <formula>0</formula>
    </cfRule>
  </conditionalFormatting>
  <conditionalFormatting sqref="F76">
    <cfRule type="cellIs" dxfId="1367" priority="1184" operator="equal">
      <formula>0</formula>
    </cfRule>
  </conditionalFormatting>
  <conditionalFormatting sqref="F76">
    <cfRule type="cellIs" dxfId="1366" priority="1183" operator="notEqual">
      <formula>0</formula>
    </cfRule>
  </conditionalFormatting>
  <conditionalFormatting sqref="G73">
    <cfRule type="cellIs" dxfId="1365" priority="1198" operator="equal">
      <formula>0</formula>
    </cfRule>
  </conditionalFormatting>
  <conditionalFormatting sqref="G73">
    <cfRule type="cellIs" dxfId="1364" priority="1197" operator="notEqual">
      <formula>0</formula>
    </cfRule>
  </conditionalFormatting>
  <conditionalFormatting sqref="G74">
    <cfRule type="cellIs" dxfId="1363" priority="1196" operator="equal">
      <formula>0</formula>
    </cfRule>
  </conditionalFormatting>
  <conditionalFormatting sqref="G74">
    <cfRule type="cellIs" dxfId="1362" priority="1195" operator="notEqual">
      <formula>0</formula>
    </cfRule>
  </conditionalFormatting>
  <conditionalFormatting sqref="D73">
    <cfRule type="cellIs" dxfId="1361" priority="1210" operator="equal">
      <formula>0</formula>
    </cfRule>
  </conditionalFormatting>
  <conditionalFormatting sqref="D73">
    <cfRule type="cellIs" dxfId="1360" priority="1209" operator="notEqual">
      <formula>0</formula>
    </cfRule>
  </conditionalFormatting>
  <conditionalFormatting sqref="D74">
    <cfRule type="cellIs" dxfId="1359" priority="1208" operator="equal">
      <formula>0</formula>
    </cfRule>
  </conditionalFormatting>
  <conditionalFormatting sqref="D74">
    <cfRule type="cellIs" dxfId="1358" priority="1207" operator="notEqual">
      <formula>0</formula>
    </cfRule>
  </conditionalFormatting>
  <conditionalFormatting sqref="E71">
    <cfRule type="cellIs" dxfId="1357" priority="1222" operator="equal">
      <formula>0</formula>
    </cfRule>
  </conditionalFormatting>
  <conditionalFormatting sqref="E71">
    <cfRule type="cellIs" dxfId="1356" priority="1221" operator="notEqual">
      <formula>0</formula>
    </cfRule>
  </conditionalFormatting>
  <conditionalFormatting sqref="E72">
    <cfRule type="cellIs" dxfId="1355" priority="1220" operator="equal">
      <formula>0</formula>
    </cfRule>
  </conditionalFormatting>
  <conditionalFormatting sqref="E72">
    <cfRule type="cellIs" dxfId="1354" priority="1219" operator="notEqual">
      <formula>0</formula>
    </cfRule>
  </conditionalFormatting>
  <conditionalFormatting sqref="F69">
    <cfRule type="cellIs" dxfId="1353" priority="1234" operator="equal">
      <formula>0</formula>
    </cfRule>
  </conditionalFormatting>
  <conditionalFormatting sqref="F69">
    <cfRule type="cellIs" dxfId="1352" priority="1233" operator="notEqual">
      <formula>0</formula>
    </cfRule>
  </conditionalFormatting>
  <conditionalFormatting sqref="F70">
    <cfRule type="cellIs" dxfId="1351" priority="1232" operator="equal">
      <formula>0</formula>
    </cfRule>
  </conditionalFormatting>
  <conditionalFormatting sqref="F70">
    <cfRule type="cellIs" dxfId="1350" priority="1231" operator="notEqual">
      <formula>0</formula>
    </cfRule>
  </conditionalFormatting>
  <conditionalFormatting sqref="G61">
    <cfRule type="cellIs" dxfId="1349" priority="1246" operator="equal">
      <formula>0</formula>
    </cfRule>
  </conditionalFormatting>
  <conditionalFormatting sqref="G61">
    <cfRule type="cellIs" dxfId="1348" priority="1245" operator="notEqual">
      <formula>0</formula>
    </cfRule>
  </conditionalFormatting>
  <conditionalFormatting sqref="G62">
    <cfRule type="cellIs" dxfId="1347" priority="1244" operator="equal">
      <formula>0</formula>
    </cfRule>
  </conditionalFormatting>
  <conditionalFormatting sqref="G62">
    <cfRule type="cellIs" dxfId="1346" priority="1243" operator="notEqual">
      <formula>0</formula>
    </cfRule>
  </conditionalFormatting>
  <conditionalFormatting sqref="D61">
    <cfRule type="cellIs" dxfId="1345" priority="1258" operator="equal">
      <formula>0</formula>
    </cfRule>
  </conditionalFormatting>
  <conditionalFormatting sqref="D61">
    <cfRule type="cellIs" dxfId="1344" priority="1257" operator="notEqual">
      <formula>0</formula>
    </cfRule>
  </conditionalFormatting>
  <conditionalFormatting sqref="D62">
    <cfRule type="cellIs" dxfId="1343" priority="1256" operator="equal">
      <formula>0</formula>
    </cfRule>
  </conditionalFormatting>
  <conditionalFormatting sqref="D62">
    <cfRule type="cellIs" dxfId="1342" priority="1255" operator="notEqual">
      <formula>0</formula>
    </cfRule>
  </conditionalFormatting>
  <conditionalFormatting sqref="E59">
    <cfRule type="cellIs" dxfId="1341" priority="1270" operator="equal">
      <formula>0</formula>
    </cfRule>
  </conditionalFormatting>
  <conditionalFormatting sqref="E59">
    <cfRule type="cellIs" dxfId="1340" priority="1269" operator="notEqual">
      <formula>0</formula>
    </cfRule>
  </conditionalFormatting>
  <conditionalFormatting sqref="E60">
    <cfRule type="cellIs" dxfId="1339" priority="1268" operator="equal">
      <formula>0</formula>
    </cfRule>
  </conditionalFormatting>
  <conditionalFormatting sqref="E60">
    <cfRule type="cellIs" dxfId="1338" priority="1267" operator="notEqual">
      <formula>0</formula>
    </cfRule>
  </conditionalFormatting>
  <conditionalFormatting sqref="F57">
    <cfRule type="cellIs" dxfId="1337" priority="1282" operator="equal">
      <formula>0</formula>
    </cfRule>
  </conditionalFormatting>
  <conditionalFormatting sqref="F57">
    <cfRule type="cellIs" dxfId="1336" priority="1281" operator="notEqual">
      <formula>0</formula>
    </cfRule>
  </conditionalFormatting>
  <conditionalFormatting sqref="F58">
    <cfRule type="cellIs" dxfId="1335" priority="1280" operator="equal">
      <formula>0</formula>
    </cfRule>
  </conditionalFormatting>
  <conditionalFormatting sqref="F58">
    <cfRule type="cellIs" dxfId="1334" priority="1279" operator="notEqual">
      <formula>0</formula>
    </cfRule>
  </conditionalFormatting>
  <conditionalFormatting sqref="G55">
    <cfRule type="cellIs" dxfId="1333" priority="1294" operator="equal">
      <formula>0</formula>
    </cfRule>
  </conditionalFormatting>
  <conditionalFormatting sqref="G55">
    <cfRule type="cellIs" dxfId="1332" priority="1293" operator="notEqual">
      <formula>0</formula>
    </cfRule>
  </conditionalFormatting>
  <conditionalFormatting sqref="G56">
    <cfRule type="cellIs" dxfId="1331" priority="1292" operator="equal">
      <formula>0</formula>
    </cfRule>
  </conditionalFormatting>
  <conditionalFormatting sqref="G56">
    <cfRule type="cellIs" dxfId="1330" priority="1291" operator="notEqual">
      <formula>0</formula>
    </cfRule>
  </conditionalFormatting>
  <conditionalFormatting sqref="D55">
    <cfRule type="cellIs" dxfId="1329" priority="1306" operator="equal">
      <formula>0</formula>
    </cfRule>
  </conditionalFormatting>
  <conditionalFormatting sqref="D55">
    <cfRule type="cellIs" dxfId="1328" priority="1305" operator="notEqual">
      <formula>0</formula>
    </cfRule>
  </conditionalFormatting>
  <conditionalFormatting sqref="D56">
    <cfRule type="cellIs" dxfId="1327" priority="1304" operator="equal">
      <formula>0</formula>
    </cfRule>
  </conditionalFormatting>
  <conditionalFormatting sqref="D56">
    <cfRule type="cellIs" dxfId="1326" priority="1303" operator="notEqual">
      <formula>0</formula>
    </cfRule>
  </conditionalFormatting>
  <conditionalFormatting sqref="F53">
    <cfRule type="cellIs" dxfId="1325" priority="1314" operator="equal">
      <formula>0</formula>
    </cfRule>
  </conditionalFormatting>
  <conditionalFormatting sqref="F53">
    <cfRule type="cellIs" dxfId="1324" priority="1313" operator="notEqual">
      <formula>0</formula>
    </cfRule>
  </conditionalFormatting>
  <conditionalFormatting sqref="F52">
    <cfRule type="cellIs" dxfId="1323" priority="1328" operator="equal">
      <formula>0</formula>
    </cfRule>
  </conditionalFormatting>
  <conditionalFormatting sqref="F52">
    <cfRule type="cellIs" dxfId="1322" priority="1327" operator="notEqual">
      <formula>0</formula>
    </cfRule>
  </conditionalFormatting>
  <conditionalFormatting sqref="G51">
    <cfRule type="cellIs" dxfId="1321" priority="1326" operator="equal">
      <formula>0</formula>
    </cfRule>
  </conditionalFormatting>
  <conditionalFormatting sqref="G51">
    <cfRule type="cellIs" dxfId="1320" priority="1325" operator="notEqual">
      <formula>0</formula>
    </cfRule>
  </conditionalFormatting>
  <conditionalFormatting sqref="G50">
    <cfRule type="cellIs" dxfId="1319" priority="1340" operator="equal">
      <formula>0</formula>
    </cfRule>
  </conditionalFormatting>
  <conditionalFormatting sqref="G50">
    <cfRule type="cellIs" dxfId="1318" priority="1339" operator="notEqual">
      <formula>0</formula>
    </cfRule>
  </conditionalFormatting>
  <conditionalFormatting sqref="D51">
    <cfRule type="cellIs" dxfId="1317" priority="1338" operator="equal">
      <formula>0</formula>
    </cfRule>
  </conditionalFormatting>
  <conditionalFormatting sqref="D51">
    <cfRule type="cellIs" dxfId="1316" priority="1337" operator="notEqual">
      <formula>0</formula>
    </cfRule>
  </conditionalFormatting>
  <conditionalFormatting sqref="D50">
    <cfRule type="cellIs" dxfId="1315" priority="1352" operator="equal">
      <formula>0</formula>
    </cfRule>
  </conditionalFormatting>
  <conditionalFormatting sqref="D50">
    <cfRule type="cellIs" dxfId="1314" priority="1351" operator="notEqual">
      <formula>0</formula>
    </cfRule>
  </conditionalFormatting>
  <conditionalFormatting sqref="E49">
    <cfRule type="cellIs" dxfId="1313" priority="1350" operator="equal">
      <formula>0</formula>
    </cfRule>
  </conditionalFormatting>
  <conditionalFormatting sqref="E49">
    <cfRule type="cellIs" dxfId="1312" priority="1349" operator="notEqual">
      <formula>0</formula>
    </cfRule>
  </conditionalFormatting>
  <conditionalFormatting sqref="E48">
    <cfRule type="cellIs" dxfId="1311" priority="1364" operator="equal">
      <formula>0</formula>
    </cfRule>
  </conditionalFormatting>
  <conditionalFormatting sqref="E48">
    <cfRule type="cellIs" dxfId="1310" priority="1363" operator="notEqual">
      <formula>0</formula>
    </cfRule>
  </conditionalFormatting>
  <conditionalFormatting sqref="F47">
    <cfRule type="cellIs" dxfId="1309" priority="1362" operator="equal">
      <formula>0</formula>
    </cfRule>
  </conditionalFormatting>
  <conditionalFormatting sqref="F47">
    <cfRule type="cellIs" dxfId="1308" priority="1361" operator="notEqual">
      <formula>0</formula>
    </cfRule>
  </conditionalFormatting>
  <conditionalFormatting sqref="F46">
    <cfRule type="cellIs" dxfId="1307" priority="1376" operator="equal">
      <formula>0</formula>
    </cfRule>
  </conditionalFormatting>
  <conditionalFormatting sqref="F46">
    <cfRule type="cellIs" dxfId="1306" priority="1375" operator="notEqual">
      <formula>0</formula>
    </cfRule>
  </conditionalFormatting>
  <conditionalFormatting sqref="G45">
    <cfRule type="cellIs" dxfId="1305" priority="1374" operator="equal">
      <formula>0</formula>
    </cfRule>
  </conditionalFormatting>
  <conditionalFormatting sqref="G45">
    <cfRule type="cellIs" dxfId="1304" priority="1373" operator="notEqual">
      <formula>0</formula>
    </cfRule>
  </conditionalFormatting>
  <conditionalFormatting sqref="G44">
    <cfRule type="cellIs" dxfId="1303" priority="1388" operator="equal">
      <formula>0</formula>
    </cfRule>
  </conditionalFormatting>
  <conditionalFormatting sqref="G44">
    <cfRule type="cellIs" dxfId="1302" priority="1387" operator="notEqual">
      <formula>0</formula>
    </cfRule>
  </conditionalFormatting>
  <conditionalFormatting sqref="E43">
    <cfRule type="cellIs" dxfId="1301" priority="1398" operator="equal">
      <formula>0</formula>
    </cfRule>
  </conditionalFormatting>
  <conditionalFormatting sqref="E43">
    <cfRule type="cellIs" dxfId="1300" priority="1397" operator="notEqual">
      <formula>0</formula>
    </cfRule>
  </conditionalFormatting>
  <conditionalFormatting sqref="E42">
    <cfRule type="cellIs" dxfId="1299" priority="1412" operator="equal">
      <formula>0</formula>
    </cfRule>
  </conditionalFormatting>
  <conditionalFormatting sqref="E42">
    <cfRule type="cellIs" dxfId="1298" priority="1411" operator="notEqual">
      <formula>0</formula>
    </cfRule>
  </conditionalFormatting>
  <conditionalFormatting sqref="F41">
    <cfRule type="cellIs" dxfId="1297" priority="1410" operator="equal">
      <formula>0</formula>
    </cfRule>
  </conditionalFormatting>
  <conditionalFormatting sqref="F41">
    <cfRule type="cellIs" dxfId="1296" priority="1409" operator="notEqual">
      <formula>0</formula>
    </cfRule>
  </conditionalFormatting>
  <conditionalFormatting sqref="F38">
    <cfRule type="cellIs" dxfId="1295" priority="1424" operator="equal">
      <formula>0</formula>
    </cfRule>
  </conditionalFormatting>
  <conditionalFormatting sqref="F38">
    <cfRule type="cellIs" dxfId="1294" priority="1423" operator="notEqual">
      <formula>0</formula>
    </cfRule>
  </conditionalFormatting>
  <conditionalFormatting sqref="G37">
    <cfRule type="cellIs" dxfId="1293" priority="1422" operator="equal">
      <formula>0</formula>
    </cfRule>
  </conditionalFormatting>
  <conditionalFormatting sqref="G37">
    <cfRule type="cellIs" dxfId="1292" priority="1421" operator="notEqual">
      <formula>0</formula>
    </cfRule>
  </conditionalFormatting>
  <conditionalFormatting sqref="G36">
    <cfRule type="cellIs" dxfId="1291" priority="1436" operator="equal">
      <formula>0</formula>
    </cfRule>
  </conditionalFormatting>
  <conditionalFormatting sqref="G36">
    <cfRule type="cellIs" dxfId="1290" priority="1435" operator="notEqual">
      <formula>0</formula>
    </cfRule>
  </conditionalFormatting>
  <conditionalFormatting sqref="D37">
    <cfRule type="cellIs" dxfId="1289" priority="1434" operator="equal">
      <formula>0</formula>
    </cfRule>
  </conditionalFormatting>
  <conditionalFormatting sqref="D37">
    <cfRule type="cellIs" dxfId="1288" priority="1433" operator="notEqual">
      <formula>0</formula>
    </cfRule>
  </conditionalFormatting>
  <conditionalFormatting sqref="D36">
    <cfRule type="cellIs" dxfId="1287" priority="1448" operator="equal">
      <formula>0</formula>
    </cfRule>
  </conditionalFormatting>
  <conditionalFormatting sqref="D36">
    <cfRule type="cellIs" dxfId="1286" priority="1447" operator="notEqual">
      <formula>0</formula>
    </cfRule>
  </conditionalFormatting>
  <conditionalFormatting sqref="E35">
    <cfRule type="cellIs" dxfId="1285" priority="1446" operator="equal">
      <formula>0</formula>
    </cfRule>
  </conditionalFormatting>
  <conditionalFormatting sqref="E35">
    <cfRule type="cellIs" dxfId="1284" priority="1445" operator="notEqual">
      <formula>0</formula>
    </cfRule>
  </conditionalFormatting>
  <conditionalFormatting sqref="E34">
    <cfRule type="cellIs" dxfId="1283" priority="1460" operator="equal">
      <formula>0</formula>
    </cfRule>
  </conditionalFormatting>
  <conditionalFormatting sqref="E34">
    <cfRule type="cellIs" dxfId="1282" priority="1459" operator="notEqual">
      <formula>0</formula>
    </cfRule>
  </conditionalFormatting>
  <conditionalFormatting sqref="F33">
    <cfRule type="cellIs" dxfId="1281" priority="1458" operator="equal">
      <formula>0</formula>
    </cfRule>
  </conditionalFormatting>
  <conditionalFormatting sqref="F33">
    <cfRule type="cellIs" dxfId="1280" priority="1457" operator="notEqual">
      <formula>0</formula>
    </cfRule>
  </conditionalFormatting>
  <conditionalFormatting sqref="F32">
    <cfRule type="cellIs" dxfId="1279" priority="1472" operator="equal">
      <formula>0</formula>
    </cfRule>
  </conditionalFormatting>
  <conditionalFormatting sqref="F32">
    <cfRule type="cellIs" dxfId="1278" priority="1471" operator="notEqual">
      <formula>0</formula>
    </cfRule>
  </conditionalFormatting>
  <conditionalFormatting sqref="E29">
    <cfRule type="cellIs" dxfId="1277" priority="1494" operator="equal">
      <formula>0</formula>
    </cfRule>
  </conditionalFormatting>
  <conditionalFormatting sqref="E29">
    <cfRule type="cellIs" dxfId="1276" priority="1493" operator="notEqual">
      <formula>0</formula>
    </cfRule>
  </conditionalFormatting>
  <conditionalFormatting sqref="E24">
    <cfRule type="cellIs" dxfId="1275" priority="1508" operator="equal">
      <formula>0</formula>
    </cfRule>
  </conditionalFormatting>
  <conditionalFormatting sqref="E24">
    <cfRule type="cellIs" dxfId="1274" priority="1507" operator="notEqual">
      <formula>0</formula>
    </cfRule>
  </conditionalFormatting>
  <conditionalFormatting sqref="D59">
    <cfRule type="cellIs" dxfId="1273" priority="1274" operator="equal">
      <formula>0</formula>
    </cfRule>
  </conditionalFormatting>
  <conditionalFormatting sqref="D59">
    <cfRule type="cellIs" dxfId="1272" priority="1273" operator="notEqual">
      <formula>0</formula>
    </cfRule>
  </conditionalFormatting>
  <conditionalFormatting sqref="D58">
    <cfRule type="cellIs" dxfId="1271" priority="1288" operator="equal">
      <formula>0</formula>
    </cfRule>
  </conditionalFormatting>
  <conditionalFormatting sqref="D58">
    <cfRule type="cellIs" dxfId="1270" priority="1287" operator="notEqual">
      <formula>0</formula>
    </cfRule>
  </conditionalFormatting>
  <conditionalFormatting sqref="G21">
    <cfRule type="cellIs" dxfId="1269" priority="1518" operator="equal">
      <formula>0</formula>
    </cfRule>
  </conditionalFormatting>
  <conditionalFormatting sqref="G21">
    <cfRule type="cellIs" dxfId="1268" priority="1517" operator="notEqual">
      <formula>0</formula>
    </cfRule>
  </conditionalFormatting>
  <conditionalFormatting sqref="D21">
    <cfRule type="cellIs" dxfId="1267" priority="1530" operator="equal">
      <formula>0</formula>
    </cfRule>
  </conditionalFormatting>
  <conditionalFormatting sqref="D21">
    <cfRule type="cellIs" dxfId="1266" priority="1529" operator="notEqual">
      <formula>0</formula>
    </cfRule>
  </conditionalFormatting>
  <conditionalFormatting sqref="F54">
    <cfRule type="cellIs" dxfId="1265" priority="1312" operator="equal">
      <formula>0</formula>
    </cfRule>
  </conditionalFormatting>
  <conditionalFormatting sqref="F54">
    <cfRule type="cellIs" dxfId="1264" priority="1311" operator="notEqual">
      <formula>0</formula>
    </cfRule>
  </conditionalFormatting>
  <conditionalFormatting sqref="G53">
    <cfRule type="cellIs" dxfId="1263" priority="1310" operator="equal">
      <formula>0</formula>
    </cfRule>
  </conditionalFormatting>
  <conditionalFormatting sqref="G53">
    <cfRule type="cellIs" dxfId="1262" priority="1309" operator="notEqual">
      <formula>0</formula>
    </cfRule>
  </conditionalFormatting>
  <conditionalFormatting sqref="G52">
    <cfRule type="cellIs" dxfId="1261" priority="1324" operator="equal">
      <formula>0</formula>
    </cfRule>
  </conditionalFormatting>
  <conditionalFormatting sqref="G52">
    <cfRule type="cellIs" dxfId="1260" priority="1323" operator="notEqual">
      <formula>0</formula>
    </cfRule>
  </conditionalFormatting>
  <conditionalFormatting sqref="D53">
    <cfRule type="cellIs" dxfId="1259" priority="1322" operator="equal">
      <formula>0</formula>
    </cfRule>
  </conditionalFormatting>
  <conditionalFormatting sqref="D53">
    <cfRule type="cellIs" dxfId="1258" priority="1321" operator="notEqual">
      <formula>0</formula>
    </cfRule>
  </conditionalFormatting>
  <conditionalFormatting sqref="D52">
    <cfRule type="cellIs" dxfId="1257" priority="1336" operator="equal">
      <formula>0</formula>
    </cfRule>
  </conditionalFormatting>
  <conditionalFormatting sqref="D52">
    <cfRule type="cellIs" dxfId="1256" priority="1335" operator="notEqual">
      <formula>0</formula>
    </cfRule>
  </conditionalFormatting>
  <conditionalFormatting sqref="E51">
    <cfRule type="cellIs" dxfId="1255" priority="1334" operator="equal">
      <formula>0</formula>
    </cfRule>
  </conditionalFormatting>
  <conditionalFormatting sqref="E51">
    <cfRule type="cellIs" dxfId="1254" priority="1333" operator="notEqual">
      <formula>0</formula>
    </cfRule>
  </conditionalFormatting>
  <conditionalFormatting sqref="E50">
    <cfRule type="cellIs" dxfId="1253" priority="1348" operator="equal">
      <formula>0</formula>
    </cfRule>
  </conditionalFormatting>
  <conditionalFormatting sqref="E50">
    <cfRule type="cellIs" dxfId="1252" priority="1347" operator="notEqual">
      <formula>0</formula>
    </cfRule>
  </conditionalFormatting>
  <conditionalFormatting sqref="F49">
    <cfRule type="cellIs" dxfId="1251" priority="1346" operator="equal">
      <formula>0</formula>
    </cfRule>
  </conditionalFormatting>
  <conditionalFormatting sqref="F49">
    <cfRule type="cellIs" dxfId="1250" priority="1345" operator="notEqual">
      <formula>0</formula>
    </cfRule>
  </conditionalFormatting>
  <conditionalFormatting sqref="F48">
    <cfRule type="cellIs" dxfId="1249" priority="1360" operator="equal">
      <formula>0</formula>
    </cfRule>
  </conditionalFormatting>
  <conditionalFormatting sqref="F48">
    <cfRule type="cellIs" dxfId="1248" priority="1359" operator="notEqual">
      <formula>0</formula>
    </cfRule>
  </conditionalFormatting>
  <conditionalFormatting sqref="D47">
    <cfRule type="cellIs" dxfId="1247" priority="1370" operator="equal">
      <formula>0</formula>
    </cfRule>
  </conditionalFormatting>
  <conditionalFormatting sqref="D47">
    <cfRule type="cellIs" dxfId="1246" priority="1369" operator="notEqual">
      <formula>0</formula>
    </cfRule>
  </conditionalFormatting>
  <conditionalFormatting sqref="D46">
    <cfRule type="cellIs" dxfId="1245" priority="1384" operator="equal">
      <formula>0</formula>
    </cfRule>
  </conditionalFormatting>
  <conditionalFormatting sqref="D46">
    <cfRule type="cellIs" dxfId="1244" priority="1383" operator="notEqual">
      <formula>0</formula>
    </cfRule>
  </conditionalFormatting>
  <conditionalFormatting sqref="E45">
    <cfRule type="cellIs" dxfId="1243" priority="1382" operator="equal">
      <formula>0</formula>
    </cfRule>
  </conditionalFormatting>
  <conditionalFormatting sqref="E45">
    <cfRule type="cellIs" dxfId="1242" priority="1381" operator="notEqual">
      <formula>0</formula>
    </cfRule>
  </conditionalFormatting>
  <conditionalFormatting sqref="E44">
    <cfRule type="cellIs" dxfId="1241" priority="1396" operator="equal">
      <formula>0</formula>
    </cfRule>
  </conditionalFormatting>
  <conditionalFormatting sqref="E44">
    <cfRule type="cellIs" dxfId="1240" priority="1395" operator="notEqual">
      <formula>0</formula>
    </cfRule>
  </conditionalFormatting>
  <conditionalFormatting sqref="F43">
    <cfRule type="cellIs" dxfId="1239" priority="1394" operator="equal">
      <formula>0</formula>
    </cfRule>
  </conditionalFormatting>
  <conditionalFormatting sqref="F43">
    <cfRule type="cellIs" dxfId="1238" priority="1393" operator="notEqual">
      <formula>0</formula>
    </cfRule>
  </conditionalFormatting>
  <conditionalFormatting sqref="F42">
    <cfRule type="cellIs" dxfId="1237" priority="1408" operator="equal">
      <formula>0</formula>
    </cfRule>
  </conditionalFormatting>
  <conditionalFormatting sqref="F42">
    <cfRule type="cellIs" dxfId="1236" priority="1407" operator="notEqual">
      <formula>0</formula>
    </cfRule>
  </conditionalFormatting>
  <conditionalFormatting sqref="G41">
    <cfRule type="cellIs" dxfId="1235" priority="1406" operator="equal">
      <formula>0</formula>
    </cfRule>
  </conditionalFormatting>
  <conditionalFormatting sqref="G41">
    <cfRule type="cellIs" dxfId="1234" priority="1405" operator="notEqual">
      <formula>0</formula>
    </cfRule>
  </conditionalFormatting>
  <conditionalFormatting sqref="G38">
    <cfRule type="cellIs" dxfId="1233" priority="1420" operator="equal">
      <formula>0</formula>
    </cfRule>
  </conditionalFormatting>
  <conditionalFormatting sqref="G38">
    <cfRule type="cellIs" dxfId="1232" priority="1419" operator="notEqual">
      <formula>0</formula>
    </cfRule>
  </conditionalFormatting>
  <conditionalFormatting sqref="D41">
    <cfRule type="cellIs" dxfId="1231" priority="1418" operator="equal">
      <formula>0</formula>
    </cfRule>
  </conditionalFormatting>
  <conditionalFormatting sqref="D41">
    <cfRule type="cellIs" dxfId="1230" priority="1417" operator="notEqual">
      <formula>0</formula>
    </cfRule>
  </conditionalFormatting>
  <conditionalFormatting sqref="D38">
    <cfRule type="cellIs" dxfId="1229" priority="1432" operator="equal">
      <formula>0</formula>
    </cfRule>
  </conditionalFormatting>
  <conditionalFormatting sqref="D38">
    <cfRule type="cellIs" dxfId="1228" priority="1431" operator="notEqual">
      <formula>0</formula>
    </cfRule>
  </conditionalFormatting>
  <conditionalFormatting sqref="E36">
    <cfRule type="cellIs" dxfId="1227" priority="1444" operator="equal">
      <formula>0</formula>
    </cfRule>
  </conditionalFormatting>
  <conditionalFormatting sqref="E36">
    <cfRule type="cellIs" dxfId="1226" priority="1443" operator="notEqual">
      <formula>0</formula>
    </cfRule>
  </conditionalFormatting>
  <conditionalFormatting sqref="G33">
    <cfRule type="cellIs" dxfId="1225" priority="1454" operator="equal">
      <formula>0</formula>
    </cfRule>
  </conditionalFormatting>
  <conditionalFormatting sqref="G33">
    <cfRule type="cellIs" dxfId="1224" priority="1453" operator="notEqual">
      <formula>0</formula>
    </cfRule>
  </conditionalFormatting>
  <conditionalFormatting sqref="G32">
    <cfRule type="cellIs" dxfId="1223" priority="1468" operator="equal">
      <formula>0</formula>
    </cfRule>
  </conditionalFormatting>
  <conditionalFormatting sqref="G32">
    <cfRule type="cellIs" dxfId="1222" priority="1467" operator="notEqual">
      <formula>0</formula>
    </cfRule>
  </conditionalFormatting>
  <conditionalFormatting sqref="D33">
    <cfRule type="cellIs" dxfId="1221" priority="1466" operator="equal">
      <formula>0</formula>
    </cfRule>
  </conditionalFormatting>
  <conditionalFormatting sqref="D33">
    <cfRule type="cellIs" dxfId="1220" priority="1465" operator="notEqual">
      <formula>0</formula>
    </cfRule>
  </conditionalFormatting>
  <conditionalFormatting sqref="D32">
    <cfRule type="cellIs" dxfId="1219" priority="1480" operator="equal">
      <formula>0</formula>
    </cfRule>
  </conditionalFormatting>
  <conditionalFormatting sqref="D32">
    <cfRule type="cellIs" dxfId="1218" priority="1479" operator="notEqual">
      <formula>0</formula>
    </cfRule>
  </conditionalFormatting>
  <conditionalFormatting sqref="E31">
    <cfRule type="cellIs" dxfId="1217" priority="1478" operator="equal">
      <formula>0</formula>
    </cfRule>
  </conditionalFormatting>
  <conditionalFormatting sqref="E31">
    <cfRule type="cellIs" dxfId="1216" priority="1477" operator="notEqual">
      <formula>0</formula>
    </cfRule>
  </conditionalFormatting>
  <conditionalFormatting sqref="F29">
    <cfRule type="cellIs" dxfId="1215" priority="1490" operator="equal">
      <formula>0</formula>
    </cfRule>
  </conditionalFormatting>
  <conditionalFormatting sqref="F29">
    <cfRule type="cellIs" dxfId="1214" priority="1489" operator="notEqual">
      <formula>0</formula>
    </cfRule>
  </conditionalFormatting>
  <conditionalFormatting sqref="F24">
    <cfRule type="cellIs" dxfId="1213" priority="1504" operator="equal">
      <formula>0</formula>
    </cfRule>
  </conditionalFormatting>
  <conditionalFormatting sqref="F24">
    <cfRule type="cellIs" dxfId="1212" priority="1503" operator="notEqual">
      <formula>0</formula>
    </cfRule>
  </conditionalFormatting>
  <conditionalFormatting sqref="G23">
    <cfRule type="cellIs" dxfId="1211" priority="1502" operator="equal">
      <formula>0</formula>
    </cfRule>
  </conditionalFormatting>
  <conditionalFormatting sqref="G23">
    <cfRule type="cellIs" dxfId="1210" priority="1501" operator="notEqual">
      <formula>0</formula>
    </cfRule>
  </conditionalFormatting>
  <conditionalFormatting sqref="G22">
    <cfRule type="cellIs" dxfId="1209" priority="1516" operator="equal">
      <formula>0</formula>
    </cfRule>
  </conditionalFormatting>
  <conditionalFormatting sqref="G22">
    <cfRule type="cellIs" dxfId="1208" priority="1515" operator="notEqual">
      <formula>0</formula>
    </cfRule>
  </conditionalFormatting>
  <conditionalFormatting sqref="D23">
    <cfRule type="cellIs" dxfId="1207" priority="1514" operator="equal">
      <formula>0</formula>
    </cfRule>
  </conditionalFormatting>
  <conditionalFormatting sqref="D23">
    <cfRule type="cellIs" dxfId="1206" priority="1513" operator="notEqual">
      <formula>0</formula>
    </cfRule>
  </conditionalFormatting>
  <conditionalFormatting sqref="F30">
    <cfRule type="cellIs" dxfId="1205" priority="1488" operator="equal">
      <formula>0</formula>
    </cfRule>
  </conditionalFormatting>
  <conditionalFormatting sqref="F30">
    <cfRule type="cellIs" dxfId="1204" priority="1487" operator="notEqual">
      <formula>0</formula>
    </cfRule>
  </conditionalFormatting>
  <conditionalFormatting sqref="G29">
    <cfRule type="cellIs" dxfId="1203" priority="1486" operator="equal">
      <formula>0</formula>
    </cfRule>
  </conditionalFormatting>
  <conditionalFormatting sqref="G29">
    <cfRule type="cellIs" dxfId="1202" priority="1485" operator="notEqual">
      <formula>0</formula>
    </cfRule>
  </conditionalFormatting>
  <conditionalFormatting sqref="E32">
    <cfRule type="cellIs" dxfId="1201" priority="1476" operator="equal">
      <formula>0</formula>
    </cfRule>
  </conditionalFormatting>
  <conditionalFormatting sqref="E32">
    <cfRule type="cellIs" dxfId="1200" priority="1475" operator="notEqual">
      <formula>0</formula>
    </cfRule>
  </conditionalFormatting>
  <conditionalFormatting sqref="F31">
    <cfRule type="cellIs" dxfId="1199" priority="1474" operator="equal">
      <formula>0</formula>
    </cfRule>
  </conditionalFormatting>
  <conditionalFormatting sqref="F31">
    <cfRule type="cellIs" dxfId="1198" priority="1473" operator="notEqual">
      <formula>0</formula>
    </cfRule>
  </conditionalFormatting>
  <conditionalFormatting sqref="D34">
    <cfRule type="cellIs" dxfId="1197" priority="1464" operator="equal">
      <formula>0</formula>
    </cfRule>
  </conditionalFormatting>
  <conditionalFormatting sqref="D34">
    <cfRule type="cellIs" dxfId="1196" priority="1463" operator="notEqual">
      <formula>0</formula>
    </cfRule>
  </conditionalFormatting>
  <conditionalFormatting sqref="G34">
    <cfRule type="cellIs" dxfId="1195" priority="1452" operator="equal">
      <formula>0</formula>
    </cfRule>
  </conditionalFormatting>
  <conditionalFormatting sqref="G34">
    <cfRule type="cellIs" dxfId="1194" priority="1451" operator="notEqual">
      <formula>0</formula>
    </cfRule>
  </conditionalFormatting>
  <conditionalFormatting sqref="D35">
    <cfRule type="cellIs" dxfId="1193" priority="1450" operator="equal">
      <formula>0</formula>
    </cfRule>
  </conditionalFormatting>
  <conditionalFormatting sqref="D35">
    <cfRule type="cellIs" dxfId="1192" priority="1449" operator="notEqual">
      <formula>0</formula>
    </cfRule>
  </conditionalFormatting>
  <conditionalFormatting sqref="F36">
    <cfRule type="cellIs" dxfId="1191" priority="1440" operator="equal">
      <formula>0</formula>
    </cfRule>
  </conditionalFormatting>
  <conditionalFormatting sqref="F36">
    <cfRule type="cellIs" dxfId="1190" priority="1439" operator="notEqual">
      <formula>0</formula>
    </cfRule>
  </conditionalFormatting>
  <conditionalFormatting sqref="G35">
    <cfRule type="cellIs" dxfId="1189" priority="1438" operator="equal">
      <formula>0</formula>
    </cfRule>
  </conditionalFormatting>
  <conditionalFormatting sqref="G35">
    <cfRule type="cellIs" dxfId="1188" priority="1437" operator="notEqual">
      <formula>0</formula>
    </cfRule>
  </conditionalFormatting>
  <conditionalFormatting sqref="F37">
    <cfRule type="cellIs" dxfId="1187" priority="1426" operator="equal">
      <formula>0</formula>
    </cfRule>
  </conditionalFormatting>
  <conditionalFormatting sqref="F37">
    <cfRule type="cellIs" dxfId="1186" priority="1425" operator="notEqual">
      <formula>0</formula>
    </cfRule>
  </conditionalFormatting>
  <conditionalFormatting sqref="D42">
    <cfRule type="cellIs" dxfId="1185" priority="1416" operator="equal">
      <formula>0</formula>
    </cfRule>
  </conditionalFormatting>
  <conditionalFormatting sqref="D42">
    <cfRule type="cellIs" dxfId="1184" priority="1415" operator="notEqual">
      <formula>0</formula>
    </cfRule>
  </conditionalFormatting>
  <conditionalFormatting sqref="G42">
    <cfRule type="cellIs" dxfId="1183" priority="1404" operator="equal">
      <formula>0</formula>
    </cfRule>
  </conditionalFormatting>
  <conditionalFormatting sqref="G42">
    <cfRule type="cellIs" dxfId="1182" priority="1403" operator="notEqual">
      <formula>0</formula>
    </cfRule>
  </conditionalFormatting>
  <conditionalFormatting sqref="D43">
    <cfRule type="cellIs" dxfId="1181" priority="1402" operator="equal">
      <formula>0</formula>
    </cfRule>
  </conditionalFormatting>
  <conditionalFormatting sqref="D43">
    <cfRule type="cellIs" dxfId="1180" priority="1401" operator="notEqual">
      <formula>0</formula>
    </cfRule>
  </conditionalFormatting>
  <conditionalFormatting sqref="F44">
    <cfRule type="cellIs" dxfId="1179" priority="1392" operator="equal">
      <formula>0</formula>
    </cfRule>
  </conditionalFormatting>
  <conditionalFormatting sqref="F44">
    <cfRule type="cellIs" dxfId="1178" priority="1391" operator="notEqual">
      <formula>0</formula>
    </cfRule>
  </conditionalFormatting>
  <conditionalFormatting sqref="G43">
    <cfRule type="cellIs" dxfId="1177" priority="1390" operator="equal">
      <formula>0</formula>
    </cfRule>
  </conditionalFormatting>
  <conditionalFormatting sqref="G43">
    <cfRule type="cellIs" dxfId="1176" priority="1389" operator="notEqual">
      <formula>0</formula>
    </cfRule>
  </conditionalFormatting>
  <conditionalFormatting sqref="E46">
    <cfRule type="cellIs" dxfId="1175" priority="1380" operator="equal">
      <formula>0</formula>
    </cfRule>
  </conditionalFormatting>
  <conditionalFormatting sqref="E46">
    <cfRule type="cellIs" dxfId="1174" priority="1379" operator="notEqual">
      <formula>0</formula>
    </cfRule>
  </conditionalFormatting>
  <conditionalFormatting sqref="F45">
    <cfRule type="cellIs" dxfId="1173" priority="1378" operator="equal">
      <formula>0</formula>
    </cfRule>
  </conditionalFormatting>
  <conditionalFormatting sqref="F45">
    <cfRule type="cellIs" dxfId="1172" priority="1377" operator="notEqual">
      <formula>0</formula>
    </cfRule>
  </conditionalFormatting>
  <conditionalFormatting sqref="D48">
    <cfRule type="cellIs" dxfId="1171" priority="1368" operator="equal">
      <formula>0</formula>
    </cfRule>
  </conditionalFormatting>
  <conditionalFormatting sqref="D48">
    <cfRule type="cellIs" dxfId="1170" priority="1367" operator="notEqual">
      <formula>0</formula>
    </cfRule>
  </conditionalFormatting>
  <conditionalFormatting sqref="E47">
    <cfRule type="cellIs" dxfId="1169" priority="1366" operator="equal">
      <formula>0</formula>
    </cfRule>
  </conditionalFormatting>
  <conditionalFormatting sqref="E47">
    <cfRule type="cellIs" dxfId="1168" priority="1365" operator="notEqual">
      <formula>0</formula>
    </cfRule>
  </conditionalFormatting>
  <conditionalFormatting sqref="G48">
    <cfRule type="cellIs" dxfId="1167" priority="1356" operator="equal">
      <formula>0</formula>
    </cfRule>
  </conditionalFormatting>
  <conditionalFormatting sqref="G48">
    <cfRule type="cellIs" dxfId="1166" priority="1355" operator="notEqual">
      <formula>0</formula>
    </cfRule>
  </conditionalFormatting>
  <conditionalFormatting sqref="D49">
    <cfRule type="cellIs" dxfId="1165" priority="1354" operator="equal">
      <formula>0</formula>
    </cfRule>
  </conditionalFormatting>
  <conditionalFormatting sqref="D49">
    <cfRule type="cellIs" dxfId="1164" priority="1353" operator="notEqual">
      <formula>0</formula>
    </cfRule>
  </conditionalFormatting>
  <conditionalFormatting sqref="G49">
    <cfRule type="cellIs" dxfId="1163" priority="1342" operator="equal">
      <formula>0</formula>
    </cfRule>
  </conditionalFormatting>
  <conditionalFormatting sqref="G49">
    <cfRule type="cellIs" dxfId="1162" priority="1341" operator="notEqual">
      <formula>0</formula>
    </cfRule>
  </conditionalFormatting>
  <conditionalFormatting sqref="G232 G234 G236 G238 G240 G242 G244 G246 G248 G250 G252 G254 G256 G258 G260 G262 G264">
    <cfRule type="cellIs" dxfId="1161" priority="412" operator="equal">
      <formula>0</formula>
    </cfRule>
  </conditionalFormatting>
  <conditionalFormatting sqref="G232 G234 G236 G238 G240 G242 G244 G246 G248 G250 G252 G254 G256 G258 G260 G262 G264">
    <cfRule type="cellIs" dxfId="1160" priority="411" operator="notEqual">
      <formula>0</formula>
    </cfRule>
  </conditionalFormatting>
  <conditionalFormatting sqref="D267 D269 D271 D273 D275 D277">
    <cfRule type="cellIs" dxfId="1159" priority="410" operator="equal">
      <formula>0</formula>
    </cfRule>
  </conditionalFormatting>
  <conditionalFormatting sqref="D267 D269 D271 D273 D275 D277">
    <cfRule type="cellIs" dxfId="1158" priority="409" operator="notEqual">
      <formula>0</formula>
    </cfRule>
  </conditionalFormatting>
  <conditionalFormatting sqref="D284 D286 D288 D290">
    <cfRule type="cellIs" dxfId="1157" priority="392" operator="equal">
      <formula>0</formula>
    </cfRule>
  </conditionalFormatting>
  <conditionalFormatting sqref="D284 D286 D288 D290">
    <cfRule type="cellIs" dxfId="1156" priority="391" operator="notEqual">
      <formula>0</formula>
    </cfRule>
  </conditionalFormatting>
  <conditionalFormatting sqref="E283 E285 E287 E289">
    <cfRule type="cellIs" dxfId="1155" priority="390" operator="equal">
      <formula>0</formula>
    </cfRule>
  </conditionalFormatting>
  <conditionalFormatting sqref="E283 E285 E287 E289">
    <cfRule type="cellIs" dxfId="1154" priority="389" operator="notEqual">
      <formula>0</formula>
    </cfRule>
  </conditionalFormatting>
  <conditionalFormatting sqref="E294 E296 E298 E300 E302">
    <cfRule type="cellIs" dxfId="1153" priority="372" operator="equal">
      <formula>0</formula>
    </cfRule>
  </conditionalFormatting>
  <conditionalFormatting sqref="E294 E296 E298 E300 E302">
    <cfRule type="cellIs" dxfId="1152" priority="371" operator="notEqual">
      <formula>0</formula>
    </cfRule>
  </conditionalFormatting>
  <conditionalFormatting sqref="F293 F295 F297 F299 F301">
    <cfRule type="cellIs" dxfId="1151" priority="370" operator="equal">
      <formula>0</formula>
    </cfRule>
  </conditionalFormatting>
  <conditionalFormatting sqref="F293 F295 F297 F299 F301">
    <cfRule type="cellIs" dxfId="1150" priority="369" operator="notEqual">
      <formula>0</formula>
    </cfRule>
  </conditionalFormatting>
  <conditionalFormatting sqref="F308 F310 F312 F314">
    <cfRule type="cellIs" dxfId="1149" priority="352" operator="equal">
      <formula>0</formula>
    </cfRule>
  </conditionalFormatting>
  <conditionalFormatting sqref="F308 F310 F312 F314">
    <cfRule type="cellIs" dxfId="1148" priority="351" operator="notEqual">
      <formula>0</formula>
    </cfRule>
  </conditionalFormatting>
  <conditionalFormatting sqref="G307 G309 G311 G313">
    <cfRule type="cellIs" dxfId="1147" priority="350" operator="equal">
      <formula>0</formula>
    </cfRule>
  </conditionalFormatting>
  <conditionalFormatting sqref="G307 G309 G311 G313">
    <cfRule type="cellIs" dxfId="1146" priority="349" operator="notEqual">
      <formula>0</formula>
    </cfRule>
  </conditionalFormatting>
  <conditionalFormatting sqref="G322 G324 G326 G328">
    <cfRule type="cellIs" dxfId="1145" priority="332" operator="equal">
      <formula>0</formula>
    </cfRule>
  </conditionalFormatting>
  <conditionalFormatting sqref="G322 G324 G326 G328">
    <cfRule type="cellIs" dxfId="1144" priority="331" operator="notEqual">
      <formula>0</formula>
    </cfRule>
  </conditionalFormatting>
  <conditionalFormatting sqref="D331 D333 D335 D337 D339 D341 D343 D345 D347 D349 D351 D353 D355 D357 D359">
    <cfRule type="cellIs" dxfId="1143" priority="330" operator="equal">
      <formula>0</formula>
    </cfRule>
  </conditionalFormatting>
  <conditionalFormatting sqref="D331 D333 D335 D337 D339 D341 D343 D345 D347 D349 D351 D353 D355 D357 D359">
    <cfRule type="cellIs" dxfId="1142" priority="329" operator="notEqual">
      <formula>0</formula>
    </cfRule>
  </conditionalFormatting>
  <conditionalFormatting sqref="D368 D370 D372 D374 D376 D378 D380 D382">
    <cfRule type="cellIs" dxfId="1141" priority="312" operator="equal">
      <formula>0</formula>
    </cfRule>
  </conditionalFormatting>
  <conditionalFormatting sqref="D368 D370 D372 D374 D376 D378 D380 D382">
    <cfRule type="cellIs" dxfId="1140" priority="311" operator="notEqual">
      <formula>0</formula>
    </cfRule>
  </conditionalFormatting>
  <conditionalFormatting sqref="E367 E369 E371 E373 E375 E377 E379 E381">
    <cfRule type="cellIs" dxfId="1139" priority="310" operator="equal">
      <formula>0</formula>
    </cfRule>
  </conditionalFormatting>
  <conditionalFormatting sqref="E367 E369 E371 E373 E375 E377 E379 E381">
    <cfRule type="cellIs" dxfId="1138" priority="309" operator="notEqual">
      <formula>0</formula>
    </cfRule>
  </conditionalFormatting>
  <conditionalFormatting sqref="E398">
    <cfRule type="cellIs" dxfId="1137" priority="276" operator="equal">
      <formula>0</formula>
    </cfRule>
  </conditionalFormatting>
  <conditionalFormatting sqref="E398">
    <cfRule type="cellIs" dxfId="1136" priority="275" operator="notEqual">
      <formula>0</formula>
    </cfRule>
  </conditionalFormatting>
  <conditionalFormatting sqref="F397">
    <cfRule type="cellIs" dxfId="1135" priority="274" operator="equal">
      <formula>0</formula>
    </cfRule>
  </conditionalFormatting>
  <conditionalFormatting sqref="F397">
    <cfRule type="cellIs" dxfId="1134" priority="273" operator="notEqual">
      <formula>0</formula>
    </cfRule>
  </conditionalFormatting>
  <conditionalFormatting sqref="G415 G417">
    <cfRule type="cellIs" dxfId="1133" priority="238" operator="equal">
      <formula>0</formula>
    </cfRule>
  </conditionalFormatting>
  <conditionalFormatting sqref="G415 G417">
    <cfRule type="cellIs" dxfId="1132" priority="237" operator="notEqual">
      <formula>0</formula>
    </cfRule>
  </conditionalFormatting>
  <conditionalFormatting sqref="G416 G418">
    <cfRule type="cellIs" dxfId="1131" priority="236" operator="equal">
      <formula>0</formula>
    </cfRule>
  </conditionalFormatting>
  <conditionalFormatting sqref="G416 G418">
    <cfRule type="cellIs" dxfId="1130" priority="235" operator="notEqual">
      <formula>0</formula>
    </cfRule>
  </conditionalFormatting>
  <conditionalFormatting sqref="E9:E10">
    <cfRule type="cellIs" dxfId="1129" priority="1580" operator="equal">
      <formula>0</formula>
    </cfRule>
  </conditionalFormatting>
  <conditionalFormatting sqref="F9:F10">
    <cfRule type="cellIs" dxfId="1128" priority="1579" operator="equal">
      <formula>0</formula>
    </cfRule>
  </conditionalFormatting>
  <conditionalFormatting sqref="G9:G10">
    <cfRule type="cellIs" dxfId="1127" priority="1578" operator="equal">
      <formula>0</formula>
    </cfRule>
  </conditionalFormatting>
  <conditionalFormatting sqref="D9:G10">
    <cfRule type="cellIs" dxfId="1126" priority="1577" operator="equal">
      <formula>0</formula>
    </cfRule>
  </conditionalFormatting>
  <conditionalFormatting sqref="C12">
    <cfRule type="cellIs" dxfId="1125" priority="1576" operator="equal">
      <formula>0</formula>
    </cfRule>
  </conditionalFormatting>
  <conditionalFormatting sqref="D12">
    <cfRule type="cellIs" dxfId="1124" priority="1574" operator="equal">
      <formula>0</formula>
    </cfRule>
  </conditionalFormatting>
  <conditionalFormatting sqref="E11:G11">
    <cfRule type="cellIs" dxfId="1123" priority="1573" operator="equal">
      <formula>0</formula>
    </cfRule>
  </conditionalFormatting>
  <conditionalFormatting sqref="E12:G12">
    <cfRule type="cellIs" dxfId="1122" priority="1572" operator="equal">
      <formula>0</formula>
    </cfRule>
  </conditionalFormatting>
  <conditionalFormatting sqref="D13">
    <cfRule type="cellIs" dxfId="1121" priority="1571" operator="equal">
      <formula>0</formula>
    </cfRule>
  </conditionalFormatting>
  <conditionalFormatting sqref="D13">
    <cfRule type="cellIs" dxfId="1120" priority="1570" operator="notEqual">
      <formula>0</formula>
    </cfRule>
  </conditionalFormatting>
  <conditionalFormatting sqref="D14">
    <cfRule type="cellIs" dxfId="1119" priority="1569" operator="equal">
      <formula>0</formula>
    </cfRule>
  </conditionalFormatting>
  <conditionalFormatting sqref="D14">
    <cfRule type="cellIs" dxfId="1118" priority="1568" operator="notEqual">
      <formula>0</formula>
    </cfRule>
  </conditionalFormatting>
  <conditionalFormatting sqref="E13">
    <cfRule type="cellIs" dxfId="1117" priority="1567" operator="equal">
      <formula>0</formula>
    </cfRule>
  </conditionalFormatting>
  <conditionalFormatting sqref="E13">
    <cfRule type="cellIs" dxfId="1116" priority="1566" operator="notEqual">
      <formula>0</formula>
    </cfRule>
  </conditionalFormatting>
  <conditionalFormatting sqref="E14">
    <cfRule type="cellIs" dxfId="1115" priority="1565" operator="equal">
      <formula>0</formula>
    </cfRule>
  </conditionalFormatting>
  <conditionalFormatting sqref="E14">
    <cfRule type="cellIs" dxfId="1114" priority="1564" operator="notEqual">
      <formula>0</formula>
    </cfRule>
  </conditionalFormatting>
  <conditionalFormatting sqref="F13">
    <cfRule type="cellIs" dxfId="1113" priority="1563" operator="equal">
      <formula>0</formula>
    </cfRule>
  </conditionalFormatting>
  <conditionalFormatting sqref="F13">
    <cfRule type="cellIs" dxfId="1112" priority="1562" operator="notEqual">
      <formula>0</formula>
    </cfRule>
  </conditionalFormatting>
  <conditionalFormatting sqref="F14">
    <cfRule type="cellIs" dxfId="1111" priority="1561" operator="equal">
      <formula>0</formula>
    </cfRule>
  </conditionalFormatting>
  <conditionalFormatting sqref="F14">
    <cfRule type="cellIs" dxfId="1110" priority="1560" operator="notEqual">
      <formula>0</formula>
    </cfRule>
  </conditionalFormatting>
  <conditionalFormatting sqref="G13">
    <cfRule type="cellIs" dxfId="1109" priority="1559" operator="equal">
      <formula>0</formula>
    </cfRule>
  </conditionalFormatting>
  <conditionalFormatting sqref="G13">
    <cfRule type="cellIs" dxfId="1108" priority="1558" operator="notEqual">
      <formula>0</formula>
    </cfRule>
  </conditionalFormatting>
  <conditionalFormatting sqref="G14">
    <cfRule type="cellIs" dxfId="1107" priority="1557" operator="equal">
      <formula>0</formula>
    </cfRule>
  </conditionalFormatting>
  <conditionalFormatting sqref="G14">
    <cfRule type="cellIs" dxfId="1106" priority="1556" operator="notEqual">
      <formula>0</formula>
    </cfRule>
  </conditionalFormatting>
  <conditionalFormatting sqref="E15:E16">
    <cfRule type="cellIs" dxfId="1105" priority="1555" operator="equal">
      <formula>0</formula>
    </cfRule>
  </conditionalFormatting>
  <conditionalFormatting sqref="F15:F16">
    <cfRule type="cellIs" dxfId="1104" priority="1554" operator="equal">
      <formula>0</formula>
    </cfRule>
  </conditionalFormatting>
  <conditionalFormatting sqref="G15:G16">
    <cfRule type="cellIs" dxfId="1103" priority="1553" operator="equal">
      <formula>0</formula>
    </cfRule>
  </conditionalFormatting>
  <conditionalFormatting sqref="D15:G16">
    <cfRule type="cellIs" dxfId="1102" priority="1552" operator="equal">
      <formula>0</formula>
    </cfRule>
  </conditionalFormatting>
  <conditionalFormatting sqref="C18">
    <cfRule type="cellIs" dxfId="1101" priority="1551" operator="equal">
      <formula>0</formula>
    </cfRule>
  </conditionalFormatting>
  <conditionalFormatting sqref="D17">
    <cfRule type="cellIs" dxfId="1100" priority="1550" operator="equal">
      <formula>0</formula>
    </cfRule>
  </conditionalFormatting>
  <conditionalFormatting sqref="D18">
    <cfRule type="cellIs" dxfId="1099" priority="1549" operator="equal">
      <formula>0</formula>
    </cfRule>
  </conditionalFormatting>
  <conditionalFormatting sqref="E17:G17">
    <cfRule type="cellIs" dxfId="1098" priority="1548" operator="equal">
      <formula>0</formula>
    </cfRule>
  </conditionalFormatting>
  <conditionalFormatting sqref="E18:G18">
    <cfRule type="cellIs" dxfId="1097" priority="1547" operator="equal">
      <formula>0</formula>
    </cfRule>
  </conditionalFormatting>
  <conditionalFormatting sqref="D415 D417">
    <cfRule type="cellIs" dxfId="1096" priority="250" operator="equal">
      <formula>0</formula>
    </cfRule>
  </conditionalFormatting>
  <conditionalFormatting sqref="D415 D417">
    <cfRule type="cellIs" dxfId="1095" priority="249" operator="notEqual">
      <formula>0</formula>
    </cfRule>
  </conditionalFormatting>
  <conditionalFormatting sqref="D416 D418">
    <cfRule type="cellIs" dxfId="1094" priority="248" operator="equal">
      <formula>0</formula>
    </cfRule>
  </conditionalFormatting>
  <conditionalFormatting sqref="D416 D418">
    <cfRule type="cellIs" dxfId="1093" priority="247" operator="notEqual">
      <formula>0</formula>
    </cfRule>
  </conditionalFormatting>
  <conditionalFormatting sqref="E415 E417">
    <cfRule type="cellIs" dxfId="1092" priority="246" operator="equal">
      <formula>0</formula>
    </cfRule>
  </conditionalFormatting>
  <conditionalFormatting sqref="E415 E417">
    <cfRule type="cellIs" dxfId="1091" priority="245" operator="notEqual">
      <formula>0</formula>
    </cfRule>
  </conditionalFormatting>
  <conditionalFormatting sqref="E416 E418">
    <cfRule type="cellIs" dxfId="1090" priority="244" operator="equal">
      <formula>0</formula>
    </cfRule>
  </conditionalFormatting>
  <conditionalFormatting sqref="E416 E418">
    <cfRule type="cellIs" dxfId="1089" priority="243" operator="notEqual">
      <formula>0</formula>
    </cfRule>
  </conditionalFormatting>
  <conditionalFormatting sqref="F415 F417">
    <cfRule type="cellIs" dxfId="1088" priority="242" operator="equal">
      <formula>0</formula>
    </cfRule>
  </conditionalFormatting>
  <conditionalFormatting sqref="F415 F417">
    <cfRule type="cellIs" dxfId="1087" priority="241" operator="notEqual">
      <formula>0</formula>
    </cfRule>
  </conditionalFormatting>
  <conditionalFormatting sqref="F416 F418">
    <cfRule type="cellIs" dxfId="1086" priority="240" operator="equal">
      <formula>0</formula>
    </cfRule>
  </conditionalFormatting>
  <conditionalFormatting sqref="F416 F418">
    <cfRule type="cellIs" dxfId="1085" priority="239" operator="notEqual">
      <formula>0</formula>
    </cfRule>
  </conditionalFormatting>
  <conditionalFormatting sqref="F55">
    <cfRule type="cellIs" dxfId="1084" priority="1298" operator="equal">
      <formula>0</formula>
    </cfRule>
  </conditionalFormatting>
  <conditionalFormatting sqref="F55">
    <cfRule type="cellIs" dxfId="1083" priority="1297" operator="notEqual">
      <formula>0</formula>
    </cfRule>
  </conditionalFormatting>
  <conditionalFormatting sqref="D22">
    <cfRule type="cellIs" dxfId="1082" priority="1528" operator="equal">
      <formula>0</formula>
    </cfRule>
  </conditionalFormatting>
  <conditionalFormatting sqref="D22">
    <cfRule type="cellIs" dxfId="1081" priority="1527" operator="notEqual">
      <formula>0</formula>
    </cfRule>
  </conditionalFormatting>
  <conditionalFormatting sqref="F21">
    <cfRule type="cellIs" dxfId="1080" priority="1522" operator="equal">
      <formula>0</formula>
    </cfRule>
  </conditionalFormatting>
  <conditionalFormatting sqref="F21">
    <cfRule type="cellIs" dxfId="1079" priority="1521" operator="notEqual">
      <formula>0</formula>
    </cfRule>
  </conditionalFormatting>
  <conditionalFormatting sqref="E57">
    <cfRule type="cellIs" dxfId="1078" priority="1286" operator="equal">
      <formula>0</formula>
    </cfRule>
  </conditionalFormatting>
  <conditionalFormatting sqref="E57">
    <cfRule type="cellIs" dxfId="1077" priority="1285" operator="notEqual">
      <formula>0</formula>
    </cfRule>
  </conditionalFormatting>
  <conditionalFormatting sqref="G58">
    <cfRule type="cellIs" dxfId="1076" priority="1276" operator="equal">
      <formula>0</formula>
    </cfRule>
  </conditionalFormatting>
  <conditionalFormatting sqref="G58">
    <cfRule type="cellIs" dxfId="1075" priority="1275" operator="notEqual">
      <formula>0</formula>
    </cfRule>
  </conditionalFormatting>
  <conditionalFormatting sqref="F60">
    <cfRule type="cellIs" dxfId="1074" priority="1264" operator="equal">
      <formula>0</formula>
    </cfRule>
  </conditionalFormatting>
  <conditionalFormatting sqref="F60">
    <cfRule type="cellIs" dxfId="1073" priority="1263" operator="notEqual">
      <formula>0</formula>
    </cfRule>
  </conditionalFormatting>
  <conditionalFormatting sqref="G59">
    <cfRule type="cellIs" dxfId="1072" priority="1262" operator="equal">
      <formula>0</formula>
    </cfRule>
  </conditionalFormatting>
  <conditionalFormatting sqref="G59">
    <cfRule type="cellIs" dxfId="1071" priority="1261" operator="notEqual">
      <formula>0</formula>
    </cfRule>
  </conditionalFormatting>
  <conditionalFormatting sqref="G60">
    <cfRule type="cellIs" dxfId="1070" priority="1260" operator="equal">
      <formula>0</formula>
    </cfRule>
  </conditionalFormatting>
  <conditionalFormatting sqref="G60">
    <cfRule type="cellIs" dxfId="1069" priority="1259" operator="notEqual">
      <formula>0</formula>
    </cfRule>
  </conditionalFormatting>
  <conditionalFormatting sqref="E62">
    <cfRule type="cellIs" dxfId="1068" priority="1252" operator="equal">
      <formula>0</formula>
    </cfRule>
  </conditionalFormatting>
  <conditionalFormatting sqref="E62">
    <cfRule type="cellIs" dxfId="1067" priority="1251" operator="notEqual">
      <formula>0</formula>
    </cfRule>
  </conditionalFormatting>
  <conditionalFormatting sqref="F61">
    <cfRule type="cellIs" dxfId="1066" priority="1250" operator="equal">
      <formula>0</formula>
    </cfRule>
  </conditionalFormatting>
  <conditionalFormatting sqref="F61">
    <cfRule type="cellIs" dxfId="1065" priority="1249" operator="notEqual">
      <formula>0</formula>
    </cfRule>
  </conditionalFormatting>
  <conditionalFormatting sqref="D70">
    <cfRule type="cellIs" dxfId="1064" priority="1240" operator="equal">
      <formula>0</formula>
    </cfRule>
  </conditionalFormatting>
  <conditionalFormatting sqref="D70">
    <cfRule type="cellIs" dxfId="1063" priority="1239" operator="notEqual">
      <formula>0</formula>
    </cfRule>
  </conditionalFormatting>
  <conditionalFormatting sqref="E69">
    <cfRule type="cellIs" dxfId="1062" priority="1238" operator="equal">
      <formula>0</formula>
    </cfRule>
  </conditionalFormatting>
  <conditionalFormatting sqref="E69">
    <cfRule type="cellIs" dxfId="1061" priority="1237" operator="notEqual">
      <formula>0</formula>
    </cfRule>
  </conditionalFormatting>
  <conditionalFormatting sqref="G69">
    <cfRule type="cellIs" dxfId="1060" priority="1230" operator="equal">
      <formula>0</formula>
    </cfRule>
  </conditionalFormatting>
  <conditionalFormatting sqref="G69">
    <cfRule type="cellIs" dxfId="1059" priority="1229" operator="notEqual">
      <formula>0</formula>
    </cfRule>
  </conditionalFormatting>
  <conditionalFormatting sqref="G70">
    <cfRule type="cellIs" dxfId="1058" priority="1228" operator="equal">
      <formula>0</formula>
    </cfRule>
  </conditionalFormatting>
  <conditionalFormatting sqref="G70">
    <cfRule type="cellIs" dxfId="1057" priority="1227" operator="notEqual">
      <formula>0</formula>
    </cfRule>
  </conditionalFormatting>
  <conditionalFormatting sqref="D71">
    <cfRule type="cellIs" dxfId="1056" priority="1226" operator="equal">
      <formula>0</formula>
    </cfRule>
  </conditionalFormatting>
  <conditionalFormatting sqref="D71">
    <cfRule type="cellIs" dxfId="1055" priority="1225" operator="notEqual">
      <formula>0</formula>
    </cfRule>
  </conditionalFormatting>
  <conditionalFormatting sqref="F72">
    <cfRule type="cellIs" dxfId="1054" priority="1216" operator="equal">
      <formula>0</formula>
    </cfRule>
  </conditionalFormatting>
  <conditionalFormatting sqref="F72">
    <cfRule type="cellIs" dxfId="1053" priority="1215" operator="notEqual">
      <formula>0</formula>
    </cfRule>
  </conditionalFormatting>
  <conditionalFormatting sqref="G71">
    <cfRule type="cellIs" dxfId="1052" priority="1214" operator="equal">
      <formula>0</formula>
    </cfRule>
  </conditionalFormatting>
  <conditionalFormatting sqref="G71">
    <cfRule type="cellIs" dxfId="1051" priority="1213" operator="notEqual">
      <formula>0</formula>
    </cfRule>
  </conditionalFormatting>
  <conditionalFormatting sqref="E74">
    <cfRule type="cellIs" dxfId="1050" priority="1204" operator="equal">
      <formula>0</formula>
    </cfRule>
  </conditionalFormatting>
  <conditionalFormatting sqref="E74">
    <cfRule type="cellIs" dxfId="1049" priority="1203" operator="notEqual">
      <formula>0</formula>
    </cfRule>
  </conditionalFormatting>
  <conditionalFormatting sqref="F73">
    <cfRule type="cellIs" dxfId="1048" priority="1202" operator="equal">
      <formula>0</formula>
    </cfRule>
  </conditionalFormatting>
  <conditionalFormatting sqref="F73">
    <cfRule type="cellIs" dxfId="1047" priority="1201" operator="notEqual">
      <formula>0</formula>
    </cfRule>
  </conditionalFormatting>
  <conditionalFormatting sqref="D76">
    <cfRule type="cellIs" dxfId="1046" priority="1192" operator="equal">
      <formula>0</formula>
    </cfRule>
  </conditionalFormatting>
  <conditionalFormatting sqref="D76">
    <cfRule type="cellIs" dxfId="1045" priority="1191" operator="notEqual">
      <formula>0</formula>
    </cfRule>
  </conditionalFormatting>
  <conditionalFormatting sqref="E75">
    <cfRule type="cellIs" dxfId="1044" priority="1190" operator="equal">
      <formula>0</formula>
    </cfRule>
  </conditionalFormatting>
  <conditionalFormatting sqref="E75">
    <cfRule type="cellIs" dxfId="1043" priority="1189" operator="notEqual">
      <formula>0</formula>
    </cfRule>
  </conditionalFormatting>
  <conditionalFormatting sqref="G76">
    <cfRule type="cellIs" dxfId="1042" priority="1180" operator="equal">
      <formula>0</formula>
    </cfRule>
  </conditionalFormatting>
  <conditionalFormatting sqref="G76">
    <cfRule type="cellIs" dxfId="1041" priority="1179" operator="notEqual">
      <formula>0</formula>
    </cfRule>
  </conditionalFormatting>
  <conditionalFormatting sqref="D79">
    <cfRule type="cellIs" dxfId="1040" priority="1178" operator="equal">
      <formula>0</formula>
    </cfRule>
  </conditionalFormatting>
  <conditionalFormatting sqref="D79">
    <cfRule type="cellIs" dxfId="1039" priority="1177" operator="notEqual">
      <formula>0</formula>
    </cfRule>
  </conditionalFormatting>
  <conditionalFormatting sqref="F80">
    <cfRule type="cellIs" dxfId="1038" priority="1168" operator="equal">
      <formula>0</formula>
    </cfRule>
  </conditionalFormatting>
  <conditionalFormatting sqref="F80">
    <cfRule type="cellIs" dxfId="1037" priority="1167" operator="notEqual">
      <formula>0</formula>
    </cfRule>
  </conditionalFormatting>
  <conditionalFormatting sqref="G79">
    <cfRule type="cellIs" dxfId="1036" priority="1166" operator="equal">
      <formula>0</formula>
    </cfRule>
  </conditionalFormatting>
  <conditionalFormatting sqref="G79">
    <cfRule type="cellIs" dxfId="1035" priority="1165" operator="notEqual">
      <formula>0</formula>
    </cfRule>
  </conditionalFormatting>
  <conditionalFormatting sqref="E82">
    <cfRule type="cellIs" dxfId="1034" priority="1156" operator="equal">
      <formula>0</formula>
    </cfRule>
  </conditionalFormatting>
  <conditionalFormatting sqref="E82">
    <cfRule type="cellIs" dxfId="1033" priority="1155" operator="notEqual">
      <formula>0</formula>
    </cfRule>
  </conditionalFormatting>
  <conditionalFormatting sqref="F81">
    <cfRule type="cellIs" dxfId="1032" priority="1154" operator="equal">
      <formula>0</formula>
    </cfRule>
  </conditionalFormatting>
  <conditionalFormatting sqref="F81">
    <cfRule type="cellIs" dxfId="1031" priority="1153" operator="notEqual">
      <formula>0</formula>
    </cfRule>
  </conditionalFormatting>
  <conditionalFormatting sqref="D84">
    <cfRule type="cellIs" dxfId="1030" priority="1144" operator="equal">
      <formula>0</formula>
    </cfRule>
  </conditionalFormatting>
  <conditionalFormatting sqref="D84">
    <cfRule type="cellIs" dxfId="1029" priority="1143" operator="notEqual">
      <formula>0</formula>
    </cfRule>
  </conditionalFormatting>
  <conditionalFormatting sqref="E83">
    <cfRule type="cellIs" dxfId="1028" priority="1142" operator="equal">
      <formula>0</formula>
    </cfRule>
  </conditionalFormatting>
  <conditionalFormatting sqref="E83">
    <cfRule type="cellIs" dxfId="1027" priority="1141" operator="notEqual">
      <formula>0</formula>
    </cfRule>
  </conditionalFormatting>
  <conditionalFormatting sqref="G84">
    <cfRule type="cellIs" dxfId="1026" priority="1132" operator="equal">
      <formula>0</formula>
    </cfRule>
  </conditionalFormatting>
  <conditionalFormatting sqref="G84">
    <cfRule type="cellIs" dxfId="1025" priority="1131" operator="notEqual">
      <formula>0</formula>
    </cfRule>
  </conditionalFormatting>
  <conditionalFormatting sqref="D87">
    <cfRule type="cellIs" dxfId="1024" priority="1130" operator="equal">
      <formula>0</formula>
    </cfRule>
  </conditionalFormatting>
  <conditionalFormatting sqref="D87">
    <cfRule type="cellIs" dxfId="1023" priority="1129" operator="notEqual">
      <formula>0</formula>
    </cfRule>
  </conditionalFormatting>
  <conditionalFormatting sqref="F88">
    <cfRule type="cellIs" dxfId="1022" priority="1120" operator="equal">
      <formula>0</formula>
    </cfRule>
  </conditionalFormatting>
  <conditionalFormatting sqref="F88">
    <cfRule type="cellIs" dxfId="1021" priority="1119" operator="notEqual">
      <formula>0</formula>
    </cfRule>
  </conditionalFormatting>
  <conditionalFormatting sqref="G87">
    <cfRule type="cellIs" dxfId="1020" priority="1118" operator="equal">
      <formula>0</formula>
    </cfRule>
  </conditionalFormatting>
  <conditionalFormatting sqref="G87">
    <cfRule type="cellIs" dxfId="1019" priority="1117" operator="notEqual">
      <formula>0</formula>
    </cfRule>
  </conditionalFormatting>
  <conditionalFormatting sqref="E92">
    <cfRule type="cellIs" dxfId="1018" priority="1108" operator="equal">
      <formula>0</formula>
    </cfRule>
  </conditionalFormatting>
  <conditionalFormatting sqref="E92">
    <cfRule type="cellIs" dxfId="1017" priority="1107" operator="notEqual">
      <formula>0</formula>
    </cfRule>
  </conditionalFormatting>
  <conditionalFormatting sqref="F91">
    <cfRule type="cellIs" dxfId="1016" priority="1106" operator="equal">
      <formula>0</formula>
    </cfRule>
  </conditionalFormatting>
  <conditionalFormatting sqref="F91">
    <cfRule type="cellIs" dxfId="1015" priority="1105" operator="notEqual">
      <formula>0</formula>
    </cfRule>
  </conditionalFormatting>
  <conditionalFormatting sqref="E52">
    <cfRule type="cellIs" dxfId="1014" priority="1332" operator="equal">
      <formula>0</formula>
    </cfRule>
  </conditionalFormatting>
  <conditionalFormatting sqref="E52">
    <cfRule type="cellIs" dxfId="1013" priority="1331" operator="notEqual">
      <formula>0</formula>
    </cfRule>
  </conditionalFormatting>
  <conditionalFormatting sqref="D94">
    <cfRule type="cellIs" dxfId="1012" priority="1096" operator="equal">
      <formula>0</formula>
    </cfRule>
  </conditionalFormatting>
  <conditionalFormatting sqref="D94">
    <cfRule type="cellIs" dxfId="1011" priority="1095" operator="notEqual">
      <formula>0</formula>
    </cfRule>
  </conditionalFormatting>
  <conditionalFormatting sqref="E93">
    <cfRule type="cellIs" dxfId="1010" priority="1094" operator="equal">
      <formula>0</formula>
    </cfRule>
  </conditionalFormatting>
  <conditionalFormatting sqref="E93">
    <cfRule type="cellIs" dxfId="1009" priority="1093" operator="notEqual">
      <formula>0</formula>
    </cfRule>
  </conditionalFormatting>
  <conditionalFormatting sqref="D54">
    <cfRule type="cellIs" dxfId="1008" priority="1320" operator="equal">
      <formula>0</formula>
    </cfRule>
  </conditionalFormatting>
  <conditionalFormatting sqref="D54">
    <cfRule type="cellIs" dxfId="1007" priority="1319" operator="notEqual">
      <formula>0</formula>
    </cfRule>
  </conditionalFormatting>
  <conditionalFormatting sqref="E53">
    <cfRule type="cellIs" dxfId="1006" priority="1318" operator="equal">
      <formula>0</formula>
    </cfRule>
  </conditionalFormatting>
  <conditionalFormatting sqref="E53">
    <cfRule type="cellIs" dxfId="1005" priority="1317" operator="notEqual">
      <formula>0</formula>
    </cfRule>
  </conditionalFormatting>
  <conditionalFormatting sqref="G94">
    <cfRule type="cellIs" dxfId="1004" priority="1084" operator="equal">
      <formula>0</formula>
    </cfRule>
  </conditionalFormatting>
  <conditionalFormatting sqref="G94">
    <cfRule type="cellIs" dxfId="1003" priority="1083" operator="notEqual">
      <formula>0</formula>
    </cfRule>
  </conditionalFormatting>
  <conditionalFormatting sqref="D95">
    <cfRule type="cellIs" dxfId="1002" priority="1082" operator="equal">
      <formula>0</formula>
    </cfRule>
  </conditionalFormatting>
  <conditionalFormatting sqref="D95">
    <cfRule type="cellIs" dxfId="1001" priority="1081" operator="notEqual">
      <formula>0</formula>
    </cfRule>
  </conditionalFormatting>
  <conditionalFormatting sqref="G54">
    <cfRule type="cellIs" dxfId="1000" priority="1308" operator="equal">
      <formula>0</formula>
    </cfRule>
  </conditionalFormatting>
  <conditionalFormatting sqref="G54">
    <cfRule type="cellIs" dxfId="999" priority="1307" operator="notEqual">
      <formula>0</formula>
    </cfRule>
  </conditionalFormatting>
  <conditionalFormatting sqref="F95">
    <cfRule type="cellIs" dxfId="998" priority="1074" operator="equal">
      <formula>0</formula>
    </cfRule>
  </conditionalFormatting>
  <conditionalFormatting sqref="F95">
    <cfRule type="cellIs" dxfId="997" priority="1073" operator="notEqual">
      <formula>0</formula>
    </cfRule>
  </conditionalFormatting>
  <conditionalFormatting sqref="F96">
    <cfRule type="cellIs" dxfId="996" priority="1072" operator="equal">
      <formula>0</formula>
    </cfRule>
  </conditionalFormatting>
  <conditionalFormatting sqref="F96">
    <cfRule type="cellIs" dxfId="995" priority="1071" operator="notEqual">
      <formula>0</formula>
    </cfRule>
  </conditionalFormatting>
  <conditionalFormatting sqref="F56">
    <cfRule type="cellIs" dxfId="994" priority="1296" operator="equal">
      <formula>0</formula>
    </cfRule>
  </conditionalFormatting>
  <conditionalFormatting sqref="F56">
    <cfRule type="cellIs" dxfId="993" priority="1295" operator="notEqual">
      <formula>0</formula>
    </cfRule>
  </conditionalFormatting>
  <conditionalFormatting sqref="E97">
    <cfRule type="cellIs" dxfId="992" priority="1062" operator="equal">
      <formula>0</formula>
    </cfRule>
  </conditionalFormatting>
  <conditionalFormatting sqref="E97">
    <cfRule type="cellIs" dxfId="991" priority="1061" operator="notEqual">
      <formula>0</formula>
    </cfRule>
  </conditionalFormatting>
  <conditionalFormatting sqref="E98">
    <cfRule type="cellIs" dxfId="990" priority="1060" operator="equal">
      <formula>0</formula>
    </cfRule>
  </conditionalFormatting>
  <conditionalFormatting sqref="E98">
    <cfRule type="cellIs" dxfId="989" priority="1059" operator="notEqual">
      <formula>0</formula>
    </cfRule>
  </conditionalFormatting>
  <conditionalFormatting sqref="D57">
    <cfRule type="cellIs" dxfId="988" priority="1290" operator="equal">
      <formula>0</formula>
    </cfRule>
  </conditionalFormatting>
  <conditionalFormatting sqref="D57">
    <cfRule type="cellIs" dxfId="987" priority="1289" operator="notEqual">
      <formula>0</formula>
    </cfRule>
  </conditionalFormatting>
  <conditionalFormatting sqref="E58">
    <cfRule type="cellIs" dxfId="986" priority="1284" operator="equal">
      <formula>0</formula>
    </cfRule>
  </conditionalFormatting>
  <conditionalFormatting sqref="E58">
    <cfRule type="cellIs" dxfId="985" priority="1283" operator="notEqual">
      <formula>0</formula>
    </cfRule>
  </conditionalFormatting>
  <conditionalFormatting sqref="D99">
    <cfRule type="cellIs" dxfId="984" priority="1050" operator="equal">
      <formula>0</formula>
    </cfRule>
  </conditionalFormatting>
  <conditionalFormatting sqref="D99">
    <cfRule type="cellIs" dxfId="983" priority="1049" operator="notEqual">
      <formula>0</formula>
    </cfRule>
  </conditionalFormatting>
  <conditionalFormatting sqref="D100">
    <cfRule type="cellIs" dxfId="982" priority="1048" operator="equal">
      <formula>0</formula>
    </cfRule>
  </conditionalFormatting>
  <conditionalFormatting sqref="D100">
    <cfRule type="cellIs" dxfId="981" priority="1047" operator="notEqual">
      <formula>0</formula>
    </cfRule>
  </conditionalFormatting>
  <conditionalFormatting sqref="G57">
    <cfRule type="cellIs" dxfId="980" priority="1278" operator="equal">
      <formula>0</formula>
    </cfRule>
  </conditionalFormatting>
  <conditionalFormatting sqref="G57">
    <cfRule type="cellIs" dxfId="979" priority="1277" operator="notEqual">
      <formula>0</formula>
    </cfRule>
  </conditionalFormatting>
  <conditionalFormatting sqref="D60">
    <cfRule type="cellIs" dxfId="978" priority="1272" operator="equal">
      <formula>0</formula>
    </cfRule>
  </conditionalFormatting>
  <conditionalFormatting sqref="D60">
    <cfRule type="cellIs" dxfId="977" priority="1271" operator="notEqual">
      <formula>0</formula>
    </cfRule>
  </conditionalFormatting>
  <conditionalFormatting sqref="G99">
    <cfRule type="cellIs" dxfId="976" priority="1038" operator="equal">
      <formula>0</formula>
    </cfRule>
  </conditionalFormatting>
  <conditionalFormatting sqref="G99">
    <cfRule type="cellIs" dxfId="975" priority="1037" operator="notEqual">
      <formula>0</formula>
    </cfRule>
  </conditionalFormatting>
  <conditionalFormatting sqref="G100">
    <cfRule type="cellIs" dxfId="974" priority="1036" operator="equal">
      <formula>0</formula>
    </cfRule>
  </conditionalFormatting>
  <conditionalFormatting sqref="G100">
    <cfRule type="cellIs" dxfId="973" priority="1035" operator="notEqual">
      <formula>0</formula>
    </cfRule>
  </conditionalFormatting>
  <conditionalFormatting sqref="F59">
    <cfRule type="cellIs" dxfId="972" priority="1266" operator="equal">
      <formula>0</formula>
    </cfRule>
  </conditionalFormatting>
  <conditionalFormatting sqref="F59">
    <cfRule type="cellIs" dxfId="971" priority="1265" operator="notEqual">
      <formula>0</formula>
    </cfRule>
  </conditionalFormatting>
  <conditionalFormatting sqref="F101">
    <cfRule type="cellIs" dxfId="970" priority="1026" operator="equal">
      <formula>0</formula>
    </cfRule>
  </conditionalFormatting>
  <conditionalFormatting sqref="F101">
    <cfRule type="cellIs" dxfId="969" priority="1025" operator="notEqual">
      <formula>0</formula>
    </cfRule>
  </conditionalFormatting>
  <conditionalFormatting sqref="F102">
    <cfRule type="cellIs" dxfId="968" priority="1024" operator="equal">
      <formula>0</formula>
    </cfRule>
  </conditionalFormatting>
  <conditionalFormatting sqref="F102">
    <cfRule type="cellIs" dxfId="967" priority="1023" operator="notEqual">
      <formula>0</formula>
    </cfRule>
  </conditionalFormatting>
  <conditionalFormatting sqref="E61">
    <cfRule type="cellIs" dxfId="966" priority="1254" operator="equal">
      <formula>0</formula>
    </cfRule>
  </conditionalFormatting>
  <conditionalFormatting sqref="E61">
    <cfRule type="cellIs" dxfId="965" priority="1253" operator="notEqual">
      <formula>0</formula>
    </cfRule>
  </conditionalFormatting>
  <conditionalFormatting sqref="F62">
    <cfRule type="cellIs" dxfId="964" priority="1248" operator="equal">
      <formula>0</formula>
    </cfRule>
  </conditionalFormatting>
  <conditionalFormatting sqref="F62">
    <cfRule type="cellIs" dxfId="963" priority="1247" operator="notEqual">
      <formula>0</formula>
    </cfRule>
  </conditionalFormatting>
  <conditionalFormatting sqref="E103">
    <cfRule type="cellIs" dxfId="962" priority="1014" operator="equal">
      <formula>0</formula>
    </cfRule>
  </conditionalFormatting>
  <conditionalFormatting sqref="E103">
    <cfRule type="cellIs" dxfId="961" priority="1013" operator="notEqual">
      <formula>0</formula>
    </cfRule>
  </conditionalFormatting>
  <conditionalFormatting sqref="E104">
    <cfRule type="cellIs" dxfId="960" priority="1012" operator="equal">
      <formula>0</formula>
    </cfRule>
  </conditionalFormatting>
  <conditionalFormatting sqref="E104">
    <cfRule type="cellIs" dxfId="959" priority="1011" operator="notEqual">
      <formula>0</formula>
    </cfRule>
  </conditionalFormatting>
  <conditionalFormatting sqref="D69">
    <cfRule type="cellIs" dxfId="958" priority="1242" operator="equal">
      <formula>0</formula>
    </cfRule>
  </conditionalFormatting>
  <conditionalFormatting sqref="D69">
    <cfRule type="cellIs" dxfId="957" priority="1241" operator="notEqual">
      <formula>0</formula>
    </cfRule>
  </conditionalFormatting>
  <conditionalFormatting sqref="E70">
    <cfRule type="cellIs" dxfId="956" priority="1236" operator="equal">
      <formula>0</formula>
    </cfRule>
  </conditionalFormatting>
  <conditionalFormatting sqref="E70">
    <cfRule type="cellIs" dxfId="955" priority="1235" operator="notEqual">
      <formula>0</formula>
    </cfRule>
  </conditionalFormatting>
  <conditionalFormatting sqref="D105">
    <cfRule type="cellIs" dxfId="954" priority="1002" operator="equal">
      <formula>0</formula>
    </cfRule>
  </conditionalFormatting>
  <conditionalFormatting sqref="D105">
    <cfRule type="cellIs" dxfId="953" priority="1001" operator="notEqual">
      <formula>0</formula>
    </cfRule>
  </conditionalFormatting>
  <conditionalFormatting sqref="D106">
    <cfRule type="cellIs" dxfId="952" priority="1000" operator="equal">
      <formula>0</formula>
    </cfRule>
  </conditionalFormatting>
  <conditionalFormatting sqref="D106">
    <cfRule type="cellIs" dxfId="951" priority="999" operator="notEqual">
      <formula>0</formula>
    </cfRule>
  </conditionalFormatting>
  <conditionalFormatting sqref="D72">
    <cfRule type="cellIs" dxfId="950" priority="1224" operator="equal">
      <formula>0</formula>
    </cfRule>
  </conditionalFormatting>
  <conditionalFormatting sqref="D72">
    <cfRule type="cellIs" dxfId="949" priority="1223" operator="notEqual">
      <formula>0</formula>
    </cfRule>
  </conditionalFormatting>
  <conditionalFormatting sqref="G105">
    <cfRule type="cellIs" dxfId="948" priority="990" operator="equal">
      <formula>0</formula>
    </cfRule>
  </conditionalFormatting>
  <conditionalFormatting sqref="G105">
    <cfRule type="cellIs" dxfId="947" priority="989" operator="notEqual">
      <formula>0</formula>
    </cfRule>
  </conditionalFormatting>
  <conditionalFormatting sqref="G106">
    <cfRule type="cellIs" dxfId="946" priority="988" operator="equal">
      <formula>0</formula>
    </cfRule>
  </conditionalFormatting>
  <conditionalFormatting sqref="G106">
    <cfRule type="cellIs" dxfId="945" priority="987" operator="notEqual">
      <formula>0</formula>
    </cfRule>
  </conditionalFormatting>
  <conditionalFormatting sqref="F71">
    <cfRule type="cellIs" dxfId="944" priority="1218" operator="equal">
      <formula>0</formula>
    </cfRule>
  </conditionalFormatting>
  <conditionalFormatting sqref="F71">
    <cfRule type="cellIs" dxfId="943" priority="1217" operator="notEqual">
      <formula>0</formula>
    </cfRule>
  </conditionalFormatting>
  <conditionalFormatting sqref="G72">
    <cfRule type="cellIs" dxfId="942" priority="1212" operator="equal">
      <formula>0</formula>
    </cfRule>
  </conditionalFormatting>
  <conditionalFormatting sqref="G72">
    <cfRule type="cellIs" dxfId="941" priority="1211" operator="notEqual">
      <formula>0</formula>
    </cfRule>
  </conditionalFormatting>
  <conditionalFormatting sqref="F109">
    <cfRule type="cellIs" dxfId="940" priority="978" operator="equal">
      <formula>0</formula>
    </cfRule>
  </conditionalFormatting>
  <conditionalFormatting sqref="F109">
    <cfRule type="cellIs" dxfId="939" priority="977" operator="notEqual">
      <formula>0</formula>
    </cfRule>
  </conditionalFormatting>
  <conditionalFormatting sqref="F110">
    <cfRule type="cellIs" dxfId="938" priority="976" operator="equal">
      <formula>0</formula>
    </cfRule>
  </conditionalFormatting>
  <conditionalFormatting sqref="F110">
    <cfRule type="cellIs" dxfId="937" priority="975" operator="notEqual">
      <formula>0</formula>
    </cfRule>
  </conditionalFormatting>
  <conditionalFormatting sqref="E73">
    <cfRule type="cellIs" dxfId="936" priority="1206" operator="equal">
      <formula>0</formula>
    </cfRule>
  </conditionalFormatting>
  <conditionalFormatting sqref="E73">
    <cfRule type="cellIs" dxfId="935" priority="1205" operator="notEqual">
      <formula>0</formula>
    </cfRule>
  </conditionalFormatting>
  <conditionalFormatting sqref="F74">
    <cfRule type="cellIs" dxfId="934" priority="1200" operator="equal">
      <formula>0</formula>
    </cfRule>
  </conditionalFormatting>
  <conditionalFormatting sqref="F74">
    <cfRule type="cellIs" dxfId="933" priority="1199" operator="notEqual">
      <formula>0</formula>
    </cfRule>
  </conditionalFormatting>
  <conditionalFormatting sqref="E111">
    <cfRule type="cellIs" dxfId="932" priority="966" operator="equal">
      <formula>0</formula>
    </cfRule>
  </conditionalFormatting>
  <conditionalFormatting sqref="E111">
    <cfRule type="cellIs" dxfId="931" priority="965" operator="notEqual">
      <formula>0</formula>
    </cfRule>
  </conditionalFormatting>
  <conditionalFormatting sqref="E112">
    <cfRule type="cellIs" dxfId="930" priority="964" operator="equal">
      <formula>0</formula>
    </cfRule>
  </conditionalFormatting>
  <conditionalFormatting sqref="E112">
    <cfRule type="cellIs" dxfId="929" priority="963" operator="notEqual">
      <formula>0</formula>
    </cfRule>
  </conditionalFormatting>
  <conditionalFormatting sqref="D75">
    <cfRule type="cellIs" dxfId="928" priority="1194" operator="equal">
      <formula>0</formula>
    </cfRule>
  </conditionalFormatting>
  <conditionalFormatting sqref="D75">
    <cfRule type="cellIs" dxfId="927" priority="1193" operator="notEqual">
      <formula>0</formula>
    </cfRule>
  </conditionalFormatting>
  <conditionalFormatting sqref="E76">
    <cfRule type="cellIs" dxfId="926" priority="1188" operator="equal">
      <formula>0</formula>
    </cfRule>
  </conditionalFormatting>
  <conditionalFormatting sqref="E76">
    <cfRule type="cellIs" dxfId="925" priority="1187" operator="notEqual">
      <formula>0</formula>
    </cfRule>
  </conditionalFormatting>
  <conditionalFormatting sqref="D113">
    <cfRule type="cellIs" dxfId="924" priority="954" operator="equal">
      <formula>0</formula>
    </cfRule>
  </conditionalFormatting>
  <conditionalFormatting sqref="D113">
    <cfRule type="cellIs" dxfId="923" priority="953" operator="notEqual">
      <formula>0</formula>
    </cfRule>
  </conditionalFormatting>
  <conditionalFormatting sqref="D114">
    <cfRule type="cellIs" dxfId="922" priority="952" operator="equal">
      <formula>0</formula>
    </cfRule>
  </conditionalFormatting>
  <conditionalFormatting sqref="D114">
    <cfRule type="cellIs" dxfId="921" priority="951" operator="notEqual">
      <formula>0</formula>
    </cfRule>
  </conditionalFormatting>
  <conditionalFormatting sqref="G75">
    <cfRule type="cellIs" dxfId="920" priority="1182" operator="equal">
      <formula>0</formula>
    </cfRule>
  </conditionalFormatting>
  <conditionalFormatting sqref="G75">
    <cfRule type="cellIs" dxfId="919" priority="1181" operator="notEqual">
      <formula>0</formula>
    </cfRule>
  </conditionalFormatting>
  <conditionalFormatting sqref="D80">
    <cfRule type="cellIs" dxfId="918" priority="1176" operator="equal">
      <formula>0</formula>
    </cfRule>
  </conditionalFormatting>
  <conditionalFormatting sqref="D80">
    <cfRule type="cellIs" dxfId="917" priority="1175" operator="notEqual">
      <formula>0</formula>
    </cfRule>
  </conditionalFormatting>
  <conditionalFormatting sqref="G113">
    <cfRule type="cellIs" dxfId="916" priority="942" operator="equal">
      <formula>0</formula>
    </cfRule>
  </conditionalFormatting>
  <conditionalFormatting sqref="G113">
    <cfRule type="cellIs" dxfId="915" priority="941" operator="notEqual">
      <formula>0</formula>
    </cfRule>
  </conditionalFormatting>
  <conditionalFormatting sqref="G114">
    <cfRule type="cellIs" dxfId="914" priority="940" operator="equal">
      <formula>0</formula>
    </cfRule>
  </conditionalFormatting>
  <conditionalFormatting sqref="G114">
    <cfRule type="cellIs" dxfId="913" priority="939" operator="notEqual">
      <formula>0</formula>
    </cfRule>
  </conditionalFormatting>
  <conditionalFormatting sqref="F79">
    <cfRule type="cellIs" dxfId="912" priority="1170" operator="equal">
      <formula>0</formula>
    </cfRule>
  </conditionalFormatting>
  <conditionalFormatting sqref="F79">
    <cfRule type="cellIs" dxfId="911" priority="1169" operator="notEqual">
      <formula>0</formula>
    </cfRule>
  </conditionalFormatting>
  <conditionalFormatting sqref="G80">
    <cfRule type="cellIs" dxfId="910" priority="1164" operator="equal">
      <formula>0</formula>
    </cfRule>
  </conditionalFormatting>
  <conditionalFormatting sqref="G80">
    <cfRule type="cellIs" dxfId="909" priority="1163" operator="notEqual">
      <formula>0</formula>
    </cfRule>
  </conditionalFormatting>
  <conditionalFormatting sqref="F115">
    <cfRule type="cellIs" dxfId="908" priority="930" operator="equal">
      <formula>0</formula>
    </cfRule>
  </conditionalFormatting>
  <conditionalFormatting sqref="F115">
    <cfRule type="cellIs" dxfId="907" priority="929" operator="notEqual">
      <formula>0</formula>
    </cfRule>
  </conditionalFormatting>
  <conditionalFormatting sqref="F116">
    <cfRule type="cellIs" dxfId="906" priority="928" operator="equal">
      <formula>0</formula>
    </cfRule>
  </conditionalFormatting>
  <conditionalFormatting sqref="F116">
    <cfRule type="cellIs" dxfId="905" priority="927" operator="notEqual">
      <formula>0</formula>
    </cfRule>
  </conditionalFormatting>
  <conditionalFormatting sqref="E81">
    <cfRule type="cellIs" dxfId="904" priority="1158" operator="equal">
      <formula>0</formula>
    </cfRule>
  </conditionalFormatting>
  <conditionalFormatting sqref="E81">
    <cfRule type="cellIs" dxfId="903" priority="1157" operator="notEqual">
      <formula>0</formula>
    </cfRule>
  </conditionalFormatting>
  <conditionalFormatting sqref="F82">
    <cfRule type="cellIs" dxfId="902" priority="1152" operator="equal">
      <formula>0</formula>
    </cfRule>
  </conditionalFormatting>
  <conditionalFormatting sqref="F82">
    <cfRule type="cellIs" dxfId="901" priority="1151" operator="notEqual">
      <formula>0</formula>
    </cfRule>
  </conditionalFormatting>
  <conditionalFormatting sqref="E117">
    <cfRule type="cellIs" dxfId="900" priority="918" operator="equal">
      <formula>0</formula>
    </cfRule>
  </conditionalFormatting>
  <conditionalFormatting sqref="E117">
    <cfRule type="cellIs" dxfId="899" priority="917" operator="notEqual">
      <formula>0</formula>
    </cfRule>
  </conditionalFormatting>
  <conditionalFormatting sqref="E118">
    <cfRule type="cellIs" dxfId="898" priority="916" operator="equal">
      <formula>0</formula>
    </cfRule>
  </conditionalFormatting>
  <conditionalFormatting sqref="E118">
    <cfRule type="cellIs" dxfId="897" priority="915" operator="notEqual">
      <formula>0</formula>
    </cfRule>
  </conditionalFormatting>
  <conditionalFormatting sqref="D83">
    <cfRule type="cellIs" dxfId="896" priority="1146" operator="equal">
      <formula>0</formula>
    </cfRule>
  </conditionalFormatting>
  <conditionalFormatting sqref="D83">
    <cfRule type="cellIs" dxfId="895" priority="1145" operator="notEqual">
      <formula>0</formula>
    </cfRule>
  </conditionalFormatting>
  <conditionalFormatting sqref="E84">
    <cfRule type="cellIs" dxfId="894" priority="1140" operator="equal">
      <formula>0</formula>
    </cfRule>
  </conditionalFormatting>
  <conditionalFormatting sqref="E84">
    <cfRule type="cellIs" dxfId="893" priority="1139" operator="notEqual">
      <formula>0</formula>
    </cfRule>
  </conditionalFormatting>
  <conditionalFormatting sqref="D121">
    <cfRule type="cellIs" dxfId="892" priority="906" operator="equal">
      <formula>0</formula>
    </cfRule>
  </conditionalFormatting>
  <conditionalFormatting sqref="D121">
    <cfRule type="cellIs" dxfId="891" priority="905" operator="notEqual">
      <formula>0</formula>
    </cfRule>
  </conditionalFormatting>
  <conditionalFormatting sqref="D122">
    <cfRule type="cellIs" dxfId="890" priority="904" operator="equal">
      <formula>0</formula>
    </cfRule>
  </conditionalFormatting>
  <conditionalFormatting sqref="D122">
    <cfRule type="cellIs" dxfId="889" priority="903" operator="notEqual">
      <formula>0</formula>
    </cfRule>
  </conditionalFormatting>
  <conditionalFormatting sqref="G83">
    <cfRule type="cellIs" dxfId="888" priority="1134" operator="equal">
      <formula>0</formula>
    </cfRule>
  </conditionalFormatting>
  <conditionalFormatting sqref="G83">
    <cfRule type="cellIs" dxfId="887" priority="1133" operator="notEqual">
      <formula>0</formula>
    </cfRule>
  </conditionalFormatting>
  <conditionalFormatting sqref="D88">
    <cfRule type="cellIs" dxfId="886" priority="1128" operator="equal">
      <formula>0</formula>
    </cfRule>
  </conditionalFormatting>
  <conditionalFormatting sqref="D88">
    <cfRule type="cellIs" dxfId="885" priority="1127" operator="notEqual">
      <formula>0</formula>
    </cfRule>
  </conditionalFormatting>
  <conditionalFormatting sqref="G121">
    <cfRule type="cellIs" dxfId="884" priority="894" operator="equal">
      <formula>0</formula>
    </cfRule>
  </conditionalFormatting>
  <conditionalFormatting sqref="G121">
    <cfRule type="cellIs" dxfId="883" priority="893" operator="notEqual">
      <formula>0</formula>
    </cfRule>
  </conditionalFormatting>
  <conditionalFormatting sqref="G122">
    <cfRule type="cellIs" dxfId="882" priority="892" operator="equal">
      <formula>0</formula>
    </cfRule>
  </conditionalFormatting>
  <conditionalFormatting sqref="G122">
    <cfRule type="cellIs" dxfId="881" priority="891" operator="notEqual">
      <formula>0</formula>
    </cfRule>
  </conditionalFormatting>
  <conditionalFormatting sqref="F87">
    <cfRule type="cellIs" dxfId="880" priority="1122" operator="equal">
      <formula>0</formula>
    </cfRule>
  </conditionalFormatting>
  <conditionalFormatting sqref="F87">
    <cfRule type="cellIs" dxfId="879" priority="1121" operator="notEqual">
      <formula>0</formula>
    </cfRule>
  </conditionalFormatting>
  <conditionalFormatting sqref="G88">
    <cfRule type="cellIs" dxfId="878" priority="1116" operator="equal">
      <formula>0</formula>
    </cfRule>
  </conditionalFormatting>
  <conditionalFormatting sqref="G88">
    <cfRule type="cellIs" dxfId="877" priority="1115" operator="notEqual">
      <formula>0</formula>
    </cfRule>
  </conditionalFormatting>
  <conditionalFormatting sqref="F123">
    <cfRule type="cellIs" dxfId="876" priority="882" operator="equal">
      <formula>0</formula>
    </cfRule>
  </conditionalFormatting>
  <conditionalFormatting sqref="F123">
    <cfRule type="cellIs" dxfId="875" priority="881" operator="notEqual">
      <formula>0</formula>
    </cfRule>
  </conditionalFormatting>
  <conditionalFormatting sqref="F124">
    <cfRule type="cellIs" dxfId="874" priority="880" operator="equal">
      <formula>0</formula>
    </cfRule>
  </conditionalFormatting>
  <conditionalFormatting sqref="F124">
    <cfRule type="cellIs" dxfId="873" priority="879" operator="notEqual">
      <formula>0</formula>
    </cfRule>
  </conditionalFormatting>
  <conditionalFormatting sqref="E91">
    <cfRule type="cellIs" dxfId="872" priority="1110" operator="equal">
      <formula>0</formula>
    </cfRule>
  </conditionalFormatting>
  <conditionalFormatting sqref="E91">
    <cfRule type="cellIs" dxfId="871" priority="1109" operator="notEqual">
      <formula>0</formula>
    </cfRule>
  </conditionalFormatting>
  <conditionalFormatting sqref="F92">
    <cfRule type="cellIs" dxfId="870" priority="1104" operator="equal">
      <formula>0</formula>
    </cfRule>
  </conditionalFormatting>
  <conditionalFormatting sqref="F92">
    <cfRule type="cellIs" dxfId="869" priority="1103" operator="notEqual">
      <formula>0</formula>
    </cfRule>
  </conditionalFormatting>
  <conditionalFormatting sqref="E127">
    <cfRule type="cellIs" dxfId="868" priority="870" operator="equal">
      <formula>0</formula>
    </cfRule>
  </conditionalFormatting>
  <conditionalFormatting sqref="E127">
    <cfRule type="cellIs" dxfId="867" priority="869" operator="notEqual">
      <formula>0</formula>
    </cfRule>
  </conditionalFormatting>
  <conditionalFormatting sqref="E128">
    <cfRule type="cellIs" dxfId="866" priority="868" operator="equal">
      <formula>0</formula>
    </cfRule>
  </conditionalFormatting>
  <conditionalFormatting sqref="E128">
    <cfRule type="cellIs" dxfId="865" priority="867" operator="notEqual">
      <formula>0</formula>
    </cfRule>
  </conditionalFormatting>
  <conditionalFormatting sqref="D93">
    <cfRule type="cellIs" dxfId="864" priority="1098" operator="equal">
      <formula>0</formula>
    </cfRule>
  </conditionalFormatting>
  <conditionalFormatting sqref="D93">
    <cfRule type="cellIs" dxfId="863" priority="1097" operator="notEqual">
      <formula>0</formula>
    </cfRule>
  </conditionalFormatting>
  <conditionalFormatting sqref="E94">
    <cfRule type="cellIs" dxfId="862" priority="1092" operator="equal">
      <formula>0</formula>
    </cfRule>
  </conditionalFormatting>
  <conditionalFormatting sqref="E94">
    <cfRule type="cellIs" dxfId="861" priority="1091" operator="notEqual">
      <formula>0</formula>
    </cfRule>
  </conditionalFormatting>
  <conditionalFormatting sqref="D129">
    <cfRule type="cellIs" dxfId="860" priority="858" operator="equal">
      <formula>0</formula>
    </cfRule>
  </conditionalFormatting>
  <conditionalFormatting sqref="D129">
    <cfRule type="cellIs" dxfId="859" priority="857" operator="notEqual">
      <formula>0</formula>
    </cfRule>
  </conditionalFormatting>
  <conditionalFormatting sqref="D130">
    <cfRule type="cellIs" dxfId="858" priority="856" operator="equal">
      <formula>0</formula>
    </cfRule>
  </conditionalFormatting>
  <conditionalFormatting sqref="D130">
    <cfRule type="cellIs" dxfId="857" priority="855" operator="notEqual">
      <formula>0</formula>
    </cfRule>
  </conditionalFormatting>
  <conditionalFormatting sqref="G93">
    <cfRule type="cellIs" dxfId="856" priority="1086" operator="equal">
      <formula>0</formula>
    </cfRule>
  </conditionalFormatting>
  <conditionalFormatting sqref="G93">
    <cfRule type="cellIs" dxfId="855" priority="1085" operator="notEqual">
      <formula>0</formula>
    </cfRule>
  </conditionalFormatting>
  <conditionalFormatting sqref="D96">
    <cfRule type="cellIs" dxfId="854" priority="1080" operator="equal">
      <formula>0</formula>
    </cfRule>
  </conditionalFormatting>
  <conditionalFormatting sqref="D96">
    <cfRule type="cellIs" dxfId="853" priority="1079" operator="notEqual">
      <formula>0</formula>
    </cfRule>
  </conditionalFormatting>
  <conditionalFormatting sqref="G129">
    <cfRule type="cellIs" dxfId="852" priority="846" operator="equal">
      <formula>0</formula>
    </cfRule>
  </conditionalFormatting>
  <conditionalFormatting sqref="G129">
    <cfRule type="cellIs" dxfId="851" priority="845" operator="notEqual">
      <formula>0</formula>
    </cfRule>
  </conditionalFormatting>
  <conditionalFormatting sqref="G130">
    <cfRule type="cellIs" dxfId="850" priority="844" operator="equal">
      <formula>0</formula>
    </cfRule>
  </conditionalFormatting>
  <conditionalFormatting sqref="G130">
    <cfRule type="cellIs" dxfId="849" priority="843" operator="notEqual">
      <formula>0</formula>
    </cfRule>
  </conditionalFormatting>
  <conditionalFormatting sqref="G95">
    <cfRule type="cellIs" dxfId="848" priority="1070" operator="equal">
      <formula>0</formula>
    </cfRule>
  </conditionalFormatting>
  <conditionalFormatting sqref="G95">
    <cfRule type="cellIs" dxfId="847" priority="1069" operator="notEqual">
      <formula>0</formula>
    </cfRule>
  </conditionalFormatting>
  <conditionalFormatting sqref="G96">
    <cfRule type="cellIs" dxfId="846" priority="1068" operator="equal">
      <formula>0</formula>
    </cfRule>
  </conditionalFormatting>
  <conditionalFormatting sqref="G96">
    <cfRule type="cellIs" dxfId="845" priority="1067" operator="notEqual">
      <formula>0</formula>
    </cfRule>
  </conditionalFormatting>
  <conditionalFormatting sqref="F131">
    <cfRule type="cellIs" dxfId="844" priority="834" operator="equal">
      <formula>0</formula>
    </cfRule>
  </conditionalFormatting>
  <conditionalFormatting sqref="F131">
    <cfRule type="cellIs" dxfId="843" priority="833" operator="notEqual">
      <formula>0</formula>
    </cfRule>
  </conditionalFormatting>
  <conditionalFormatting sqref="F132">
    <cfRule type="cellIs" dxfId="842" priority="832" operator="equal">
      <formula>0</formula>
    </cfRule>
  </conditionalFormatting>
  <conditionalFormatting sqref="F132">
    <cfRule type="cellIs" dxfId="841" priority="831" operator="notEqual">
      <formula>0</formula>
    </cfRule>
  </conditionalFormatting>
  <conditionalFormatting sqref="F97">
    <cfRule type="cellIs" dxfId="840" priority="1058" operator="equal">
      <formula>0</formula>
    </cfRule>
  </conditionalFormatting>
  <conditionalFormatting sqref="F97">
    <cfRule type="cellIs" dxfId="839" priority="1057" operator="notEqual">
      <formula>0</formula>
    </cfRule>
  </conditionalFormatting>
  <conditionalFormatting sqref="F98">
    <cfRule type="cellIs" dxfId="838" priority="1056" operator="equal">
      <formula>0</formula>
    </cfRule>
  </conditionalFormatting>
  <conditionalFormatting sqref="F98">
    <cfRule type="cellIs" dxfId="837" priority="1055" operator="notEqual">
      <formula>0</formula>
    </cfRule>
  </conditionalFormatting>
  <conditionalFormatting sqref="E133">
    <cfRule type="cellIs" dxfId="836" priority="822" operator="equal">
      <formula>0</formula>
    </cfRule>
  </conditionalFormatting>
  <conditionalFormatting sqref="E133">
    <cfRule type="cellIs" dxfId="835" priority="821" operator="notEqual">
      <formula>0</formula>
    </cfRule>
  </conditionalFormatting>
  <conditionalFormatting sqref="E134">
    <cfRule type="cellIs" dxfId="834" priority="820" operator="equal">
      <formula>0</formula>
    </cfRule>
  </conditionalFormatting>
  <conditionalFormatting sqref="E134">
    <cfRule type="cellIs" dxfId="833" priority="819" operator="notEqual">
      <formula>0</formula>
    </cfRule>
  </conditionalFormatting>
  <conditionalFormatting sqref="E99">
    <cfRule type="cellIs" dxfId="832" priority="1046" operator="equal">
      <formula>0</formula>
    </cfRule>
  </conditionalFormatting>
  <conditionalFormatting sqref="E99">
    <cfRule type="cellIs" dxfId="831" priority="1045" operator="notEqual">
      <formula>0</formula>
    </cfRule>
  </conditionalFormatting>
  <conditionalFormatting sqref="E100">
    <cfRule type="cellIs" dxfId="830" priority="1044" operator="equal">
      <formula>0</formula>
    </cfRule>
  </conditionalFormatting>
  <conditionalFormatting sqref="E100">
    <cfRule type="cellIs" dxfId="829" priority="1043" operator="notEqual">
      <formula>0</formula>
    </cfRule>
  </conditionalFormatting>
  <conditionalFormatting sqref="D135">
    <cfRule type="cellIs" dxfId="828" priority="810" operator="equal">
      <formula>0</formula>
    </cfRule>
  </conditionalFormatting>
  <conditionalFormatting sqref="D135">
    <cfRule type="cellIs" dxfId="827" priority="809" operator="notEqual">
      <formula>0</formula>
    </cfRule>
  </conditionalFormatting>
  <conditionalFormatting sqref="D136">
    <cfRule type="cellIs" dxfId="826" priority="808" operator="equal">
      <formula>0</formula>
    </cfRule>
  </conditionalFormatting>
  <conditionalFormatting sqref="D136">
    <cfRule type="cellIs" dxfId="825" priority="807" operator="notEqual">
      <formula>0</formula>
    </cfRule>
  </conditionalFormatting>
  <conditionalFormatting sqref="D101">
    <cfRule type="cellIs" dxfId="824" priority="1034" operator="equal">
      <formula>0</formula>
    </cfRule>
  </conditionalFormatting>
  <conditionalFormatting sqref="D101">
    <cfRule type="cellIs" dxfId="823" priority="1033" operator="notEqual">
      <formula>0</formula>
    </cfRule>
  </conditionalFormatting>
  <conditionalFormatting sqref="D102">
    <cfRule type="cellIs" dxfId="822" priority="1032" operator="equal">
      <formula>0</formula>
    </cfRule>
  </conditionalFormatting>
  <conditionalFormatting sqref="D102">
    <cfRule type="cellIs" dxfId="821" priority="1031" operator="notEqual">
      <formula>0</formula>
    </cfRule>
  </conditionalFormatting>
  <conditionalFormatting sqref="G135">
    <cfRule type="cellIs" dxfId="820" priority="798" operator="equal">
      <formula>0</formula>
    </cfRule>
  </conditionalFormatting>
  <conditionalFormatting sqref="G135">
    <cfRule type="cellIs" dxfId="819" priority="797" operator="notEqual">
      <formula>0</formula>
    </cfRule>
  </conditionalFormatting>
  <conditionalFormatting sqref="G136">
    <cfRule type="cellIs" dxfId="818" priority="796" operator="equal">
      <formula>0</formula>
    </cfRule>
  </conditionalFormatting>
  <conditionalFormatting sqref="G136">
    <cfRule type="cellIs" dxfId="817" priority="795" operator="notEqual">
      <formula>0</formula>
    </cfRule>
  </conditionalFormatting>
  <conditionalFormatting sqref="G101">
    <cfRule type="cellIs" dxfId="816" priority="1022" operator="equal">
      <formula>0</formula>
    </cfRule>
  </conditionalFormatting>
  <conditionalFormatting sqref="G101">
    <cfRule type="cellIs" dxfId="815" priority="1021" operator="notEqual">
      <formula>0</formula>
    </cfRule>
  </conditionalFormatting>
  <conditionalFormatting sqref="G102">
    <cfRule type="cellIs" dxfId="814" priority="1020" operator="equal">
      <formula>0</formula>
    </cfRule>
  </conditionalFormatting>
  <conditionalFormatting sqref="G102">
    <cfRule type="cellIs" dxfId="813" priority="1019" operator="notEqual">
      <formula>0</formula>
    </cfRule>
  </conditionalFormatting>
  <conditionalFormatting sqref="D103">
    <cfRule type="cellIs" dxfId="812" priority="1018" operator="equal">
      <formula>0</formula>
    </cfRule>
  </conditionalFormatting>
  <conditionalFormatting sqref="D103">
    <cfRule type="cellIs" dxfId="811" priority="1017" operator="notEqual">
      <formula>0</formula>
    </cfRule>
  </conditionalFormatting>
  <conditionalFormatting sqref="D104">
    <cfRule type="cellIs" dxfId="810" priority="1016" operator="equal">
      <formula>0</formula>
    </cfRule>
  </conditionalFormatting>
  <conditionalFormatting sqref="D104">
    <cfRule type="cellIs" dxfId="809" priority="1015" operator="notEqual">
      <formula>0</formula>
    </cfRule>
  </conditionalFormatting>
  <conditionalFormatting sqref="F103">
    <cfRule type="cellIs" dxfId="808" priority="1010" operator="equal">
      <formula>0</formula>
    </cfRule>
  </conditionalFormatting>
  <conditionalFormatting sqref="F103">
    <cfRule type="cellIs" dxfId="807" priority="1009" operator="notEqual">
      <formula>0</formula>
    </cfRule>
  </conditionalFormatting>
  <conditionalFormatting sqref="F104">
    <cfRule type="cellIs" dxfId="806" priority="1008" operator="equal">
      <formula>0</formula>
    </cfRule>
  </conditionalFormatting>
  <conditionalFormatting sqref="F104">
    <cfRule type="cellIs" dxfId="805" priority="1007" operator="notEqual">
      <formula>0</formula>
    </cfRule>
  </conditionalFormatting>
  <conditionalFormatting sqref="G103">
    <cfRule type="cellIs" dxfId="804" priority="1006" operator="equal">
      <formula>0</formula>
    </cfRule>
  </conditionalFormatting>
  <conditionalFormatting sqref="G103">
    <cfRule type="cellIs" dxfId="803" priority="1005" operator="notEqual">
      <formula>0</formula>
    </cfRule>
  </conditionalFormatting>
  <conditionalFormatting sqref="G104">
    <cfRule type="cellIs" dxfId="802" priority="1004" operator="equal">
      <formula>0</formula>
    </cfRule>
  </conditionalFormatting>
  <conditionalFormatting sqref="G104">
    <cfRule type="cellIs" dxfId="801" priority="1003" operator="notEqual">
      <formula>0</formula>
    </cfRule>
  </conditionalFormatting>
  <conditionalFormatting sqref="E105">
    <cfRule type="cellIs" dxfId="800" priority="998" operator="equal">
      <formula>0</formula>
    </cfRule>
  </conditionalFormatting>
  <conditionalFormatting sqref="E105">
    <cfRule type="cellIs" dxfId="799" priority="997" operator="notEqual">
      <formula>0</formula>
    </cfRule>
  </conditionalFormatting>
  <conditionalFormatting sqref="E106">
    <cfRule type="cellIs" dxfId="798" priority="996" operator="equal">
      <formula>0</formula>
    </cfRule>
  </conditionalFormatting>
  <conditionalFormatting sqref="E106">
    <cfRule type="cellIs" dxfId="797" priority="995" operator="notEqual">
      <formula>0</formula>
    </cfRule>
  </conditionalFormatting>
  <conditionalFormatting sqref="F105">
    <cfRule type="cellIs" dxfId="796" priority="994" operator="equal">
      <formula>0</formula>
    </cfRule>
  </conditionalFormatting>
  <conditionalFormatting sqref="F105">
    <cfRule type="cellIs" dxfId="795" priority="993" operator="notEqual">
      <formula>0</formula>
    </cfRule>
  </conditionalFormatting>
  <conditionalFormatting sqref="F106">
    <cfRule type="cellIs" dxfId="794" priority="992" operator="equal">
      <formula>0</formula>
    </cfRule>
  </conditionalFormatting>
  <conditionalFormatting sqref="F106">
    <cfRule type="cellIs" dxfId="793" priority="991" operator="notEqual">
      <formula>0</formula>
    </cfRule>
  </conditionalFormatting>
  <conditionalFormatting sqref="D109">
    <cfRule type="cellIs" dxfId="792" priority="986" operator="equal">
      <formula>0</formula>
    </cfRule>
  </conditionalFormatting>
  <conditionalFormatting sqref="D109">
    <cfRule type="cellIs" dxfId="791" priority="985" operator="notEqual">
      <formula>0</formula>
    </cfRule>
  </conditionalFormatting>
  <conditionalFormatting sqref="D110">
    <cfRule type="cellIs" dxfId="790" priority="984" operator="equal">
      <formula>0</formula>
    </cfRule>
  </conditionalFormatting>
  <conditionalFormatting sqref="D110">
    <cfRule type="cellIs" dxfId="789" priority="983" operator="notEqual">
      <formula>0</formula>
    </cfRule>
  </conditionalFormatting>
  <conditionalFormatting sqref="E109">
    <cfRule type="cellIs" dxfId="788" priority="982" operator="equal">
      <formula>0</formula>
    </cfRule>
  </conditionalFormatting>
  <conditionalFormatting sqref="E109">
    <cfRule type="cellIs" dxfId="787" priority="981" operator="notEqual">
      <formula>0</formula>
    </cfRule>
  </conditionalFormatting>
  <conditionalFormatting sqref="E110">
    <cfRule type="cellIs" dxfId="786" priority="980" operator="equal">
      <formula>0</formula>
    </cfRule>
  </conditionalFormatting>
  <conditionalFormatting sqref="E110">
    <cfRule type="cellIs" dxfId="785" priority="979" operator="notEqual">
      <formula>0</formula>
    </cfRule>
  </conditionalFormatting>
  <conditionalFormatting sqref="G109">
    <cfRule type="cellIs" dxfId="784" priority="974" operator="equal">
      <formula>0</formula>
    </cfRule>
  </conditionalFormatting>
  <conditionalFormatting sqref="G109">
    <cfRule type="cellIs" dxfId="783" priority="973" operator="notEqual">
      <formula>0</formula>
    </cfRule>
  </conditionalFormatting>
  <conditionalFormatting sqref="G110">
    <cfRule type="cellIs" dxfId="782" priority="972" operator="equal">
      <formula>0</formula>
    </cfRule>
  </conditionalFormatting>
  <conditionalFormatting sqref="G110">
    <cfRule type="cellIs" dxfId="781" priority="971" operator="notEqual">
      <formula>0</formula>
    </cfRule>
  </conditionalFormatting>
  <conditionalFormatting sqref="D111">
    <cfRule type="cellIs" dxfId="780" priority="970" operator="equal">
      <formula>0</formula>
    </cfRule>
  </conditionalFormatting>
  <conditionalFormatting sqref="D111">
    <cfRule type="cellIs" dxfId="779" priority="969" operator="notEqual">
      <formula>0</formula>
    </cfRule>
  </conditionalFormatting>
  <conditionalFormatting sqref="D112">
    <cfRule type="cellIs" dxfId="778" priority="968" operator="equal">
      <formula>0</formula>
    </cfRule>
  </conditionalFormatting>
  <conditionalFormatting sqref="D112">
    <cfRule type="cellIs" dxfId="777" priority="967" operator="notEqual">
      <formula>0</formula>
    </cfRule>
  </conditionalFormatting>
  <conditionalFormatting sqref="F111">
    <cfRule type="cellIs" dxfId="776" priority="962" operator="equal">
      <formula>0</formula>
    </cfRule>
  </conditionalFormatting>
  <conditionalFormatting sqref="F111">
    <cfRule type="cellIs" dxfId="775" priority="961" operator="notEqual">
      <formula>0</formula>
    </cfRule>
  </conditionalFormatting>
  <conditionalFormatting sqref="F112">
    <cfRule type="cellIs" dxfId="774" priority="960" operator="equal">
      <formula>0</formula>
    </cfRule>
  </conditionalFormatting>
  <conditionalFormatting sqref="F112">
    <cfRule type="cellIs" dxfId="773" priority="959" operator="notEqual">
      <formula>0</formula>
    </cfRule>
  </conditionalFormatting>
  <conditionalFormatting sqref="G111">
    <cfRule type="cellIs" dxfId="772" priority="958" operator="equal">
      <formula>0</formula>
    </cfRule>
  </conditionalFormatting>
  <conditionalFormatting sqref="G111">
    <cfRule type="cellIs" dxfId="771" priority="957" operator="notEqual">
      <formula>0</formula>
    </cfRule>
  </conditionalFormatting>
  <conditionalFormatting sqref="G112">
    <cfRule type="cellIs" dxfId="770" priority="956" operator="equal">
      <formula>0</formula>
    </cfRule>
  </conditionalFormatting>
  <conditionalFormatting sqref="G112">
    <cfRule type="cellIs" dxfId="769" priority="955" operator="notEqual">
      <formula>0</formula>
    </cfRule>
  </conditionalFormatting>
  <conditionalFormatting sqref="E113">
    <cfRule type="cellIs" dxfId="768" priority="950" operator="equal">
      <formula>0</formula>
    </cfRule>
  </conditionalFormatting>
  <conditionalFormatting sqref="E113">
    <cfRule type="cellIs" dxfId="767" priority="949" operator="notEqual">
      <formula>0</formula>
    </cfRule>
  </conditionalFormatting>
  <conditionalFormatting sqref="E114">
    <cfRule type="cellIs" dxfId="766" priority="948" operator="equal">
      <formula>0</formula>
    </cfRule>
  </conditionalFormatting>
  <conditionalFormatting sqref="E114">
    <cfRule type="cellIs" dxfId="765" priority="947" operator="notEqual">
      <formula>0</formula>
    </cfRule>
  </conditionalFormatting>
  <conditionalFormatting sqref="F113">
    <cfRule type="cellIs" dxfId="764" priority="946" operator="equal">
      <formula>0</formula>
    </cfRule>
  </conditionalFormatting>
  <conditionalFormatting sqref="F113">
    <cfRule type="cellIs" dxfId="763" priority="945" operator="notEqual">
      <formula>0</formula>
    </cfRule>
  </conditionalFormatting>
  <conditionalFormatting sqref="F114">
    <cfRule type="cellIs" dxfId="762" priority="944" operator="equal">
      <formula>0</formula>
    </cfRule>
  </conditionalFormatting>
  <conditionalFormatting sqref="F114">
    <cfRule type="cellIs" dxfId="761" priority="943" operator="notEqual">
      <formula>0</formula>
    </cfRule>
  </conditionalFormatting>
  <conditionalFormatting sqref="D115">
    <cfRule type="cellIs" dxfId="760" priority="938" operator="equal">
      <formula>0</formula>
    </cfRule>
  </conditionalFormatting>
  <conditionalFormatting sqref="D115">
    <cfRule type="cellIs" dxfId="759" priority="937" operator="notEqual">
      <formula>0</formula>
    </cfRule>
  </conditionalFormatting>
  <conditionalFormatting sqref="D116">
    <cfRule type="cellIs" dxfId="758" priority="936" operator="equal">
      <formula>0</formula>
    </cfRule>
  </conditionalFormatting>
  <conditionalFormatting sqref="D116">
    <cfRule type="cellIs" dxfId="757" priority="935" operator="notEqual">
      <formula>0</formula>
    </cfRule>
  </conditionalFormatting>
  <conditionalFormatting sqref="E115">
    <cfRule type="cellIs" dxfId="756" priority="934" operator="equal">
      <formula>0</formula>
    </cfRule>
  </conditionalFormatting>
  <conditionalFormatting sqref="E115">
    <cfRule type="cellIs" dxfId="755" priority="933" operator="notEqual">
      <formula>0</formula>
    </cfRule>
  </conditionalFormatting>
  <conditionalFormatting sqref="E116">
    <cfRule type="cellIs" dxfId="754" priority="932" operator="equal">
      <formula>0</formula>
    </cfRule>
  </conditionalFormatting>
  <conditionalFormatting sqref="E116">
    <cfRule type="cellIs" dxfId="753" priority="931" operator="notEqual">
      <formula>0</formula>
    </cfRule>
  </conditionalFormatting>
  <conditionalFormatting sqref="G115">
    <cfRule type="cellIs" dxfId="752" priority="926" operator="equal">
      <formula>0</formula>
    </cfRule>
  </conditionalFormatting>
  <conditionalFormatting sqref="G115">
    <cfRule type="cellIs" dxfId="751" priority="925" operator="notEqual">
      <formula>0</formula>
    </cfRule>
  </conditionalFormatting>
  <conditionalFormatting sqref="G116">
    <cfRule type="cellIs" dxfId="750" priority="924" operator="equal">
      <formula>0</formula>
    </cfRule>
  </conditionalFormatting>
  <conditionalFormatting sqref="G116">
    <cfRule type="cellIs" dxfId="749" priority="923" operator="notEqual">
      <formula>0</formula>
    </cfRule>
  </conditionalFormatting>
  <conditionalFormatting sqref="D117">
    <cfRule type="cellIs" dxfId="748" priority="922" operator="equal">
      <formula>0</formula>
    </cfRule>
  </conditionalFormatting>
  <conditionalFormatting sqref="D117">
    <cfRule type="cellIs" dxfId="747" priority="921" operator="notEqual">
      <formula>0</formula>
    </cfRule>
  </conditionalFormatting>
  <conditionalFormatting sqref="D118">
    <cfRule type="cellIs" dxfId="746" priority="920" operator="equal">
      <formula>0</formula>
    </cfRule>
  </conditionalFormatting>
  <conditionalFormatting sqref="D118">
    <cfRule type="cellIs" dxfId="745" priority="919" operator="notEqual">
      <formula>0</formula>
    </cfRule>
  </conditionalFormatting>
  <conditionalFormatting sqref="F117">
    <cfRule type="cellIs" dxfId="744" priority="914" operator="equal">
      <formula>0</formula>
    </cfRule>
  </conditionalFormatting>
  <conditionalFormatting sqref="F117">
    <cfRule type="cellIs" dxfId="743" priority="913" operator="notEqual">
      <formula>0</formula>
    </cfRule>
  </conditionalFormatting>
  <conditionalFormatting sqref="F118">
    <cfRule type="cellIs" dxfId="742" priority="912" operator="equal">
      <formula>0</formula>
    </cfRule>
  </conditionalFormatting>
  <conditionalFormatting sqref="F118">
    <cfRule type="cellIs" dxfId="741" priority="911" operator="notEqual">
      <formula>0</formula>
    </cfRule>
  </conditionalFormatting>
  <conditionalFormatting sqref="G117">
    <cfRule type="cellIs" dxfId="740" priority="910" operator="equal">
      <formula>0</formula>
    </cfRule>
  </conditionalFormatting>
  <conditionalFormatting sqref="G117">
    <cfRule type="cellIs" dxfId="739" priority="909" operator="notEqual">
      <formula>0</formula>
    </cfRule>
  </conditionalFormatting>
  <conditionalFormatting sqref="G118">
    <cfRule type="cellIs" dxfId="738" priority="908" operator="equal">
      <formula>0</formula>
    </cfRule>
  </conditionalFormatting>
  <conditionalFormatting sqref="G118">
    <cfRule type="cellIs" dxfId="737" priority="907" operator="notEqual">
      <formula>0</formula>
    </cfRule>
  </conditionalFormatting>
  <conditionalFormatting sqref="E121">
    <cfRule type="cellIs" dxfId="736" priority="902" operator="equal">
      <formula>0</formula>
    </cfRule>
  </conditionalFormatting>
  <conditionalFormatting sqref="E121">
    <cfRule type="cellIs" dxfId="735" priority="901" operator="notEqual">
      <formula>0</formula>
    </cfRule>
  </conditionalFormatting>
  <conditionalFormatting sqref="E122">
    <cfRule type="cellIs" dxfId="734" priority="900" operator="equal">
      <formula>0</formula>
    </cfRule>
  </conditionalFormatting>
  <conditionalFormatting sqref="E122">
    <cfRule type="cellIs" dxfId="733" priority="899" operator="notEqual">
      <formula>0</formula>
    </cfRule>
  </conditionalFormatting>
  <conditionalFormatting sqref="F121">
    <cfRule type="cellIs" dxfId="732" priority="898" operator="equal">
      <formula>0</formula>
    </cfRule>
  </conditionalFormatting>
  <conditionalFormatting sqref="F121">
    <cfRule type="cellIs" dxfId="731" priority="897" operator="notEqual">
      <formula>0</formula>
    </cfRule>
  </conditionalFormatting>
  <conditionalFormatting sqref="F122">
    <cfRule type="cellIs" dxfId="730" priority="896" operator="equal">
      <formula>0</formula>
    </cfRule>
  </conditionalFormatting>
  <conditionalFormatting sqref="F122">
    <cfRule type="cellIs" dxfId="729" priority="895" operator="notEqual">
      <formula>0</formula>
    </cfRule>
  </conditionalFormatting>
  <conditionalFormatting sqref="D123">
    <cfRule type="cellIs" dxfId="728" priority="890" operator="equal">
      <formula>0</formula>
    </cfRule>
  </conditionalFormatting>
  <conditionalFormatting sqref="D123">
    <cfRule type="cellIs" dxfId="727" priority="889" operator="notEqual">
      <formula>0</formula>
    </cfRule>
  </conditionalFormatting>
  <conditionalFormatting sqref="D124">
    <cfRule type="cellIs" dxfId="726" priority="888" operator="equal">
      <formula>0</formula>
    </cfRule>
  </conditionalFormatting>
  <conditionalFormatting sqref="D124">
    <cfRule type="cellIs" dxfId="725" priority="887" operator="notEqual">
      <formula>0</formula>
    </cfRule>
  </conditionalFormatting>
  <conditionalFormatting sqref="E123">
    <cfRule type="cellIs" dxfId="724" priority="886" operator="equal">
      <formula>0</formula>
    </cfRule>
  </conditionalFormatting>
  <conditionalFormatting sqref="E123">
    <cfRule type="cellIs" dxfId="723" priority="885" operator="notEqual">
      <formula>0</formula>
    </cfRule>
  </conditionalFormatting>
  <conditionalFormatting sqref="E124">
    <cfRule type="cellIs" dxfId="722" priority="884" operator="equal">
      <formula>0</formula>
    </cfRule>
  </conditionalFormatting>
  <conditionalFormatting sqref="E124">
    <cfRule type="cellIs" dxfId="721" priority="883" operator="notEqual">
      <formula>0</formula>
    </cfRule>
  </conditionalFormatting>
  <conditionalFormatting sqref="G123">
    <cfRule type="cellIs" dxfId="720" priority="878" operator="equal">
      <formula>0</formula>
    </cfRule>
  </conditionalFormatting>
  <conditionalFormatting sqref="G123">
    <cfRule type="cellIs" dxfId="719" priority="877" operator="notEqual">
      <formula>0</formula>
    </cfRule>
  </conditionalFormatting>
  <conditionalFormatting sqref="G124">
    <cfRule type="cellIs" dxfId="718" priority="876" operator="equal">
      <formula>0</formula>
    </cfRule>
  </conditionalFormatting>
  <conditionalFormatting sqref="G124">
    <cfRule type="cellIs" dxfId="717" priority="875" operator="notEqual">
      <formula>0</formula>
    </cfRule>
  </conditionalFormatting>
  <conditionalFormatting sqref="D127">
    <cfRule type="cellIs" dxfId="716" priority="874" operator="equal">
      <formula>0</formula>
    </cfRule>
  </conditionalFormatting>
  <conditionalFormatting sqref="D127">
    <cfRule type="cellIs" dxfId="715" priority="873" operator="notEqual">
      <formula>0</formula>
    </cfRule>
  </conditionalFormatting>
  <conditionalFormatting sqref="D128">
    <cfRule type="cellIs" dxfId="714" priority="872" operator="equal">
      <formula>0</formula>
    </cfRule>
  </conditionalFormatting>
  <conditionalFormatting sqref="D128">
    <cfRule type="cellIs" dxfId="713" priority="871" operator="notEqual">
      <formula>0</formula>
    </cfRule>
  </conditionalFormatting>
  <conditionalFormatting sqref="F127">
    <cfRule type="cellIs" dxfId="712" priority="866" operator="equal">
      <formula>0</formula>
    </cfRule>
  </conditionalFormatting>
  <conditionalFormatting sqref="F127">
    <cfRule type="cellIs" dxfId="711" priority="865" operator="notEqual">
      <formula>0</formula>
    </cfRule>
  </conditionalFormatting>
  <conditionalFormatting sqref="F128">
    <cfRule type="cellIs" dxfId="710" priority="864" operator="equal">
      <formula>0</formula>
    </cfRule>
  </conditionalFormatting>
  <conditionalFormatting sqref="F128">
    <cfRule type="cellIs" dxfId="709" priority="863" operator="notEqual">
      <formula>0</formula>
    </cfRule>
  </conditionalFormatting>
  <conditionalFormatting sqref="G127">
    <cfRule type="cellIs" dxfId="708" priority="862" operator="equal">
      <formula>0</formula>
    </cfRule>
  </conditionalFormatting>
  <conditionalFormatting sqref="G127">
    <cfRule type="cellIs" dxfId="707" priority="861" operator="notEqual">
      <formula>0</formula>
    </cfRule>
  </conditionalFormatting>
  <conditionalFormatting sqref="G128">
    <cfRule type="cellIs" dxfId="706" priority="860" operator="equal">
      <formula>0</formula>
    </cfRule>
  </conditionalFormatting>
  <conditionalFormatting sqref="G128">
    <cfRule type="cellIs" dxfId="705" priority="859" operator="notEqual">
      <formula>0</formula>
    </cfRule>
  </conditionalFormatting>
  <conditionalFormatting sqref="E129">
    <cfRule type="cellIs" dxfId="704" priority="854" operator="equal">
      <formula>0</formula>
    </cfRule>
  </conditionalFormatting>
  <conditionalFormatting sqref="E129">
    <cfRule type="cellIs" dxfId="703" priority="853" operator="notEqual">
      <formula>0</formula>
    </cfRule>
  </conditionalFormatting>
  <conditionalFormatting sqref="E130">
    <cfRule type="cellIs" dxfId="702" priority="852" operator="equal">
      <formula>0</formula>
    </cfRule>
  </conditionalFormatting>
  <conditionalFormatting sqref="E130">
    <cfRule type="cellIs" dxfId="701" priority="851" operator="notEqual">
      <formula>0</formula>
    </cfRule>
  </conditionalFormatting>
  <conditionalFormatting sqref="F129">
    <cfRule type="cellIs" dxfId="700" priority="850" operator="equal">
      <formula>0</formula>
    </cfRule>
  </conditionalFormatting>
  <conditionalFormatting sqref="F129">
    <cfRule type="cellIs" dxfId="699" priority="849" operator="notEqual">
      <formula>0</formula>
    </cfRule>
  </conditionalFormatting>
  <conditionalFormatting sqref="F130">
    <cfRule type="cellIs" dxfId="698" priority="848" operator="equal">
      <formula>0</formula>
    </cfRule>
  </conditionalFormatting>
  <conditionalFormatting sqref="F130">
    <cfRule type="cellIs" dxfId="697" priority="847" operator="notEqual">
      <formula>0</formula>
    </cfRule>
  </conditionalFormatting>
  <conditionalFormatting sqref="D131">
    <cfRule type="cellIs" dxfId="696" priority="842" operator="equal">
      <formula>0</formula>
    </cfRule>
  </conditionalFormatting>
  <conditionalFormatting sqref="D131">
    <cfRule type="cellIs" dxfId="695" priority="841" operator="notEqual">
      <formula>0</formula>
    </cfRule>
  </conditionalFormatting>
  <conditionalFormatting sqref="D132">
    <cfRule type="cellIs" dxfId="694" priority="840" operator="equal">
      <formula>0</formula>
    </cfRule>
  </conditionalFormatting>
  <conditionalFormatting sqref="D132">
    <cfRule type="cellIs" dxfId="693" priority="839" operator="notEqual">
      <formula>0</formula>
    </cfRule>
  </conditionalFormatting>
  <conditionalFormatting sqref="E131">
    <cfRule type="cellIs" dxfId="692" priority="838" operator="equal">
      <formula>0</formula>
    </cfRule>
  </conditionalFormatting>
  <conditionalFormatting sqref="E131">
    <cfRule type="cellIs" dxfId="691" priority="837" operator="notEqual">
      <formula>0</formula>
    </cfRule>
  </conditionalFormatting>
  <conditionalFormatting sqref="E132">
    <cfRule type="cellIs" dxfId="690" priority="836" operator="equal">
      <formula>0</formula>
    </cfRule>
  </conditionalFormatting>
  <conditionalFormatting sqref="E132">
    <cfRule type="cellIs" dxfId="689" priority="835" operator="notEqual">
      <formula>0</formula>
    </cfRule>
  </conditionalFormatting>
  <conditionalFormatting sqref="G131">
    <cfRule type="cellIs" dxfId="688" priority="830" operator="equal">
      <formula>0</formula>
    </cfRule>
  </conditionalFormatting>
  <conditionalFormatting sqref="G131">
    <cfRule type="cellIs" dxfId="687" priority="829" operator="notEqual">
      <formula>0</formula>
    </cfRule>
  </conditionalFormatting>
  <conditionalFormatting sqref="G132">
    <cfRule type="cellIs" dxfId="686" priority="828" operator="equal">
      <formula>0</formula>
    </cfRule>
  </conditionalFormatting>
  <conditionalFormatting sqref="G132">
    <cfRule type="cellIs" dxfId="685" priority="827" operator="notEqual">
      <formula>0</formula>
    </cfRule>
  </conditionalFormatting>
  <conditionalFormatting sqref="D133">
    <cfRule type="cellIs" dxfId="684" priority="826" operator="equal">
      <formula>0</formula>
    </cfRule>
  </conditionalFormatting>
  <conditionalFormatting sqref="D133">
    <cfRule type="cellIs" dxfId="683" priority="825" operator="notEqual">
      <formula>0</formula>
    </cfRule>
  </conditionalFormatting>
  <conditionalFormatting sqref="D134">
    <cfRule type="cellIs" dxfId="682" priority="824" operator="equal">
      <formula>0</formula>
    </cfRule>
  </conditionalFormatting>
  <conditionalFormatting sqref="D134">
    <cfRule type="cellIs" dxfId="681" priority="823" operator="notEqual">
      <formula>0</formula>
    </cfRule>
  </conditionalFormatting>
  <conditionalFormatting sqref="F133">
    <cfRule type="cellIs" dxfId="680" priority="818" operator="equal">
      <formula>0</formula>
    </cfRule>
  </conditionalFormatting>
  <conditionalFormatting sqref="F133">
    <cfRule type="cellIs" dxfId="679" priority="817" operator="notEqual">
      <formula>0</formula>
    </cfRule>
  </conditionalFormatting>
  <conditionalFormatting sqref="F134">
    <cfRule type="cellIs" dxfId="678" priority="816" operator="equal">
      <formula>0</formula>
    </cfRule>
  </conditionalFormatting>
  <conditionalFormatting sqref="F134">
    <cfRule type="cellIs" dxfId="677" priority="815" operator="notEqual">
      <formula>0</formula>
    </cfRule>
  </conditionalFormatting>
  <conditionalFormatting sqref="G133">
    <cfRule type="cellIs" dxfId="676" priority="814" operator="equal">
      <formula>0</formula>
    </cfRule>
  </conditionalFormatting>
  <conditionalFormatting sqref="G133">
    <cfRule type="cellIs" dxfId="675" priority="813" operator="notEqual">
      <formula>0</formula>
    </cfRule>
  </conditionalFormatting>
  <conditionalFormatting sqref="G134">
    <cfRule type="cellIs" dxfId="674" priority="812" operator="equal">
      <formula>0</formula>
    </cfRule>
  </conditionalFormatting>
  <conditionalFormatting sqref="G134">
    <cfRule type="cellIs" dxfId="673" priority="811" operator="notEqual">
      <formula>0</formula>
    </cfRule>
  </conditionalFormatting>
  <conditionalFormatting sqref="E135">
    <cfRule type="cellIs" dxfId="672" priority="806" operator="equal">
      <formula>0</formula>
    </cfRule>
  </conditionalFormatting>
  <conditionalFormatting sqref="E135">
    <cfRule type="cellIs" dxfId="671" priority="805" operator="notEqual">
      <formula>0</formula>
    </cfRule>
  </conditionalFormatting>
  <conditionalFormatting sqref="E136">
    <cfRule type="cellIs" dxfId="670" priority="804" operator="equal">
      <formula>0</formula>
    </cfRule>
  </conditionalFormatting>
  <conditionalFormatting sqref="E136">
    <cfRule type="cellIs" dxfId="669" priority="803" operator="notEqual">
      <formula>0</formula>
    </cfRule>
  </conditionalFormatting>
  <conditionalFormatting sqref="F135">
    <cfRule type="cellIs" dxfId="668" priority="802" operator="equal">
      <formula>0</formula>
    </cfRule>
  </conditionalFormatting>
  <conditionalFormatting sqref="F135">
    <cfRule type="cellIs" dxfId="667" priority="801" operator="notEqual">
      <formula>0</formula>
    </cfRule>
  </conditionalFormatting>
  <conditionalFormatting sqref="F136">
    <cfRule type="cellIs" dxfId="666" priority="800" operator="equal">
      <formula>0</formula>
    </cfRule>
  </conditionalFormatting>
  <conditionalFormatting sqref="F136">
    <cfRule type="cellIs" dxfId="665" priority="799" operator="notEqual">
      <formula>0</formula>
    </cfRule>
  </conditionalFormatting>
  <conditionalFormatting sqref="D137">
    <cfRule type="cellIs" dxfId="664" priority="794" operator="equal">
      <formula>0</formula>
    </cfRule>
  </conditionalFormatting>
  <conditionalFormatting sqref="D137">
    <cfRule type="cellIs" dxfId="663" priority="793" operator="notEqual">
      <formula>0</formula>
    </cfRule>
  </conditionalFormatting>
  <conditionalFormatting sqref="D138">
    <cfRule type="cellIs" dxfId="662" priority="792" operator="equal">
      <formula>0</formula>
    </cfRule>
  </conditionalFormatting>
  <conditionalFormatting sqref="D138">
    <cfRule type="cellIs" dxfId="661" priority="791" operator="notEqual">
      <formula>0</formula>
    </cfRule>
  </conditionalFormatting>
  <conditionalFormatting sqref="E137">
    <cfRule type="cellIs" dxfId="660" priority="790" operator="equal">
      <formula>0</formula>
    </cfRule>
  </conditionalFormatting>
  <conditionalFormatting sqref="E137">
    <cfRule type="cellIs" dxfId="659" priority="789" operator="notEqual">
      <formula>0</formula>
    </cfRule>
  </conditionalFormatting>
  <conditionalFormatting sqref="E138">
    <cfRule type="cellIs" dxfId="658" priority="788" operator="equal">
      <formula>0</formula>
    </cfRule>
  </conditionalFormatting>
  <conditionalFormatting sqref="E138">
    <cfRule type="cellIs" dxfId="657" priority="787" operator="notEqual">
      <formula>0</formula>
    </cfRule>
  </conditionalFormatting>
  <conditionalFormatting sqref="F137">
    <cfRule type="cellIs" dxfId="656" priority="786" operator="equal">
      <formula>0</formula>
    </cfRule>
  </conditionalFormatting>
  <conditionalFormatting sqref="F137">
    <cfRule type="cellIs" dxfId="655" priority="785" operator="notEqual">
      <formula>0</formula>
    </cfRule>
  </conditionalFormatting>
  <conditionalFormatting sqref="F138">
    <cfRule type="cellIs" dxfId="654" priority="784" operator="equal">
      <formula>0</formula>
    </cfRule>
  </conditionalFormatting>
  <conditionalFormatting sqref="F138">
    <cfRule type="cellIs" dxfId="653" priority="783" operator="notEqual">
      <formula>0</formula>
    </cfRule>
  </conditionalFormatting>
  <conditionalFormatting sqref="G137">
    <cfRule type="cellIs" dxfId="652" priority="782" operator="equal">
      <formula>0</formula>
    </cfRule>
  </conditionalFormatting>
  <conditionalFormatting sqref="G137">
    <cfRule type="cellIs" dxfId="651" priority="781" operator="notEqual">
      <formula>0</formula>
    </cfRule>
  </conditionalFormatting>
  <conditionalFormatting sqref="G138">
    <cfRule type="cellIs" dxfId="650" priority="780" operator="equal">
      <formula>0</formula>
    </cfRule>
  </conditionalFormatting>
  <conditionalFormatting sqref="G138">
    <cfRule type="cellIs" dxfId="649" priority="779" operator="notEqual">
      <formula>0</formula>
    </cfRule>
  </conditionalFormatting>
  <conditionalFormatting sqref="D139">
    <cfRule type="cellIs" dxfId="648" priority="778" operator="equal">
      <formula>0</formula>
    </cfRule>
  </conditionalFormatting>
  <conditionalFormatting sqref="D139">
    <cfRule type="cellIs" dxfId="647" priority="777" operator="notEqual">
      <formula>0</formula>
    </cfRule>
  </conditionalFormatting>
  <conditionalFormatting sqref="D140">
    <cfRule type="cellIs" dxfId="646" priority="776" operator="equal">
      <formula>0</formula>
    </cfRule>
  </conditionalFormatting>
  <conditionalFormatting sqref="D140">
    <cfRule type="cellIs" dxfId="645" priority="775" operator="notEqual">
      <formula>0</formula>
    </cfRule>
  </conditionalFormatting>
  <conditionalFormatting sqref="E139">
    <cfRule type="cellIs" dxfId="644" priority="774" operator="equal">
      <formula>0</formula>
    </cfRule>
  </conditionalFormatting>
  <conditionalFormatting sqref="E139">
    <cfRule type="cellIs" dxfId="643" priority="773" operator="notEqual">
      <formula>0</formula>
    </cfRule>
  </conditionalFormatting>
  <conditionalFormatting sqref="E140">
    <cfRule type="cellIs" dxfId="642" priority="772" operator="equal">
      <formula>0</formula>
    </cfRule>
  </conditionalFormatting>
  <conditionalFormatting sqref="E140">
    <cfRule type="cellIs" dxfId="641" priority="771" operator="notEqual">
      <formula>0</formula>
    </cfRule>
  </conditionalFormatting>
  <conditionalFormatting sqref="F139">
    <cfRule type="cellIs" dxfId="640" priority="770" operator="equal">
      <formula>0</formula>
    </cfRule>
  </conditionalFormatting>
  <conditionalFormatting sqref="F139">
    <cfRule type="cellIs" dxfId="639" priority="769" operator="notEqual">
      <formula>0</formula>
    </cfRule>
  </conditionalFormatting>
  <conditionalFormatting sqref="F140">
    <cfRule type="cellIs" dxfId="638" priority="768" operator="equal">
      <formula>0</formula>
    </cfRule>
  </conditionalFormatting>
  <conditionalFormatting sqref="F140">
    <cfRule type="cellIs" dxfId="637" priority="767" operator="notEqual">
      <formula>0</formula>
    </cfRule>
  </conditionalFormatting>
  <conditionalFormatting sqref="G139">
    <cfRule type="cellIs" dxfId="636" priority="766" operator="equal">
      <formula>0</formula>
    </cfRule>
  </conditionalFormatting>
  <conditionalFormatting sqref="G139">
    <cfRule type="cellIs" dxfId="635" priority="765" operator="notEqual">
      <formula>0</formula>
    </cfRule>
  </conditionalFormatting>
  <conditionalFormatting sqref="G140">
    <cfRule type="cellIs" dxfId="634" priority="764" operator="equal">
      <formula>0</formula>
    </cfRule>
  </conditionalFormatting>
  <conditionalFormatting sqref="G140">
    <cfRule type="cellIs" dxfId="633" priority="763" operator="notEqual">
      <formula>0</formula>
    </cfRule>
  </conditionalFormatting>
  <conditionalFormatting sqref="D141">
    <cfRule type="cellIs" dxfId="632" priority="762" operator="equal">
      <formula>0</formula>
    </cfRule>
  </conditionalFormatting>
  <conditionalFormatting sqref="D141">
    <cfRule type="cellIs" dxfId="631" priority="761" operator="notEqual">
      <formula>0</formula>
    </cfRule>
  </conditionalFormatting>
  <conditionalFormatting sqref="D142">
    <cfRule type="cellIs" dxfId="630" priority="760" operator="equal">
      <formula>0</formula>
    </cfRule>
  </conditionalFormatting>
  <conditionalFormatting sqref="D142">
    <cfRule type="cellIs" dxfId="629" priority="759" operator="notEqual">
      <formula>0</formula>
    </cfRule>
  </conditionalFormatting>
  <conditionalFormatting sqref="E141">
    <cfRule type="cellIs" dxfId="628" priority="758" operator="equal">
      <formula>0</formula>
    </cfRule>
  </conditionalFormatting>
  <conditionalFormatting sqref="E141">
    <cfRule type="cellIs" dxfId="627" priority="757" operator="notEqual">
      <formula>0</formula>
    </cfRule>
  </conditionalFormatting>
  <conditionalFormatting sqref="E142">
    <cfRule type="cellIs" dxfId="626" priority="756" operator="equal">
      <formula>0</formula>
    </cfRule>
  </conditionalFormatting>
  <conditionalFormatting sqref="E142">
    <cfRule type="cellIs" dxfId="625" priority="755" operator="notEqual">
      <formula>0</formula>
    </cfRule>
  </conditionalFormatting>
  <conditionalFormatting sqref="F141">
    <cfRule type="cellIs" dxfId="624" priority="754" operator="equal">
      <formula>0</formula>
    </cfRule>
  </conditionalFormatting>
  <conditionalFormatting sqref="F141">
    <cfRule type="cellIs" dxfId="623" priority="753" operator="notEqual">
      <formula>0</formula>
    </cfRule>
  </conditionalFormatting>
  <conditionalFormatting sqref="F142">
    <cfRule type="cellIs" dxfId="622" priority="752" operator="equal">
      <formula>0</formula>
    </cfRule>
  </conditionalFormatting>
  <conditionalFormatting sqref="F142">
    <cfRule type="cellIs" dxfId="621" priority="751" operator="notEqual">
      <formula>0</formula>
    </cfRule>
  </conditionalFormatting>
  <conditionalFormatting sqref="G141">
    <cfRule type="cellIs" dxfId="620" priority="750" operator="equal">
      <formula>0</formula>
    </cfRule>
  </conditionalFormatting>
  <conditionalFormatting sqref="G141">
    <cfRule type="cellIs" dxfId="619" priority="749" operator="notEqual">
      <formula>0</formula>
    </cfRule>
  </conditionalFormatting>
  <conditionalFormatting sqref="G142">
    <cfRule type="cellIs" dxfId="618" priority="748" operator="equal">
      <formula>0</formula>
    </cfRule>
  </conditionalFormatting>
  <conditionalFormatting sqref="G142">
    <cfRule type="cellIs" dxfId="617" priority="747" operator="notEqual">
      <formula>0</formula>
    </cfRule>
  </conditionalFormatting>
  <conditionalFormatting sqref="D145">
    <cfRule type="cellIs" dxfId="616" priority="746" operator="equal">
      <formula>0</formula>
    </cfRule>
  </conditionalFormatting>
  <conditionalFormatting sqref="D145">
    <cfRule type="cellIs" dxfId="615" priority="745" operator="notEqual">
      <formula>0</formula>
    </cfRule>
  </conditionalFormatting>
  <conditionalFormatting sqref="D146">
    <cfRule type="cellIs" dxfId="614" priority="744" operator="equal">
      <formula>0</formula>
    </cfRule>
  </conditionalFormatting>
  <conditionalFormatting sqref="D146">
    <cfRule type="cellIs" dxfId="613" priority="743" operator="notEqual">
      <formula>0</formula>
    </cfRule>
  </conditionalFormatting>
  <conditionalFormatting sqref="E145">
    <cfRule type="cellIs" dxfId="612" priority="742" operator="equal">
      <formula>0</formula>
    </cfRule>
  </conditionalFormatting>
  <conditionalFormatting sqref="E145">
    <cfRule type="cellIs" dxfId="611" priority="741" operator="notEqual">
      <formula>0</formula>
    </cfRule>
  </conditionalFormatting>
  <conditionalFormatting sqref="E146">
    <cfRule type="cellIs" dxfId="610" priority="740" operator="equal">
      <formula>0</formula>
    </cfRule>
  </conditionalFormatting>
  <conditionalFormatting sqref="E146">
    <cfRule type="cellIs" dxfId="609" priority="739" operator="notEqual">
      <formula>0</formula>
    </cfRule>
  </conditionalFormatting>
  <conditionalFormatting sqref="F145">
    <cfRule type="cellIs" dxfId="608" priority="738" operator="equal">
      <formula>0</formula>
    </cfRule>
  </conditionalFormatting>
  <conditionalFormatting sqref="F145">
    <cfRule type="cellIs" dxfId="607" priority="737" operator="notEqual">
      <formula>0</formula>
    </cfRule>
  </conditionalFormatting>
  <conditionalFormatting sqref="F146">
    <cfRule type="cellIs" dxfId="606" priority="736" operator="equal">
      <formula>0</formula>
    </cfRule>
  </conditionalFormatting>
  <conditionalFormatting sqref="F146">
    <cfRule type="cellIs" dxfId="605" priority="735" operator="notEqual">
      <formula>0</formula>
    </cfRule>
  </conditionalFormatting>
  <conditionalFormatting sqref="G145">
    <cfRule type="cellIs" dxfId="604" priority="734" operator="equal">
      <formula>0</formula>
    </cfRule>
  </conditionalFormatting>
  <conditionalFormatting sqref="G145">
    <cfRule type="cellIs" dxfId="603" priority="733" operator="notEqual">
      <formula>0</formula>
    </cfRule>
  </conditionalFormatting>
  <conditionalFormatting sqref="G146">
    <cfRule type="cellIs" dxfId="602" priority="732" operator="equal">
      <formula>0</formula>
    </cfRule>
  </conditionalFormatting>
  <conditionalFormatting sqref="G146">
    <cfRule type="cellIs" dxfId="601" priority="731" operator="notEqual">
      <formula>0</formula>
    </cfRule>
  </conditionalFormatting>
  <conditionalFormatting sqref="D149">
    <cfRule type="cellIs" dxfId="600" priority="730" operator="equal">
      <formula>0</formula>
    </cfRule>
  </conditionalFormatting>
  <conditionalFormatting sqref="D149">
    <cfRule type="cellIs" dxfId="599" priority="729" operator="notEqual">
      <formula>0</formula>
    </cfRule>
  </conditionalFormatting>
  <conditionalFormatting sqref="D150">
    <cfRule type="cellIs" dxfId="598" priority="728" operator="equal">
      <formula>0</formula>
    </cfRule>
  </conditionalFormatting>
  <conditionalFormatting sqref="D150">
    <cfRule type="cellIs" dxfId="597" priority="727" operator="notEqual">
      <formula>0</formula>
    </cfRule>
  </conditionalFormatting>
  <conditionalFormatting sqref="E149">
    <cfRule type="cellIs" dxfId="596" priority="726" operator="equal">
      <formula>0</formula>
    </cfRule>
  </conditionalFormatting>
  <conditionalFormatting sqref="E149">
    <cfRule type="cellIs" dxfId="595" priority="725" operator="notEqual">
      <formula>0</formula>
    </cfRule>
  </conditionalFormatting>
  <conditionalFormatting sqref="E150">
    <cfRule type="cellIs" dxfId="594" priority="724" operator="equal">
      <formula>0</formula>
    </cfRule>
  </conditionalFormatting>
  <conditionalFormatting sqref="E150">
    <cfRule type="cellIs" dxfId="593" priority="723" operator="notEqual">
      <formula>0</formula>
    </cfRule>
  </conditionalFormatting>
  <conditionalFormatting sqref="F149">
    <cfRule type="cellIs" dxfId="592" priority="722" operator="equal">
      <formula>0</formula>
    </cfRule>
  </conditionalFormatting>
  <conditionalFormatting sqref="F149">
    <cfRule type="cellIs" dxfId="591" priority="721" operator="notEqual">
      <formula>0</formula>
    </cfRule>
  </conditionalFormatting>
  <conditionalFormatting sqref="F150">
    <cfRule type="cellIs" dxfId="590" priority="720" operator="equal">
      <formula>0</formula>
    </cfRule>
  </conditionalFormatting>
  <conditionalFormatting sqref="F150">
    <cfRule type="cellIs" dxfId="589" priority="719" operator="notEqual">
      <formula>0</formula>
    </cfRule>
  </conditionalFormatting>
  <conditionalFormatting sqref="G149">
    <cfRule type="cellIs" dxfId="588" priority="718" operator="equal">
      <formula>0</formula>
    </cfRule>
  </conditionalFormatting>
  <conditionalFormatting sqref="G149">
    <cfRule type="cellIs" dxfId="587" priority="717" operator="notEqual">
      <formula>0</formula>
    </cfRule>
  </conditionalFormatting>
  <conditionalFormatting sqref="G150">
    <cfRule type="cellIs" dxfId="586" priority="716" operator="equal">
      <formula>0</formula>
    </cfRule>
  </conditionalFormatting>
  <conditionalFormatting sqref="G150">
    <cfRule type="cellIs" dxfId="585" priority="715" operator="notEqual">
      <formula>0</formula>
    </cfRule>
  </conditionalFormatting>
  <conditionalFormatting sqref="D151">
    <cfRule type="cellIs" dxfId="584" priority="714" operator="equal">
      <formula>0</formula>
    </cfRule>
  </conditionalFormatting>
  <conditionalFormatting sqref="D151">
    <cfRule type="cellIs" dxfId="583" priority="713" operator="notEqual">
      <formula>0</formula>
    </cfRule>
  </conditionalFormatting>
  <conditionalFormatting sqref="D152">
    <cfRule type="cellIs" dxfId="582" priority="712" operator="equal">
      <formula>0</formula>
    </cfRule>
  </conditionalFormatting>
  <conditionalFormatting sqref="D152">
    <cfRule type="cellIs" dxfId="581" priority="711" operator="notEqual">
      <formula>0</formula>
    </cfRule>
  </conditionalFormatting>
  <conditionalFormatting sqref="E151">
    <cfRule type="cellIs" dxfId="580" priority="710" operator="equal">
      <formula>0</formula>
    </cfRule>
  </conditionalFormatting>
  <conditionalFormatting sqref="E151">
    <cfRule type="cellIs" dxfId="579" priority="709" operator="notEqual">
      <formula>0</formula>
    </cfRule>
  </conditionalFormatting>
  <conditionalFormatting sqref="E152">
    <cfRule type="cellIs" dxfId="578" priority="708" operator="equal">
      <formula>0</formula>
    </cfRule>
  </conditionalFormatting>
  <conditionalFormatting sqref="E152">
    <cfRule type="cellIs" dxfId="577" priority="707" operator="notEqual">
      <formula>0</formula>
    </cfRule>
  </conditionalFormatting>
  <conditionalFormatting sqref="F151">
    <cfRule type="cellIs" dxfId="576" priority="706" operator="equal">
      <formula>0</formula>
    </cfRule>
  </conditionalFormatting>
  <conditionalFormatting sqref="F151">
    <cfRule type="cellIs" dxfId="575" priority="705" operator="notEqual">
      <formula>0</formula>
    </cfRule>
  </conditionalFormatting>
  <conditionalFormatting sqref="F152">
    <cfRule type="cellIs" dxfId="574" priority="704" operator="equal">
      <formula>0</formula>
    </cfRule>
  </conditionalFormatting>
  <conditionalFormatting sqref="F152">
    <cfRule type="cellIs" dxfId="573" priority="703" operator="notEqual">
      <formula>0</formula>
    </cfRule>
  </conditionalFormatting>
  <conditionalFormatting sqref="G151">
    <cfRule type="cellIs" dxfId="572" priority="702" operator="equal">
      <formula>0</formula>
    </cfRule>
  </conditionalFormatting>
  <conditionalFormatting sqref="G151">
    <cfRule type="cellIs" dxfId="571" priority="701" operator="notEqual">
      <formula>0</formula>
    </cfRule>
  </conditionalFormatting>
  <conditionalFormatting sqref="G152">
    <cfRule type="cellIs" dxfId="570" priority="700" operator="equal">
      <formula>0</formula>
    </cfRule>
  </conditionalFormatting>
  <conditionalFormatting sqref="G152">
    <cfRule type="cellIs" dxfId="569" priority="699" operator="notEqual">
      <formula>0</formula>
    </cfRule>
  </conditionalFormatting>
  <conditionalFormatting sqref="D155">
    <cfRule type="cellIs" dxfId="568" priority="698" operator="equal">
      <formula>0</formula>
    </cfRule>
  </conditionalFormatting>
  <conditionalFormatting sqref="D155">
    <cfRule type="cellIs" dxfId="567" priority="697" operator="notEqual">
      <formula>0</formula>
    </cfRule>
  </conditionalFormatting>
  <conditionalFormatting sqref="D156">
    <cfRule type="cellIs" dxfId="566" priority="696" operator="equal">
      <formula>0</formula>
    </cfRule>
  </conditionalFormatting>
  <conditionalFormatting sqref="D156">
    <cfRule type="cellIs" dxfId="565" priority="695" operator="notEqual">
      <formula>0</formula>
    </cfRule>
  </conditionalFormatting>
  <conditionalFormatting sqref="E155">
    <cfRule type="cellIs" dxfId="564" priority="694" operator="equal">
      <formula>0</formula>
    </cfRule>
  </conditionalFormatting>
  <conditionalFormatting sqref="E155">
    <cfRule type="cellIs" dxfId="563" priority="693" operator="notEqual">
      <formula>0</formula>
    </cfRule>
  </conditionalFormatting>
  <conditionalFormatting sqref="E156">
    <cfRule type="cellIs" dxfId="562" priority="692" operator="equal">
      <formula>0</formula>
    </cfRule>
  </conditionalFormatting>
  <conditionalFormatting sqref="E156">
    <cfRule type="cellIs" dxfId="561" priority="691" operator="notEqual">
      <formula>0</formula>
    </cfRule>
  </conditionalFormatting>
  <conditionalFormatting sqref="F155">
    <cfRule type="cellIs" dxfId="560" priority="690" operator="equal">
      <formula>0</formula>
    </cfRule>
  </conditionalFormatting>
  <conditionalFormatting sqref="F155">
    <cfRule type="cellIs" dxfId="559" priority="689" operator="notEqual">
      <formula>0</formula>
    </cfRule>
  </conditionalFormatting>
  <conditionalFormatting sqref="F156">
    <cfRule type="cellIs" dxfId="558" priority="688" operator="equal">
      <formula>0</formula>
    </cfRule>
  </conditionalFormatting>
  <conditionalFormatting sqref="F156">
    <cfRule type="cellIs" dxfId="557" priority="687" operator="notEqual">
      <formula>0</formula>
    </cfRule>
  </conditionalFormatting>
  <conditionalFormatting sqref="G155">
    <cfRule type="cellIs" dxfId="556" priority="686" operator="equal">
      <formula>0</formula>
    </cfRule>
  </conditionalFormatting>
  <conditionalFormatting sqref="G155">
    <cfRule type="cellIs" dxfId="555" priority="685" operator="notEqual">
      <formula>0</formula>
    </cfRule>
  </conditionalFormatting>
  <conditionalFormatting sqref="G156">
    <cfRule type="cellIs" dxfId="554" priority="684" operator="equal">
      <formula>0</formula>
    </cfRule>
  </conditionalFormatting>
  <conditionalFormatting sqref="G156">
    <cfRule type="cellIs" dxfId="553" priority="683" operator="notEqual">
      <formula>0</formula>
    </cfRule>
  </conditionalFormatting>
  <conditionalFormatting sqref="D157">
    <cfRule type="cellIs" dxfId="552" priority="682" operator="equal">
      <formula>0</formula>
    </cfRule>
  </conditionalFormatting>
  <conditionalFormatting sqref="D157">
    <cfRule type="cellIs" dxfId="551" priority="681" operator="notEqual">
      <formula>0</formula>
    </cfRule>
  </conditionalFormatting>
  <conditionalFormatting sqref="D158">
    <cfRule type="cellIs" dxfId="550" priority="680" operator="equal">
      <formula>0</formula>
    </cfRule>
  </conditionalFormatting>
  <conditionalFormatting sqref="D158">
    <cfRule type="cellIs" dxfId="549" priority="679" operator="notEqual">
      <formula>0</formula>
    </cfRule>
  </conditionalFormatting>
  <conditionalFormatting sqref="E157">
    <cfRule type="cellIs" dxfId="548" priority="678" operator="equal">
      <formula>0</formula>
    </cfRule>
  </conditionalFormatting>
  <conditionalFormatting sqref="E157">
    <cfRule type="cellIs" dxfId="547" priority="677" operator="notEqual">
      <formula>0</formula>
    </cfRule>
  </conditionalFormatting>
  <conditionalFormatting sqref="E158">
    <cfRule type="cellIs" dxfId="546" priority="676" operator="equal">
      <formula>0</formula>
    </cfRule>
  </conditionalFormatting>
  <conditionalFormatting sqref="E158">
    <cfRule type="cellIs" dxfId="545" priority="675" operator="notEqual">
      <formula>0</formula>
    </cfRule>
  </conditionalFormatting>
  <conditionalFormatting sqref="F157">
    <cfRule type="cellIs" dxfId="544" priority="674" operator="equal">
      <formula>0</formula>
    </cfRule>
  </conditionalFormatting>
  <conditionalFormatting sqref="F157">
    <cfRule type="cellIs" dxfId="543" priority="673" operator="notEqual">
      <formula>0</formula>
    </cfRule>
  </conditionalFormatting>
  <conditionalFormatting sqref="F158">
    <cfRule type="cellIs" dxfId="542" priority="672" operator="equal">
      <formula>0</formula>
    </cfRule>
  </conditionalFormatting>
  <conditionalFormatting sqref="F158">
    <cfRule type="cellIs" dxfId="541" priority="671" operator="notEqual">
      <formula>0</formula>
    </cfRule>
  </conditionalFormatting>
  <conditionalFormatting sqref="G157">
    <cfRule type="cellIs" dxfId="540" priority="670" operator="equal">
      <formula>0</formula>
    </cfRule>
  </conditionalFormatting>
  <conditionalFormatting sqref="G157">
    <cfRule type="cellIs" dxfId="539" priority="669" operator="notEqual">
      <formula>0</formula>
    </cfRule>
  </conditionalFormatting>
  <conditionalFormatting sqref="G158">
    <cfRule type="cellIs" dxfId="538" priority="668" operator="equal">
      <formula>0</formula>
    </cfRule>
  </conditionalFormatting>
  <conditionalFormatting sqref="G158">
    <cfRule type="cellIs" dxfId="537" priority="667" operator="notEqual">
      <formula>0</formula>
    </cfRule>
  </conditionalFormatting>
  <conditionalFormatting sqref="D159">
    <cfRule type="cellIs" dxfId="536" priority="666" operator="equal">
      <formula>0</formula>
    </cfRule>
  </conditionalFormatting>
  <conditionalFormatting sqref="D159">
    <cfRule type="cellIs" dxfId="535" priority="665" operator="notEqual">
      <formula>0</formula>
    </cfRule>
  </conditionalFormatting>
  <conditionalFormatting sqref="D160">
    <cfRule type="cellIs" dxfId="534" priority="664" operator="equal">
      <formula>0</formula>
    </cfRule>
  </conditionalFormatting>
  <conditionalFormatting sqref="D160">
    <cfRule type="cellIs" dxfId="533" priority="663" operator="notEqual">
      <formula>0</formula>
    </cfRule>
  </conditionalFormatting>
  <conditionalFormatting sqref="E159">
    <cfRule type="cellIs" dxfId="532" priority="662" operator="equal">
      <formula>0</formula>
    </cfRule>
  </conditionalFormatting>
  <conditionalFormatting sqref="E159">
    <cfRule type="cellIs" dxfId="531" priority="661" operator="notEqual">
      <formula>0</formula>
    </cfRule>
  </conditionalFormatting>
  <conditionalFormatting sqref="E160">
    <cfRule type="cellIs" dxfId="530" priority="660" operator="equal">
      <formula>0</formula>
    </cfRule>
  </conditionalFormatting>
  <conditionalFormatting sqref="E160">
    <cfRule type="cellIs" dxfId="529" priority="659" operator="notEqual">
      <formula>0</formula>
    </cfRule>
  </conditionalFormatting>
  <conditionalFormatting sqref="F159">
    <cfRule type="cellIs" dxfId="528" priority="658" operator="equal">
      <formula>0</formula>
    </cfRule>
  </conditionalFormatting>
  <conditionalFormatting sqref="F159">
    <cfRule type="cellIs" dxfId="527" priority="657" operator="notEqual">
      <formula>0</formula>
    </cfRule>
  </conditionalFormatting>
  <conditionalFormatting sqref="F160">
    <cfRule type="cellIs" dxfId="526" priority="656" operator="equal">
      <formula>0</formula>
    </cfRule>
  </conditionalFormatting>
  <conditionalFormatting sqref="F160">
    <cfRule type="cellIs" dxfId="525" priority="655" operator="notEqual">
      <formula>0</formula>
    </cfRule>
  </conditionalFormatting>
  <conditionalFormatting sqref="G159">
    <cfRule type="cellIs" dxfId="524" priority="654" operator="equal">
      <formula>0</formula>
    </cfRule>
  </conditionalFormatting>
  <conditionalFormatting sqref="G159">
    <cfRule type="cellIs" dxfId="523" priority="653" operator="notEqual">
      <formula>0</formula>
    </cfRule>
  </conditionalFormatting>
  <conditionalFormatting sqref="G160">
    <cfRule type="cellIs" dxfId="522" priority="652" operator="equal">
      <formula>0</formula>
    </cfRule>
  </conditionalFormatting>
  <conditionalFormatting sqref="G160">
    <cfRule type="cellIs" dxfId="521" priority="651" operator="notEqual">
      <formula>0</formula>
    </cfRule>
  </conditionalFormatting>
  <conditionalFormatting sqref="D163">
    <cfRule type="cellIs" dxfId="520" priority="650" operator="equal">
      <formula>0</formula>
    </cfRule>
  </conditionalFormatting>
  <conditionalFormatting sqref="D163">
    <cfRule type="cellIs" dxfId="519" priority="649" operator="notEqual">
      <formula>0</formula>
    </cfRule>
  </conditionalFormatting>
  <conditionalFormatting sqref="D164">
    <cfRule type="cellIs" dxfId="518" priority="648" operator="equal">
      <formula>0</formula>
    </cfRule>
  </conditionalFormatting>
  <conditionalFormatting sqref="D164">
    <cfRule type="cellIs" dxfId="517" priority="647" operator="notEqual">
      <formula>0</formula>
    </cfRule>
  </conditionalFormatting>
  <conditionalFormatting sqref="E163">
    <cfRule type="cellIs" dxfId="516" priority="646" operator="equal">
      <formula>0</formula>
    </cfRule>
  </conditionalFormatting>
  <conditionalFormatting sqref="E163">
    <cfRule type="cellIs" dxfId="515" priority="645" operator="notEqual">
      <formula>0</formula>
    </cfRule>
  </conditionalFormatting>
  <conditionalFormatting sqref="E164">
    <cfRule type="cellIs" dxfId="514" priority="644" operator="equal">
      <formula>0</formula>
    </cfRule>
  </conditionalFormatting>
  <conditionalFormatting sqref="E164">
    <cfRule type="cellIs" dxfId="513" priority="643" operator="notEqual">
      <formula>0</formula>
    </cfRule>
  </conditionalFormatting>
  <conditionalFormatting sqref="F163">
    <cfRule type="cellIs" dxfId="512" priority="642" operator="equal">
      <formula>0</formula>
    </cfRule>
  </conditionalFormatting>
  <conditionalFormatting sqref="F163">
    <cfRule type="cellIs" dxfId="511" priority="641" operator="notEqual">
      <formula>0</formula>
    </cfRule>
  </conditionalFormatting>
  <conditionalFormatting sqref="F164">
    <cfRule type="cellIs" dxfId="510" priority="640" operator="equal">
      <formula>0</formula>
    </cfRule>
  </conditionalFormatting>
  <conditionalFormatting sqref="F164">
    <cfRule type="cellIs" dxfId="509" priority="639" operator="notEqual">
      <formula>0</formula>
    </cfRule>
  </conditionalFormatting>
  <conditionalFormatting sqref="G163">
    <cfRule type="cellIs" dxfId="508" priority="638" operator="equal">
      <formula>0</formula>
    </cfRule>
  </conditionalFormatting>
  <conditionalFormatting sqref="G163">
    <cfRule type="cellIs" dxfId="507" priority="637" operator="notEqual">
      <formula>0</formula>
    </cfRule>
  </conditionalFormatting>
  <conditionalFormatting sqref="G164">
    <cfRule type="cellIs" dxfId="506" priority="636" operator="equal">
      <formula>0</formula>
    </cfRule>
  </conditionalFormatting>
  <conditionalFormatting sqref="G164">
    <cfRule type="cellIs" dxfId="505" priority="635" operator="notEqual">
      <formula>0</formula>
    </cfRule>
  </conditionalFormatting>
  <conditionalFormatting sqref="D165">
    <cfRule type="cellIs" dxfId="504" priority="634" operator="equal">
      <formula>0</formula>
    </cfRule>
  </conditionalFormatting>
  <conditionalFormatting sqref="D165">
    <cfRule type="cellIs" dxfId="503" priority="633" operator="notEqual">
      <formula>0</formula>
    </cfRule>
  </conditionalFormatting>
  <conditionalFormatting sqref="D166">
    <cfRule type="cellIs" dxfId="502" priority="632" operator="equal">
      <formula>0</formula>
    </cfRule>
  </conditionalFormatting>
  <conditionalFormatting sqref="D166">
    <cfRule type="cellIs" dxfId="501" priority="631" operator="notEqual">
      <formula>0</formula>
    </cfRule>
  </conditionalFormatting>
  <conditionalFormatting sqref="E165">
    <cfRule type="cellIs" dxfId="500" priority="630" operator="equal">
      <formula>0</formula>
    </cfRule>
  </conditionalFormatting>
  <conditionalFormatting sqref="E165">
    <cfRule type="cellIs" dxfId="499" priority="629" operator="notEqual">
      <formula>0</formula>
    </cfRule>
  </conditionalFormatting>
  <conditionalFormatting sqref="E166">
    <cfRule type="cellIs" dxfId="498" priority="628" operator="equal">
      <formula>0</formula>
    </cfRule>
  </conditionalFormatting>
  <conditionalFormatting sqref="E166">
    <cfRule type="cellIs" dxfId="497" priority="627" operator="notEqual">
      <formula>0</formula>
    </cfRule>
  </conditionalFormatting>
  <conditionalFormatting sqref="F165">
    <cfRule type="cellIs" dxfId="496" priority="626" operator="equal">
      <formula>0</formula>
    </cfRule>
  </conditionalFormatting>
  <conditionalFormatting sqref="F165">
    <cfRule type="cellIs" dxfId="495" priority="625" operator="notEqual">
      <formula>0</formula>
    </cfRule>
  </conditionalFormatting>
  <conditionalFormatting sqref="F166">
    <cfRule type="cellIs" dxfId="494" priority="624" operator="equal">
      <formula>0</formula>
    </cfRule>
  </conditionalFormatting>
  <conditionalFormatting sqref="F166">
    <cfRule type="cellIs" dxfId="493" priority="623" operator="notEqual">
      <formula>0</formula>
    </cfRule>
  </conditionalFormatting>
  <conditionalFormatting sqref="G165">
    <cfRule type="cellIs" dxfId="492" priority="622" operator="equal">
      <formula>0</formula>
    </cfRule>
  </conditionalFormatting>
  <conditionalFormatting sqref="G165">
    <cfRule type="cellIs" dxfId="491" priority="621" operator="notEqual">
      <formula>0</formula>
    </cfRule>
  </conditionalFormatting>
  <conditionalFormatting sqref="G166">
    <cfRule type="cellIs" dxfId="490" priority="620" operator="equal">
      <formula>0</formula>
    </cfRule>
  </conditionalFormatting>
  <conditionalFormatting sqref="G166">
    <cfRule type="cellIs" dxfId="489" priority="619" operator="notEqual">
      <formula>0</formula>
    </cfRule>
  </conditionalFormatting>
  <conditionalFormatting sqref="D167">
    <cfRule type="cellIs" dxfId="488" priority="618" operator="equal">
      <formula>0</formula>
    </cfRule>
  </conditionalFormatting>
  <conditionalFormatting sqref="D167">
    <cfRule type="cellIs" dxfId="487" priority="617" operator="notEqual">
      <formula>0</formula>
    </cfRule>
  </conditionalFormatting>
  <conditionalFormatting sqref="D168">
    <cfRule type="cellIs" dxfId="486" priority="616" operator="equal">
      <formula>0</formula>
    </cfRule>
  </conditionalFormatting>
  <conditionalFormatting sqref="D168">
    <cfRule type="cellIs" dxfId="485" priority="615" operator="notEqual">
      <formula>0</formula>
    </cfRule>
  </conditionalFormatting>
  <conditionalFormatting sqref="E167">
    <cfRule type="cellIs" dxfId="484" priority="614" operator="equal">
      <formula>0</formula>
    </cfRule>
  </conditionalFormatting>
  <conditionalFormatting sqref="E167">
    <cfRule type="cellIs" dxfId="483" priority="613" operator="notEqual">
      <formula>0</formula>
    </cfRule>
  </conditionalFormatting>
  <conditionalFormatting sqref="E168">
    <cfRule type="cellIs" dxfId="482" priority="612" operator="equal">
      <formula>0</formula>
    </cfRule>
  </conditionalFormatting>
  <conditionalFormatting sqref="E168">
    <cfRule type="cellIs" dxfId="481" priority="611" operator="notEqual">
      <formula>0</formula>
    </cfRule>
  </conditionalFormatting>
  <conditionalFormatting sqref="F167">
    <cfRule type="cellIs" dxfId="480" priority="610" operator="equal">
      <formula>0</formula>
    </cfRule>
  </conditionalFormatting>
  <conditionalFormatting sqref="F167">
    <cfRule type="cellIs" dxfId="479" priority="609" operator="notEqual">
      <formula>0</formula>
    </cfRule>
  </conditionalFormatting>
  <conditionalFormatting sqref="F168">
    <cfRule type="cellIs" dxfId="478" priority="608" operator="equal">
      <formula>0</formula>
    </cfRule>
  </conditionalFormatting>
  <conditionalFormatting sqref="F168">
    <cfRule type="cellIs" dxfId="477" priority="607" operator="notEqual">
      <formula>0</formula>
    </cfRule>
  </conditionalFormatting>
  <conditionalFormatting sqref="G167">
    <cfRule type="cellIs" dxfId="476" priority="606" operator="equal">
      <formula>0</formula>
    </cfRule>
  </conditionalFormatting>
  <conditionalFormatting sqref="G167">
    <cfRule type="cellIs" dxfId="475" priority="605" operator="notEqual">
      <formula>0</formula>
    </cfRule>
  </conditionalFormatting>
  <conditionalFormatting sqref="G168">
    <cfRule type="cellIs" dxfId="474" priority="604" operator="equal">
      <formula>0</formula>
    </cfRule>
  </conditionalFormatting>
  <conditionalFormatting sqref="G168">
    <cfRule type="cellIs" dxfId="473" priority="603" operator="notEqual">
      <formula>0</formula>
    </cfRule>
  </conditionalFormatting>
  <conditionalFormatting sqref="D169">
    <cfRule type="cellIs" dxfId="472" priority="602" operator="equal">
      <formula>0</formula>
    </cfRule>
  </conditionalFormatting>
  <conditionalFormatting sqref="D169">
    <cfRule type="cellIs" dxfId="471" priority="601" operator="notEqual">
      <formula>0</formula>
    </cfRule>
  </conditionalFormatting>
  <conditionalFormatting sqref="D170">
    <cfRule type="cellIs" dxfId="470" priority="600" operator="equal">
      <formula>0</formula>
    </cfRule>
  </conditionalFormatting>
  <conditionalFormatting sqref="D170">
    <cfRule type="cellIs" dxfId="469" priority="599" operator="notEqual">
      <formula>0</formula>
    </cfRule>
  </conditionalFormatting>
  <conditionalFormatting sqref="E169">
    <cfRule type="cellIs" dxfId="468" priority="598" operator="equal">
      <formula>0</formula>
    </cfRule>
  </conditionalFormatting>
  <conditionalFormatting sqref="E169">
    <cfRule type="cellIs" dxfId="467" priority="597" operator="notEqual">
      <formula>0</formula>
    </cfRule>
  </conditionalFormatting>
  <conditionalFormatting sqref="E170">
    <cfRule type="cellIs" dxfId="466" priority="596" operator="equal">
      <formula>0</formula>
    </cfRule>
  </conditionalFormatting>
  <conditionalFormatting sqref="E170">
    <cfRule type="cellIs" dxfId="465" priority="595" operator="notEqual">
      <formula>0</formula>
    </cfRule>
  </conditionalFormatting>
  <conditionalFormatting sqref="F169">
    <cfRule type="cellIs" dxfId="464" priority="594" operator="equal">
      <formula>0</formula>
    </cfRule>
  </conditionalFormatting>
  <conditionalFormatting sqref="F169">
    <cfRule type="cellIs" dxfId="463" priority="593" operator="notEqual">
      <formula>0</formula>
    </cfRule>
  </conditionalFormatting>
  <conditionalFormatting sqref="F170">
    <cfRule type="cellIs" dxfId="462" priority="592" operator="equal">
      <formula>0</formula>
    </cfRule>
  </conditionalFormatting>
  <conditionalFormatting sqref="F170">
    <cfRule type="cellIs" dxfId="461" priority="591" operator="notEqual">
      <formula>0</formula>
    </cfRule>
  </conditionalFormatting>
  <conditionalFormatting sqref="G169">
    <cfRule type="cellIs" dxfId="460" priority="590" operator="equal">
      <formula>0</formula>
    </cfRule>
  </conditionalFormatting>
  <conditionalFormatting sqref="G169">
    <cfRule type="cellIs" dxfId="459" priority="589" operator="notEqual">
      <formula>0</formula>
    </cfRule>
  </conditionalFormatting>
  <conditionalFormatting sqref="G170">
    <cfRule type="cellIs" dxfId="458" priority="588" operator="equal">
      <formula>0</formula>
    </cfRule>
  </conditionalFormatting>
  <conditionalFormatting sqref="G170">
    <cfRule type="cellIs" dxfId="457" priority="587" operator="notEqual">
      <formula>0</formula>
    </cfRule>
  </conditionalFormatting>
  <conditionalFormatting sqref="D171">
    <cfRule type="cellIs" dxfId="456" priority="586" operator="equal">
      <formula>0</formula>
    </cfRule>
  </conditionalFormatting>
  <conditionalFormatting sqref="D171">
    <cfRule type="cellIs" dxfId="455" priority="585" operator="notEqual">
      <formula>0</formula>
    </cfRule>
  </conditionalFormatting>
  <conditionalFormatting sqref="D172">
    <cfRule type="cellIs" dxfId="454" priority="584" operator="equal">
      <formula>0</formula>
    </cfRule>
  </conditionalFormatting>
  <conditionalFormatting sqref="D172">
    <cfRule type="cellIs" dxfId="453" priority="583" operator="notEqual">
      <formula>0</formula>
    </cfRule>
  </conditionalFormatting>
  <conditionalFormatting sqref="E171">
    <cfRule type="cellIs" dxfId="452" priority="582" operator="equal">
      <formula>0</formula>
    </cfRule>
  </conditionalFormatting>
  <conditionalFormatting sqref="E171">
    <cfRule type="cellIs" dxfId="451" priority="581" operator="notEqual">
      <formula>0</formula>
    </cfRule>
  </conditionalFormatting>
  <conditionalFormatting sqref="E172">
    <cfRule type="cellIs" dxfId="450" priority="580" operator="equal">
      <formula>0</formula>
    </cfRule>
  </conditionalFormatting>
  <conditionalFormatting sqref="E172">
    <cfRule type="cellIs" dxfId="449" priority="579" operator="notEqual">
      <formula>0</formula>
    </cfRule>
  </conditionalFormatting>
  <conditionalFormatting sqref="F171">
    <cfRule type="cellIs" dxfId="448" priority="578" operator="equal">
      <formula>0</formula>
    </cfRule>
  </conditionalFormatting>
  <conditionalFormatting sqref="F171">
    <cfRule type="cellIs" dxfId="447" priority="577" operator="notEqual">
      <formula>0</formula>
    </cfRule>
  </conditionalFormatting>
  <conditionalFormatting sqref="F172">
    <cfRule type="cellIs" dxfId="446" priority="576" operator="equal">
      <formula>0</formula>
    </cfRule>
  </conditionalFormatting>
  <conditionalFormatting sqref="F172">
    <cfRule type="cellIs" dxfId="445" priority="575" operator="notEqual">
      <formula>0</formula>
    </cfRule>
  </conditionalFormatting>
  <conditionalFormatting sqref="G171">
    <cfRule type="cellIs" dxfId="444" priority="574" operator="equal">
      <formula>0</formula>
    </cfRule>
  </conditionalFormatting>
  <conditionalFormatting sqref="G171">
    <cfRule type="cellIs" dxfId="443" priority="573" operator="notEqual">
      <formula>0</formula>
    </cfRule>
  </conditionalFormatting>
  <conditionalFormatting sqref="G172">
    <cfRule type="cellIs" dxfId="442" priority="572" operator="equal">
      <formula>0</formula>
    </cfRule>
  </conditionalFormatting>
  <conditionalFormatting sqref="G172">
    <cfRule type="cellIs" dxfId="441" priority="571" operator="notEqual">
      <formula>0</formula>
    </cfRule>
  </conditionalFormatting>
  <conditionalFormatting sqref="D173">
    <cfRule type="cellIs" dxfId="440" priority="570" operator="equal">
      <formula>0</formula>
    </cfRule>
  </conditionalFormatting>
  <conditionalFormatting sqref="D173">
    <cfRule type="cellIs" dxfId="439" priority="569" operator="notEqual">
      <formula>0</formula>
    </cfRule>
  </conditionalFormatting>
  <conditionalFormatting sqref="D174">
    <cfRule type="cellIs" dxfId="438" priority="568" operator="equal">
      <formula>0</formula>
    </cfRule>
  </conditionalFormatting>
  <conditionalFormatting sqref="D174">
    <cfRule type="cellIs" dxfId="437" priority="567" operator="notEqual">
      <formula>0</formula>
    </cfRule>
  </conditionalFormatting>
  <conditionalFormatting sqref="E173">
    <cfRule type="cellIs" dxfId="436" priority="566" operator="equal">
      <formula>0</formula>
    </cfRule>
  </conditionalFormatting>
  <conditionalFormatting sqref="E173">
    <cfRule type="cellIs" dxfId="435" priority="565" operator="notEqual">
      <formula>0</formula>
    </cfRule>
  </conditionalFormatting>
  <conditionalFormatting sqref="E174">
    <cfRule type="cellIs" dxfId="434" priority="564" operator="equal">
      <formula>0</formula>
    </cfRule>
  </conditionalFormatting>
  <conditionalFormatting sqref="E174">
    <cfRule type="cellIs" dxfId="433" priority="563" operator="notEqual">
      <formula>0</formula>
    </cfRule>
  </conditionalFormatting>
  <conditionalFormatting sqref="F173">
    <cfRule type="cellIs" dxfId="432" priority="562" operator="equal">
      <formula>0</formula>
    </cfRule>
  </conditionalFormatting>
  <conditionalFormatting sqref="F173">
    <cfRule type="cellIs" dxfId="431" priority="561" operator="notEqual">
      <formula>0</formula>
    </cfRule>
  </conditionalFormatting>
  <conditionalFormatting sqref="F174">
    <cfRule type="cellIs" dxfId="430" priority="560" operator="equal">
      <formula>0</formula>
    </cfRule>
  </conditionalFormatting>
  <conditionalFormatting sqref="F174">
    <cfRule type="cellIs" dxfId="429" priority="559" operator="notEqual">
      <formula>0</formula>
    </cfRule>
  </conditionalFormatting>
  <conditionalFormatting sqref="G173">
    <cfRule type="cellIs" dxfId="428" priority="558" operator="equal">
      <formula>0</formula>
    </cfRule>
  </conditionalFormatting>
  <conditionalFormatting sqref="G173">
    <cfRule type="cellIs" dxfId="427" priority="557" operator="notEqual">
      <formula>0</formula>
    </cfRule>
  </conditionalFormatting>
  <conditionalFormatting sqref="G174">
    <cfRule type="cellIs" dxfId="426" priority="556" operator="equal">
      <formula>0</formula>
    </cfRule>
  </conditionalFormatting>
  <conditionalFormatting sqref="G174">
    <cfRule type="cellIs" dxfId="425" priority="555" operator="notEqual">
      <formula>0</formula>
    </cfRule>
  </conditionalFormatting>
  <conditionalFormatting sqref="D175">
    <cfRule type="cellIs" dxfId="424" priority="554" operator="equal">
      <formula>0</formula>
    </cfRule>
  </conditionalFormatting>
  <conditionalFormatting sqref="D175">
    <cfRule type="cellIs" dxfId="423" priority="553" operator="notEqual">
      <formula>0</formula>
    </cfRule>
  </conditionalFormatting>
  <conditionalFormatting sqref="D176">
    <cfRule type="cellIs" dxfId="422" priority="552" operator="equal">
      <formula>0</formula>
    </cfRule>
  </conditionalFormatting>
  <conditionalFormatting sqref="D176">
    <cfRule type="cellIs" dxfId="421" priority="551" operator="notEqual">
      <formula>0</formula>
    </cfRule>
  </conditionalFormatting>
  <conditionalFormatting sqref="E175">
    <cfRule type="cellIs" dxfId="420" priority="550" operator="equal">
      <formula>0</formula>
    </cfRule>
  </conditionalFormatting>
  <conditionalFormatting sqref="E175">
    <cfRule type="cellIs" dxfId="419" priority="549" operator="notEqual">
      <formula>0</formula>
    </cfRule>
  </conditionalFormatting>
  <conditionalFormatting sqref="E176">
    <cfRule type="cellIs" dxfId="418" priority="548" operator="equal">
      <formula>0</formula>
    </cfRule>
  </conditionalFormatting>
  <conditionalFormatting sqref="E176">
    <cfRule type="cellIs" dxfId="417" priority="547" operator="notEqual">
      <formula>0</formula>
    </cfRule>
  </conditionalFormatting>
  <conditionalFormatting sqref="F175">
    <cfRule type="cellIs" dxfId="416" priority="546" operator="equal">
      <formula>0</formula>
    </cfRule>
  </conditionalFormatting>
  <conditionalFormatting sqref="F175">
    <cfRule type="cellIs" dxfId="415" priority="545" operator="notEqual">
      <formula>0</formula>
    </cfRule>
  </conditionalFormatting>
  <conditionalFormatting sqref="F176">
    <cfRule type="cellIs" dxfId="414" priority="544" operator="equal">
      <formula>0</formula>
    </cfRule>
  </conditionalFormatting>
  <conditionalFormatting sqref="F176">
    <cfRule type="cellIs" dxfId="413" priority="543" operator="notEqual">
      <formula>0</formula>
    </cfRule>
  </conditionalFormatting>
  <conditionalFormatting sqref="G175">
    <cfRule type="cellIs" dxfId="412" priority="542" operator="equal">
      <formula>0</formula>
    </cfRule>
  </conditionalFormatting>
  <conditionalFormatting sqref="G175">
    <cfRule type="cellIs" dxfId="411" priority="541" operator="notEqual">
      <formula>0</formula>
    </cfRule>
  </conditionalFormatting>
  <conditionalFormatting sqref="G176">
    <cfRule type="cellIs" dxfId="410" priority="540" operator="equal">
      <formula>0</formula>
    </cfRule>
  </conditionalFormatting>
  <conditionalFormatting sqref="G176">
    <cfRule type="cellIs" dxfId="409" priority="539" operator="notEqual">
      <formula>0</formula>
    </cfRule>
  </conditionalFormatting>
  <conditionalFormatting sqref="D367 D369 D371 D373 D375 D377 D379 D381">
    <cfRule type="cellIs" dxfId="408" priority="314" operator="equal">
      <formula>0</formula>
    </cfRule>
  </conditionalFormatting>
  <conditionalFormatting sqref="D367 D369 D371 D373 D375 D377 D379 D381">
    <cfRule type="cellIs" dxfId="407" priority="313" operator="notEqual">
      <formula>0</formula>
    </cfRule>
  </conditionalFormatting>
  <conditionalFormatting sqref="E368 E370 E372 E374 E376 E378 E380 E382">
    <cfRule type="cellIs" dxfId="406" priority="308" operator="equal">
      <formula>0</formula>
    </cfRule>
  </conditionalFormatting>
  <conditionalFormatting sqref="E368 E370 E372 E374 E376 E378 E380 E382">
    <cfRule type="cellIs" dxfId="405" priority="307" operator="notEqual">
      <formula>0</formula>
    </cfRule>
  </conditionalFormatting>
  <conditionalFormatting sqref="F367 F369 F371 F373 F375 F377 F379 F381">
    <cfRule type="cellIs" dxfId="404" priority="306" operator="equal">
      <formula>0</formula>
    </cfRule>
  </conditionalFormatting>
  <conditionalFormatting sqref="F367 F369 F371 F373 F375 F377 F379 F381">
    <cfRule type="cellIs" dxfId="403" priority="305" operator="notEqual">
      <formula>0</formula>
    </cfRule>
  </conditionalFormatting>
  <conditionalFormatting sqref="F368 F370 F372 F374 F376 F378 F380 F382">
    <cfRule type="cellIs" dxfId="402" priority="304" operator="equal">
      <formula>0</formula>
    </cfRule>
  </conditionalFormatting>
  <conditionalFormatting sqref="F368 F370 F372 F374 F376 F378 F380 F382">
    <cfRule type="cellIs" dxfId="401" priority="303" operator="notEqual">
      <formula>0</formula>
    </cfRule>
  </conditionalFormatting>
  <conditionalFormatting sqref="G367 G369 G371 G373 G375 G377 G379 G381">
    <cfRule type="cellIs" dxfId="400" priority="302" operator="equal">
      <formula>0</formula>
    </cfRule>
  </conditionalFormatting>
  <conditionalFormatting sqref="G367 G369 G371 G373 G375 G377 G379 G381">
    <cfRule type="cellIs" dxfId="399" priority="301" operator="notEqual">
      <formula>0</formula>
    </cfRule>
  </conditionalFormatting>
  <conditionalFormatting sqref="G368 G370 G372 G374 G376 G378 G380 G382">
    <cfRule type="cellIs" dxfId="398" priority="300" operator="equal">
      <formula>0</formula>
    </cfRule>
  </conditionalFormatting>
  <conditionalFormatting sqref="G368 G370 G372 G374 G376 G378 G380 G382">
    <cfRule type="cellIs" dxfId="397" priority="299" operator="notEqual">
      <formula>0</formula>
    </cfRule>
  </conditionalFormatting>
  <conditionalFormatting sqref="D387 D389">
    <cfRule type="cellIs" dxfId="396" priority="298" operator="equal">
      <formula>0</formula>
    </cfRule>
  </conditionalFormatting>
  <conditionalFormatting sqref="D387 D389">
    <cfRule type="cellIs" dxfId="395" priority="297" operator="notEqual">
      <formula>0</formula>
    </cfRule>
  </conditionalFormatting>
  <conditionalFormatting sqref="D388 D390">
    <cfRule type="cellIs" dxfId="394" priority="296" operator="equal">
      <formula>0</formula>
    </cfRule>
  </conditionalFormatting>
  <conditionalFormatting sqref="D388 D390">
    <cfRule type="cellIs" dxfId="393" priority="295" operator="notEqual">
      <formula>0</formula>
    </cfRule>
  </conditionalFormatting>
  <conditionalFormatting sqref="E387 E389">
    <cfRule type="cellIs" dxfId="392" priority="294" operator="equal">
      <formula>0</formula>
    </cfRule>
  </conditionalFormatting>
  <conditionalFormatting sqref="E387 E389">
    <cfRule type="cellIs" dxfId="391" priority="293" operator="notEqual">
      <formula>0</formula>
    </cfRule>
  </conditionalFormatting>
  <conditionalFormatting sqref="E388 E390">
    <cfRule type="cellIs" dxfId="390" priority="292" operator="equal">
      <formula>0</formula>
    </cfRule>
  </conditionalFormatting>
  <conditionalFormatting sqref="E388 E390">
    <cfRule type="cellIs" dxfId="389" priority="291" operator="notEqual">
      <formula>0</formula>
    </cfRule>
  </conditionalFormatting>
  <conditionalFormatting sqref="F387 F389">
    <cfRule type="cellIs" dxfId="388" priority="290" operator="equal">
      <formula>0</formula>
    </cfRule>
  </conditionalFormatting>
  <conditionalFormatting sqref="F387 F389">
    <cfRule type="cellIs" dxfId="387" priority="289" operator="notEqual">
      <formula>0</formula>
    </cfRule>
  </conditionalFormatting>
  <conditionalFormatting sqref="F388 F390">
    <cfRule type="cellIs" dxfId="386" priority="288" operator="equal">
      <formula>0</formula>
    </cfRule>
  </conditionalFormatting>
  <conditionalFormatting sqref="F388 F390">
    <cfRule type="cellIs" dxfId="385" priority="287" operator="notEqual">
      <formula>0</formula>
    </cfRule>
  </conditionalFormatting>
  <conditionalFormatting sqref="G387 G389">
    <cfRule type="cellIs" dxfId="384" priority="286" operator="equal">
      <formula>0</formula>
    </cfRule>
  </conditionalFormatting>
  <conditionalFormatting sqref="G387 G389">
    <cfRule type="cellIs" dxfId="383" priority="285" operator="notEqual">
      <formula>0</formula>
    </cfRule>
  </conditionalFormatting>
  <conditionalFormatting sqref="G388 G390">
    <cfRule type="cellIs" dxfId="382" priority="284" operator="equal">
      <formula>0</formula>
    </cfRule>
  </conditionalFormatting>
  <conditionalFormatting sqref="G388 G390">
    <cfRule type="cellIs" dxfId="381" priority="283" operator="notEqual">
      <formula>0</formula>
    </cfRule>
  </conditionalFormatting>
  <conditionalFormatting sqref="D397">
    <cfRule type="cellIs" dxfId="380" priority="282" operator="equal">
      <formula>0</formula>
    </cfRule>
  </conditionalFormatting>
  <conditionalFormatting sqref="D397">
    <cfRule type="cellIs" dxfId="379" priority="281" operator="notEqual">
      <formula>0</formula>
    </cfRule>
  </conditionalFormatting>
  <conditionalFormatting sqref="D398">
    <cfRule type="cellIs" dxfId="378" priority="280" operator="equal">
      <formula>0</formula>
    </cfRule>
  </conditionalFormatting>
  <conditionalFormatting sqref="D398">
    <cfRule type="cellIs" dxfId="377" priority="279" operator="notEqual">
      <formula>0</formula>
    </cfRule>
  </conditionalFormatting>
  <conditionalFormatting sqref="E397">
    <cfRule type="cellIs" dxfId="376" priority="278" operator="equal">
      <formula>0</formula>
    </cfRule>
  </conditionalFormatting>
  <conditionalFormatting sqref="E397">
    <cfRule type="cellIs" dxfId="375" priority="277" operator="notEqual">
      <formula>0</formula>
    </cfRule>
  </conditionalFormatting>
  <conditionalFormatting sqref="F398">
    <cfRule type="cellIs" dxfId="374" priority="272" operator="equal">
      <formula>0</formula>
    </cfRule>
  </conditionalFormatting>
  <conditionalFormatting sqref="F398">
    <cfRule type="cellIs" dxfId="373" priority="271" operator="notEqual">
      <formula>0</formula>
    </cfRule>
  </conditionalFormatting>
  <conditionalFormatting sqref="G397">
    <cfRule type="cellIs" dxfId="372" priority="270" operator="equal">
      <formula>0</formula>
    </cfRule>
  </conditionalFormatting>
  <conditionalFormatting sqref="G397">
    <cfRule type="cellIs" dxfId="371" priority="269" operator="notEqual">
      <formula>0</formula>
    </cfRule>
  </conditionalFormatting>
  <conditionalFormatting sqref="G398">
    <cfRule type="cellIs" dxfId="370" priority="268" operator="equal">
      <formula>0</formula>
    </cfRule>
  </conditionalFormatting>
  <conditionalFormatting sqref="G398">
    <cfRule type="cellIs" dxfId="369" priority="267" operator="notEqual">
      <formula>0</formula>
    </cfRule>
  </conditionalFormatting>
  <conditionalFormatting sqref="D403 D405 D407 D409">
    <cfRule type="cellIs" dxfId="368" priority="266" operator="equal">
      <formula>0</formula>
    </cfRule>
  </conditionalFormatting>
  <conditionalFormatting sqref="D403 D405 D407 D409">
    <cfRule type="cellIs" dxfId="367" priority="265" operator="notEqual">
      <formula>0</formula>
    </cfRule>
  </conditionalFormatting>
  <conditionalFormatting sqref="D404 D406 D408 D410">
    <cfRule type="cellIs" dxfId="366" priority="264" operator="equal">
      <formula>0</formula>
    </cfRule>
  </conditionalFormatting>
  <conditionalFormatting sqref="D404 D406 D408 D410">
    <cfRule type="cellIs" dxfId="365" priority="263" operator="notEqual">
      <formula>0</formula>
    </cfRule>
  </conditionalFormatting>
  <conditionalFormatting sqref="E403 E405 E407 E409">
    <cfRule type="cellIs" dxfId="364" priority="262" operator="equal">
      <formula>0</formula>
    </cfRule>
  </conditionalFormatting>
  <conditionalFormatting sqref="E403 E405 E407 E409">
    <cfRule type="cellIs" dxfId="363" priority="261" operator="notEqual">
      <formula>0</formula>
    </cfRule>
  </conditionalFormatting>
  <conditionalFormatting sqref="E404 E406 E408 E410">
    <cfRule type="cellIs" dxfId="362" priority="260" operator="equal">
      <formula>0</formula>
    </cfRule>
  </conditionalFormatting>
  <conditionalFormatting sqref="E404 E406 E408 E410">
    <cfRule type="cellIs" dxfId="361" priority="259" operator="notEqual">
      <formula>0</formula>
    </cfRule>
  </conditionalFormatting>
  <conditionalFormatting sqref="F403 F405 F407 F409">
    <cfRule type="cellIs" dxfId="360" priority="258" operator="equal">
      <formula>0</formula>
    </cfRule>
  </conditionalFormatting>
  <conditionalFormatting sqref="F403 F405 F407 F409">
    <cfRule type="cellIs" dxfId="359" priority="257" operator="notEqual">
      <formula>0</formula>
    </cfRule>
  </conditionalFormatting>
  <conditionalFormatting sqref="F404 F406 F408 F410">
    <cfRule type="cellIs" dxfId="358" priority="256" operator="equal">
      <formula>0</formula>
    </cfRule>
  </conditionalFormatting>
  <conditionalFormatting sqref="F404 F406 F408 F410">
    <cfRule type="cellIs" dxfId="357" priority="255" operator="notEqual">
      <formula>0</formula>
    </cfRule>
  </conditionalFormatting>
  <conditionalFormatting sqref="G403 G405 G407 G409">
    <cfRule type="cellIs" dxfId="356" priority="254" operator="equal">
      <formula>0</formula>
    </cfRule>
  </conditionalFormatting>
  <conditionalFormatting sqref="G403 G405 G407 G409">
    <cfRule type="cellIs" dxfId="355" priority="253" operator="notEqual">
      <formula>0</formula>
    </cfRule>
  </conditionalFormatting>
  <conditionalFormatting sqref="G404 G406 G408 G410">
    <cfRule type="cellIs" dxfId="354" priority="252" operator="equal">
      <formula>0</formula>
    </cfRule>
  </conditionalFormatting>
  <conditionalFormatting sqref="G404 G406 G408 G410">
    <cfRule type="cellIs" dxfId="353" priority="251" operator="notEqual">
      <formula>0</formula>
    </cfRule>
  </conditionalFormatting>
  <conditionalFormatting sqref="D177 D179 D181 D183 D185 D187 D189 D191 D193 D195 D197 D199 D201 D203 D205 D207 D209 D211">
    <cfRule type="cellIs" dxfId="352" priority="458" operator="equal">
      <formula>0</formula>
    </cfRule>
  </conditionalFormatting>
  <conditionalFormatting sqref="D177 D179 D181 D183 D185 D187 D189 D191 D193 D195 D197 D199 D201 D203 D205 D207 D209 D211">
    <cfRule type="cellIs" dxfId="351" priority="457" operator="notEqual">
      <formula>0</formula>
    </cfRule>
  </conditionalFormatting>
  <conditionalFormatting sqref="D178 D180 D182 D184 D186 D188 D190 D192 D194 D196 D198 D200 D202 D204 D206 D208 D210 D212">
    <cfRule type="cellIs" dxfId="350" priority="456" operator="equal">
      <formula>0</formula>
    </cfRule>
  </conditionalFormatting>
  <conditionalFormatting sqref="D178 D180 D182 D184 D186 D188 D190 D192 D194 D196 D198 D200 D202 D204 D206 D208 D210 D212">
    <cfRule type="cellIs" dxfId="349" priority="455" operator="notEqual">
      <formula>0</formula>
    </cfRule>
  </conditionalFormatting>
  <conditionalFormatting sqref="E177 E179 E181 E183 E185 E187 E189 E191 E193 E195 E197 E199 E201 E203 E205 E207 E209 E211">
    <cfRule type="cellIs" dxfId="348" priority="454" operator="equal">
      <formula>0</formula>
    </cfRule>
  </conditionalFormatting>
  <conditionalFormatting sqref="E177 E179 E181 E183 E185 E187 E189 E191 E193 E195 E197 E199 E201 E203 E205 E207 E209 E211">
    <cfRule type="cellIs" dxfId="347" priority="453" operator="notEqual">
      <formula>0</formula>
    </cfRule>
  </conditionalFormatting>
  <conditionalFormatting sqref="E178 E180 E182 E184 E186 E188 E190 E192 E194 E196 E198 E200 E202 E204 E206 E208 E210 E212">
    <cfRule type="cellIs" dxfId="346" priority="452" operator="equal">
      <formula>0</formula>
    </cfRule>
  </conditionalFormatting>
  <conditionalFormatting sqref="E178 E180 E182 E184 E186 E188 E190 E192 E194 E196 E198 E200 E202 E204 E206 E208 E210 E212">
    <cfRule type="cellIs" dxfId="345" priority="451" operator="notEqual">
      <formula>0</formula>
    </cfRule>
  </conditionalFormatting>
  <conditionalFormatting sqref="F177 F179 F181 F183 F185 F187 F189 F191 F193 F195 F197 F199 F201 F203 F205 F207 F209 F211">
    <cfRule type="cellIs" dxfId="344" priority="450" operator="equal">
      <formula>0</formula>
    </cfRule>
  </conditionalFormatting>
  <conditionalFormatting sqref="F177 F179 F181 F183 F185 F187 F189 F191 F193 F195 F197 F199 F201 F203 F205 F207 F209 F211">
    <cfRule type="cellIs" dxfId="343" priority="449" operator="notEqual">
      <formula>0</formula>
    </cfRule>
  </conditionalFormatting>
  <conditionalFormatting sqref="F178 F180 F182 F184 F186 F188 F190 F192 F194 F196 F198 F200 F202 F204 F206 F208 F210 F212">
    <cfRule type="cellIs" dxfId="342" priority="448" operator="equal">
      <formula>0</formula>
    </cfRule>
  </conditionalFormatting>
  <conditionalFormatting sqref="F178 F180 F182 F184 F186 F188 F190 F192 F194 F196 F198 F200 F202 F204 F206 F208 F210 F212">
    <cfRule type="cellIs" dxfId="341" priority="447" operator="notEqual">
      <formula>0</formula>
    </cfRule>
  </conditionalFormatting>
  <conditionalFormatting sqref="G177 G179 G181 G183 G185 G187 G189 G191 G193 G195 G197 G199 G201 G203 G205 G207 G209 G211">
    <cfRule type="cellIs" dxfId="340" priority="446" operator="equal">
      <formula>0</formula>
    </cfRule>
  </conditionalFormatting>
  <conditionalFormatting sqref="G177 G179 G181 G183 G185 G187 G189 G191 G193 G195 G197 G199 G201 G203 G205 G207 G209 G211">
    <cfRule type="cellIs" dxfId="339" priority="445" operator="notEqual">
      <formula>0</formula>
    </cfRule>
  </conditionalFormatting>
  <conditionalFormatting sqref="G178 G180 G182 G184 G186 G188 G190 G192 G194 G196 G198 G200 G202 G204 G206 G208 G210 G212">
    <cfRule type="cellIs" dxfId="338" priority="444" operator="equal">
      <formula>0</formula>
    </cfRule>
  </conditionalFormatting>
  <conditionalFormatting sqref="G178 G180 G182 G184 G186 G188 G190 G192 G194 G196 G198 G200 G202 G204 G206 G208 G210 G212">
    <cfRule type="cellIs" dxfId="337" priority="443" operator="notEqual">
      <formula>0</formula>
    </cfRule>
  </conditionalFormatting>
  <conditionalFormatting sqref="D215 D217 D219 D221 D223">
    <cfRule type="cellIs" dxfId="336" priority="442" operator="equal">
      <formula>0</formula>
    </cfRule>
  </conditionalFormatting>
  <conditionalFormatting sqref="D215 D217 D219 D221 D223">
    <cfRule type="cellIs" dxfId="335" priority="441" operator="notEqual">
      <formula>0</formula>
    </cfRule>
  </conditionalFormatting>
  <conditionalFormatting sqref="D216 D218 D220 D222 D224">
    <cfRule type="cellIs" dxfId="334" priority="440" operator="equal">
      <formula>0</formula>
    </cfRule>
  </conditionalFormatting>
  <conditionalFormatting sqref="D216 D218 D220 D222 D224">
    <cfRule type="cellIs" dxfId="333" priority="439" operator="notEqual">
      <formula>0</formula>
    </cfRule>
  </conditionalFormatting>
  <conditionalFormatting sqref="E215 E217 E219 E221 E223">
    <cfRule type="cellIs" dxfId="332" priority="438" operator="equal">
      <formula>0</formula>
    </cfRule>
  </conditionalFormatting>
  <conditionalFormatting sqref="E215 E217 E219 E221 E223">
    <cfRule type="cellIs" dxfId="331" priority="437" operator="notEqual">
      <formula>0</formula>
    </cfRule>
  </conditionalFormatting>
  <conditionalFormatting sqref="E216 E218 E220 E222 E224">
    <cfRule type="cellIs" dxfId="330" priority="436" operator="equal">
      <formula>0</formula>
    </cfRule>
  </conditionalFormatting>
  <conditionalFormatting sqref="E216 E218 E220 E222 E224">
    <cfRule type="cellIs" dxfId="329" priority="435" operator="notEqual">
      <formula>0</formula>
    </cfRule>
  </conditionalFormatting>
  <conditionalFormatting sqref="F215 F217 F219 F221 F223">
    <cfRule type="cellIs" dxfId="328" priority="434" operator="equal">
      <formula>0</formula>
    </cfRule>
  </conditionalFormatting>
  <conditionalFormatting sqref="F215 F217 F219 F221 F223">
    <cfRule type="cellIs" dxfId="327" priority="433" operator="notEqual">
      <formula>0</formula>
    </cfRule>
  </conditionalFormatting>
  <conditionalFormatting sqref="F216 F218 F220 F222 F224">
    <cfRule type="cellIs" dxfId="326" priority="432" operator="equal">
      <formula>0</formula>
    </cfRule>
  </conditionalFormatting>
  <conditionalFormatting sqref="F216 F218 F220 F222 F224">
    <cfRule type="cellIs" dxfId="325" priority="431" operator="notEqual">
      <formula>0</formula>
    </cfRule>
  </conditionalFormatting>
  <conditionalFormatting sqref="G215 G217 G219 G221 G223">
    <cfRule type="cellIs" dxfId="324" priority="430" operator="equal">
      <formula>0</formula>
    </cfRule>
  </conditionalFormatting>
  <conditionalFormatting sqref="G215 G217 G219 G221 G223">
    <cfRule type="cellIs" dxfId="323" priority="429" operator="notEqual">
      <formula>0</formula>
    </cfRule>
  </conditionalFormatting>
  <conditionalFormatting sqref="G216 G218 G220 G222 G224">
    <cfRule type="cellIs" dxfId="322" priority="428" operator="equal">
      <formula>0</formula>
    </cfRule>
  </conditionalFormatting>
  <conditionalFormatting sqref="G216 G218 G220 G222 G224">
    <cfRule type="cellIs" dxfId="321" priority="427" operator="notEqual">
      <formula>0</formula>
    </cfRule>
  </conditionalFormatting>
  <conditionalFormatting sqref="D231 D233 D235 D237 D239 D241 D243 D245 D247 D249 D251 D253 D255 D257 D259 D261 D263">
    <cfRule type="cellIs" dxfId="320" priority="426" operator="equal">
      <formula>0</formula>
    </cfRule>
  </conditionalFormatting>
  <conditionalFormatting sqref="D231 D233 D235 D237 D239 D241 D243 D245 D247 D249 D251 D253 D255 D257 D259 D261 D263">
    <cfRule type="cellIs" dxfId="319" priority="425" operator="notEqual">
      <formula>0</formula>
    </cfRule>
  </conditionalFormatting>
  <conditionalFormatting sqref="D232 D234 D236 D238 D240 D242 D244 D246 D248 D250 D252 D254 D256 D258 D260 D262 D264">
    <cfRule type="cellIs" dxfId="318" priority="424" operator="equal">
      <formula>0</formula>
    </cfRule>
  </conditionalFormatting>
  <conditionalFormatting sqref="D232 D234 D236 D238 D240 D242 D244 D246 D248 D250 D252 D254 D256 D258 D260 D262 D264">
    <cfRule type="cellIs" dxfId="317" priority="423" operator="notEqual">
      <formula>0</formula>
    </cfRule>
  </conditionalFormatting>
  <conditionalFormatting sqref="E231 E233 E235 E237 E239 E241 E243 E245 E247 E249 E251 E253 E255 E257 E259 E261 E263">
    <cfRule type="cellIs" dxfId="316" priority="422" operator="equal">
      <formula>0</formula>
    </cfRule>
  </conditionalFormatting>
  <conditionalFormatting sqref="E231 E233 E235 E237 E239 E241 E243 E245 E247 E249 E251 E253 E255 E257 E259 E261 E263">
    <cfRule type="cellIs" dxfId="315" priority="421" operator="notEqual">
      <formula>0</formula>
    </cfRule>
  </conditionalFormatting>
  <conditionalFormatting sqref="E232 E234 E236 E238 E240 E242 E244 E246 E248 E250 E252 E254 E256 E258 E260 E262 E264">
    <cfRule type="cellIs" dxfId="314" priority="420" operator="equal">
      <formula>0</formula>
    </cfRule>
  </conditionalFormatting>
  <conditionalFormatting sqref="E232 E234 E236 E238 E240 E242 E244 E246 E248 E250 E252 E254 E256 E258 E260 E262 E264">
    <cfRule type="cellIs" dxfId="313" priority="419" operator="notEqual">
      <formula>0</formula>
    </cfRule>
  </conditionalFormatting>
  <conditionalFormatting sqref="F231 F233 F235 F237 F239 F241 F243 F245 F247 F249 F251 F253 F255 F257 F259 F261 F263">
    <cfRule type="cellIs" dxfId="312" priority="418" operator="equal">
      <formula>0</formula>
    </cfRule>
  </conditionalFormatting>
  <conditionalFormatting sqref="F231 F233 F235 F237 F239 F241 F243 F245 F247 F249 F251 F253 F255 F257 F259 F261 F263">
    <cfRule type="cellIs" dxfId="311" priority="417" operator="notEqual">
      <formula>0</formula>
    </cfRule>
  </conditionalFormatting>
  <conditionalFormatting sqref="F232 F234 F236 F238 F240 F242 F244 F246 F248 F250 F252 F254 F256 F258 F260 F262 F264">
    <cfRule type="cellIs" dxfId="310" priority="416" operator="equal">
      <formula>0</formula>
    </cfRule>
  </conditionalFormatting>
  <conditionalFormatting sqref="F232 F234 F236 F238 F240 F242 F244 F246 F248 F250 F252 F254 F256 F258 F260 F262 F264">
    <cfRule type="cellIs" dxfId="309" priority="415" operator="notEqual">
      <formula>0</formula>
    </cfRule>
  </conditionalFormatting>
  <conditionalFormatting sqref="G231 G233 G235 G237 G239 G241 G243 G245 G247 G249 G251 G253 G255 G257 G259 G261 G263">
    <cfRule type="cellIs" dxfId="308" priority="414" operator="equal">
      <formula>0</formula>
    </cfRule>
  </conditionalFormatting>
  <conditionalFormatting sqref="G231 G233 G235 G237 G239 G241 G243 G245 G247 G249 G251 G253 G255 G257 G259 G261 G263">
    <cfRule type="cellIs" dxfId="307" priority="413" operator="notEqual">
      <formula>0</formula>
    </cfRule>
  </conditionalFormatting>
  <conditionalFormatting sqref="D268 D270 D272 D274 D276 D278">
    <cfRule type="cellIs" dxfId="306" priority="408" operator="equal">
      <formula>0</formula>
    </cfRule>
  </conditionalFormatting>
  <conditionalFormatting sqref="D268 D270 D272 D274 D276 D278">
    <cfRule type="cellIs" dxfId="305" priority="407" operator="notEqual">
      <formula>0</formula>
    </cfRule>
  </conditionalFormatting>
  <conditionalFormatting sqref="E267 E269 E271 E273 E275 E277">
    <cfRule type="cellIs" dxfId="304" priority="406" operator="equal">
      <formula>0</formula>
    </cfRule>
  </conditionalFormatting>
  <conditionalFormatting sqref="E267 E269 E271 E273 E275 E277">
    <cfRule type="cellIs" dxfId="303" priority="405" operator="notEqual">
      <formula>0</formula>
    </cfRule>
  </conditionalFormatting>
  <conditionalFormatting sqref="E268 E270 E272 E274 E276 E278">
    <cfRule type="cellIs" dxfId="302" priority="404" operator="equal">
      <formula>0</formula>
    </cfRule>
  </conditionalFormatting>
  <conditionalFormatting sqref="E268 E270 E272 E274 E276 E278">
    <cfRule type="cellIs" dxfId="301" priority="403" operator="notEqual">
      <formula>0</formula>
    </cfRule>
  </conditionalFormatting>
  <conditionalFormatting sqref="F267 F269 F271 F273 F275 F277">
    <cfRule type="cellIs" dxfId="300" priority="402" operator="equal">
      <formula>0</formula>
    </cfRule>
  </conditionalFormatting>
  <conditionalFormatting sqref="F267 F269 F271 F273 F275 F277">
    <cfRule type="cellIs" dxfId="299" priority="401" operator="notEqual">
      <formula>0</formula>
    </cfRule>
  </conditionalFormatting>
  <conditionalFormatting sqref="F268 F270 F272 F274 F276 F278">
    <cfRule type="cellIs" dxfId="298" priority="400" operator="equal">
      <formula>0</formula>
    </cfRule>
  </conditionalFormatting>
  <conditionalFormatting sqref="F268 F270 F272 F274 F276 F278">
    <cfRule type="cellIs" dxfId="297" priority="399" operator="notEqual">
      <formula>0</formula>
    </cfRule>
  </conditionalFormatting>
  <conditionalFormatting sqref="G267 G269 G271 G273 G275 G277">
    <cfRule type="cellIs" dxfId="296" priority="398" operator="equal">
      <formula>0</formula>
    </cfRule>
  </conditionalFormatting>
  <conditionalFormatting sqref="G267 G269 G271 G273 G275 G277">
    <cfRule type="cellIs" dxfId="295" priority="397" operator="notEqual">
      <formula>0</formula>
    </cfRule>
  </conditionalFormatting>
  <conditionalFormatting sqref="G268 G270 G272 G274 G276 G278">
    <cfRule type="cellIs" dxfId="294" priority="396" operator="equal">
      <formula>0</formula>
    </cfRule>
  </conditionalFormatting>
  <conditionalFormatting sqref="G268 G270 G272 G274 G276 G278">
    <cfRule type="cellIs" dxfId="293" priority="395" operator="notEqual">
      <formula>0</formula>
    </cfRule>
  </conditionalFormatting>
  <conditionalFormatting sqref="D283 D285 D287 D289">
    <cfRule type="cellIs" dxfId="292" priority="394" operator="equal">
      <formula>0</formula>
    </cfRule>
  </conditionalFormatting>
  <conditionalFormatting sqref="D283 D285 D287 D289">
    <cfRule type="cellIs" dxfId="291" priority="393" operator="notEqual">
      <formula>0</formula>
    </cfRule>
  </conditionalFormatting>
  <conditionalFormatting sqref="E284 E286 E288 E290">
    <cfRule type="cellIs" dxfId="290" priority="388" operator="equal">
      <formula>0</formula>
    </cfRule>
  </conditionalFormatting>
  <conditionalFormatting sqref="E284 E286 E288 E290">
    <cfRule type="cellIs" dxfId="289" priority="387" operator="notEqual">
      <formula>0</formula>
    </cfRule>
  </conditionalFormatting>
  <conditionalFormatting sqref="F283 F285 F287 F289">
    <cfRule type="cellIs" dxfId="288" priority="386" operator="equal">
      <formula>0</formula>
    </cfRule>
  </conditionalFormatting>
  <conditionalFormatting sqref="F283 F285 F287 F289">
    <cfRule type="cellIs" dxfId="287" priority="385" operator="notEqual">
      <formula>0</formula>
    </cfRule>
  </conditionalFormatting>
  <conditionalFormatting sqref="F284 F286 F288 F290">
    <cfRule type="cellIs" dxfId="286" priority="384" operator="equal">
      <formula>0</formula>
    </cfRule>
  </conditionalFormatting>
  <conditionalFormatting sqref="F284 F286 F288 F290">
    <cfRule type="cellIs" dxfId="285" priority="383" operator="notEqual">
      <formula>0</formula>
    </cfRule>
  </conditionalFormatting>
  <conditionalFormatting sqref="G283 G285 G287 G289">
    <cfRule type="cellIs" dxfId="284" priority="382" operator="equal">
      <formula>0</formula>
    </cfRule>
  </conditionalFormatting>
  <conditionalFormatting sqref="G283 G285 G287 G289">
    <cfRule type="cellIs" dxfId="283" priority="381" operator="notEqual">
      <formula>0</formula>
    </cfRule>
  </conditionalFormatting>
  <conditionalFormatting sqref="G284 G286 G288 G290">
    <cfRule type="cellIs" dxfId="282" priority="380" operator="equal">
      <formula>0</formula>
    </cfRule>
  </conditionalFormatting>
  <conditionalFormatting sqref="G284 G286 G288 G290">
    <cfRule type="cellIs" dxfId="281" priority="379" operator="notEqual">
      <formula>0</formula>
    </cfRule>
  </conditionalFormatting>
  <conditionalFormatting sqref="D293 D295 D297 D299 D301">
    <cfRule type="cellIs" dxfId="280" priority="378" operator="equal">
      <formula>0</formula>
    </cfRule>
  </conditionalFormatting>
  <conditionalFormatting sqref="D293 D295 D297 D299 D301">
    <cfRule type="cellIs" dxfId="279" priority="377" operator="notEqual">
      <formula>0</formula>
    </cfRule>
  </conditionalFormatting>
  <conditionalFormatting sqref="D294 D296 D298 D300 D302">
    <cfRule type="cellIs" dxfId="278" priority="376" operator="equal">
      <formula>0</formula>
    </cfRule>
  </conditionalFormatting>
  <conditionalFormatting sqref="D294 D296 D298 D300 D302">
    <cfRule type="cellIs" dxfId="277" priority="375" operator="notEqual">
      <formula>0</formula>
    </cfRule>
  </conditionalFormatting>
  <conditionalFormatting sqref="E293 E295 E297 E299 E301">
    <cfRule type="cellIs" dxfId="276" priority="374" operator="equal">
      <formula>0</formula>
    </cfRule>
  </conditionalFormatting>
  <conditionalFormatting sqref="E293 E295 E297 E299 E301">
    <cfRule type="cellIs" dxfId="275" priority="373" operator="notEqual">
      <formula>0</formula>
    </cfRule>
  </conditionalFormatting>
  <conditionalFormatting sqref="F294 F296 F298 F300 F302">
    <cfRule type="cellIs" dxfId="274" priority="368" operator="equal">
      <formula>0</formula>
    </cfRule>
  </conditionalFormatting>
  <conditionalFormatting sqref="F294 F296 F298 F300 F302">
    <cfRule type="cellIs" dxfId="273" priority="367" operator="notEqual">
      <formula>0</formula>
    </cfRule>
  </conditionalFormatting>
  <conditionalFormatting sqref="G293 G295 G297 G299 G301">
    <cfRule type="cellIs" dxfId="272" priority="366" operator="equal">
      <formula>0</formula>
    </cfRule>
  </conditionalFormatting>
  <conditionalFormatting sqref="G293 G295 G297 G299 G301">
    <cfRule type="cellIs" dxfId="271" priority="365" operator="notEqual">
      <formula>0</formula>
    </cfRule>
  </conditionalFormatting>
  <conditionalFormatting sqref="G294 G296 G298 G300 G302">
    <cfRule type="cellIs" dxfId="270" priority="364" operator="equal">
      <formula>0</formula>
    </cfRule>
  </conditionalFormatting>
  <conditionalFormatting sqref="G294 G296 G298 G300 G302">
    <cfRule type="cellIs" dxfId="269" priority="363" operator="notEqual">
      <formula>0</formula>
    </cfRule>
  </conditionalFormatting>
  <conditionalFormatting sqref="D307 D309 D311 D313">
    <cfRule type="cellIs" dxfId="268" priority="362" operator="equal">
      <formula>0</formula>
    </cfRule>
  </conditionalFormatting>
  <conditionalFormatting sqref="D307 D309 D311 D313">
    <cfRule type="cellIs" dxfId="267" priority="361" operator="notEqual">
      <formula>0</formula>
    </cfRule>
  </conditionalFormatting>
  <conditionalFormatting sqref="D308 D310 D312 D314">
    <cfRule type="cellIs" dxfId="266" priority="360" operator="equal">
      <formula>0</formula>
    </cfRule>
  </conditionalFormatting>
  <conditionalFormatting sqref="D308 D310 D312 D314">
    <cfRule type="cellIs" dxfId="265" priority="359" operator="notEqual">
      <formula>0</formula>
    </cfRule>
  </conditionalFormatting>
  <conditionalFormatting sqref="E307 E309 E311 E313">
    <cfRule type="cellIs" dxfId="264" priority="358" operator="equal">
      <formula>0</formula>
    </cfRule>
  </conditionalFormatting>
  <conditionalFormatting sqref="E307 E309 E311 E313">
    <cfRule type="cellIs" dxfId="263" priority="357" operator="notEqual">
      <formula>0</formula>
    </cfRule>
  </conditionalFormatting>
  <conditionalFormatting sqref="E308 E310 E312 E314">
    <cfRule type="cellIs" dxfId="262" priority="356" operator="equal">
      <formula>0</formula>
    </cfRule>
  </conditionalFormatting>
  <conditionalFormatting sqref="E308 E310 E312 E314">
    <cfRule type="cellIs" dxfId="261" priority="355" operator="notEqual">
      <formula>0</formula>
    </cfRule>
  </conditionalFormatting>
  <conditionalFormatting sqref="F307 F309 F311 F313">
    <cfRule type="cellIs" dxfId="260" priority="354" operator="equal">
      <formula>0</formula>
    </cfRule>
  </conditionalFormatting>
  <conditionalFormatting sqref="F307 F309 F311 F313">
    <cfRule type="cellIs" dxfId="259" priority="353" operator="notEqual">
      <formula>0</formula>
    </cfRule>
  </conditionalFormatting>
  <conditionalFormatting sqref="G308 G310 G312 G314">
    <cfRule type="cellIs" dxfId="258" priority="348" operator="equal">
      <formula>0</formula>
    </cfRule>
  </conditionalFormatting>
  <conditionalFormatting sqref="G308 G310 G312 G314">
    <cfRule type="cellIs" dxfId="257" priority="347" operator="notEqual">
      <formula>0</formula>
    </cfRule>
  </conditionalFormatting>
  <conditionalFormatting sqref="D321 D323 D325 D327">
    <cfRule type="cellIs" dxfId="256" priority="346" operator="equal">
      <formula>0</formula>
    </cfRule>
  </conditionalFormatting>
  <conditionalFormatting sqref="D321 D323 D325 D327">
    <cfRule type="cellIs" dxfId="255" priority="345" operator="notEqual">
      <formula>0</formula>
    </cfRule>
  </conditionalFormatting>
  <conditionalFormatting sqref="D322 D324 D326 D328">
    <cfRule type="cellIs" dxfId="254" priority="344" operator="equal">
      <formula>0</formula>
    </cfRule>
  </conditionalFormatting>
  <conditionalFormatting sqref="D322 D324 D326 D328">
    <cfRule type="cellIs" dxfId="253" priority="343" operator="notEqual">
      <formula>0</formula>
    </cfRule>
  </conditionalFormatting>
  <conditionalFormatting sqref="E321 E323 E325 E327">
    <cfRule type="cellIs" dxfId="252" priority="342" operator="equal">
      <formula>0</formula>
    </cfRule>
  </conditionalFormatting>
  <conditionalFormatting sqref="E321 E323 E325 E327">
    <cfRule type="cellIs" dxfId="251" priority="341" operator="notEqual">
      <formula>0</formula>
    </cfRule>
  </conditionalFormatting>
  <conditionalFormatting sqref="E322 E324 E326 E328">
    <cfRule type="cellIs" dxfId="250" priority="340" operator="equal">
      <formula>0</formula>
    </cfRule>
  </conditionalFormatting>
  <conditionalFormatting sqref="E322 E324 E326 E328">
    <cfRule type="cellIs" dxfId="249" priority="339" operator="notEqual">
      <formula>0</formula>
    </cfRule>
  </conditionalFormatting>
  <conditionalFormatting sqref="F321 F323 F325 F327">
    <cfRule type="cellIs" dxfId="248" priority="338" operator="equal">
      <formula>0</formula>
    </cfRule>
  </conditionalFormatting>
  <conditionalFormatting sqref="F321 F323 F325 F327">
    <cfRule type="cellIs" dxfId="247" priority="337" operator="notEqual">
      <formula>0</formula>
    </cfRule>
  </conditionalFormatting>
  <conditionalFormatting sqref="F322 F324 F326 F328">
    <cfRule type="cellIs" dxfId="246" priority="336" operator="equal">
      <formula>0</formula>
    </cfRule>
  </conditionalFormatting>
  <conditionalFormatting sqref="F322 F324 F326 F328">
    <cfRule type="cellIs" dxfId="245" priority="335" operator="notEqual">
      <formula>0</formula>
    </cfRule>
  </conditionalFormatting>
  <conditionalFormatting sqref="G321 G323 G325 G327">
    <cfRule type="cellIs" dxfId="244" priority="334" operator="equal">
      <formula>0</formula>
    </cfRule>
  </conditionalFormatting>
  <conditionalFormatting sqref="G321 G323 G325 G327">
    <cfRule type="cellIs" dxfId="243" priority="333" operator="notEqual">
      <formula>0</formula>
    </cfRule>
  </conditionalFormatting>
  <conditionalFormatting sqref="D332 D334 D336 D338 D340 D342 D344 D346 D348 D350 D352 D354 D356 D358 D360">
    <cfRule type="cellIs" dxfId="242" priority="328" operator="equal">
      <formula>0</formula>
    </cfRule>
  </conditionalFormatting>
  <conditionalFormatting sqref="D332 D334 D336 D338 D340 D342 D344 D346 D348 D350 D352 D354 D356 D358 D360">
    <cfRule type="cellIs" dxfId="241" priority="327" operator="notEqual">
      <formula>0</formula>
    </cfRule>
  </conditionalFormatting>
  <conditionalFormatting sqref="E331 E333 E335 E337 E339 E341 E343 E345 E347 E349 E351 E353 E355 E357 E359">
    <cfRule type="cellIs" dxfId="240" priority="326" operator="equal">
      <formula>0</formula>
    </cfRule>
  </conditionalFormatting>
  <conditionalFormatting sqref="E331 E333 E335 E337 E339 E341 E343 E345 E347 E349 E351 E353 E355 E357 E359">
    <cfRule type="cellIs" dxfId="239" priority="325" operator="notEqual">
      <formula>0</formula>
    </cfRule>
  </conditionalFormatting>
  <conditionalFormatting sqref="E332 E334 E336 E338 E340 E342 E344 E346 E348 E350 E352 E354 E356 E358 E360">
    <cfRule type="cellIs" dxfId="238" priority="324" operator="equal">
      <formula>0</formula>
    </cfRule>
  </conditionalFormatting>
  <conditionalFormatting sqref="E332 E334 E336 E338 E340 E342 E344 E346 E348 E350 E352 E354 E356 E358 E360">
    <cfRule type="cellIs" dxfId="237" priority="323" operator="notEqual">
      <formula>0</formula>
    </cfRule>
  </conditionalFormatting>
  <conditionalFormatting sqref="F331 F333 F335 F337 F339 F341 F343 F345 F347 F349 F351 F353 F355 F357 F359">
    <cfRule type="cellIs" dxfId="236" priority="322" operator="equal">
      <formula>0</formula>
    </cfRule>
  </conditionalFormatting>
  <conditionalFormatting sqref="F331 F333 F335 F337 F339 F341 F343 F345 F347 F349 F351 F353 F355 F357 F359">
    <cfRule type="cellIs" dxfId="235" priority="321" operator="notEqual">
      <formula>0</formula>
    </cfRule>
  </conditionalFormatting>
  <conditionalFormatting sqref="F332 F334 F336 F338 F340 F342 F344 F346 F348 F350 F352 F354 F356 F358 F360">
    <cfRule type="cellIs" dxfId="234" priority="320" operator="equal">
      <formula>0</formula>
    </cfRule>
  </conditionalFormatting>
  <conditionalFormatting sqref="F332 F334 F336 F338 F340 F342 F344 F346 F348 F350 F352 F354 F356 F358 F360">
    <cfRule type="cellIs" dxfId="233" priority="319" operator="notEqual">
      <formula>0</formula>
    </cfRule>
  </conditionalFormatting>
  <conditionalFormatting sqref="G331 G333 G335 G337 G339 G341 G343 G345 G347 G349 G351 G353 G355 G357 G359">
    <cfRule type="cellIs" dxfId="232" priority="318" operator="equal">
      <formula>0</formula>
    </cfRule>
  </conditionalFormatting>
  <conditionalFormatting sqref="G331 G333 G335 G337 G339 G341 G343 G345 G347 G349 G351 G353 G355 G357 G359">
    <cfRule type="cellIs" dxfId="231" priority="317" operator="notEqual">
      <formula>0</formula>
    </cfRule>
  </conditionalFormatting>
  <conditionalFormatting sqref="G332 G334 G336 G338 G340 G342 G344 G346 G348 G350 G352 G354 G356 G358 G360">
    <cfRule type="cellIs" dxfId="230" priority="316" operator="equal">
      <formula>0</formula>
    </cfRule>
  </conditionalFormatting>
  <conditionalFormatting sqref="G332 G334 G336 G338 G340 G342 G344 G346 G348 G350 G352 G354 G356 G358 G360">
    <cfRule type="cellIs" dxfId="229" priority="315" operator="notEqual">
      <formula>0</formula>
    </cfRule>
  </conditionalFormatting>
  <conditionalFormatting sqref="D19:D20">
    <cfRule type="cellIs" dxfId="228" priority="234" operator="equal">
      <formula>0</formula>
    </cfRule>
  </conditionalFormatting>
  <conditionalFormatting sqref="E19:E20">
    <cfRule type="cellIs" dxfId="227" priority="233" operator="equal">
      <formula>0</formula>
    </cfRule>
  </conditionalFormatting>
  <conditionalFormatting sqref="F19:F20">
    <cfRule type="cellIs" dxfId="226" priority="232" operator="equal">
      <formula>0</formula>
    </cfRule>
  </conditionalFormatting>
  <conditionalFormatting sqref="G19:G20">
    <cfRule type="cellIs" dxfId="225" priority="231" operator="equal">
      <formula>0</formula>
    </cfRule>
  </conditionalFormatting>
  <conditionalFormatting sqref="D27:D28">
    <cfRule type="cellIs" dxfId="224" priority="225" operator="equal">
      <formula>0</formula>
    </cfRule>
  </conditionalFormatting>
  <conditionalFormatting sqref="E27:E28">
    <cfRule type="cellIs" dxfId="223" priority="224" operator="equal">
      <formula>0</formula>
    </cfRule>
  </conditionalFormatting>
  <conditionalFormatting sqref="F27:F28">
    <cfRule type="cellIs" dxfId="222" priority="223" operator="equal">
      <formula>0</formula>
    </cfRule>
  </conditionalFormatting>
  <conditionalFormatting sqref="G27:G28">
    <cfRule type="cellIs" dxfId="221" priority="222" operator="equal">
      <formula>0</formula>
    </cfRule>
  </conditionalFormatting>
  <conditionalFormatting sqref="D39:D40">
    <cfRule type="cellIs" dxfId="220" priority="221" operator="equal">
      <formula>0</formula>
    </cfRule>
  </conditionalFormatting>
  <conditionalFormatting sqref="E39:E40">
    <cfRule type="cellIs" dxfId="219" priority="220" operator="equal">
      <formula>0</formula>
    </cfRule>
  </conditionalFormatting>
  <conditionalFormatting sqref="F39:F40">
    <cfRule type="cellIs" dxfId="218" priority="219" operator="equal">
      <formula>0</formula>
    </cfRule>
  </conditionalFormatting>
  <conditionalFormatting sqref="G39:G40">
    <cfRule type="cellIs" dxfId="217" priority="218" operator="equal">
      <formula>0</formula>
    </cfRule>
  </conditionalFormatting>
  <conditionalFormatting sqref="D67:D68">
    <cfRule type="cellIs" dxfId="216" priority="217" operator="equal">
      <formula>0</formula>
    </cfRule>
  </conditionalFormatting>
  <conditionalFormatting sqref="E67:E68">
    <cfRule type="cellIs" dxfId="215" priority="216" operator="equal">
      <formula>0</formula>
    </cfRule>
  </conditionalFormatting>
  <conditionalFormatting sqref="F67:F68">
    <cfRule type="cellIs" dxfId="214" priority="215" operator="equal">
      <formula>0</formula>
    </cfRule>
  </conditionalFormatting>
  <conditionalFormatting sqref="G67:G68">
    <cfRule type="cellIs" dxfId="213" priority="214" operator="equal">
      <formula>0</formula>
    </cfRule>
  </conditionalFormatting>
  <conditionalFormatting sqref="D77:D78">
    <cfRule type="cellIs" dxfId="212" priority="213" operator="equal">
      <formula>0</formula>
    </cfRule>
  </conditionalFormatting>
  <conditionalFormatting sqref="E77:E78">
    <cfRule type="cellIs" dxfId="211" priority="212" operator="equal">
      <formula>0</formula>
    </cfRule>
  </conditionalFormatting>
  <conditionalFormatting sqref="F77:F78">
    <cfRule type="cellIs" dxfId="210" priority="211" operator="equal">
      <formula>0</formula>
    </cfRule>
  </conditionalFormatting>
  <conditionalFormatting sqref="G77:G78">
    <cfRule type="cellIs" dxfId="209" priority="210" operator="equal">
      <formula>0</formula>
    </cfRule>
  </conditionalFormatting>
  <conditionalFormatting sqref="D85:D86">
    <cfRule type="cellIs" dxfId="208" priority="209" operator="equal">
      <formula>0</formula>
    </cfRule>
  </conditionalFormatting>
  <conditionalFormatting sqref="E85:E86">
    <cfRule type="cellIs" dxfId="207" priority="208" operator="equal">
      <formula>0</formula>
    </cfRule>
  </conditionalFormatting>
  <conditionalFormatting sqref="F85:F86">
    <cfRule type="cellIs" dxfId="206" priority="207" operator="equal">
      <formula>0</formula>
    </cfRule>
  </conditionalFormatting>
  <conditionalFormatting sqref="G85:G86">
    <cfRule type="cellIs" dxfId="205" priority="206" operator="equal">
      <formula>0</formula>
    </cfRule>
  </conditionalFormatting>
  <conditionalFormatting sqref="D89:D90">
    <cfRule type="cellIs" dxfId="204" priority="205" operator="equal">
      <formula>0</formula>
    </cfRule>
  </conditionalFormatting>
  <conditionalFormatting sqref="E89:E90">
    <cfRule type="cellIs" dxfId="203" priority="204" operator="equal">
      <formula>0</formula>
    </cfRule>
  </conditionalFormatting>
  <conditionalFormatting sqref="F89:F90">
    <cfRule type="cellIs" dxfId="202" priority="203" operator="equal">
      <formula>0</formula>
    </cfRule>
  </conditionalFormatting>
  <conditionalFormatting sqref="G89:G90">
    <cfRule type="cellIs" dxfId="201" priority="202" operator="equal">
      <formula>0</formula>
    </cfRule>
  </conditionalFormatting>
  <conditionalFormatting sqref="D107:D108">
    <cfRule type="cellIs" dxfId="200" priority="201" operator="equal">
      <formula>0</formula>
    </cfRule>
  </conditionalFormatting>
  <conditionalFormatting sqref="E107:E108">
    <cfRule type="cellIs" dxfId="199" priority="200" operator="equal">
      <formula>0</formula>
    </cfRule>
  </conditionalFormatting>
  <conditionalFormatting sqref="F107:F108">
    <cfRule type="cellIs" dxfId="198" priority="199" operator="equal">
      <formula>0</formula>
    </cfRule>
  </conditionalFormatting>
  <conditionalFormatting sqref="G107:G108">
    <cfRule type="cellIs" dxfId="197" priority="198" operator="equal">
      <formula>0</formula>
    </cfRule>
  </conditionalFormatting>
  <conditionalFormatting sqref="D119:D120">
    <cfRule type="cellIs" dxfId="196" priority="197" operator="equal">
      <formula>0</formula>
    </cfRule>
  </conditionalFormatting>
  <conditionalFormatting sqref="E119:E120">
    <cfRule type="cellIs" dxfId="195" priority="196" operator="equal">
      <formula>0</formula>
    </cfRule>
  </conditionalFormatting>
  <conditionalFormatting sqref="F119:F120">
    <cfRule type="cellIs" dxfId="194" priority="195" operator="equal">
      <formula>0</formula>
    </cfRule>
  </conditionalFormatting>
  <conditionalFormatting sqref="G119:G120">
    <cfRule type="cellIs" dxfId="193" priority="194" operator="equal">
      <formula>0</formula>
    </cfRule>
  </conditionalFormatting>
  <conditionalFormatting sqref="D125:D126">
    <cfRule type="cellIs" dxfId="192" priority="193" operator="equal">
      <formula>0</formula>
    </cfRule>
  </conditionalFormatting>
  <conditionalFormatting sqref="E125:E126">
    <cfRule type="cellIs" dxfId="191" priority="192" operator="equal">
      <formula>0</formula>
    </cfRule>
  </conditionalFormatting>
  <conditionalFormatting sqref="F125:F126">
    <cfRule type="cellIs" dxfId="190" priority="191" operator="equal">
      <formula>0</formula>
    </cfRule>
  </conditionalFormatting>
  <conditionalFormatting sqref="G125:G126">
    <cfRule type="cellIs" dxfId="189" priority="190" operator="equal">
      <formula>0</formula>
    </cfRule>
  </conditionalFormatting>
  <conditionalFormatting sqref="D143:D144">
    <cfRule type="cellIs" dxfId="188" priority="189" operator="equal">
      <formula>0</formula>
    </cfRule>
  </conditionalFormatting>
  <conditionalFormatting sqref="E143:E144">
    <cfRule type="cellIs" dxfId="187" priority="188" operator="equal">
      <formula>0</formula>
    </cfRule>
  </conditionalFormatting>
  <conditionalFormatting sqref="F143:F144">
    <cfRule type="cellIs" dxfId="186" priority="187" operator="equal">
      <formula>0</formula>
    </cfRule>
  </conditionalFormatting>
  <conditionalFormatting sqref="G143:G144">
    <cfRule type="cellIs" dxfId="185" priority="186" operator="equal">
      <formula>0</formula>
    </cfRule>
  </conditionalFormatting>
  <conditionalFormatting sqref="D147:D148">
    <cfRule type="cellIs" dxfId="184" priority="185" operator="equal">
      <formula>0</formula>
    </cfRule>
  </conditionalFormatting>
  <conditionalFormatting sqref="E147:E148">
    <cfRule type="cellIs" dxfId="183" priority="184" operator="equal">
      <formula>0</formula>
    </cfRule>
  </conditionalFormatting>
  <conditionalFormatting sqref="F147:F148">
    <cfRule type="cellIs" dxfId="182" priority="183" operator="equal">
      <formula>0</formula>
    </cfRule>
  </conditionalFormatting>
  <conditionalFormatting sqref="G147:G148">
    <cfRule type="cellIs" dxfId="181" priority="182" operator="equal">
      <formula>0</formula>
    </cfRule>
  </conditionalFormatting>
  <conditionalFormatting sqref="D153:D154">
    <cfRule type="cellIs" dxfId="180" priority="181" operator="equal">
      <formula>0</formula>
    </cfRule>
  </conditionalFormatting>
  <conditionalFormatting sqref="E153:E154">
    <cfRule type="cellIs" dxfId="179" priority="180" operator="equal">
      <formula>0</formula>
    </cfRule>
  </conditionalFormatting>
  <conditionalFormatting sqref="F153:F154">
    <cfRule type="cellIs" dxfId="178" priority="179" operator="equal">
      <formula>0</formula>
    </cfRule>
  </conditionalFormatting>
  <conditionalFormatting sqref="G153:G154">
    <cfRule type="cellIs" dxfId="177" priority="178" operator="equal">
      <formula>0</formula>
    </cfRule>
  </conditionalFormatting>
  <conditionalFormatting sqref="D161:D162">
    <cfRule type="cellIs" dxfId="176" priority="177" operator="equal">
      <formula>0</formula>
    </cfRule>
  </conditionalFormatting>
  <conditionalFormatting sqref="E161:E162">
    <cfRule type="cellIs" dxfId="175" priority="176" operator="equal">
      <formula>0</formula>
    </cfRule>
  </conditionalFormatting>
  <conditionalFormatting sqref="F161:F162">
    <cfRule type="cellIs" dxfId="174" priority="175" operator="equal">
      <formula>0</formula>
    </cfRule>
  </conditionalFormatting>
  <conditionalFormatting sqref="G161:G162">
    <cfRule type="cellIs" dxfId="173" priority="174" operator="equal">
      <formula>0</formula>
    </cfRule>
  </conditionalFormatting>
  <conditionalFormatting sqref="D213:D214">
    <cfRule type="cellIs" dxfId="172" priority="173" operator="equal">
      <formula>0</formula>
    </cfRule>
  </conditionalFormatting>
  <conditionalFormatting sqref="E213:E214">
    <cfRule type="cellIs" dxfId="171" priority="172" operator="equal">
      <formula>0</formula>
    </cfRule>
  </conditionalFormatting>
  <conditionalFormatting sqref="F213:F214">
    <cfRule type="cellIs" dxfId="170" priority="171" operator="equal">
      <formula>0</formula>
    </cfRule>
  </conditionalFormatting>
  <conditionalFormatting sqref="G213:G214">
    <cfRule type="cellIs" dxfId="169" priority="170" operator="equal">
      <formula>0</formula>
    </cfRule>
  </conditionalFormatting>
  <conditionalFormatting sqref="D229:D230">
    <cfRule type="cellIs" dxfId="168" priority="169" operator="equal">
      <formula>0</formula>
    </cfRule>
  </conditionalFormatting>
  <conditionalFormatting sqref="E229:E230">
    <cfRule type="cellIs" dxfId="167" priority="168" operator="equal">
      <formula>0</formula>
    </cfRule>
  </conditionalFormatting>
  <conditionalFormatting sqref="F229:F230">
    <cfRule type="cellIs" dxfId="166" priority="167" operator="equal">
      <formula>0</formula>
    </cfRule>
  </conditionalFormatting>
  <conditionalFormatting sqref="G229:G230">
    <cfRule type="cellIs" dxfId="165" priority="166" operator="equal">
      <formula>0</formula>
    </cfRule>
  </conditionalFormatting>
  <conditionalFormatting sqref="D265:D266">
    <cfRule type="cellIs" dxfId="164" priority="165" operator="equal">
      <formula>0</formula>
    </cfRule>
  </conditionalFormatting>
  <conditionalFormatting sqref="E265:E266">
    <cfRule type="cellIs" dxfId="163" priority="164" operator="equal">
      <formula>0</formula>
    </cfRule>
  </conditionalFormatting>
  <conditionalFormatting sqref="F265:F266">
    <cfRule type="cellIs" dxfId="162" priority="163" operator="equal">
      <formula>0</formula>
    </cfRule>
  </conditionalFormatting>
  <conditionalFormatting sqref="G265:G266">
    <cfRule type="cellIs" dxfId="161" priority="162" operator="equal">
      <formula>0</formula>
    </cfRule>
  </conditionalFormatting>
  <conditionalFormatting sqref="D281:D282">
    <cfRule type="cellIs" dxfId="160" priority="161" operator="equal">
      <formula>0</formula>
    </cfRule>
  </conditionalFormatting>
  <conditionalFormatting sqref="E281:E282">
    <cfRule type="cellIs" dxfId="159" priority="160" operator="equal">
      <formula>0</formula>
    </cfRule>
  </conditionalFormatting>
  <conditionalFormatting sqref="F281:F282">
    <cfRule type="cellIs" dxfId="158" priority="159" operator="equal">
      <formula>0</formula>
    </cfRule>
  </conditionalFormatting>
  <conditionalFormatting sqref="G281:G282">
    <cfRule type="cellIs" dxfId="157" priority="158" operator="equal">
      <formula>0</formula>
    </cfRule>
  </conditionalFormatting>
  <conditionalFormatting sqref="D291:D292">
    <cfRule type="cellIs" dxfId="156" priority="157" operator="equal">
      <formula>0</formula>
    </cfRule>
  </conditionalFormatting>
  <conditionalFormatting sqref="E291:E292">
    <cfRule type="cellIs" dxfId="155" priority="156" operator="equal">
      <formula>0</formula>
    </cfRule>
  </conditionalFormatting>
  <conditionalFormatting sqref="F291:F292">
    <cfRule type="cellIs" dxfId="154" priority="155" operator="equal">
      <formula>0</formula>
    </cfRule>
  </conditionalFormatting>
  <conditionalFormatting sqref="G291:G292">
    <cfRule type="cellIs" dxfId="153" priority="154" operator="equal">
      <formula>0</formula>
    </cfRule>
  </conditionalFormatting>
  <conditionalFormatting sqref="D305:D306">
    <cfRule type="cellIs" dxfId="152" priority="153" operator="equal">
      <formula>0</formula>
    </cfRule>
  </conditionalFormatting>
  <conditionalFormatting sqref="E305:E306">
    <cfRule type="cellIs" dxfId="151" priority="152" operator="equal">
      <formula>0</formula>
    </cfRule>
  </conditionalFormatting>
  <conditionalFormatting sqref="F305:F306">
    <cfRule type="cellIs" dxfId="150" priority="151" operator="equal">
      <formula>0</formula>
    </cfRule>
  </conditionalFormatting>
  <conditionalFormatting sqref="G305:G306">
    <cfRule type="cellIs" dxfId="149" priority="150" operator="equal">
      <formula>0</formula>
    </cfRule>
  </conditionalFormatting>
  <conditionalFormatting sqref="D319:D320">
    <cfRule type="cellIs" dxfId="148" priority="149" operator="equal">
      <formula>0</formula>
    </cfRule>
  </conditionalFormatting>
  <conditionalFormatting sqref="E319:E320">
    <cfRule type="cellIs" dxfId="147" priority="148" operator="equal">
      <formula>0</formula>
    </cfRule>
  </conditionalFormatting>
  <conditionalFormatting sqref="F319:F320">
    <cfRule type="cellIs" dxfId="146" priority="147" operator="equal">
      <formula>0</formula>
    </cfRule>
  </conditionalFormatting>
  <conditionalFormatting sqref="G319:G320">
    <cfRule type="cellIs" dxfId="145" priority="146" operator="equal">
      <formula>0</formula>
    </cfRule>
  </conditionalFormatting>
  <conditionalFormatting sqref="D329:D330">
    <cfRule type="cellIs" dxfId="144" priority="145" operator="equal">
      <formula>0</formula>
    </cfRule>
  </conditionalFormatting>
  <conditionalFormatting sqref="E329">
    <cfRule type="cellIs" dxfId="143" priority="144" operator="equal">
      <formula>0</formula>
    </cfRule>
  </conditionalFormatting>
  <conditionalFormatting sqref="F329">
    <cfRule type="cellIs" dxfId="142" priority="143" operator="equal">
      <formula>0</formula>
    </cfRule>
  </conditionalFormatting>
  <conditionalFormatting sqref="G329:G330">
    <cfRule type="cellIs" dxfId="141" priority="142" operator="equal">
      <formula>0</formula>
    </cfRule>
  </conditionalFormatting>
  <conditionalFormatting sqref="D365:D366">
    <cfRule type="cellIs" dxfId="140" priority="141" operator="equal">
      <formula>0</formula>
    </cfRule>
  </conditionalFormatting>
  <conditionalFormatting sqref="E365:E366">
    <cfRule type="cellIs" dxfId="139" priority="140" operator="equal">
      <formula>0</formula>
    </cfRule>
  </conditionalFormatting>
  <conditionalFormatting sqref="F365:F366">
    <cfRule type="cellIs" dxfId="138" priority="139" operator="equal">
      <formula>0</formula>
    </cfRule>
  </conditionalFormatting>
  <conditionalFormatting sqref="G365:G366">
    <cfRule type="cellIs" dxfId="137" priority="138" operator="equal">
      <formula>0</formula>
    </cfRule>
  </conditionalFormatting>
  <conditionalFormatting sqref="D385:D386">
    <cfRule type="cellIs" dxfId="136" priority="137" operator="equal">
      <formula>0</formula>
    </cfRule>
  </conditionalFormatting>
  <conditionalFormatting sqref="E385:E386">
    <cfRule type="cellIs" dxfId="135" priority="136" operator="equal">
      <formula>0</formula>
    </cfRule>
  </conditionalFormatting>
  <conditionalFormatting sqref="F385:F386">
    <cfRule type="cellIs" dxfId="134" priority="135" operator="equal">
      <formula>0</formula>
    </cfRule>
  </conditionalFormatting>
  <conditionalFormatting sqref="G385:G386">
    <cfRule type="cellIs" dxfId="133" priority="134" operator="equal">
      <formula>0</formula>
    </cfRule>
  </conditionalFormatting>
  <conditionalFormatting sqref="D395:D396">
    <cfRule type="cellIs" dxfId="132" priority="133" operator="equal">
      <formula>0</formula>
    </cfRule>
  </conditionalFormatting>
  <conditionalFormatting sqref="E395:E396">
    <cfRule type="cellIs" dxfId="131" priority="132" operator="equal">
      <formula>0</formula>
    </cfRule>
  </conditionalFormatting>
  <conditionalFormatting sqref="F395:F396">
    <cfRule type="cellIs" dxfId="130" priority="131" operator="equal">
      <formula>0</formula>
    </cfRule>
  </conditionalFormatting>
  <conditionalFormatting sqref="G395:G396">
    <cfRule type="cellIs" dxfId="129" priority="130" operator="equal">
      <formula>0</formula>
    </cfRule>
  </conditionalFormatting>
  <conditionalFormatting sqref="C394">
    <cfRule type="cellIs" dxfId="128" priority="129" operator="equal">
      <formula>0</formula>
    </cfRule>
  </conditionalFormatting>
  <conditionalFormatting sqref="D393">
    <cfRule type="cellIs" dxfId="127" priority="128" operator="equal">
      <formula>0</formula>
    </cfRule>
  </conditionalFormatting>
  <conditionalFormatting sqref="D394">
    <cfRule type="cellIs" dxfId="126" priority="127" operator="equal">
      <formula>0</formula>
    </cfRule>
  </conditionalFormatting>
  <conditionalFormatting sqref="E393">
    <cfRule type="cellIs" dxfId="125" priority="126" operator="equal">
      <formula>0</formula>
    </cfRule>
  </conditionalFormatting>
  <conditionalFormatting sqref="E394">
    <cfRule type="cellIs" dxfId="124" priority="125" operator="equal">
      <formula>0</formula>
    </cfRule>
  </conditionalFormatting>
  <conditionalFormatting sqref="F393">
    <cfRule type="cellIs" dxfId="123" priority="124" operator="equal">
      <formula>0</formula>
    </cfRule>
  </conditionalFormatting>
  <conditionalFormatting sqref="F394">
    <cfRule type="cellIs" dxfId="122" priority="123" operator="equal">
      <formula>0</formula>
    </cfRule>
  </conditionalFormatting>
  <conditionalFormatting sqref="G393">
    <cfRule type="cellIs" dxfId="121" priority="122" operator="equal">
      <formula>0</formula>
    </cfRule>
  </conditionalFormatting>
  <conditionalFormatting sqref="G394">
    <cfRule type="cellIs" dxfId="120" priority="121" operator="equal">
      <formula>0</formula>
    </cfRule>
  </conditionalFormatting>
  <conditionalFormatting sqref="D391:D392">
    <cfRule type="cellIs" dxfId="119" priority="120" operator="equal">
      <formula>0</formula>
    </cfRule>
  </conditionalFormatting>
  <conditionalFormatting sqref="E391:E392">
    <cfRule type="cellIs" dxfId="118" priority="119" operator="equal">
      <formula>0</formula>
    </cfRule>
  </conditionalFormatting>
  <conditionalFormatting sqref="F391:F392">
    <cfRule type="cellIs" dxfId="117" priority="118" operator="equal">
      <formula>0</formula>
    </cfRule>
  </conditionalFormatting>
  <conditionalFormatting sqref="G391:G392">
    <cfRule type="cellIs" dxfId="116" priority="117" operator="equal">
      <formula>0</formula>
    </cfRule>
  </conditionalFormatting>
  <conditionalFormatting sqref="C402">
    <cfRule type="cellIs" dxfId="115" priority="116" operator="equal">
      <formula>0</formula>
    </cfRule>
  </conditionalFormatting>
  <conditionalFormatting sqref="D401">
    <cfRule type="cellIs" dxfId="114" priority="115" operator="equal">
      <formula>0</formula>
    </cfRule>
  </conditionalFormatting>
  <conditionalFormatting sqref="D402">
    <cfRule type="cellIs" dxfId="113" priority="114" operator="equal">
      <formula>0</formula>
    </cfRule>
  </conditionalFormatting>
  <conditionalFormatting sqref="E401">
    <cfRule type="cellIs" dxfId="112" priority="113" operator="equal">
      <formula>0</formula>
    </cfRule>
  </conditionalFormatting>
  <conditionalFormatting sqref="E402">
    <cfRule type="cellIs" dxfId="111" priority="112" operator="equal">
      <formula>0</formula>
    </cfRule>
  </conditionalFormatting>
  <conditionalFormatting sqref="F401">
    <cfRule type="cellIs" dxfId="110" priority="111" operator="equal">
      <formula>0</formula>
    </cfRule>
  </conditionalFormatting>
  <conditionalFormatting sqref="F402">
    <cfRule type="cellIs" dxfId="109" priority="110" operator="equal">
      <formula>0</formula>
    </cfRule>
  </conditionalFormatting>
  <conditionalFormatting sqref="G401">
    <cfRule type="cellIs" dxfId="108" priority="109" operator="equal">
      <formula>0</formula>
    </cfRule>
  </conditionalFormatting>
  <conditionalFormatting sqref="G402">
    <cfRule type="cellIs" dxfId="107" priority="108" operator="equal">
      <formula>0</formula>
    </cfRule>
  </conditionalFormatting>
  <conditionalFormatting sqref="D399:D400">
    <cfRule type="cellIs" dxfId="106" priority="107" operator="equal">
      <formula>0</formula>
    </cfRule>
  </conditionalFormatting>
  <conditionalFormatting sqref="E399:E400">
    <cfRule type="cellIs" dxfId="105" priority="106" operator="equal">
      <formula>0</formula>
    </cfRule>
  </conditionalFormatting>
  <conditionalFormatting sqref="F399:F400">
    <cfRule type="cellIs" dxfId="104" priority="105" operator="equal">
      <formula>0</formula>
    </cfRule>
  </conditionalFormatting>
  <conditionalFormatting sqref="G399:G400">
    <cfRule type="cellIs" dxfId="103" priority="104" operator="equal">
      <formula>0</formula>
    </cfRule>
  </conditionalFormatting>
  <conditionalFormatting sqref="C414">
    <cfRule type="cellIs" dxfId="102" priority="103" operator="equal">
      <formula>0</formula>
    </cfRule>
  </conditionalFormatting>
  <conditionalFormatting sqref="D413">
    <cfRule type="cellIs" dxfId="101" priority="102" operator="equal">
      <formula>0</formula>
    </cfRule>
  </conditionalFormatting>
  <conditionalFormatting sqref="D414">
    <cfRule type="cellIs" dxfId="100" priority="101" operator="equal">
      <formula>0</formula>
    </cfRule>
  </conditionalFormatting>
  <conditionalFormatting sqref="E413">
    <cfRule type="cellIs" dxfId="99" priority="100" operator="equal">
      <formula>0</formula>
    </cfRule>
  </conditionalFormatting>
  <conditionalFormatting sqref="E414">
    <cfRule type="cellIs" dxfId="98" priority="99" operator="equal">
      <formula>0</formula>
    </cfRule>
  </conditionalFormatting>
  <conditionalFormatting sqref="F413">
    <cfRule type="cellIs" dxfId="97" priority="98" operator="equal">
      <formula>0</formula>
    </cfRule>
  </conditionalFormatting>
  <conditionalFormatting sqref="F414">
    <cfRule type="cellIs" dxfId="96" priority="97" operator="equal">
      <formula>0</formula>
    </cfRule>
  </conditionalFormatting>
  <conditionalFormatting sqref="G413">
    <cfRule type="cellIs" dxfId="95" priority="96" operator="equal">
      <formula>0</formula>
    </cfRule>
  </conditionalFormatting>
  <conditionalFormatting sqref="G414">
    <cfRule type="cellIs" dxfId="94" priority="95" operator="equal">
      <formula>0</formula>
    </cfRule>
  </conditionalFormatting>
  <conditionalFormatting sqref="D411:D412">
    <cfRule type="cellIs" dxfId="93" priority="94" operator="equal">
      <formula>0</formula>
    </cfRule>
  </conditionalFormatting>
  <conditionalFormatting sqref="E411:E412">
    <cfRule type="cellIs" dxfId="92" priority="93" operator="equal">
      <formula>0</formula>
    </cfRule>
  </conditionalFormatting>
  <conditionalFormatting sqref="F411:F412">
    <cfRule type="cellIs" dxfId="91" priority="92" operator="equal">
      <formula>0</formula>
    </cfRule>
  </conditionalFormatting>
  <conditionalFormatting sqref="G411:G412">
    <cfRule type="cellIs" dxfId="90" priority="91" operator="equal">
      <formula>0</formula>
    </cfRule>
  </conditionalFormatting>
  <conditionalFormatting sqref="C384">
    <cfRule type="cellIs" dxfId="89" priority="90" operator="equal">
      <formula>0</formula>
    </cfRule>
  </conditionalFormatting>
  <conditionalFormatting sqref="D383">
    <cfRule type="cellIs" dxfId="88" priority="89" operator="equal">
      <formula>0</formula>
    </cfRule>
  </conditionalFormatting>
  <conditionalFormatting sqref="D384">
    <cfRule type="cellIs" dxfId="87" priority="88" operator="equal">
      <formula>0</formula>
    </cfRule>
  </conditionalFormatting>
  <conditionalFormatting sqref="E383">
    <cfRule type="cellIs" dxfId="86" priority="87" operator="equal">
      <formula>0</formula>
    </cfRule>
  </conditionalFormatting>
  <conditionalFormatting sqref="E384">
    <cfRule type="cellIs" dxfId="85" priority="86" operator="equal">
      <formula>0</formula>
    </cfRule>
  </conditionalFormatting>
  <conditionalFormatting sqref="F383">
    <cfRule type="cellIs" dxfId="84" priority="85" operator="equal">
      <formula>0</formula>
    </cfRule>
  </conditionalFormatting>
  <conditionalFormatting sqref="F384">
    <cfRule type="cellIs" dxfId="83" priority="84" operator="equal">
      <formula>0</formula>
    </cfRule>
  </conditionalFormatting>
  <conditionalFormatting sqref="G383">
    <cfRule type="cellIs" dxfId="82" priority="83" operator="equal">
      <formula>0</formula>
    </cfRule>
  </conditionalFormatting>
  <conditionalFormatting sqref="G384">
    <cfRule type="cellIs" dxfId="81" priority="82" operator="equal">
      <formula>0</formula>
    </cfRule>
  </conditionalFormatting>
  <conditionalFormatting sqref="C364">
    <cfRule type="cellIs" dxfId="80" priority="81" operator="equal">
      <formula>0</formula>
    </cfRule>
  </conditionalFormatting>
  <conditionalFormatting sqref="D363">
    <cfRule type="cellIs" dxfId="79" priority="80" operator="equal">
      <formula>0</formula>
    </cfRule>
  </conditionalFormatting>
  <conditionalFormatting sqref="D364">
    <cfRule type="cellIs" dxfId="78" priority="79" operator="equal">
      <formula>0</formula>
    </cfRule>
  </conditionalFormatting>
  <conditionalFormatting sqref="E363">
    <cfRule type="cellIs" dxfId="77" priority="78" operator="equal">
      <formula>0</formula>
    </cfRule>
  </conditionalFormatting>
  <conditionalFormatting sqref="E364">
    <cfRule type="cellIs" dxfId="76" priority="77" operator="equal">
      <formula>0</formula>
    </cfRule>
  </conditionalFormatting>
  <conditionalFormatting sqref="F363">
    <cfRule type="cellIs" dxfId="75" priority="76" operator="equal">
      <formula>0</formula>
    </cfRule>
  </conditionalFormatting>
  <conditionalFormatting sqref="F364">
    <cfRule type="cellIs" dxfId="74" priority="75" operator="equal">
      <formula>0</formula>
    </cfRule>
  </conditionalFormatting>
  <conditionalFormatting sqref="G363">
    <cfRule type="cellIs" dxfId="73" priority="74" operator="equal">
      <formula>0</formula>
    </cfRule>
  </conditionalFormatting>
  <conditionalFormatting sqref="G364">
    <cfRule type="cellIs" dxfId="72" priority="73" operator="equal">
      <formula>0</formula>
    </cfRule>
  </conditionalFormatting>
  <conditionalFormatting sqref="C318">
    <cfRule type="cellIs" dxfId="71" priority="72" operator="equal">
      <formula>0</formula>
    </cfRule>
  </conditionalFormatting>
  <conditionalFormatting sqref="D317">
    <cfRule type="cellIs" dxfId="70" priority="71" operator="equal">
      <formula>0</formula>
    </cfRule>
  </conditionalFormatting>
  <conditionalFormatting sqref="D318">
    <cfRule type="cellIs" dxfId="69" priority="70" operator="equal">
      <formula>0</formula>
    </cfRule>
  </conditionalFormatting>
  <conditionalFormatting sqref="E317">
    <cfRule type="cellIs" dxfId="68" priority="69" operator="equal">
      <formula>0</formula>
    </cfRule>
  </conditionalFormatting>
  <conditionalFormatting sqref="E318">
    <cfRule type="cellIs" dxfId="67" priority="68" operator="equal">
      <formula>0</formula>
    </cfRule>
  </conditionalFormatting>
  <conditionalFormatting sqref="F317">
    <cfRule type="cellIs" dxfId="66" priority="67" operator="equal">
      <formula>0</formula>
    </cfRule>
  </conditionalFormatting>
  <conditionalFormatting sqref="F318">
    <cfRule type="cellIs" dxfId="65" priority="66" operator="equal">
      <formula>0</formula>
    </cfRule>
  </conditionalFormatting>
  <conditionalFormatting sqref="G317">
    <cfRule type="cellIs" dxfId="64" priority="65" operator="equal">
      <formula>0</formula>
    </cfRule>
  </conditionalFormatting>
  <conditionalFormatting sqref="G318">
    <cfRule type="cellIs" dxfId="63" priority="64" operator="equal">
      <formula>0</formula>
    </cfRule>
  </conditionalFormatting>
  <conditionalFormatting sqref="C304">
    <cfRule type="cellIs" dxfId="62" priority="63" operator="equal">
      <formula>0</formula>
    </cfRule>
  </conditionalFormatting>
  <conditionalFormatting sqref="D303">
    <cfRule type="cellIs" dxfId="61" priority="62" operator="equal">
      <formula>0</formula>
    </cfRule>
  </conditionalFormatting>
  <conditionalFormatting sqref="D304">
    <cfRule type="cellIs" dxfId="60" priority="61" operator="equal">
      <formula>0</formula>
    </cfRule>
  </conditionalFormatting>
  <conditionalFormatting sqref="E303">
    <cfRule type="cellIs" dxfId="59" priority="60" operator="equal">
      <formula>0</formula>
    </cfRule>
  </conditionalFormatting>
  <conditionalFormatting sqref="E304">
    <cfRule type="cellIs" dxfId="58" priority="59" operator="equal">
      <formula>0</formula>
    </cfRule>
  </conditionalFormatting>
  <conditionalFormatting sqref="F303">
    <cfRule type="cellIs" dxfId="57" priority="58" operator="equal">
      <formula>0</formula>
    </cfRule>
  </conditionalFormatting>
  <conditionalFormatting sqref="F304">
    <cfRule type="cellIs" dxfId="56" priority="57" operator="equal">
      <formula>0</formula>
    </cfRule>
  </conditionalFormatting>
  <conditionalFormatting sqref="G303">
    <cfRule type="cellIs" dxfId="55" priority="56" operator="equal">
      <formula>0</formula>
    </cfRule>
  </conditionalFormatting>
  <conditionalFormatting sqref="G304">
    <cfRule type="cellIs" dxfId="54" priority="55" operator="equal">
      <formula>0</formula>
    </cfRule>
  </conditionalFormatting>
  <conditionalFormatting sqref="C280">
    <cfRule type="cellIs" dxfId="53" priority="54" operator="equal">
      <formula>0</formula>
    </cfRule>
  </conditionalFormatting>
  <conditionalFormatting sqref="D279">
    <cfRule type="cellIs" dxfId="52" priority="53" operator="equal">
      <formula>0</formula>
    </cfRule>
  </conditionalFormatting>
  <conditionalFormatting sqref="D280">
    <cfRule type="cellIs" dxfId="51" priority="52" operator="equal">
      <formula>0</formula>
    </cfRule>
  </conditionalFormatting>
  <conditionalFormatting sqref="E279">
    <cfRule type="cellIs" dxfId="50" priority="51" operator="equal">
      <formula>0</formula>
    </cfRule>
  </conditionalFormatting>
  <conditionalFormatting sqref="E280">
    <cfRule type="cellIs" dxfId="49" priority="50" operator="equal">
      <formula>0</formula>
    </cfRule>
  </conditionalFormatting>
  <conditionalFormatting sqref="F279">
    <cfRule type="cellIs" dxfId="48" priority="49" operator="equal">
      <formula>0</formula>
    </cfRule>
  </conditionalFormatting>
  <conditionalFormatting sqref="F280">
    <cfRule type="cellIs" dxfId="47" priority="48" operator="equal">
      <formula>0</formula>
    </cfRule>
  </conditionalFormatting>
  <conditionalFormatting sqref="G279">
    <cfRule type="cellIs" dxfId="46" priority="47" operator="equal">
      <formula>0</formula>
    </cfRule>
  </conditionalFormatting>
  <conditionalFormatting sqref="G280">
    <cfRule type="cellIs" dxfId="45" priority="46" operator="equal">
      <formula>0</formula>
    </cfRule>
  </conditionalFormatting>
  <conditionalFormatting sqref="C228">
    <cfRule type="cellIs" dxfId="44" priority="45" operator="equal">
      <formula>0</formula>
    </cfRule>
  </conditionalFormatting>
  <conditionalFormatting sqref="D227">
    <cfRule type="cellIs" dxfId="43" priority="44" operator="equal">
      <formula>0</formula>
    </cfRule>
  </conditionalFormatting>
  <conditionalFormatting sqref="D228">
    <cfRule type="cellIs" dxfId="42" priority="43" operator="equal">
      <formula>0</formula>
    </cfRule>
  </conditionalFormatting>
  <conditionalFormatting sqref="E227">
    <cfRule type="cellIs" dxfId="41" priority="42" operator="equal">
      <formula>0</formula>
    </cfRule>
  </conditionalFormatting>
  <conditionalFormatting sqref="E228">
    <cfRule type="cellIs" dxfId="40" priority="41" operator="equal">
      <formula>0</formula>
    </cfRule>
  </conditionalFormatting>
  <conditionalFormatting sqref="F227">
    <cfRule type="cellIs" dxfId="39" priority="40" operator="equal">
      <formula>0</formula>
    </cfRule>
  </conditionalFormatting>
  <conditionalFormatting sqref="F228">
    <cfRule type="cellIs" dxfId="38" priority="39" operator="equal">
      <formula>0</formula>
    </cfRule>
  </conditionalFormatting>
  <conditionalFormatting sqref="G227">
    <cfRule type="cellIs" dxfId="37" priority="38" operator="equal">
      <formula>0</formula>
    </cfRule>
  </conditionalFormatting>
  <conditionalFormatting sqref="G228">
    <cfRule type="cellIs" dxfId="36" priority="37" operator="equal">
      <formula>0</formula>
    </cfRule>
  </conditionalFormatting>
  <conditionalFormatting sqref="C66">
    <cfRule type="cellIs" dxfId="35" priority="36" operator="equal">
      <formula>0</formula>
    </cfRule>
  </conditionalFormatting>
  <conditionalFormatting sqref="D65">
    <cfRule type="cellIs" dxfId="34" priority="35" operator="equal">
      <formula>0</formula>
    </cfRule>
  </conditionalFormatting>
  <conditionalFormatting sqref="D66">
    <cfRule type="cellIs" dxfId="33" priority="34" operator="equal">
      <formula>0</formula>
    </cfRule>
  </conditionalFormatting>
  <conditionalFormatting sqref="E65">
    <cfRule type="cellIs" dxfId="32" priority="33" operator="equal">
      <formula>0</formula>
    </cfRule>
  </conditionalFormatting>
  <conditionalFormatting sqref="E66">
    <cfRule type="cellIs" dxfId="31" priority="32" operator="equal">
      <formula>0</formula>
    </cfRule>
  </conditionalFormatting>
  <conditionalFormatting sqref="F65">
    <cfRule type="cellIs" dxfId="30" priority="31" operator="equal">
      <formula>0</formula>
    </cfRule>
  </conditionalFormatting>
  <conditionalFormatting sqref="F66">
    <cfRule type="cellIs" dxfId="29" priority="30" operator="equal">
      <formula>0</formula>
    </cfRule>
  </conditionalFormatting>
  <conditionalFormatting sqref="G65">
    <cfRule type="cellIs" dxfId="28" priority="29" operator="equal">
      <formula>0</formula>
    </cfRule>
  </conditionalFormatting>
  <conditionalFormatting sqref="G66">
    <cfRule type="cellIs" dxfId="27" priority="28" operator="equal">
      <formula>0</formula>
    </cfRule>
  </conditionalFormatting>
  <conditionalFormatting sqref="C26">
    <cfRule type="cellIs" dxfId="26" priority="27" operator="equal">
      <formula>0</formula>
    </cfRule>
  </conditionalFormatting>
  <conditionalFormatting sqref="D25">
    <cfRule type="cellIs" dxfId="25" priority="26" operator="equal">
      <formula>0</formula>
    </cfRule>
  </conditionalFormatting>
  <conditionalFormatting sqref="D26">
    <cfRule type="cellIs" dxfId="24" priority="25" operator="equal">
      <formula>0</formula>
    </cfRule>
  </conditionalFormatting>
  <conditionalFormatting sqref="E25">
    <cfRule type="cellIs" dxfId="23" priority="24" operator="equal">
      <formula>0</formula>
    </cfRule>
  </conditionalFormatting>
  <conditionalFormatting sqref="E26">
    <cfRule type="cellIs" dxfId="22" priority="23" operator="equal">
      <formula>0</formula>
    </cfRule>
  </conditionalFormatting>
  <conditionalFormatting sqref="F25">
    <cfRule type="cellIs" dxfId="21" priority="22" operator="equal">
      <formula>0</formula>
    </cfRule>
  </conditionalFormatting>
  <conditionalFormatting sqref="F26">
    <cfRule type="cellIs" dxfId="20" priority="21" operator="equal">
      <formula>0</formula>
    </cfRule>
  </conditionalFormatting>
  <conditionalFormatting sqref="G25">
    <cfRule type="cellIs" dxfId="19" priority="20" operator="equal">
      <formula>0</formula>
    </cfRule>
  </conditionalFormatting>
  <conditionalFormatting sqref="G26">
    <cfRule type="cellIs" dxfId="18" priority="19" operator="equal">
      <formula>0</formula>
    </cfRule>
  </conditionalFormatting>
  <conditionalFormatting sqref="E63:E64">
    <cfRule type="cellIs" dxfId="17" priority="18" operator="equal">
      <formula>0</formula>
    </cfRule>
  </conditionalFormatting>
  <conditionalFormatting sqref="F63:F64">
    <cfRule type="cellIs" dxfId="16" priority="17" operator="equal">
      <formula>0</formula>
    </cfRule>
  </conditionalFormatting>
  <conditionalFormatting sqref="G63:G64">
    <cfRule type="cellIs" dxfId="15" priority="16" operator="equal">
      <formula>0</formula>
    </cfRule>
  </conditionalFormatting>
  <conditionalFormatting sqref="D63:G64">
    <cfRule type="cellIs" dxfId="14" priority="15" operator="equal">
      <formula>0</formula>
    </cfRule>
  </conditionalFormatting>
  <conditionalFormatting sqref="E225:E226">
    <cfRule type="cellIs" dxfId="13" priority="14" operator="equal">
      <formula>0</formula>
    </cfRule>
  </conditionalFormatting>
  <conditionalFormatting sqref="F225:F226">
    <cfRule type="cellIs" dxfId="12" priority="13" operator="equal">
      <formula>0</formula>
    </cfRule>
  </conditionalFormatting>
  <conditionalFormatting sqref="G225:G226">
    <cfRule type="cellIs" dxfId="11" priority="12" operator="equal">
      <formula>0</formula>
    </cfRule>
  </conditionalFormatting>
  <conditionalFormatting sqref="D225:G226">
    <cfRule type="cellIs" dxfId="10" priority="11" operator="equal">
      <formula>0</formula>
    </cfRule>
  </conditionalFormatting>
  <conditionalFormatting sqref="E315:E316">
    <cfRule type="cellIs" dxfId="9" priority="10" operator="equal">
      <formula>0</formula>
    </cfRule>
  </conditionalFormatting>
  <conditionalFormatting sqref="F315:F316">
    <cfRule type="cellIs" dxfId="8" priority="9" operator="equal">
      <formula>0</formula>
    </cfRule>
  </conditionalFormatting>
  <conditionalFormatting sqref="G315:G316">
    <cfRule type="cellIs" dxfId="7" priority="8" operator="equal">
      <formula>0</formula>
    </cfRule>
  </conditionalFormatting>
  <conditionalFormatting sqref="D315:G316">
    <cfRule type="cellIs" dxfId="6" priority="7" operator="equal">
      <formula>0</formula>
    </cfRule>
  </conditionalFormatting>
  <conditionalFormatting sqref="E361:E362">
    <cfRule type="cellIs" dxfId="5" priority="6" operator="equal">
      <formula>0</formula>
    </cfRule>
  </conditionalFormatting>
  <conditionalFormatting sqref="F361:F362">
    <cfRule type="cellIs" dxfId="4" priority="5" operator="equal">
      <formula>0</formula>
    </cfRule>
  </conditionalFormatting>
  <conditionalFormatting sqref="G361:G362">
    <cfRule type="cellIs" dxfId="3" priority="4" operator="equal">
      <formula>0</formula>
    </cfRule>
  </conditionalFormatting>
  <conditionalFormatting sqref="D361:G362">
    <cfRule type="cellIs" dxfId="2" priority="3" operator="equal">
      <formula>0</formula>
    </cfRule>
  </conditionalFormatting>
  <conditionalFormatting sqref="E330">
    <cfRule type="cellIs" dxfId="1" priority="2" operator="equal">
      <formula>0</formula>
    </cfRule>
  </conditionalFormatting>
  <conditionalFormatting sqref="F330">
    <cfRule type="cellIs" dxfId="0" priority="1" operator="equal">
      <formula>0</formula>
    </cfRule>
  </conditionalFormatting>
  <printOptions horizontalCentered="1"/>
  <pageMargins left="0.59055118110236227" right="0.59055118110236227" top="0.59055118110236227" bottom="0.59055118110236227" header="0.19685039370078741" footer="0.19685039370078741"/>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10</vt:i4>
      </vt:variant>
    </vt:vector>
  </HeadingPairs>
  <TitlesOfParts>
    <vt:vector size="18" baseType="lpstr">
      <vt:lpstr>Instruções de Preenchimento</vt:lpstr>
      <vt:lpstr>Resumo do Orçamento</vt:lpstr>
      <vt:lpstr>Orçamento Sintético</vt:lpstr>
      <vt:lpstr>Orçamento Analítico</vt:lpstr>
      <vt:lpstr>Insumos e Serviços</vt:lpstr>
      <vt:lpstr>Composição de BDI</vt:lpstr>
      <vt:lpstr>Composição de Encargos Sociais</vt:lpstr>
      <vt:lpstr>Cronograma</vt:lpstr>
      <vt:lpstr>'Composição de BDI'!Area_de_impressao</vt:lpstr>
      <vt:lpstr>Cronograma!Area_de_impressao</vt:lpstr>
      <vt:lpstr>'Insumos e Serviços'!Area_de_impressao</vt:lpstr>
      <vt:lpstr>'Orçamento Analítico'!Area_de_impressao</vt:lpstr>
      <vt:lpstr>'Orçamento Sintético'!Area_de_impressao</vt:lpstr>
      <vt:lpstr>'Resumo do Orçamento'!Area_de_impressao</vt:lpstr>
      <vt:lpstr>Cronograma!Titulos_de_impressao</vt:lpstr>
      <vt:lpstr>'Insumos e Serviços'!Titulos_de_impressao</vt:lpstr>
      <vt:lpstr>'Orçamento Analítico'!Titulos_de_impressao</vt:lpstr>
      <vt:lpstr>'Orçamento Sintético'!Titulos_de_impressao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User</cp:lastModifiedBy>
  <cp:revision>0</cp:revision>
  <cp:lastPrinted>2021-06-12T16:27:40Z</cp:lastPrinted>
  <dcterms:created xsi:type="dcterms:W3CDTF">2021-06-08T20:11:22Z</dcterms:created>
  <dcterms:modified xsi:type="dcterms:W3CDTF">2021-06-14T10:34:28Z</dcterms:modified>
</cp:coreProperties>
</file>