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1"/>
  </bookViews>
  <sheets>
    <sheet name="Instruções de Preenchimento" sheetId="10" r:id="rId1"/>
    <sheet name="Resumo do Orçamento" sheetId="2" r:id="rId2"/>
    <sheet name="Orçamento Sintético" sheetId="1" r:id="rId3"/>
    <sheet name="Orçamento Analítico" sheetId="3" r:id="rId4"/>
    <sheet name="Insumos e Serviços" sheetId="9" r:id="rId5"/>
    <sheet name="Composição de BDI" sheetId="4" r:id="rId6"/>
    <sheet name="Composição de Encargos Sociais" sheetId="5" r:id="rId7"/>
    <sheet name="Cronograma" sheetId="8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0">#REF!</definedName>
    <definedName name="_Toc162077558_1">#REF!</definedName>
    <definedName name="_xlnm.Print_Area" localSheetId="5">'Composição de BDI'!$A$1:$D$29</definedName>
    <definedName name="_xlnm.Print_Area" localSheetId="6">'Composição de Encargos Sociais'!$A$1:$D$44</definedName>
    <definedName name="_xlnm.Print_Area" localSheetId="7">Cronograma!$A$1:$F$77</definedName>
    <definedName name="_xlnm.Print_Area" localSheetId="4">'Insumos e Serviços'!$A$1:$H$119</definedName>
    <definedName name="_xlnm.Print_Area" localSheetId="3">'Orçamento Analítico'!$A$1:$H$307</definedName>
    <definedName name="_xlnm.Print_Area" localSheetId="2">'Orçamento Sintético'!$A$1:$H$124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>#REF!</definedName>
    <definedName name="Excel_BuiltIn_Print_Area_1_1_1_1_1" localSheetId="0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>#REF!</definedName>
    <definedName name="Excel_BuiltIn_Print_Area_1_1_1_1_5" localSheetId="0">#REF!</definedName>
    <definedName name="Excel_BuiltIn_Print_Area_1_1_1_1_5">#REF!</definedName>
    <definedName name="Excel_BuiltIn_Print_Area_1_1_1_5" localSheetId="0">#REF!</definedName>
    <definedName name="Excel_BuiltIn_Print_Area_1_1_1_5">#REF!</definedName>
    <definedName name="Excel_BuiltIn_Print_Area_1_1_5" localSheetId="0">#REF!</definedName>
    <definedName name="Excel_BuiltIn_Print_Area_1_1_5">#REF!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>#REF!</definedName>
    <definedName name="Excel_BuiltIn_Print_Area_2_1_1_1" localSheetId="0">#REF!</definedName>
    <definedName name="Excel_BuiltIn_Print_Area_2_1_1_1">#REF!</definedName>
    <definedName name="Excel_BuiltIn_Print_Area_2_1_1_1_1" localSheetId="0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0">#REF!</definedName>
    <definedName name="Excel_BuiltIn_Print_Area_2_1_5">#REF!</definedName>
    <definedName name="Excel_BuiltIn_Print_Area_2_5" localSheetId="0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>#REF!</definedName>
    <definedName name="Excel_BuiltIn_Print_Area_4_1_1_1_5" localSheetId="0">#REF!</definedName>
    <definedName name="Excel_BuiltIn_Print_Area_4_1_1_1_5">#REF!</definedName>
    <definedName name="Excel_BuiltIn_Print_Area_4_1_1_5" localSheetId="0">#REF!</definedName>
    <definedName name="Excel_BuiltIn_Print_Area_4_1_1_5">#REF!</definedName>
    <definedName name="Excel_BuiltIn_Print_Area_4_1_5" localSheetId="0">#REF!</definedName>
    <definedName name="Excel_BuiltIn_Print_Area_4_1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>#REF!</definedName>
    <definedName name="Excel_BuiltIn_Print_Area_5_1_1_5" localSheetId="0">#REF!</definedName>
    <definedName name="Excel_BuiltIn_Print_Area_5_1_1_5">#REF!</definedName>
    <definedName name="Excel_BuiltIn_Print_Area_5_1_5" localSheetId="0">#REF!</definedName>
    <definedName name="Excel_BuiltIn_Print_Area_5_1_5">#REF!</definedName>
    <definedName name="Excel_BuiltIn_Print_Area_6_1" localSheetId="0">#REF!</definedName>
    <definedName name="Excel_BuiltIn_Print_Area_6_1">#REF!</definedName>
    <definedName name="Excel_BuiltIn_Print_Titles_1" localSheetId="0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>#REF!</definedName>
    <definedName name="Excel_BuiltIn_Print_Titles_1_1_5" localSheetId="0">#REF!</definedName>
    <definedName name="Excel_BuiltIn_Print_Titles_1_1_5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>#REF!</definedName>
    <definedName name="Excel_BuiltIn_Print_Titles_2_1_1_1_5" localSheetId="0">#REF!</definedName>
    <definedName name="Excel_BuiltIn_Print_Titles_2_1_1_1_5">#REF!</definedName>
    <definedName name="Excel_BuiltIn_Print_Titles_2_1_1_5" localSheetId="0">#REF!</definedName>
    <definedName name="Excel_BuiltIn_Print_Titles_2_1_1_5">#REF!</definedName>
    <definedName name="Excel_BuiltIn_Print_Titles_2_1_5" localSheetId="0">#REF!</definedName>
    <definedName name="Excel_BuiltIn_Print_Titles_2_1_5">#REF!</definedName>
    <definedName name="Excel_BuiltIn_Print_Titles_2_5" localSheetId="0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>'[1]Planilha Sintética'!#REF!</definedName>
    <definedName name="Excel_BuiltIn_Print_Titles_3_1_3" localSheetId="0">#REF!</definedName>
    <definedName name="Excel_BuiltIn_Print_Titles_3_1_3">#REF!</definedName>
    <definedName name="Excel_BuiltIn_Print_Titles_3_1_4">#N/A</definedName>
    <definedName name="Excel_BuiltIn_Print_Titles_4" localSheetId="0">#REF!</definedName>
    <definedName name="Excel_BuiltIn_Print_Titles_4">#REF!</definedName>
    <definedName name="Excel_BuiltIn_Print_Titles_4_1" localSheetId="0">#REF!</definedName>
    <definedName name="Excel_BuiltIn_Print_Titles_4_1">#REF!</definedName>
    <definedName name="Excel_BuiltIn_Print_Titles_4_1_5" localSheetId="0">#REF!</definedName>
    <definedName name="Excel_BuiltIn_Print_Titles_4_1_5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5" localSheetId="0">#REF!</definedName>
    <definedName name="Excel_BuiltIn_Print_Titles_5_5">#REF!</definedName>
    <definedName name="_xlnm.Print_Titles" localSheetId="5">'Composição de BDI'!$1:$8</definedName>
    <definedName name="_xlnm.Print_Titles" localSheetId="7">Cronograma!$1:$8</definedName>
    <definedName name="_xlnm.Print_Titles" localSheetId="4">'Insumos e Serviços'!$1:$8</definedName>
    <definedName name="_xlnm.Print_Titles" localSheetId="3">'Orçamento Analítico'!$1:$7</definedName>
    <definedName name="_xlnm.Print_Titles" localSheetId="2">'Orçamento Sintético'!$1:$8</definedName>
    <definedName name="Z_71409849_3ED0_4F48_B303_9AEF25621248_.wvu.PrintArea" localSheetId="6" hidden="1">'Composição de Encargos Sociais'!$A$1:$D$44</definedName>
  </definedNames>
  <calcPr calcId="101716" fullCalcOnLoad="1"/>
</workbook>
</file>

<file path=xl/calcChain.xml><?xml version="1.0" encoding="utf-8"?>
<calcChain xmlns="http://schemas.openxmlformats.org/spreadsheetml/2006/main">
  <c r="B12" i="2"/>
  <c r="B11"/>
  <c r="B10"/>
  <c r="B9"/>
  <c r="D304" i="3"/>
  <c r="E305"/>
  <c r="D305"/>
  <c r="C305"/>
  <c r="B305"/>
  <c r="B296"/>
  <c r="C296"/>
  <c r="D296"/>
  <c r="E296"/>
  <c r="E286"/>
  <c r="D286"/>
  <c r="C286"/>
  <c r="B286"/>
  <c r="D285"/>
  <c r="D284"/>
  <c r="D283"/>
  <c r="D277"/>
  <c r="D276"/>
  <c r="D275"/>
  <c r="E278"/>
  <c r="D278"/>
  <c r="C278"/>
  <c r="B278"/>
  <c r="E272"/>
  <c r="D272"/>
  <c r="C272"/>
  <c r="B272"/>
  <c r="E267"/>
  <c r="D267"/>
  <c r="C267"/>
  <c r="B267"/>
  <c r="E256"/>
  <c r="D256"/>
  <c r="C256"/>
  <c r="B256"/>
  <c r="B246"/>
  <c r="C246"/>
  <c r="E246"/>
  <c r="D246"/>
  <c r="E236"/>
  <c r="D236"/>
  <c r="C236"/>
  <c r="B236"/>
  <c r="E226"/>
  <c r="D226"/>
  <c r="C226"/>
  <c r="B226"/>
  <c r="B216"/>
  <c r="E216"/>
  <c r="D216"/>
  <c r="C216"/>
  <c r="E207"/>
  <c r="D207"/>
  <c r="C207"/>
  <c r="B207"/>
  <c r="E201"/>
  <c r="D201"/>
  <c r="C201"/>
  <c r="B201"/>
  <c r="E197"/>
  <c r="D197"/>
  <c r="C197"/>
  <c r="B197"/>
  <c r="E190"/>
  <c r="D190"/>
  <c r="C190"/>
  <c r="B190"/>
  <c r="E185"/>
  <c r="D185"/>
  <c r="C185"/>
  <c r="B185"/>
  <c r="E182"/>
  <c r="D182"/>
  <c r="C182"/>
  <c r="B182"/>
  <c r="E179"/>
  <c r="D179"/>
  <c r="C179"/>
  <c r="B179"/>
  <c r="E176"/>
  <c r="D176"/>
  <c r="C176"/>
  <c r="B176"/>
  <c r="E172"/>
  <c r="D172"/>
  <c r="C172"/>
  <c r="B172"/>
  <c r="E165"/>
  <c r="D165"/>
  <c r="C165"/>
  <c r="B165"/>
  <c r="E158"/>
  <c r="D158"/>
  <c r="C158"/>
  <c r="B158"/>
  <c r="E150"/>
  <c r="D150"/>
  <c r="C150"/>
  <c r="B150"/>
  <c r="D34"/>
  <c r="E143"/>
  <c r="D143"/>
  <c r="C143"/>
  <c r="B143"/>
  <c r="E135"/>
  <c r="D135"/>
  <c r="C135"/>
  <c r="B135"/>
  <c r="E123"/>
  <c r="D123"/>
  <c r="C123"/>
  <c r="B123"/>
  <c r="E117"/>
  <c r="D117"/>
  <c r="C117"/>
  <c r="B117"/>
  <c r="E110"/>
  <c r="D110"/>
  <c r="C110"/>
  <c r="B110"/>
  <c r="E97"/>
  <c r="D97"/>
  <c r="C97"/>
  <c r="B97"/>
  <c r="E77"/>
  <c r="D77"/>
  <c r="C77"/>
  <c r="B77"/>
  <c r="E74"/>
  <c r="D74"/>
  <c r="C74"/>
  <c r="B74"/>
  <c r="E70"/>
  <c r="D70"/>
  <c r="C70"/>
  <c r="B70"/>
  <c r="E66"/>
  <c r="D66"/>
  <c r="C66"/>
  <c r="B66"/>
  <c r="E63"/>
  <c r="D63"/>
  <c r="C63"/>
  <c r="B63"/>
  <c r="E59"/>
  <c r="D59"/>
  <c r="C59"/>
  <c r="B59"/>
  <c r="E56"/>
  <c r="D56"/>
  <c r="C56"/>
  <c r="B56"/>
  <c r="E52"/>
  <c r="D52"/>
  <c r="C52"/>
  <c r="B52"/>
  <c r="E49"/>
  <c r="D49"/>
  <c r="C49"/>
  <c r="B49"/>
  <c r="E45"/>
  <c r="D45"/>
  <c r="C45"/>
  <c r="B45"/>
  <c r="E42"/>
  <c r="D42"/>
  <c r="C42"/>
  <c r="B42"/>
  <c r="E38"/>
  <c r="D38"/>
  <c r="C38"/>
  <c r="B38"/>
  <c r="E35"/>
  <c r="D35"/>
  <c r="C35"/>
  <c r="B35"/>
  <c r="E28"/>
  <c r="D28"/>
  <c r="C28"/>
  <c r="B28"/>
  <c r="E24"/>
  <c r="D24"/>
  <c r="C24"/>
  <c r="B24"/>
  <c r="E20"/>
  <c r="D20"/>
  <c r="C20"/>
  <c r="B20"/>
  <c r="D266"/>
  <c r="D215"/>
  <c r="E129"/>
  <c r="D129"/>
  <c r="C129"/>
  <c r="B129"/>
  <c r="D128"/>
  <c r="D116"/>
  <c r="E103"/>
  <c r="D103"/>
  <c r="C103"/>
  <c r="B103"/>
  <c r="D102"/>
  <c r="E88"/>
  <c r="D88"/>
  <c r="C88"/>
  <c r="B88"/>
  <c r="D87"/>
  <c r="E84"/>
  <c r="D84"/>
  <c r="C84"/>
  <c r="B84"/>
  <c r="D83"/>
  <c r="D82"/>
  <c r="D81"/>
  <c r="D16"/>
  <c r="D15"/>
  <c r="E17"/>
  <c r="D17"/>
  <c r="C17"/>
  <c r="B17"/>
  <c r="D14"/>
  <c r="E11"/>
  <c r="D11"/>
  <c r="C11"/>
  <c r="B11"/>
  <c r="D10"/>
  <c r="D9"/>
  <c r="B69" i="8"/>
  <c r="B65"/>
  <c r="B61"/>
  <c r="B59"/>
  <c r="B53"/>
  <c r="B47"/>
  <c r="B45"/>
  <c r="B43"/>
  <c r="B41"/>
  <c r="B39"/>
  <c r="B37"/>
  <c r="B35"/>
  <c r="B57"/>
  <c r="B51"/>
  <c r="B31"/>
  <c r="B67"/>
  <c r="B63"/>
  <c r="B55"/>
  <c r="B49"/>
  <c r="B29"/>
  <c r="B33"/>
  <c r="B27"/>
  <c r="B25"/>
  <c r="B23"/>
  <c r="B21"/>
  <c r="B19"/>
  <c r="B17"/>
  <c r="B15"/>
  <c r="B13"/>
  <c r="B11"/>
  <c r="B9"/>
  <c r="C6"/>
  <c r="B6"/>
  <c r="A6"/>
  <c r="C5"/>
  <c r="B5"/>
  <c r="A5"/>
  <c r="C4"/>
  <c r="B4"/>
  <c r="A4"/>
  <c r="C3"/>
  <c r="B3"/>
  <c r="A3"/>
  <c r="C2"/>
  <c r="B2"/>
  <c r="A2"/>
  <c r="C1"/>
  <c r="B1"/>
  <c r="A1"/>
  <c r="D6" i="5"/>
  <c r="C6"/>
  <c r="A6"/>
  <c r="D5"/>
  <c r="C5"/>
  <c r="A5"/>
  <c r="D4"/>
  <c r="C4"/>
  <c r="A4"/>
  <c r="D3"/>
  <c r="C3"/>
  <c r="A3"/>
  <c r="D2"/>
  <c r="C2"/>
  <c r="A2"/>
  <c r="D1"/>
  <c r="C1"/>
  <c r="A1"/>
  <c r="E6" i="3"/>
  <c r="C6"/>
  <c r="A6"/>
  <c r="E5"/>
  <c r="C5"/>
  <c r="A5"/>
  <c r="E4"/>
  <c r="C4"/>
  <c r="A4"/>
  <c r="E3"/>
  <c r="C3"/>
  <c r="A3"/>
  <c r="E2"/>
  <c r="D2"/>
  <c r="C2"/>
  <c r="A2"/>
  <c r="E1"/>
  <c r="D1"/>
  <c r="C1"/>
  <c r="A1"/>
  <c r="D26" i="4"/>
  <c r="D22"/>
  <c r="D28"/>
  <c r="C18" i="2"/>
  <c r="D6" i="4"/>
  <c r="C6"/>
  <c r="A6"/>
  <c r="D5"/>
  <c r="C5"/>
  <c r="A5"/>
  <c r="D4"/>
  <c r="C4"/>
  <c r="A4"/>
  <c r="D3"/>
  <c r="C3"/>
  <c r="A3"/>
  <c r="D2"/>
  <c r="C2"/>
  <c r="A2"/>
  <c r="D1"/>
  <c r="C1"/>
  <c r="A1"/>
  <c r="E6" i="9"/>
  <c r="C6"/>
  <c r="A6"/>
  <c r="E5"/>
  <c r="C5"/>
  <c r="A5"/>
  <c r="E4"/>
  <c r="C4"/>
  <c r="A4"/>
  <c r="E3"/>
  <c r="C3"/>
  <c r="A3"/>
  <c r="E2"/>
  <c r="D2"/>
  <c r="C2"/>
  <c r="A2"/>
  <c r="E1"/>
  <c r="D1"/>
  <c r="C1"/>
  <c r="A1"/>
  <c r="G120" i="1"/>
  <c r="G114"/>
  <c r="G73"/>
  <c r="G68"/>
  <c r="G61"/>
  <c r="G52"/>
  <c r="G37"/>
  <c r="D120"/>
  <c r="C119"/>
  <c r="E115"/>
  <c r="D114"/>
  <c r="C79"/>
  <c r="E74"/>
  <c r="D73"/>
  <c r="C71"/>
  <c r="E69"/>
  <c r="D68"/>
  <c r="C67"/>
  <c r="E65"/>
  <c r="D61"/>
  <c r="C57"/>
  <c r="E54"/>
  <c r="D52"/>
  <c r="C45"/>
  <c r="E41"/>
  <c r="D37"/>
  <c r="C34"/>
  <c r="G17"/>
  <c r="C17"/>
  <c r="G15"/>
  <c r="D307" i="3"/>
  <c r="C306"/>
  <c r="G301"/>
  <c r="H301"/>
  <c r="G297"/>
  <c r="H297"/>
  <c r="E301"/>
  <c r="D300"/>
  <c r="C299"/>
  <c r="E297"/>
  <c r="A301"/>
  <c r="A297"/>
  <c r="E293"/>
  <c r="D292"/>
  <c r="C291"/>
  <c r="E289"/>
  <c r="D288"/>
  <c r="C287"/>
  <c r="A291"/>
  <c r="A287"/>
  <c r="G291"/>
  <c r="H291"/>
  <c r="G287"/>
  <c r="H287"/>
  <c r="G280"/>
  <c r="H280"/>
  <c r="C281"/>
  <c r="E279"/>
  <c r="A280"/>
  <c r="D273"/>
  <c r="G269"/>
  <c r="H269"/>
  <c r="C270"/>
  <c r="E268"/>
  <c r="A269"/>
  <c r="G264"/>
  <c r="H264"/>
  <c r="G260"/>
  <c r="H260"/>
  <c r="E264"/>
  <c r="D263"/>
  <c r="C262"/>
  <c r="E260"/>
  <c r="D259"/>
  <c r="C258"/>
  <c r="A264"/>
  <c r="A260"/>
  <c r="G252"/>
  <c r="H252"/>
  <c r="G248"/>
  <c r="H248"/>
  <c r="G119" i="1"/>
  <c r="G79"/>
  <c r="G71"/>
  <c r="G67"/>
  <c r="G57"/>
  <c r="G45"/>
  <c r="G34"/>
  <c r="C120"/>
  <c r="E116"/>
  <c r="D115"/>
  <c r="C114"/>
  <c r="E78"/>
  <c r="D74"/>
  <c r="C73"/>
  <c r="E70"/>
  <c r="D69"/>
  <c r="C68"/>
  <c r="E66"/>
  <c r="D65"/>
  <c r="C61"/>
  <c r="E56"/>
  <c r="D54"/>
  <c r="C52"/>
  <c r="E44"/>
  <c r="D41"/>
  <c r="C37"/>
  <c r="E28"/>
  <c r="G16"/>
  <c r="E16"/>
  <c r="E15"/>
  <c r="G307" i="3"/>
  <c r="H307"/>
  <c r="C307"/>
  <c r="A307"/>
  <c r="G300"/>
  <c r="H300"/>
  <c r="E302"/>
  <c r="D301"/>
  <c r="C300"/>
  <c r="E298"/>
  <c r="D297"/>
  <c r="A300"/>
  <c r="E294"/>
  <c r="D293"/>
  <c r="C292"/>
  <c r="E290"/>
  <c r="D289"/>
  <c r="C288"/>
  <c r="A294"/>
  <c r="A290"/>
  <c r="G294"/>
  <c r="H294"/>
  <c r="G290"/>
  <c r="H290"/>
  <c r="G279"/>
  <c r="H279"/>
  <c r="E280"/>
  <c r="D279"/>
  <c r="A279"/>
  <c r="C273"/>
  <c r="G268"/>
  <c r="H268"/>
  <c r="E269"/>
  <c r="D268"/>
  <c r="A268"/>
  <c r="G263"/>
  <c r="H263"/>
  <c r="G259"/>
  <c r="H259"/>
  <c r="D264"/>
  <c r="C263"/>
  <c r="E261"/>
  <c r="D260"/>
  <c r="C259"/>
  <c r="E257"/>
  <c r="A263"/>
  <c r="A259"/>
  <c r="G251"/>
  <c r="H251"/>
  <c r="G247"/>
  <c r="H247"/>
  <c r="E253"/>
  <c r="D252"/>
  <c r="C251"/>
  <c r="E249"/>
  <c r="D248"/>
  <c r="C247"/>
  <c r="A251"/>
  <c r="A247"/>
  <c r="G241"/>
  <c r="H241"/>
  <c r="G237"/>
  <c r="H237"/>
  <c r="E243"/>
  <c r="D242"/>
  <c r="C241"/>
  <c r="E239"/>
  <c r="G116" i="1"/>
  <c r="G78"/>
  <c r="G70"/>
  <c r="G66"/>
  <c r="G56"/>
  <c r="G44"/>
  <c r="G28"/>
  <c r="E119"/>
  <c r="D116"/>
  <c r="C115"/>
  <c r="E79"/>
  <c r="D78"/>
  <c r="C74"/>
  <c r="E71"/>
  <c r="D70"/>
  <c r="C69"/>
  <c r="E67"/>
  <c r="D66"/>
  <c r="C65"/>
  <c r="E57"/>
  <c r="D56"/>
  <c r="C54"/>
  <c r="E45"/>
  <c r="D44"/>
  <c r="C41"/>
  <c r="E34"/>
  <c r="D28"/>
  <c r="E17"/>
  <c r="D16"/>
  <c r="D15"/>
  <c r="G306" i="3"/>
  <c r="H306"/>
  <c r="H305"/>
  <c r="E306"/>
  <c r="A306"/>
  <c r="G299"/>
  <c r="H299"/>
  <c r="D302"/>
  <c r="C301"/>
  <c r="E299"/>
  <c r="D298"/>
  <c r="C297"/>
  <c r="A299"/>
  <c r="D294"/>
  <c r="C293"/>
  <c r="E291"/>
  <c r="D290"/>
  <c r="C289"/>
  <c r="E287"/>
  <c r="A293"/>
  <c r="A289"/>
  <c r="G293"/>
  <c r="H293"/>
  <c r="G289"/>
  <c r="H289"/>
  <c r="E281"/>
  <c r="D280"/>
  <c r="C279"/>
  <c r="G273"/>
  <c r="H273"/>
  <c r="H272"/>
  <c r="A273"/>
  <c r="E270"/>
  <c r="D269"/>
  <c r="C268"/>
  <c r="G115" i="1"/>
  <c r="G54"/>
  <c r="C116"/>
  <c r="E73"/>
  <c r="D67"/>
  <c r="C56"/>
  <c r="E37"/>
  <c r="C16"/>
  <c r="D306" i="3"/>
  <c r="E300"/>
  <c r="A298"/>
  <c r="C290"/>
  <c r="A288"/>
  <c r="A281"/>
  <c r="C269"/>
  <c r="G262"/>
  <c r="H262"/>
  <c r="C264"/>
  <c r="D261"/>
  <c r="E258"/>
  <c r="A262"/>
  <c r="G250"/>
  <c r="H250"/>
  <c r="C254"/>
  <c r="C252"/>
  <c r="D250"/>
  <c r="E248"/>
  <c r="A254"/>
  <c r="A249"/>
  <c r="G242"/>
  <c r="H242"/>
  <c r="E244"/>
  <c r="C243"/>
  <c r="D241"/>
  <c r="D239"/>
  <c r="C238"/>
  <c r="A244"/>
  <c r="A240"/>
  <c r="G234"/>
  <c r="H234"/>
  <c r="G230"/>
  <c r="H230"/>
  <c r="E234"/>
  <c r="D233"/>
  <c r="C232"/>
  <c r="E230"/>
  <c r="D229"/>
  <c r="C228"/>
  <c r="A234"/>
  <c r="A230"/>
  <c r="G224"/>
  <c r="H224"/>
  <c r="G220"/>
  <c r="H220"/>
  <c r="E224"/>
  <c r="D223"/>
  <c r="C222"/>
  <c r="E220"/>
  <c r="D219"/>
  <c r="C218"/>
  <c r="A224"/>
  <c r="A220"/>
  <c r="G213"/>
  <c r="H213"/>
  <c r="G209"/>
  <c r="H209"/>
  <c r="C213"/>
  <c r="E211"/>
  <c r="D210"/>
  <c r="C209"/>
  <c r="A213"/>
  <c r="A209"/>
  <c r="G203"/>
  <c r="H203"/>
  <c r="C205"/>
  <c r="E203"/>
  <c r="D202"/>
  <c r="A203"/>
  <c r="E199"/>
  <c r="D198"/>
  <c r="G195"/>
  <c r="H195"/>
  <c r="G191"/>
  <c r="H191"/>
  <c r="E194"/>
  <c r="D193"/>
  <c r="C192"/>
  <c r="A195"/>
  <c r="A191"/>
  <c r="E188"/>
  <c r="D187"/>
  <c r="C186"/>
  <c r="G183"/>
  <c r="H183"/>
  <c r="H182"/>
  <c r="A183"/>
  <c r="C180"/>
  <c r="D177"/>
  <c r="G173"/>
  <c r="H173"/>
  <c r="G74" i="1"/>
  <c r="G41"/>
  <c r="E114"/>
  <c r="D71"/>
  <c r="C66"/>
  <c r="E52"/>
  <c r="D34"/>
  <c r="C15"/>
  <c r="G302" i="3"/>
  <c r="H302"/>
  <c r="D299"/>
  <c r="C294"/>
  <c r="E288"/>
  <c r="G292"/>
  <c r="H292"/>
  <c r="G281"/>
  <c r="H281"/>
  <c r="E273"/>
  <c r="A270"/>
  <c r="G261"/>
  <c r="H261"/>
  <c r="E263"/>
  <c r="C261"/>
  <c r="D258"/>
  <c r="A261"/>
  <c r="G249"/>
  <c r="H249"/>
  <c r="D253"/>
  <c r="E251"/>
  <c r="C250"/>
  <c r="C248"/>
  <c r="A253"/>
  <c r="A248"/>
  <c r="G240"/>
  <c r="H240"/>
  <c r="D244"/>
  <c r="E242"/>
  <c r="E240"/>
  <c r="C239"/>
  <c r="E237"/>
  <c r="A243"/>
  <c r="A239"/>
  <c r="G233"/>
  <c r="H233"/>
  <c r="G229"/>
  <c r="H229"/>
  <c r="D234"/>
  <c r="C233"/>
  <c r="E231"/>
  <c r="D230"/>
  <c r="C229"/>
  <c r="E227"/>
  <c r="A233"/>
  <c r="A229"/>
  <c r="G223"/>
  <c r="H223"/>
  <c r="G219"/>
  <c r="H219"/>
  <c r="D224"/>
  <c r="C223"/>
  <c r="E221"/>
  <c r="D220"/>
  <c r="C219"/>
  <c r="E217"/>
  <c r="A223"/>
  <c r="A219"/>
  <c r="G212"/>
  <c r="H212"/>
  <c r="G208"/>
  <c r="H208"/>
  <c r="E212"/>
  <c r="D211"/>
  <c r="C210"/>
  <c r="E208"/>
  <c r="A212"/>
  <c r="A208"/>
  <c r="G202"/>
  <c r="H202"/>
  <c r="E204"/>
  <c r="D203"/>
  <c r="C202"/>
  <c r="A202"/>
  <c r="D199"/>
  <c r="C198"/>
  <c r="G194"/>
  <c r="H194"/>
  <c r="E195"/>
  <c r="D194"/>
  <c r="C193"/>
  <c r="E191"/>
  <c r="A194"/>
  <c r="G188"/>
  <c r="H188"/>
  <c r="D188"/>
  <c r="C187"/>
  <c r="A188"/>
  <c r="E183"/>
  <c r="G180"/>
  <c r="H180"/>
  <c r="H179"/>
  <c r="G69" i="1"/>
  <c r="E120"/>
  <c r="D79"/>
  <c r="C70"/>
  <c r="E61"/>
  <c r="D45"/>
  <c r="C28"/>
  <c r="G298" i="3"/>
  <c r="H298"/>
  <c r="C298"/>
  <c r="E292"/>
  <c r="D287"/>
  <c r="G288"/>
  <c r="H288"/>
  <c r="D281"/>
  <c r="G270"/>
  <c r="H270"/>
  <c r="G258"/>
  <c r="H258"/>
  <c r="E262"/>
  <c r="C260"/>
  <c r="D257"/>
  <c r="A258"/>
  <c r="G254"/>
  <c r="H254"/>
  <c r="E254"/>
  <c r="C253"/>
  <c r="D251"/>
  <c r="D249"/>
  <c r="E247"/>
  <c r="A252"/>
  <c r="G244"/>
  <c r="H244"/>
  <c r="G239"/>
  <c r="H239"/>
  <c r="C244"/>
  <c r="C242"/>
  <c r="D240"/>
  <c r="E238"/>
  <c r="D237"/>
  <c r="A242"/>
  <c r="A238"/>
  <c r="G232"/>
  <c r="H232"/>
  <c r="G228"/>
  <c r="H228"/>
  <c r="C234"/>
  <c r="E232"/>
  <c r="D231"/>
  <c r="C230"/>
  <c r="E228"/>
  <c r="D227"/>
  <c r="A232"/>
  <c r="A228"/>
  <c r="G222"/>
  <c r="H222"/>
  <c r="G218"/>
  <c r="H218"/>
  <c r="C224"/>
  <c r="E222"/>
  <c r="D221"/>
  <c r="C220"/>
  <c r="E218"/>
  <c r="D217"/>
  <c r="A222"/>
  <c r="A218"/>
  <c r="G211"/>
  <c r="H211"/>
  <c r="E213"/>
  <c r="D212"/>
  <c r="C211"/>
  <c r="E209"/>
  <c r="D208"/>
  <c r="A211"/>
  <c r="G205"/>
  <c r="H205"/>
  <c r="E205"/>
  <c r="D204"/>
  <c r="C203"/>
  <c r="A205"/>
  <c r="G199"/>
  <c r="H199"/>
  <c r="C199"/>
  <c r="A199"/>
  <c r="G193"/>
  <c r="H193"/>
  <c r="D195"/>
  <c r="C194"/>
  <c r="E192"/>
  <c r="D191"/>
  <c r="A193"/>
  <c r="G187"/>
  <c r="H187"/>
  <c r="C188"/>
  <c r="E186"/>
  <c r="A187"/>
  <c r="G65" i="1"/>
  <c r="D57"/>
  <c r="E307" i="3"/>
  <c r="A292"/>
  <c r="D270"/>
  <c r="D262"/>
  <c r="E252"/>
  <c r="A250"/>
  <c r="E241"/>
  <c r="A241"/>
  <c r="E233"/>
  <c r="D228"/>
  <c r="G221"/>
  <c r="H221"/>
  <c r="C221"/>
  <c r="A221"/>
  <c r="C212"/>
  <c r="A210"/>
  <c r="E202"/>
  <c r="A198"/>
  <c r="D192"/>
  <c r="E187"/>
  <c r="C183"/>
  <c r="G177"/>
  <c r="H177"/>
  <c r="H176"/>
  <c r="G174"/>
  <c r="H174"/>
  <c r="D174"/>
  <c r="C173"/>
  <c r="G167"/>
  <c r="H167"/>
  <c r="C170"/>
  <c r="E168"/>
  <c r="D167"/>
  <c r="C166"/>
  <c r="A167"/>
  <c r="G161"/>
  <c r="H161"/>
  <c r="D163"/>
  <c r="C162"/>
  <c r="E160"/>
  <c r="D159"/>
  <c r="A161"/>
  <c r="G155"/>
  <c r="H155"/>
  <c r="G151"/>
  <c r="H151"/>
  <c r="E155"/>
  <c r="D154"/>
  <c r="C153"/>
  <c r="E151"/>
  <c r="A155"/>
  <c r="A151"/>
  <c r="G146"/>
  <c r="H146"/>
  <c r="D148"/>
  <c r="C147"/>
  <c r="E145"/>
  <c r="D144"/>
  <c r="A146"/>
  <c r="G140"/>
  <c r="H140"/>
  <c r="G136"/>
  <c r="H136"/>
  <c r="E140"/>
  <c r="D139"/>
  <c r="C138"/>
  <c r="E136"/>
  <c r="A140"/>
  <c r="A136"/>
  <c r="G130"/>
  <c r="H130"/>
  <c r="E132"/>
  <c r="D131"/>
  <c r="C130"/>
  <c r="A130"/>
  <c r="E126"/>
  <c r="D125"/>
  <c r="C124"/>
  <c r="A121"/>
  <c r="A114"/>
  <c r="G121"/>
  <c r="H121"/>
  <c r="G114"/>
  <c r="H114"/>
  <c r="E121"/>
  <c r="D120"/>
  <c r="C119"/>
  <c r="E114"/>
  <c r="D113"/>
  <c r="C112"/>
  <c r="A108"/>
  <c r="A104"/>
  <c r="G105"/>
  <c r="H105"/>
  <c r="C108"/>
  <c r="E106"/>
  <c r="D105"/>
  <c r="C104"/>
  <c r="E100"/>
  <c r="D99"/>
  <c r="C98"/>
  <c r="G95"/>
  <c r="H95"/>
  <c r="G91"/>
  <c r="H91"/>
  <c r="A94"/>
  <c r="A90"/>
  <c r="C95"/>
  <c r="E93"/>
  <c r="D92"/>
  <c r="C91"/>
  <c r="E89"/>
  <c r="E85"/>
  <c r="G79"/>
  <c r="H79"/>
  <c r="C79"/>
  <c r="A79"/>
  <c r="D75"/>
  <c r="G71"/>
  <c r="H71"/>
  <c r="E71"/>
  <c r="A71"/>
  <c r="D68"/>
  <c r="C67"/>
  <c r="D64"/>
  <c r="G61"/>
  <c r="H61"/>
  <c r="D60"/>
  <c r="C61"/>
  <c r="A61"/>
  <c r="D54"/>
  <c r="C53"/>
  <c r="A53"/>
  <c r="C50"/>
  <c r="A47"/>
  <c r="C47"/>
  <c r="G43"/>
  <c r="H43"/>
  <c r="H42"/>
  <c r="A43"/>
  <c r="A39"/>
  <c r="E39"/>
  <c r="E36"/>
  <c r="G32"/>
  <c r="H32"/>
  <c r="A32"/>
  <c r="E32"/>
  <c r="D31"/>
  <c r="C30"/>
  <c r="G26"/>
  <c r="H26"/>
  <c r="C26"/>
  <c r="A26"/>
  <c r="A22"/>
  <c r="C22"/>
  <c r="E18"/>
  <c r="C12"/>
  <c r="C106"/>
  <c r="E98"/>
  <c r="G93"/>
  <c r="H93"/>
  <c r="E95"/>
  <c r="D90"/>
  <c r="C85"/>
  <c r="D119" i="1"/>
  <c r="C44"/>
  <c r="C302" i="3"/>
  <c r="E259"/>
  <c r="E250"/>
  <c r="G243"/>
  <c r="H243"/>
  <c r="C240"/>
  <c r="A237"/>
  <c r="D232"/>
  <c r="C227"/>
  <c r="G217"/>
  <c r="H217"/>
  <c r="E219"/>
  <c r="A217"/>
  <c r="E210"/>
  <c r="G204"/>
  <c r="H204"/>
  <c r="A204"/>
  <c r="G192"/>
  <c r="H192"/>
  <c r="C191"/>
  <c r="D186"/>
  <c r="E180"/>
  <c r="E177"/>
  <c r="A174"/>
  <c r="C174"/>
  <c r="G170"/>
  <c r="H170"/>
  <c r="G166"/>
  <c r="H166"/>
  <c r="E169"/>
  <c r="D168"/>
  <c r="C167"/>
  <c r="A170"/>
  <c r="A166"/>
  <c r="G160"/>
  <c r="H160"/>
  <c r="C163"/>
  <c r="E161"/>
  <c r="D160"/>
  <c r="C159"/>
  <c r="A160"/>
  <c r="G154"/>
  <c r="H154"/>
  <c r="E156"/>
  <c r="D155"/>
  <c r="C154"/>
  <c r="E152"/>
  <c r="D151"/>
  <c r="A154"/>
  <c r="G145"/>
  <c r="H145"/>
  <c r="C148"/>
  <c r="E146"/>
  <c r="D145"/>
  <c r="C144"/>
  <c r="A145"/>
  <c r="G139"/>
  <c r="H139"/>
  <c r="E141"/>
  <c r="D140"/>
  <c r="C139"/>
  <c r="E137"/>
  <c r="D136"/>
  <c r="A139"/>
  <c r="G133"/>
  <c r="H133"/>
  <c r="E133"/>
  <c r="D132"/>
  <c r="C131"/>
  <c r="A133"/>
  <c r="G126"/>
  <c r="H126"/>
  <c r="D126"/>
  <c r="C125"/>
  <c r="A126"/>
  <c r="A120"/>
  <c r="A113"/>
  <c r="G120"/>
  <c r="H120"/>
  <c r="G113"/>
  <c r="H113"/>
  <c r="D121"/>
  <c r="C120"/>
  <c r="E118"/>
  <c r="D114"/>
  <c r="C113"/>
  <c r="E111"/>
  <c r="A107"/>
  <c r="G108"/>
  <c r="H108"/>
  <c r="G104"/>
  <c r="H104"/>
  <c r="E107"/>
  <c r="D106"/>
  <c r="C105"/>
  <c r="G100"/>
  <c r="H100"/>
  <c r="D100"/>
  <c r="C99"/>
  <c r="A100"/>
  <c r="G94"/>
  <c r="H94"/>
  <c r="G90"/>
  <c r="H90"/>
  <c r="A93"/>
  <c r="A89"/>
  <c r="E94"/>
  <c r="D93"/>
  <c r="C92"/>
  <c r="E90"/>
  <c r="D89"/>
  <c r="D85"/>
  <c r="G78"/>
  <c r="H78"/>
  <c r="H77"/>
  <c r="E78"/>
  <c r="A78"/>
  <c r="C75"/>
  <c r="E72"/>
  <c r="D71"/>
  <c r="G68"/>
  <c r="H68"/>
  <c r="C68"/>
  <c r="A68"/>
  <c r="C64"/>
  <c r="G60"/>
  <c r="H60"/>
  <c r="H59"/>
  <c r="C60"/>
  <c r="E57"/>
  <c r="A60"/>
  <c r="C54"/>
  <c r="G54"/>
  <c r="H54"/>
  <c r="G50"/>
  <c r="H50"/>
  <c r="H49"/>
  <c r="A50"/>
  <c r="A46"/>
  <c r="E46"/>
  <c r="E43"/>
  <c r="G40"/>
  <c r="H40"/>
  <c r="E40"/>
  <c r="D39"/>
  <c r="D36"/>
  <c r="G31"/>
  <c r="H31"/>
  <c r="A31"/>
  <c r="D32"/>
  <c r="C31"/>
  <c r="E29"/>
  <c r="G25"/>
  <c r="H25"/>
  <c r="H24"/>
  <c r="E25"/>
  <c r="A25"/>
  <c r="A21"/>
  <c r="E21"/>
  <c r="D18"/>
  <c r="G12"/>
  <c r="H12"/>
  <c r="H11"/>
  <c r="G11" i="1"/>
  <c r="A12" i="3"/>
  <c r="G107"/>
  <c r="H107"/>
  <c r="E104"/>
  <c r="A99"/>
  <c r="A92"/>
  <c r="D94"/>
  <c r="E91"/>
  <c r="C89"/>
  <c r="D78"/>
  <c r="G75"/>
  <c r="H75"/>
  <c r="H74"/>
  <c r="C78" i="1"/>
  <c r="D17"/>
  <c r="A302" i="3"/>
  <c r="C257"/>
  <c r="G253"/>
  <c r="H253"/>
  <c r="C249"/>
  <c r="G238"/>
  <c r="H238"/>
  <c r="D238"/>
  <c r="G231"/>
  <c r="H231"/>
  <c r="C231"/>
  <c r="A231"/>
  <c r="E223"/>
  <c r="D218"/>
  <c r="G210"/>
  <c r="H210"/>
  <c r="D209"/>
  <c r="D205"/>
  <c r="G198"/>
  <c r="H198"/>
  <c r="H197"/>
  <c r="C195"/>
  <c r="A192"/>
  <c r="A186"/>
  <c r="D180"/>
  <c r="C177"/>
  <c r="A173"/>
  <c r="E173"/>
  <c r="G169"/>
  <c r="H169"/>
  <c r="E170"/>
  <c r="D169"/>
  <c r="C168"/>
  <c r="E166"/>
  <c r="A169"/>
  <c r="G163"/>
  <c r="H163"/>
  <c r="G159"/>
  <c r="H159"/>
  <c r="G162"/>
  <c r="H162"/>
  <c r="H158"/>
  <c r="E162"/>
  <c r="D161"/>
  <c r="C160"/>
  <c r="A163"/>
  <c r="A159"/>
  <c r="G153"/>
  <c r="H153"/>
  <c r="D156"/>
  <c r="C155"/>
  <c r="E153"/>
  <c r="D152"/>
  <c r="C151"/>
  <c r="A153"/>
  <c r="G148"/>
  <c r="H148"/>
  <c r="G144"/>
  <c r="H144"/>
  <c r="G147"/>
  <c r="H147"/>
  <c r="H143"/>
  <c r="E147"/>
  <c r="D146"/>
  <c r="C145"/>
  <c r="A148"/>
  <c r="A144"/>
  <c r="G138"/>
  <c r="H138"/>
  <c r="D141"/>
  <c r="C140"/>
  <c r="E138"/>
  <c r="D137"/>
  <c r="C136"/>
  <c r="A138"/>
  <c r="G132"/>
  <c r="H132"/>
  <c r="D133"/>
  <c r="C132"/>
  <c r="E130"/>
  <c r="A132"/>
  <c r="G125"/>
  <c r="H125"/>
  <c r="C126"/>
  <c r="E124"/>
  <c r="A125"/>
  <c r="A119"/>
  <c r="A112"/>
  <c r="G119"/>
  <c r="H119"/>
  <c r="G112"/>
  <c r="H112"/>
  <c r="C121"/>
  <c r="E119"/>
  <c r="D118"/>
  <c r="C114"/>
  <c r="E112"/>
  <c r="D111"/>
  <c r="A106"/>
  <c r="E108"/>
  <c r="D107"/>
  <c r="G99"/>
  <c r="H99"/>
  <c r="C100"/>
  <c r="G89"/>
  <c r="H89"/>
  <c r="C93"/>
  <c r="E79"/>
  <c r="E68" i="1"/>
  <c r="D291" i="3"/>
  <c r="C280"/>
  <c r="G257"/>
  <c r="H257"/>
  <c r="H256"/>
  <c r="A257"/>
  <c r="D254"/>
  <c r="D247"/>
  <c r="D243"/>
  <c r="C237"/>
  <c r="G227"/>
  <c r="H227"/>
  <c r="H226"/>
  <c r="E229"/>
  <c r="A227"/>
  <c r="D222"/>
  <c r="C217"/>
  <c r="D213"/>
  <c r="C208"/>
  <c r="C204"/>
  <c r="E198"/>
  <c r="E193"/>
  <c r="G186"/>
  <c r="H186"/>
  <c r="H185"/>
  <c r="D183"/>
  <c r="A180"/>
  <c r="A177"/>
  <c r="E174"/>
  <c r="D173"/>
  <c r="G168"/>
  <c r="H168"/>
  <c r="D170"/>
  <c r="C169"/>
  <c r="E167"/>
  <c r="D166"/>
  <c r="A168"/>
  <c r="E163"/>
  <c r="D162"/>
  <c r="C161"/>
  <c r="E159"/>
  <c r="A162"/>
  <c r="G156"/>
  <c r="H156"/>
  <c r="G152"/>
  <c r="H152"/>
  <c r="C156"/>
  <c r="E154"/>
  <c r="D153"/>
  <c r="C152"/>
  <c r="A156"/>
  <c r="A152"/>
  <c r="E148"/>
  <c r="D147"/>
  <c r="C146"/>
  <c r="E144"/>
  <c r="A147"/>
  <c r="G141"/>
  <c r="H141"/>
  <c r="G137"/>
  <c r="H137"/>
  <c r="C141"/>
  <c r="E139"/>
  <c r="D138"/>
  <c r="C137"/>
  <c r="A141"/>
  <c r="A137"/>
  <c r="G131"/>
  <c r="H131"/>
  <c r="C133"/>
  <c r="E131"/>
  <c r="D130"/>
  <c r="A131"/>
  <c r="G124"/>
  <c r="H124"/>
  <c r="E125"/>
  <c r="D124"/>
  <c r="A124"/>
  <c r="A118"/>
  <c r="A111"/>
  <c r="G118"/>
  <c r="H118"/>
  <c r="H117"/>
  <c r="C118"/>
  <c r="A105"/>
  <c r="E105"/>
  <c r="D98"/>
  <c r="A91"/>
  <c r="D91"/>
  <c r="D79"/>
  <c r="G72"/>
  <c r="H72"/>
  <c r="A72"/>
  <c r="D67"/>
  <c r="G64"/>
  <c r="H64"/>
  <c r="H63"/>
  <c r="D61"/>
  <c r="E54"/>
  <c r="A54"/>
  <c r="G46"/>
  <c r="H46"/>
  <c r="C46"/>
  <c r="A40"/>
  <c r="G36"/>
  <c r="H36"/>
  <c r="H35"/>
  <c r="G29"/>
  <c r="H29"/>
  <c r="E31"/>
  <c r="C29"/>
  <c r="C25"/>
  <c r="D22"/>
  <c r="A18"/>
  <c r="C71"/>
  <c r="E67"/>
  <c r="A64"/>
  <c r="G47"/>
  <c r="H47"/>
  <c r="G39"/>
  <c r="H39"/>
  <c r="H38"/>
  <c r="C39"/>
  <c r="G30"/>
  <c r="H30"/>
  <c r="C32"/>
  <c r="D29"/>
  <c r="D25"/>
  <c r="C18"/>
  <c r="D12"/>
  <c r="G111"/>
  <c r="H111"/>
  <c r="H110"/>
  <c r="E113"/>
  <c r="G106"/>
  <c r="H106"/>
  <c r="D104"/>
  <c r="A98"/>
  <c r="D95"/>
  <c r="C90"/>
  <c r="C78"/>
  <c r="D72"/>
  <c r="G67"/>
  <c r="H67"/>
  <c r="H66"/>
  <c r="A67"/>
  <c r="G57"/>
  <c r="H57"/>
  <c r="H56"/>
  <c r="D57"/>
  <c r="E53"/>
  <c r="E50"/>
  <c r="E47"/>
  <c r="D43"/>
  <c r="D40"/>
  <c r="C36"/>
  <c r="A30"/>
  <c r="E30"/>
  <c r="E26"/>
  <c r="G22"/>
  <c r="H22"/>
  <c r="D21"/>
  <c r="E120"/>
  <c r="D112"/>
  <c r="D108"/>
  <c r="G98"/>
  <c r="H98"/>
  <c r="H97"/>
  <c r="G92"/>
  <c r="H92"/>
  <c r="C94"/>
  <c r="G85"/>
  <c r="H85"/>
  <c r="H84"/>
  <c r="E75"/>
  <c r="C72"/>
  <c r="E68"/>
  <c r="E64"/>
  <c r="E60"/>
  <c r="C57"/>
  <c r="D53"/>
  <c r="D50"/>
  <c r="D47"/>
  <c r="C43"/>
  <c r="C40"/>
  <c r="A36"/>
  <c r="A29"/>
  <c r="D30"/>
  <c r="D26"/>
  <c r="G21"/>
  <c r="H21"/>
  <c r="H20"/>
  <c r="C21"/>
  <c r="G18"/>
  <c r="H18"/>
  <c r="H17"/>
  <c r="E12"/>
  <c r="D119"/>
  <c r="C111"/>
  <c r="C107"/>
  <c r="E99"/>
  <c r="A95"/>
  <c r="E92"/>
  <c r="A85"/>
  <c r="A75"/>
  <c r="E61"/>
  <c r="A57"/>
  <c r="G53"/>
  <c r="H53"/>
  <c r="H52"/>
  <c r="D46"/>
  <c r="E22"/>
  <c r="C6" i="2"/>
  <c r="B6"/>
  <c r="A6"/>
  <c r="C5"/>
  <c r="B5"/>
  <c r="A5"/>
  <c r="C4"/>
  <c r="B4"/>
  <c r="A4"/>
  <c r="C3"/>
  <c r="B3"/>
  <c r="A3"/>
  <c r="C2"/>
  <c r="B2"/>
  <c r="A2"/>
  <c r="C1"/>
  <c r="B1"/>
  <c r="A1"/>
  <c r="G81" i="1"/>
  <c r="G22"/>
  <c r="G33"/>
  <c r="H103" i="3"/>
  <c r="G58" i="1"/>
  <c r="G21"/>
  <c r="H28" i="3"/>
  <c r="G23" i="1"/>
  <c r="H45" i="3"/>
  <c r="G29" i="1"/>
  <c r="G94"/>
  <c r="H88" i="3"/>
  <c r="G51" i="1"/>
  <c r="G27"/>
  <c r="G39"/>
  <c r="G30"/>
  <c r="G49"/>
  <c r="G32"/>
  <c r="G84"/>
  <c r="G35"/>
  <c r="G86"/>
  <c r="G20"/>
  <c r="G85"/>
  <c r="G100"/>
  <c r="G25"/>
  <c r="G89"/>
  <c r="H165" i="3"/>
  <c r="G82" i="1"/>
  <c r="H135" i="3"/>
  <c r="G76" i="1"/>
  <c r="H201" i="3"/>
  <c r="G90" i="1"/>
  <c r="H236" i="3"/>
  <c r="G95" i="1"/>
  <c r="H123" i="3"/>
  <c r="G63" i="1"/>
  <c r="G40"/>
  <c r="H129" i="3"/>
  <c r="G75" i="1"/>
  <c r="H172" i="3"/>
  <c r="G83" i="1"/>
  <c r="G111"/>
  <c r="H267" i="3"/>
  <c r="G99" i="1"/>
  <c r="H99"/>
  <c r="G53"/>
  <c r="G62"/>
  <c r="G36"/>
  <c r="G77"/>
  <c r="G31"/>
  <c r="G59"/>
  <c r="G26"/>
  <c r="G87"/>
  <c r="G97"/>
  <c r="H216" i="3"/>
  <c r="G93" i="1"/>
  <c r="H150" i="3"/>
  <c r="G80" i="1"/>
  <c r="H190" i="3"/>
  <c r="G88" i="1"/>
  <c r="H246" i="3"/>
  <c r="G96" i="1"/>
  <c r="H278" i="3"/>
  <c r="G104" i="1"/>
  <c r="H286" i="3"/>
  <c r="G108" i="1"/>
  <c r="H296" i="3"/>
  <c r="G109" i="1"/>
  <c r="H70" i="3"/>
  <c r="G38" i="1"/>
  <c r="H207" i="3"/>
  <c r="G91" i="1"/>
  <c r="D38" i="5"/>
  <c r="D31"/>
  <c r="D40"/>
  <c r="D19"/>
  <c r="E123" i="1"/>
  <c r="D12" i="4"/>
  <c r="B122" i="1"/>
  <c r="H120"/>
  <c r="H119"/>
  <c r="H116"/>
  <c r="H115"/>
  <c r="H114"/>
  <c r="H111"/>
  <c r="H110"/>
  <c r="C62" i="8"/>
  <c r="H109" i="1"/>
  <c r="H108"/>
  <c r="H104"/>
  <c r="H103"/>
  <c r="H100"/>
  <c r="H98"/>
  <c r="C48" i="8"/>
  <c r="H97" i="1"/>
  <c r="H96"/>
  <c r="H95"/>
  <c r="H94"/>
  <c r="H93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1"/>
  <c r="H70"/>
  <c r="H69"/>
  <c r="H68"/>
  <c r="H67"/>
  <c r="H66"/>
  <c r="H65"/>
  <c r="H63"/>
  <c r="H62"/>
  <c r="H61"/>
  <c r="H59"/>
  <c r="H58"/>
  <c r="H57"/>
  <c r="H56"/>
  <c r="H54"/>
  <c r="H53"/>
  <c r="H52"/>
  <c r="H51"/>
  <c r="H49"/>
  <c r="H48"/>
  <c r="H45"/>
  <c r="H44"/>
  <c r="H41"/>
  <c r="H40"/>
  <c r="H39"/>
  <c r="H38"/>
  <c r="H37"/>
  <c r="H36"/>
  <c r="H35"/>
  <c r="H34"/>
  <c r="H33"/>
  <c r="H32"/>
  <c r="H31"/>
  <c r="H30"/>
  <c r="H29"/>
  <c r="H28"/>
  <c r="H27"/>
  <c r="H26"/>
  <c r="H25"/>
  <c r="H23"/>
  <c r="H22"/>
  <c r="H21"/>
  <c r="H20"/>
  <c r="H17"/>
  <c r="H16"/>
  <c r="H15"/>
  <c r="H11"/>
  <c r="H10"/>
  <c r="H113"/>
  <c r="H112"/>
  <c r="H64"/>
  <c r="C42" i="8"/>
  <c r="H14" i="1"/>
  <c r="C18" i="8"/>
  <c r="H118" i="1"/>
  <c r="H107"/>
  <c r="H106"/>
  <c r="E62" i="8"/>
  <c r="D62"/>
  <c r="H102" i="1"/>
  <c r="C54" i="8"/>
  <c r="H60" i="1"/>
  <c r="C40" i="8"/>
  <c r="D40"/>
  <c r="H92" i="1"/>
  <c r="C46" i="8"/>
  <c r="D48"/>
  <c r="E48"/>
  <c r="H72" i="1"/>
  <c r="C44" i="8"/>
  <c r="H55" i="1"/>
  <c r="C38" i="8"/>
  <c r="H50" i="1"/>
  <c r="C36" i="8"/>
  <c r="C34"/>
  <c r="H43" i="1"/>
  <c r="H42"/>
  <c r="C26" i="8"/>
  <c r="H13" i="1"/>
  <c r="C16" i="8"/>
  <c r="H24" i="1"/>
  <c r="C24" i="8"/>
  <c r="H19" i="1"/>
  <c r="C12" i="8"/>
  <c r="D12"/>
  <c r="D10"/>
  <c r="H9" i="1"/>
  <c r="C9" i="2"/>
  <c r="D41" i="5"/>
  <c r="D42"/>
  <c r="D44"/>
  <c r="C66" i="8"/>
  <c r="E66"/>
  <c r="E64"/>
  <c r="C60"/>
  <c r="D60"/>
  <c r="D58"/>
  <c r="D42"/>
  <c r="E42"/>
  <c r="C28"/>
  <c r="E28"/>
  <c r="E26"/>
  <c r="E25"/>
  <c r="H117" i="1"/>
  <c r="C70" i="8"/>
  <c r="C14" i="2"/>
  <c r="C64" i="8"/>
  <c r="C10"/>
  <c r="D9"/>
  <c r="F62"/>
  <c r="F61"/>
  <c r="H105" i="1"/>
  <c r="C58" i="8"/>
  <c r="E54"/>
  <c r="E52"/>
  <c r="D54"/>
  <c r="D52"/>
  <c r="F48"/>
  <c r="F47"/>
  <c r="H101" i="1"/>
  <c r="C52" i="8"/>
  <c r="D46"/>
  <c r="E46"/>
  <c r="E40"/>
  <c r="F40"/>
  <c r="F39"/>
  <c r="D44"/>
  <c r="E44"/>
  <c r="H47" i="1"/>
  <c r="H46"/>
  <c r="D38" i="8"/>
  <c r="E38"/>
  <c r="D36"/>
  <c r="E36"/>
  <c r="D34"/>
  <c r="E34"/>
  <c r="E18"/>
  <c r="E16"/>
  <c r="E15"/>
  <c r="D18"/>
  <c r="D16"/>
  <c r="D15"/>
  <c r="E24"/>
  <c r="D24"/>
  <c r="H18" i="1"/>
  <c r="C22" i="8"/>
  <c r="E12"/>
  <c r="E10"/>
  <c r="E60"/>
  <c r="E58"/>
  <c r="E57"/>
  <c r="D66"/>
  <c r="D64"/>
  <c r="D63"/>
  <c r="D28"/>
  <c r="D26"/>
  <c r="D25"/>
  <c r="F42"/>
  <c r="F41"/>
  <c r="E63"/>
  <c r="C56"/>
  <c r="C13" i="2"/>
  <c r="C30" i="8"/>
  <c r="C11" i="2"/>
  <c r="C15"/>
  <c r="C68" i="8"/>
  <c r="C51"/>
  <c r="E9"/>
  <c r="C50"/>
  <c r="C12" i="2"/>
  <c r="F54" i="8"/>
  <c r="F52"/>
  <c r="D56"/>
  <c r="D57"/>
  <c r="F46"/>
  <c r="F45"/>
  <c r="D50"/>
  <c r="D51"/>
  <c r="E51"/>
  <c r="E50"/>
  <c r="C32"/>
  <c r="F44"/>
  <c r="F43"/>
  <c r="F38"/>
  <c r="F37"/>
  <c r="E32"/>
  <c r="E30"/>
  <c r="F36"/>
  <c r="F35"/>
  <c r="D32"/>
  <c r="F34"/>
  <c r="F33"/>
  <c r="F24"/>
  <c r="F23"/>
  <c r="F18"/>
  <c r="F17"/>
  <c r="D22"/>
  <c r="D20"/>
  <c r="E22"/>
  <c r="E20"/>
  <c r="H12" i="1"/>
  <c r="C10" i="2"/>
  <c r="C20" i="8"/>
  <c r="F12"/>
  <c r="F60"/>
  <c r="F59"/>
  <c r="E56"/>
  <c r="E55"/>
  <c r="F66"/>
  <c r="F65"/>
  <c r="F28"/>
  <c r="F26"/>
  <c r="F25"/>
  <c r="E29"/>
  <c r="D55"/>
  <c r="C19"/>
  <c r="C31"/>
  <c r="E49"/>
  <c r="F53"/>
  <c r="C57"/>
  <c r="C25"/>
  <c r="C15"/>
  <c r="D17" i="2"/>
  <c r="D10"/>
  <c r="D49" i="8"/>
  <c r="C14"/>
  <c r="G122" i="1"/>
  <c r="F50" i="8"/>
  <c r="F49"/>
  <c r="F51"/>
  <c r="E31"/>
  <c r="D31"/>
  <c r="D30"/>
  <c r="D29"/>
  <c r="F32"/>
  <c r="F31"/>
  <c r="F16"/>
  <c r="F15"/>
  <c r="F22"/>
  <c r="E19"/>
  <c r="E14"/>
  <c r="D19"/>
  <c r="D14"/>
  <c r="F11"/>
  <c r="F10"/>
  <c r="F58"/>
  <c r="F57"/>
  <c r="F64"/>
  <c r="F63"/>
  <c r="F27"/>
  <c r="D12" i="2"/>
  <c r="D13"/>
  <c r="D11"/>
  <c r="D18"/>
  <c r="D19"/>
  <c r="D9"/>
  <c r="D14"/>
  <c r="D15"/>
  <c r="G123" i="1"/>
  <c r="G124"/>
  <c r="F30" i="8"/>
  <c r="F29"/>
  <c r="E13"/>
  <c r="E80"/>
  <c r="D13"/>
  <c r="D80"/>
  <c r="F21"/>
  <c r="F20"/>
  <c r="F9"/>
  <c r="F56"/>
  <c r="F55"/>
  <c r="F19"/>
  <c r="F14"/>
  <c r="F13"/>
  <c r="F80"/>
  <c r="C80"/>
  <c r="F69"/>
  <c r="D69"/>
  <c r="D70"/>
  <c r="E69"/>
  <c r="E70"/>
  <c r="E68"/>
  <c r="E67"/>
  <c r="E72"/>
  <c r="E73"/>
  <c r="E74"/>
  <c r="D68"/>
  <c r="F70"/>
  <c r="F68"/>
  <c r="F67"/>
  <c r="F72"/>
  <c r="D72"/>
  <c r="D67"/>
  <c r="F73"/>
  <c r="F74"/>
  <c r="D76"/>
  <c r="D73"/>
  <c r="D74"/>
  <c r="D77"/>
  <c r="E77"/>
  <c r="C76"/>
  <c r="F71"/>
  <c r="F77"/>
  <c r="D75"/>
  <c r="E76"/>
  <c r="D71"/>
  <c r="C63"/>
  <c r="C29"/>
  <c r="C67"/>
  <c r="C23"/>
  <c r="C35"/>
  <c r="C43"/>
  <c r="C47"/>
  <c r="C61"/>
  <c r="C27"/>
  <c r="C37"/>
  <c r="C21"/>
  <c r="C49"/>
  <c r="C9"/>
  <c r="C69"/>
  <c r="C59"/>
  <c r="C13"/>
  <c r="C53"/>
  <c r="C17"/>
  <c r="C41"/>
  <c r="C11"/>
  <c r="E71"/>
  <c r="C55"/>
  <c r="C39"/>
  <c r="C45"/>
  <c r="C33"/>
  <c r="C65"/>
  <c r="E75"/>
  <c r="F76"/>
  <c r="F75"/>
</calcChain>
</file>

<file path=xl/sharedStrings.xml><?xml version="1.0" encoding="utf-8"?>
<sst xmlns="http://schemas.openxmlformats.org/spreadsheetml/2006/main" count="1583" uniqueCount="670">
  <si>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</si>
  <si>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</si>
  <si>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</si>
  <si>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</si>
  <si>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</si>
  <si>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</si>
  <si>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</si>
  <si>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</si>
  <si>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</si>
  <si>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01 </t>
  </si>
  <si>
    <t>SERVIÇOS TÉCNICO - PROFISSIONAIS</t>
  </si>
  <si>
    <t xml:space="preserve"> 01.08 </t>
  </si>
  <si>
    <t>TAXAS E EMOLUMENTOS</t>
  </si>
  <si>
    <t xml:space="preserve"> 01.08.1 </t>
  </si>
  <si>
    <t xml:space="preserve"> MPDFT0009 </t>
  </si>
  <si>
    <t>Próprio</t>
  </si>
  <si>
    <t>Registro do contrato junto ao conselho de classe (ART)</t>
  </si>
  <si>
    <t>vb</t>
  </si>
  <si>
    <t xml:space="preserve"> 02 </t>
  </si>
  <si>
    <t>SERVIÇOS PRELIMINARES</t>
  </si>
  <si>
    <t xml:space="preserve"> 02.01 </t>
  </si>
  <si>
    <t>CANTEIRO DE OBRAS</t>
  </si>
  <si>
    <t xml:space="preserve"> 02.01.400 </t>
  </si>
  <si>
    <t>Proteção e Sinalização</t>
  </si>
  <si>
    <t xml:space="preserve"> 02.01.400.1 </t>
  </si>
  <si>
    <t xml:space="preserve"> 97053 </t>
  </si>
  <si>
    <t>SINAPI</t>
  </si>
  <si>
    <t>SINALIZAÇÃO COM FITA FIXADA EM CONE PLÁSTICO, INCLUINDO CONE. AF_11/2017</t>
  </si>
  <si>
    <t>M</t>
  </si>
  <si>
    <t xml:space="preserve"> 02.01.400.2 </t>
  </si>
  <si>
    <t xml:space="preserve"> 97064 </t>
  </si>
  <si>
    <t>MONTAGEM E DESMONTAGEM DE ANDAIME TUBULAR TIPO TORRE (EXCLUSIVE ANDAIME E LIMPEZA). AF_11/2017</t>
  </si>
  <si>
    <t xml:space="preserve"> 02.01.400.3 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</si>
  <si>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</si>
  <si>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</si>
  <si>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</si>
  <si>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02.02 </t>
  </si>
  <si>
    <t>DEMOLIÇÃO</t>
  </si>
  <si>
    <t xml:space="preserve"> 02.02.100 </t>
  </si>
  <si>
    <t>Demolição Convencional</t>
  </si>
  <si>
    <t xml:space="preserve"> 02.02.100.1 </t>
  </si>
  <si>
    <t xml:space="preserve"> MPDFT0922 </t>
  </si>
  <si>
    <t>Cópia da Orse (35) - Demolição de piso vinílico, exclusive contrapiso</t>
  </si>
  <si>
    <t>m²</t>
  </si>
  <si>
    <t xml:space="preserve"> 02.02.100.2 </t>
  </si>
  <si>
    <t xml:space="preserve"> MPDFT0103 </t>
  </si>
  <si>
    <t>Copia da SBC (022089) - DEMOLICAO DE ESCADAS EXTERNAS EM ALVENARIA/CONCRETO</t>
  </si>
  <si>
    <t>m³</t>
  </si>
  <si>
    <t xml:space="preserve"> 02.02.100.3 </t>
  </si>
  <si>
    <t xml:space="preserve"> MPDFT0182 </t>
  </si>
  <si>
    <t>Copia da SETOP (DEM-REV-015) - DEMOLIÇÃO DE REVESTIMENTO DE PEDRA (MÁRMORE, GRANITO, ARDÓSIA, SÃO TOMÉ, ETC.), INCLUSIVE AFASTAMENTO</t>
  </si>
  <si>
    <t xml:space="preserve"> 02.02.100.4 </t>
  </si>
  <si>
    <t xml:space="preserve"> MPDFT0708 </t>
  </si>
  <si>
    <t>Copia da SINAPI (97627) - Demolição de passeio, contrapiso ou similares, de forma mecanizada, sem reaproveitamento, inclusive afastamento</t>
  </si>
  <si>
    <t xml:space="preserve"> 02.02.300 </t>
  </si>
  <si>
    <t>Remoções</t>
  </si>
  <si>
    <t xml:space="preserve"> 02.02.300.1 </t>
  </si>
  <si>
    <t xml:space="preserve"> MPDFT0631 </t>
  </si>
  <si>
    <t>Copia da SETOP (PIS-FAI-005) - Remoção de fita antiderrapante</t>
  </si>
  <si>
    <t>m</t>
  </si>
  <si>
    <t xml:space="preserve"> 02.02.300.2 </t>
  </si>
  <si>
    <t xml:space="preserve"> MPDFT0004 </t>
  </si>
  <si>
    <t>Transporte de material – bota-fora, D.M.T = 35,0 km</t>
  </si>
  <si>
    <t xml:space="preserve"> 02.02.300.3 </t>
  </si>
  <si>
    <t xml:space="preserve"> MPDFT0109 </t>
  </si>
  <si>
    <t>Copia da CPOS (04.30.060) - Remoção de tubulação hidráulica em geral, incluindo conexões, caixas e ralos</t>
  </si>
  <si>
    <t xml:space="preserve"> 02.02.300.4 </t>
  </si>
  <si>
    <t xml:space="preserve"> 100717 </t>
  </si>
  <si>
    <t>LIXAMENTO MANUAL EM SUPERFÍCIES METÁLICAS EM OBRA. AF_01/2020</t>
  </si>
  <si>
    <t xml:space="preserve"> 02.02.300.5 </t>
  </si>
  <si>
    <t xml:space="preserve"> MPDFT0600 </t>
  </si>
  <si>
    <t>Copia da CPOS (04.09.100) - Retirada de guarda-corpo ou gradil em geral</t>
  </si>
  <si>
    <t xml:space="preserve"> 02.02.300.6 </t>
  </si>
  <si>
    <t xml:space="preserve"> MPDFT0601 </t>
  </si>
  <si>
    <t>Copia da CPOS (04.09.080) - Retirada de batente, corrimão ou peças lineares metálicas, fixados</t>
  </si>
  <si>
    <t xml:space="preserve"> 02.02.300.7 </t>
  </si>
  <si>
    <t xml:space="preserve"> MPDFT0636 </t>
  </si>
  <si>
    <t>Copia da SINAPI (85412) - REMOCAO DE RODAPE DE MARMORE OU GRANITO</t>
  </si>
  <si>
    <t xml:space="preserve"> 02.02.300.9 </t>
  </si>
  <si>
    <t xml:space="preserve"> MPDFT0928 </t>
  </si>
  <si>
    <t>Copia da SETOP (DEM-PEI-005) - RETIRADA DE PEITORIL DE MÁRMORE OU GRANITO</t>
  </si>
  <si>
    <t xml:space="preserve"> 02.02.300.10 </t>
  </si>
  <si>
    <t xml:space="preserve"> MPDFT0218 </t>
  </si>
  <si>
    <t>Copia da SETOP (DEM-IMP-005) - REMOÇÃO DE IMPERMEABILIZAÇÃO E PROTEÇÃO MECÂNICA</t>
  </si>
  <si>
    <t xml:space="preserve"> 02.02.300.11 </t>
  </si>
  <si>
    <t xml:space="preserve"> 98524 </t>
  </si>
  <si>
    <t>LIMPEZA MANUAL DE VEGETAÇÃO EM TERRENO COM ENXADA.AF_05/2018</t>
  </si>
  <si>
    <t xml:space="preserve"> 02.02.300.12 </t>
  </si>
  <si>
    <t xml:space="preserve"> MPDFT0935 </t>
  </si>
  <si>
    <t>Copia da ORSE (7725) - Remoção de pintura látex (raspagem e/ou lixamento e/ou escovação)</t>
  </si>
  <si>
    <t xml:space="preserve"> 02.02.300.13 </t>
  </si>
  <si>
    <t xml:space="preserve"> MPDFT0936 </t>
  </si>
  <si>
    <t>Copia da SEDOP (020019) - Retirada de reboco ou emboço</t>
  </si>
  <si>
    <t xml:space="preserve"> 02.02.300.14 </t>
  </si>
  <si>
    <t xml:space="preserve"> 97640 </t>
  </si>
  <si>
    <t>REMOÇÃO DE FORROS DE DRYWALL, PVC E FIBROMINERAL, DE FORMA MANUAL, SEM REAPROVEITAMENTO. AF_12/2017</t>
  </si>
  <si>
    <t xml:space="preserve"> 02.02.300.15 </t>
  </si>
  <si>
    <t xml:space="preserve"> MPDFT0942 </t>
  </si>
  <si>
    <t>Baseado em SETOP (PIN-LIX-006) - Remoção de pintura e fitas em forro de gesso acartonado</t>
  </si>
  <si>
    <t xml:space="preserve"> 02.02.300.16 </t>
  </si>
  <si>
    <t xml:space="preserve"> MPDFT0943 </t>
  </si>
  <si>
    <t>Baseado em SIURB (010211) - Carga manual e remoção de terra</t>
  </si>
  <si>
    <t xml:space="preserve"> 02.02.300.17 </t>
  </si>
  <si>
    <t xml:space="preserve"> MPDFT0949 </t>
  </si>
  <si>
    <t>Copia da CPOS (04.18.410) - Remoção de cordoalha ou cabo de cobre nu</t>
  </si>
  <si>
    <t xml:space="preserve"> 02.02.300.18 </t>
  </si>
  <si>
    <t xml:space="preserve"> 97665 </t>
  </si>
  <si>
    <t>REMOÇÃO DE LUMINÁRIAS, DE FORMA MANUAL, SEM REAPROVEITAMENTO. AF_12/2017</t>
  </si>
  <si>
    <t>UN</t>
  </si>
  <si>
    <t xml:space="preserve"> 02.04 </t>
  </si>
  <si>
    <t>TERRAPLENAGEM</t>
  </si>
  <si>
    <t xml:space="preserve"> 02.04.300 </t>
  </si>
  <si>
    <t>Aterro Compactado</t>
  </si>
  <si>
    <t xml:space="preserve"> 02.04.300.1 </t>
  </si>
  <si>
    <t xml:space="preserve"> 94319 </t>
  </si>
  <si>
    <t>ATERRO MANUAL DE VALAS COM SOLO ARGILO-ARENOSO E COMPACTAÇÃO MECANIZADA. AF_05/2016</t>
  </si>
  <si>
    <t xml:space="preserve"> 02.04.300.2 </t>
  </si>
  <si>
    <t xml:space="preserve"> 93382 </t>
  </si>
  <si>
    <t>REATERRO MANUAL DE VALAS COM COMPACTAÇÃO MECANIZADA. AF_04/2016</t>
  </si>
  <si>
    <t xml:space="preserve"> 04 </t>
  </si>
  <si>
    <t>ARQUITETURA E ELEMENTOS DE URBANISMO</t>
  </si>
  <si>
    <t xml:space="preserve"> 04.01 </t>
  </si>
  <si>
    <t>ARQUITETURA</t>
  </si>
  <si>
    <t xml:space="preserve"> 04.01.400 </t>
  </si>
  <si>
    <t>Cobertura e fechamento lateral</t>
  </si>
  <si>
    <t xml:space="preserve"> 04.01.400.1 </t>
  </si>
  <si>
    <t xml:space="preserve"> MPDFT0951 </t>
  </si>
  <si>
    <t>Fornecimento e instalação de marquise metálica, fixação com tirantes</t>
  </si>
  <si>
    <t>un</t>
  </si>
  <si>
    <t xml:space="preserve"> 04.01.510 </t>
  </si>
  <si>
    <t>Revestimentos de pisos</t>
  </si>
  <si>
    <t xml:space="preserve"> 04.01.510.1 </t>
  </si>
  <si>
    <t xml:space="preserve"> MPDFT0929 </t>
  </si>
  <si>
    <t>Baseado em SINAPI (101092) - Piso em granito levigado, Vermelho Brasília, e = 2cm</t>
  </si>
  <si>
    <t xml:space="preserve"> 04.01.510.2 </t>
  </si>
  <si>
    <t xml:space="preserve"> 74245/001 </t>
  </si>
  <si>
    <t>PINTURA ACRILICA EM PISO CIMENTADO DUAS DEMAOS</t>
  </si>
  <si>
    <t xml:space="preserve"> 04.01.510.3 </t>
  </si>
  <si>
    <t xml:space="preserve"> MPDFT0950 </t>
  </si>
  <si>
    <t>Rampa em concreto concreto armado com tela soldada de 4,2mm, espaçamento de 10 cm nas duas direções.</t>
  </si>
  <si>
    <t xml:space="preserve"> 04.01.510.4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</si>
  <si>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</si>
  <si>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</si>
  <si>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04.01.530 </t>
  </si>
  <si>
    <t>Revestimentos de paredes</t>
  </si>
  <si>
    <t xml:space="preserve"> 04.01.530.1 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</si>
  <si>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</si>
  <si>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</si>
  <si>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 xml:space="preserve"> 04.01.530.2 </t>
  </si>
  <si>
    <t xml:space="preserve"> 87797 </t>
  </si>
  <si>
    <t>EMBOÇO OU MASSA ÚNICA EM ARGAMASSA TRAÇO 1:2:8, PREPARO MECÂNICO COM BETONEIRA 400 L, APLICADA MANUALMENTE EM PANOS CEGOS DE FACHADA (SEM PRESENÇA DE VÃOS), ESPESSURA DE 35 MM. AF_06/2014</t>
  </si>
  <si>
    <t xml:space="preserve"> 04.01.530.3 </t>
  </si>
  <si>
    <t xml:space="preserve"> MPDFT0937 </t>
  </si>
  <si>
    <t>Copia da SINAPI (87243 + 87747) - Pastilha de porcelana 5,0x5,0cm, linha Engenharia, cor Barents, fab. Atlas (ref.M6329), assentada com argamassa pré-fabricada, incluindo rejuntamento e aditivo adesivo para argamassa</t>
  </si>
  <si>
    <t xml:space="preserve"> 04.01.530.4 </t>
  </si>
  <si>
    <t xml:space="preserve"> MPDFT0500 </t>
  </si>
  <si>
    <t>Copia da IOPES (040705) - Junta de dilatação com selante elástico monocomponente a base de poliuretano, dimensões 15x35mm, inclusive delimitador de profundidade</t>
  </si>
  <si>
    <t xml:space="preserve"> 04.01.550 </t>
  </si>
  <si>
    <t>Revestimentos de forro</t>
  </si>
  <si>
    <t xml:space="preserve"> 04.01.550.1 </t>
  </si>
  <si>
    <t xml:space="preserve"> 96114 </t>
  </si>
  <si>
    <t>FORRO EM DRYWALL, PARA AMBIENTES COMERCIAIS, INCLUSIVE ESTRUTURA DE FIXAÇÃO. AF_05/2017_P</t>
  </si>
  <si>
    <t xml:space="preserve"> 04.01.550.2 </t>
  </si>
  <si>
    <t xml:space="preserve"> MPDFT1051 </t>
  </si>
  <si>
    <t>Copia da SBC (023361) - Execução de visita em forro de gesso, DM 60 x 60cm, inclusive acabamento em perfis de alumínio na cor branca</t>
  </si>
  <si>
    <t xml:space="preserve"> 04.01.550.3 </t>
  </si>
  <si>
    <t xml:space="preserve"> MPDFT0941 </t>
  </si>
  <si>
    <t>Baseado em SINAPI (96114) - Fita autoadesiva em papel microperfurado e massa pronta para tratamento de juntas de forro de gesso acartonado</t>
  </si>
  <si>
    <t xml:space="preserve"> 04.01.560 </t>
  </si>
  <si>
    <t>Pinturas</t>
  </si>
  <si>
    <t xml:space="preserve"> 04.01.560.1 </t>
  </si>
  <si>
    <t xml:space="preserve"> 100750 </t>
  </si>
  <si>
    <t>PINTURA COM TINTA ALQUÍDICA DE ACABAMENTO (ESMALTE SINTÉTICO FOSCO) APLICADA A ROLO OU PINCEL SOBRE SUPERFÍCIES METÁLICAS (EXCETO PERFIL) EXECUTADO EM OBRA (POR DEMÃO). AF_01/2020</t>
  </si>
  <si>
    <t xml:space="preserve"> 04.01.560.2 </t>
  </si>
  <si>
    <t xml:space="preserve"> 88494 </t>
  </si>
  <si>
    <t>APLICAÇÃO E LIXAMENTO DE MASSA LÁTEX EM TETO, UMA DEMÃO. AF_06/2014</t>
  </si>
  <si>
    <t xml:space="preserve"> 04.01.560.3 </t>
  </si>
  <si>
    <t xml:space="preserve"> 88486 </t>
  </si>
  <si>
    <t>APLICAÇÃO MANUAL DE PINTURA COM TINTA LÁTEX PVA EM TETO, DUAS DEMÃOS. AF_06/2014</t>
  </si>
  <si>
    <t xml:space="preserve"> 04.01.560.4 </t>
  </si>
  <si>
    <t xml:space="preserve"> 88484 </t>
  </si>
  <si>
    <t>APLICAÇÃO DE FUNDO SELADOR ACRÍLICO EM TETO, UMA DEMÃO. AF_06/2014</t>
  </si>
  <si>
    <t xml:space="preserve"> 04.01.560.5 </t>
  </si>
  <si>
    <t xml:space="preserve"> 88485 </t>
  </si>
  <si>
    <t>APLICAÇÃO DE FUNDO SELADOR ACRÍLICO EM PAREDES, UMA DEMÃO. AF_06/2014</t>
  </si>
  <si>
    <t xml:space="preserve"> 04.01.560.6 </t>
  </si>
  <si>
    <t xml:space="preserve"> 88489 </t>
  </si>
  <si>
    <t>APLICAÇÃO MANUAL DE PINTURA COM TINTA LÁTEX ACRÍLICA EM PAREDES, DUAS DEMÃOS. AF_06/2014</t>
  </si>
  <si>
    <t xml:space="preserve"> 04.01.560.7 </t>
  </si>
  <si>
    <t xml:space="preserve"> 100762 </t>
  </si>
  <si>
    <t>PINTURA COM TINTA ALQUÍDICA DE ACABAMENTO (ESMALTE SINTÉTICO FOSCO) APLICADA A ROLO OU PINCEL SOBRE SUPERFÍCIES METÁLICAS (EXCETO PERFIL) EXECUTADO EM OBRA (02 DEMÃOS). AF_01/2020</t>
  </si>
  <si>
    <t xml:space="preserve"> 04.01.600 </t>
  </si>
  <si>
    <t>Impermeabilizações</t>
  </si>
  <si>
    <t xml:space="preserve"> 04.01.600.1 </t>
  </si>
  <si>
    <t xml:space="preserve"> 99814 </t>
  </si>
  <si>
    <t>LIMPEZA DE SUPERFÍCIE COM JATO DE ALTA PRESSÃO. AF_04/2019</t>
  </si>
  <si>
    <t xml:space="preserve"> 04.01.600.2 </t>
  </si>
  <si>
    <t xml:space="preserve"> 99805 </t>
  </si>
  <si>
    <t>LIMPEZA DE PISO CERÂMICO OU COM PEDRAS RÚSTICAS UTILIZANDO ÁCIDO MURIÁTICO. AF_04/2019</t>
  </si>
  <si>
    <t xml:space="preserve"> 04.01.600.3 </t>
  </si>
  <si>
    <t xml:space="preserve"> MPDFT1058 </t>
  </si>
  <si>
    <t>Cópia da Sinapi (87747) - Regularização / preparação de superfície com argamassa, e = 3cm, traço 1:3 (cimento e areia), com adição de de emulsão adesiva a base de resinas especiais de alto desempenho</t>
  </si>
  <si>
    <t xml:space="preserve"> 04.01.600.4 </t>
  </si>
  <si>
    <t xml:space="preserve"> MPDFT0481 </t>
  </si>
  <si>
    <t>Copia da SINAPI (98546) - Impermeabilização de superfície com manta asfáltica antirraiz (com polímeros elastoméricos), e=4mm, ref. Torodin Extra, colada com asfalto derretido</t>
  </si>
  <si>
    <t xml:space="preserve"> 04.01.600.5 </t>
  </si>
  <si>
    <t xml:space="preserve"> MPDFT1061 </t>
  </si>
  <si>
    <t>Copia da SINAPI (98565) - Proteção mecânica horizontal com argamassa traço 1:4 (cimento e areia), preparo mecânico, espessura 3cm, incluso camada separadora geotextil e junta de dilatação com asfalto modificado</t>
  </si>
  <si>
    <t xml:space="preserve"> 04.01.600.6 </t>
  </si>
  <si>
    <t xml:space="preserve"> 73881/001 </t>
  </si>
  <si>
    <t>EXECUCAO DE DRENO COM MANTA GEOTEXTIL 200 G/M2</t>
  </si>
  <si>
    <t xml:space="preserve"> 04.01.600.7 </t>
  </si>
  <si>
    <t xml:space="preserve"> 6225 </t>
  </si>
  <si>
    <t>IMPERMEABILIZACAO DE CALHAS/LAJES DESCOBERTAS, COM EMULSAO ASFALTICA COM ELASTOMEROS, 3 DEMAOS</t>
  </si>
  <si>
    <t xml:space="preserve"> 04.01.600.8 </t>
  </si>
  <si>
    <t xml:space="preserve"> MPDFT0938 </t>
  </si>
  <si>
    <t>Correção de juntas, com escarificação, primer à base de água e massa asfáltica selante para preenchimento de juntas 10x10mm</t>
  </si>
  <si>
    <t xml:space="preserve"> 04.01.600.9 </t>
  </si>
  <si>
    <t xml:space="preserve"> MPDFT0939 </t>
  </si>
  <si>
    <t>Regularização de superfícies e selagem de trincas com resina epóxi, carga inerte, tela de poliéster e argamassa cimentícia polimérica.</t>
  </si>
  <si>
    <t xml:space="preserve"> 04.01.600.10 </t>
  </si>
  <si>
    <t xml:space="preserve"> MPDFT0940 </t>
  </si>
  <si>
    <t>Aplicação de pintura de poliuretano, com Primer de resina epóxi, revestimento de poliuretano, carga inerte e pintura base de resina de poliuretano</t>
  </si>
  <si>
    <t xml:space="preserve"> 04.01.600.11 </t>
  </si>
  <si>
    <t xml:space="preserve"> MPDFT0944 </t>
  </si>
  <si>
    <t>Tratamento de trincas com selante de poliuretano monocomponente, cartucho com 300ml, ref. Sikaflex 1-A, Sika</t>
  </si>
  <si>
    <t xml:space="preserve"> 04.01.600.12 </t>
  </si>
  <si>
    <t xml:space="preserve"> MPDFT0948 </t>
  </si>
  <si>
    <t>Fornecimento e execução por empresa especializada de junta tipo JJ2540 VV EDPM Jeene, incluso limpeza, perfil, adesivo epóxi ADE 52 e pressurizáção</t>
  </si>
  <si>
    <t xml:space="preserve"> 04.01.600.13 </t>
  </si>
  <si>
    <t xml:space="preserve"> MPDFT0945 </t>
  </si>
  <si>
    <t>Corte de precisão com disco diamantado em uma faixa de 3 x 3 cm de cada lado do eixo da junta  para criar o detalhe de Lábio Polimérico (corte por m duplo)</t>
  </si>
  <si>
    <t xml:space="preserve"> 04.01.600.14 </t>
  </si>
  <si>
    <t xml:space="preserve"> MPDFT0947 </t>
  </si>
  <si>
    <t>Execução dos Lábio Polimérico (3 x 3 cm), incluso limpeza, gabarito, primer adesivo epóxi, lançamento, compactação e nivelamento da argamassa epóxi, executado por empresa especializada</t>
  </si>
  <si>
    <t xml:space="preserve"> 04.01.600.15 </t>
  </si>
  <si>
    <t xml:space="preserve"> MPDFT0952 </t>
  </si>
  <si>
    <t>Cópia da Siurb (050430) - Preenchimento de junta com selante elástico a base de poliuretano, monocomponente, com alta resistência química e mecânica SikaFlex Pró-3 (35x15mm), inclusive delimitador de profundidade</t>
  </si>
  <si>
    <t xml:space="preserve"> 04.01.600.16 </t>
  </si>
  <si>
    <t xml:space="preserve"> MPDFT0547 </t>
  </si>
  <si>
    <t>Copia da SINAPI (98546) - Impermeabilização de ralos ou ponto emergente com manta asfáltica (com polímeros elastoméricos), e=4mm, ref. Torodin Extra, colada com asfalto derretido</t>
  </si>
  <si>
    <t xml:space="preserve"> 04.01.600.17 </t>
  </si>
  <si>
    <t xml:space="preserve"> MPDFT0499 </t>
  </si>
  <si>
    <t>Proteção mecânica para áreas verticais com chapisco traço 1:3 e emboço traço 1:4 espessura de 25 mm, Preparados em betoneira de 400 l</t>
  </si>
  <si>
    <t xml:space="preserve"> 04.01.600.18 </t>
  </si>
  <si>
    <t xml:space="preserve"> MPDFT0706 </t>
  </si>
  <si>
    <t>Cópia da Sinapi (87747+87779) - Regularização / preparação de superfície vertical com argamassa, e = 3cm, traço 1:4 (cimento e areia), com adição de de emulsão adesiva a base de resinas especiais de alto desempenho</t>
  </si>
  <si>
    <t xml:space="preserve"> 04.01.600.19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</si>
  <si>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</si>
  <si>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</si>
  <si>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04.01.700 </t>
  </si>
  <si>
    <t>Acabamentos e arremates</t>
  </si>
  <si>
    <t xml:space="preserve"> 04.01.700.1 </t>
  </si>
  <si>
    <t xml:space="preserve"> MPDFT0930 </t>
  </si>
  <si>
    <t>Baseado em SINAPI (98685) - Rodapé em granito levigado, Vermelho Brasília, altura 10cm, e = 2cm</t>
  </si>
  <si>
    <t xml:space="preserve"> 04.01.700.2 </t>
  </si>
  <si>
    <t xml:space="preserve"> MPDFT0931 </t>
  </si>
  <si>
    <t>Baseado em SINAPI (101965) - Peitoril em granito polido Preto São Gabriel, largura 21cm, e= 2cm, com friso pingadeira dos dois lados</t>
  </si>
  <si>
    <t xml:space="preserve"> 04.01.700.3 </t>
  </si>
  <si>
    <t xml:space="preserve"> MPDFT0932 </t>
  </si>
  <si>
    <t>Baseado em SINAPI (101965) - Peitoril em granito polido Preto São Gabriel, largura 31cm, e= 2cm, com friso pingadeira dos dois lados</t>
  </si>
  <si>
    <t xml:space="preserve"> 04.01.700.4 </t>
  </si>
  <si>
    <t xml:space="preserve"> MPDFT0933 </t>
  </si>
  <si>
    <t>Baseado em SINAPI (101965) - Peitoril em granito polido Preto São Gabriel, largura 46cm, e= 2cm, com friso pingadeira dos dois lados</t>
  </si>
  <si>
    <t xml:space="preserve"> 04.01.700.5 </t>
  </si>
  <si>
    <t xml:space="preserve"> MPDFT0934 </t>
  </si>
  <si>
    <t>Baseado em SINAPI (101965) - Peitoril em granito polido Preto São Gabriel, largura 26cm, e= 2cm, com friso pingadeira dos dois lados</t>
  </si>
  <si>
    <t xml:space="preserve"> 04.01.800 </t>
  </si>
  <si>
    <t>Equipamentos e Acessórios</t>
  </si>
  <si>
    <t xml:space="preserve"> 04.01.800.1 </t>
  </si>
  <si>
    <t xml:space="preserve"> MPDFT0926 </t>
  </si>
  <si>
    <t>Baseado em SINAPI (99855) - REINSTALAÇÃO DE CORRIMÃO</t>
  </si>
  <si>
    <t xml:space="preserve"> 04.01.800.2 </t>
  </si>
  <si>
    <t xml:space="preserve"> MPDFT0953 </t>
  </si>
  <si>
    <t>Guarda-corpo em tubo de aço industrial redondo de Ø80mm e quadrado de 20x20mm e 30x30mm - altura de 1,0m, com corrimão em tubo de aço industrial de Ø45mm, inclusive pintura</t>
  </si>
  <si>
    <t xml:space="preserve"> 05 </t>
  </si>
  <si>
    <t>INSTALAÇÕES HIDRÁULICAS E SANITÁRIAS</t>
  </si>
  <si>
    <t xml:space="preserve"> 05.03 </t>
  </si>
  <si>
    <t>DRENAGEM DE ÁGUAS PLUVIAIS</t>
  </si>
  <si>
    <t xml:space="preserve"> 05.03.100 </t>
  </si>
  <si>
    <t>Tubulações e Conexões de Ferro Fundido</t>
  </si>
  <si>
    <t xml:space="preserve"> 05.03.100.1 </t>
  </si>
  <si>
    <t xml:space="preserve"> MPDFT0313 </t>
  </si>
  <si>
    <t>Copia da ORSE (7752) - Ralo hemisférico tipo abacaxi em ferro fundido, D = 150mm - fornecimento e instalação</t>
  </si>
  <si>
    <t xml:space="preserve"> 06 </t>
  </si>
  <si>
    <t>INSTALAÇÕES ELÉTRICAS E ELETRÔNICAS</t>
  </si>
  <si>
    <t xml:space="preserve"> 06.01 </t>
  </si>
  <si>
    <t>INSTALAÇÕES ELÉTRICAS</t>
  </si>
  <si>
    <t xml:space="preserve"> 06.01.400 </t>
  </si>
  <si>
    <t>Rede Elétrica Secundária</t>
  </si>
  <si>
    <t xml:space="preserve"> 06.01.400.1 </t>
  </si>
  <si>
    <t xml:space="preserve"> MPDFT0336 </t>
  </si>
  <si>
    <t>Copia da SINAPI (97587) - TIPO C: luminária retangular de sobrepor para 2 lâmpadas fluorescentes T8 de 32W, corpo em chapa de aço fosfatizada e pintada elostraticamente, refletor facetado em alumínio anodizado de alta pureza e reflectância. Fabricação Lumicenter CAN03-S232</t>
  </si>
  <si>
    <t xml:space="preserve"> 06.01.400.2 </t>
  </si>
  <si>
    <t xml:space="preserve"> MPDFT0410 </t>
  </si>
  <si>
    <t>Pintura esmalte sobre tubulação de ferro, intervalo de Ø 25mm - 100mm, 2 demãos, inclusive fundo anticorrosivo</t>
  </si>
  <si>
    <t xml:space="preserve"> 06.01.500 </t>
  </si>
  <si>
    <t>Aterramento e Proteção Contra Descargas Atmosféricas</t>
  </si>
  <si>
    <t xml:space="preserve"> 06.01.500.1 </t>
  </si>
  <si>
    <t xml:space="preserve"> MPDFT0946 </t>
  </si>
  <si>
    <t>Copia da SETOP (SPDA-CAB-025) - Reinstalação de cordoalha do SPDA, utilizando as mesmas fixações e isoladores</t>
  </si>
  <si>
    <t xml:space="preserve"> 09 </t>
  </si>
  <si>
    <t>SERVIÇOS COMPLEMENTARES</t>
  </si>
  <si>
    <t xml:space="preserve"> 09.02 </t>
  </si>
  <si>
    <t>LIMPEZA DE OBRAS</t>
  </si>
  <si>
    <t xml:space="preserve"> 09.02.1 </t>
  </si>
  <si>
    <t xml:space="preserve"> 99806 </t>
  </si>
  <si>
    <t>LIMPEZA DE REVESTIMENTO CERÂMICO EM PAREDE COM PANO ÚMIDO AF_04/2019</t>
  </si>
  <si>
    <t xml:space="preserve"> 09.02.2 </t>
  </si>
  <si>
    <t xml:space="preserve"> 09.02.3 </t>
  </si>
  <si>
    <t xml:space="preserve"> 99811 </t>
  </si>
  <si>
    <t>LIMPEZA DE CONTRAPISO COM VASSOURA A SECO. AF_04/2019</t>
  </si>
  <si>
    <t xml:space="preserve"> 10 </t>
  </si>
  <si>
    <t>SERVIÇOS AUXILIARES E ADMINISTRATIVOS</t>
  </si>
  <si>
    <t xml:space="preserve"> 10.01 </t>
  </si>
  <si>
    <t>PESSOAL</t>
  </si>
  <si>
    <t xml:space="preserve"> 10.01.1 </t>
  </si>
  <si>
    <t xml:space="preserve"> 93572 </t>
  </si>
  <si>
    <t>ENCARREGADO GERAL DE OBRAS COM ENCARGOS COMPLEMENTARES</t>
  </si>
  <si>
    <t>MES</t>
  </si>
  <si>
    <t xml:space="preserve"> 10.01.2 </t>
  </si>
  <si>
    <t xml:space="preserve"> 90778 </t>
  </si>
  <si>
    <t>ENGENHEIRO CIVIL DE OBRA PLENO COM ENCARGOS COMPLEMENTARES</t>
  </si>
  <si>
    <t>H</t>
  </si>
  <si>
    <t>Total sem BDI</t>
  </si>
  <si>
    <t>Total do BDI</t>
  </si>
  <si>
    <t>Total Geral</t>
  </si>
  <si>
    <t>Data:</t>
  </si>
  <si>
    <t>Material</t>
  </si>
  <si>
    <t>Mão de Obra</t>
  </si>
  <si>
    <t>Peso (%)</t>
  </si>
  <si>
    <t>Planilha Orçamentária Resumida</t>
  </si>
  <si>
    <t>Insumo</t>
  </si>
  <si>
    <t>Composição</t>
  </si>
  <si>
    <t>SERVENTE COM ENCARGOS COMPLEMENTARES</t>
  </si>
  <si>
    <t xml:space="preserve"> 88316 </t>
  </si>
  <si>
    <t>CHP</t>
  </si>
  <si>
    <t>ELETRICISTA COM ENCARGOS COMPLEMENTARES</t>
  </si>
  <si>
    <t xml:space="preserve"> 88264 </t>
  </si>
  <si>
    <t>AUXILIAR DE ELETRICISTA COM ENCARGOS COMPLEMENTARES</t>
  </si>
  <si>
    <t xml:space="preserve"> 88247 </t>
  </si>
  <si>
    <t>L</t>
  </si>
  <si>
    <t>TINTA ESMALTE SINTETICO PREMIUM DE DUPLA ACAO GRAFITE FOSCO PARA SUPERFICIES METALICAS FERROSAS</t>
  </si>
  <si>
    <t xml:space="preserve"> 00007293 </t>
  </si>
  <si>
    <t>SOLVENTE DILUENTE A BASE DE AGUARRAS</t>
  </si>
  <si>
    <t xml:space="preserve"> 00005318 </t>
  </si>
  <si>
    <t>LIXA EM FOLHA PARA FERRO, NUMERO 150</t>
  </si>
  <si>
    <t xml:space="preserve"> 00003768 </t>
  </si>
  <si>
    <t>PINTURA COM TINTA ACRÍLICA DE FUNDO APLICADA A ROLO OU PINCEL SOBRE SUPERFÍCIES METÁLICAS (EXCETO PERFIL) EXECUTADO EM OBRA (POR DEMÃO). AF_01/2020</t>
  </si>
  <si>
    <t xml:space="preserve"> 100734 </t>
  </si>
  <si>
    <t>PINTOR COM ENCARGOS COMPLEMENTARES</t>
  </si>
  <si>
    <t xml:space="preserve"> 88310 </t>
  </si>
  <si>
    <t>Tuboled 18 a 20 W - Lâmpada tubular de LED; com base/conector G13 (2 pinos) eficiência energética maior ou igual 100 lm/W;  fluxo luminoso maior ou igual a 2000 lumens; potência menor ou igual a 20 W; vida útil mínima da lâmpada de 25.000 horas; ângulo de abertura (facho) maior ou igual a 150°; temperatura de cor de 3800 a 4200 K; índice geral de reprodução de cor (IRC) maior ou igual a 80; fator de potência 0,92 (mín.); frequência nominal de 60 Hz; comprimento de 1200 mm. Fabricação Philips Master LEDTube 1200 mm 18W 840 T8 I W</t>
  </si>
  <si>
    <t xml:space="preserve"> CM0071 </t>
  </si>
  <si>
    <t>Luminária retangular de sobrepor para 2 lâmpadas fluorescentes T8 de 32W, corpo em chapa de aço fosfatizada e pintada elostraticamente, refletor facetado em alumínio anodizado de alta pureza e reflectância. Fabricação Lumicenter CAN03-S232</t>
  </si>
  <si>
    <t xml:space="preserve"> CM1072 </t>
  </si>
  <si>
    <t>Plug macho 2P+T para tomada</t>
  </si>
  <si>
    <t xml:space="preserve"> CM0261 </t>
  </si>
  <si>
    <t>CABO FLEXIVEL PVC 750 V, 3 CONDUTORES DE 1,5 MM2</t>
  </si>
  <si>
    <t xml:space="preserve"> 00034618 </t>
  </si>
  <si>
    <t>TOMADA ALTA DE EMBUTIR (1 MÓDULO), 2P+T 10 A, INCLUINDO SUPORTE E PLACA - FORNECIMENTO E INSTALAÇÃO. AF_12/2015</t>
  </si>
  <si>
    <t xml:space="preserve"> 91992 </t>
  </si>
  <si>
    <t>CONDULETE DE PVC, TIPO LL, PARA ELETRODUTO DE PVC SOLDÁVEL DN 20 MM (1/2''), APARENTE - FORNECIMENTO E INSTALAÇÃO. AF_11/2016</t>
  </si>
  <si>
    <t xml:space="preserve"> 95807 </t>
  </si>
  <si>
    <t>RALO FOFO SEMIESFERICO, 150 MM, PARA LAJES/ CALHAS</t>
  </si>
  <si>
    <t xml:space="preserve"> 00011709 </t>
  </si>
  <si>
    <t>AUXILIAR DE ENCANADOR OU BOMBEIRO HIDRÁULICO COM ENCARGOS COMPLEMENTARES</t>
  </si>
  <si>
    <t xml:space="preserve"> 88248 </t>
  </si>
  <si>
    <t>ENCANADOR OU BOMBEIRO HIDRÁULICO COM ENCARGOS COMPLEMENTARES</t>
  </si>
  <si>
    <t xml:space="preserve"> 88267 </t>
  </si>
  <si>
    <t>Guarda-corpo em tubo de aço industrial redondo de Ø80mm e quadrado de 20x20mm e 30x30mm - altura de 1,0m, com corrimão em tubo de aço industrial de Ø45mm</t>
  </si>
  <si>
    <t xml:space="preserve"> CM0858 </t>
  </si>
  <si>
    <t>BUCHA DE NYLON SEM ABA S10, COM PARAFUSO DE 6,10 X 65 MM EM ACO ZINCADO COM ROSCA SOBERBA, CABECA CHATA E FENDA PHILLIPS</t>
  </si>
  <si>
    <t xml:space="preserve"> 00007568 </t>
  </si>
  <si>
    <t>SERRALHEIRO COM ENCARGOS COMPLEMENTARES</t>
  </si>
  <si>
    <t xml:space="preserve"> 88315 </t>
  </si>
  <si>
    <t>AUXILIAR DE SERRALHEIRO COM ENCARGOS COMPLEMENTARES</t>
  </si>
  <si>
    <t xml:space="preserve"> 88251 </t>
  </si>
  <si>
    <t>KG</t>
  </si>
  <si>
    <t>ARGAMASSA COLANTE AC II</t>
  </si>
  <si>
    <t xml:space="preserve"> 00034353 </t>
  </si>
  <si>
    <t>l</t>
  </si>
  <si>
    <t>Solução hidrofugante à base de silano-siloxano Nitoprimer 40, fab. Anchortec Quartzolit</t>
  </si>
  <si>
    <t xml:space="preserve"> CM0169 </t>
  </si>
  <si>
    <t>Friso para pingadeira (granito)</t>
  </si>
  <si>
    <t xml:space="preserve"> CM0757 </t>
  </si>
  <si>
    <t>Acabamento reto (granito)</t>
  </si>
  <si>
    <t xml:space="preserve"> CM0065 </t>
  </si>
  <si>
    <t>PISO EM GRANITO, POLIDO, TIPO PRETO SAO GABRIEL/ TIJUCA OU OUTROS EQUIVALENTES DA REGIAO, FORMATO MENOR OU IGUAL A 3025 CM2, E=  *2* CM</t>
  </si>
  <si>
    <t xml:space="preserve"> 00010842 </t>
  </si>
  <si>
    <t>IMPERMEABILIZADOR COM ENCARGOS COMPLEMENTARES</t>
  </si>
  <si>
    <t xml:space="preserve"> 88270 </t>
  </si>
  <si>
    <t>MARMORISTA/GRANITEIRO COM ENCARGOS COMPLEMENTARES</t>
  </si>
  <si>
    <t xml:space="preserve"> 88274 </t>
  </si>
  <si>
    <t>Granito Vermelho Brasília, ou equivalente, e=2cm, acabamento levigado</t>
  </si>
  <si>
    <t xml:space="preserve"> CM0165 </t>
  </si>
  <si>
    <t>ARGAMASSA COLANTE TIPO AC III</t>
  </si>
  <si>
    <t xml:space="preserve"> 00037595 </t>
  </si>
  <si>
    <t>REJUNTE CIMENTICIO, QUALQUER COR</t>
  </si>
  <si>
    <t xml:space="preserve"> 00034357 </t>
  </si>
  <si>
    <t>ASFALTO MODIFICADO TIPO II - NBR 9910 (ASFALTO OXIDADO PARA IMPERMEABILIZACAO, COEFICIENTE DE PENETRACAO 20-35)</t>
  </si>
  <si>
    <t xml:space="preserve"> 00000516 </t>
  </si>
  <si>
    <t>PRIMER PARA MANTA ASFALTICA A BASE DE ASFALTO MODIFICADO DILUIDO EM SOLVENTE, APLICACAO A FRIO</t>
  </si>
  <si>
    <t xml:space="preserve"> 00000511 </t>
  </si>
  <si>
    <t>GAS DE COZINHA - GLP</t>
  </si>
  <si>
    <t xml:space="preserve"> 00004226 </t>
  </si>
  <si>
    <t>MANTA ASFALTICA ELASTOMERICA EM POLIESTER 4 MM, TIPO III, CLASSE B, ACABAMENTO PP (NBR 9952)</t>
  </si>
  <si>
    <t xml:space="preserve"> 00004015 </t>
  </si>
  <si>
    <t>AJUDANTE ESPECIALIZADO COM ENCARGOS COMPLEMENTARES</t>
  </si>
  <si>
    <t xml:space="preserve"> 88243 </t>
  </si>
  <si>
    <t>ADITIVO ADESIVO LIQUIDO PARA ARGAMASSAS DE REVESTIMENTOS CIMENTICIOS</t>
  </si>
  <si>
    <t xml:space="preserve"> 00007334 </t>
  </si>
  <si>
    <t>PEDREIRO COM ENCARGOS COMPLEMENTARES</t>
  </si>
  <si>
    <t xml:space="preserve"> 88309 </t>
  </si>
  <si>
    <t>ARGAMASSA TRAÇO 1:4 (CIMENTO E AREIA MÉDIA), PREPARO MECÂNICO COM BETONEIRA 400 L. AF_08/2014</t>
  </si>
  <si>
    <t xml:space="preserve"> 88630 </t>
  </si>
  <si>
    <t>Copia da SINAPI (87775) - EMBOÇO OU MASSA ÚNICA EM ARGAMASSA TRAÇO 1:4, PREPARO MECÂNICO COM BETONEIRA 400 L, APLICADA MANUALMENTE EM PANOS DE FACHADA COM PRESENÇA DE VÃOS, ESPESSURA DE 25 MM.</t>
  </si>
  <si>
    <t xml:space="preserve"> MPDFT0485 </t>
  </si>
  <si>
    <t>CHAPISCO APLICADO EM ALVENARIA (COM PRESENÇA DE VÃOS) E ESTRUTURAS DE CONCRETO DE FACHADA, COM COLHER DE PEDREIRO.  ARGAMASSA TRAÇO 1:3 COM PREPARO EM BETONEIRA 400L. AF_06/2014</t>
  </si>
  <si>
    <t xml:space="preserve"> 87905 </t>
  </si>
  <si>
    <t>Delimitador de profundidade (Tarucel) Ø 15mm</t>
  </si>
  <si>
    <t xml:space="preserve"> CM1757 </t>
  </si>
  <si>
    <t>Selante elástico a base de poliuretano, monocomponente, com alta resistência química e mecânica SikaFlex Pró-3 (sachê 600mL)</t>
  </si>
  <si>
    <t xml:space="preserve"> CM1709 </t>
  </si>
  <si>
    <t xml:space="preserve"> CM1707 </t>
  </si>
  <si>
    <t>Corte de precisão com disco diamantado em uma faixa de 3 x 3 cm de cada lado do eixo da junta para criar o detalhe de Lábio Polimérico (corte por m duplo)</t>
  </si>
  <si>
    <t xml:space="preserve"> CM1705 </t>
  </si>
  <si>
    <t xml:space="preserve"> CM1706 </t>
  </si>
  <si>
    <t>310ML</t>
  </si>
  <si>
    <t>SELANTE ELASTICO MONOCOMPONENTE A BASE DE POLIURETANO (PU) PARA JUNTAS DIVERSAS</t>
  </si>
  <si>
    <t xml:space="preserve"> 00000142 </t>
  </si>
  <si>
    <t>kg</t>
  </si>
  <si>
    <t>Pintura à base de resina de poliuretano, Sikafloor - 359 N, Fab. Sika</t>
  </si>
  <si>
    <t xml:space="preserve"> CM1703 </t>
  </si>
  <si>
    <t>Carga inerte para preparação de revestimentos industriais, Sikadur 515, fab. Sika</t>
  </si>
  <si>
    <t xml:space="preserve"> CM1702 </t>
  </si>
  <si>
    <t>Revestimento bicomponente à base de poliuretano, Sikafloor - 3240, Fab.: Sika</t>
  </si>
  <si>
    <t xml:space="preserve"> CM1701 </t>
  </si>
  <si>
    <t>Resina epóxi para imprimação e argamassa de regularização, de baixa viscosidade e bi-componente, Primer Sikafloor 161, fab. Sika</t>
  </si>
  <si>
    <t xml:space="preserve"> CM0827 </t>
  </si>
  <si>
    <t>Argamassa cimentícia modificada com polímero, de alto fluxo, autonivelante e de secagem rápida, Sikafloor-115 Level Residencial, Fab.: Sika</t>
  </si>
  <si>
    <t xml:space="preserve"> CM1700 </t>
  </si>
  <si>
    <t>Tela estruturante de poliéster</t>
  </si>
  <si>
    <t xml:space="preserve"> CM1254 </t>
  </si>
  <si>
    <t>Carga inerte para preparação de revestimentos industriais, Sikadur 512, fab. Sika</t>
  </si>
  <si>
    <t xml:space="preserve"> CM1699 </t>
  </si>
  <si>
    <t>FITA CREPE ROLO DE 25 MM X 50 M</t>
  </si>
  <si>
    <t xml:space="preserve"> 00012815 </t>
  </si>
  <si>
    <t>Massa asfáltica selante de grande aderência e impermeabilidade para tratamento de juntas horizontais. Ref.: Carbolastico 3, Vedacit</t>
  </si>
  <si>
    <t xml:space="preserve"> CM1117 </t>
  </si>
  <si>
    <t>Primer asfáltico à base de água para mantas, fab. Vedacit</t>
  </si>
  <si>
    <t xml:space="preserve"> CM1085 </t>
  </si>
  <si>
    <t>Copia da FDE (16.48.001) - Escarificação de revestimento asfáltico de juntas de proteção mecânica.</t>
  </si>
  <si>
    <t xml:space="preserve"> MPDFT0691 </t>
  </si>
  <si>
    <t>ASFALTO MODIFICADO TIPO III - NBR 9910 (ASFALTO OXIDADO PARA IMPERMEABILIZACAO, COEFICIENTE DE PENETRACAO 15-25)</t>
  </si>
  <si>
    <t xml:space="preserve"> 00000509 </t>
  </si>
  <si>
    <t>GEOTEXTIL NAO TECIDO AGULHADO DE FILAMENTOS CONTINUOS 100% POLIESTER, RESITENCIA A TRACAO = 14 KN/M</t>
  </si>
  <si>
    <t xml:space="preserve"> 00004021 </t>
  </si>
  <si>
    <t>ARGAMASSA TRAÇO 1:4 (EM VOLUME DE CIMENTO E AREIA MÉDIA ÚMIDA) PARA CONTRAPISO, PREPARO MECÂNICO COM BETONEIRA 400 L. AF_08/2019</t>
  </si>
  <si>
    <t xml:space="preserve"> 87301 </t>
  </si>
  <si>
    <t>Manta asfáltica elastomérica em poliéster 4mm, antirraiz</t>
  </si>
  <si>
    <t xml:space="preserve"> CM1475 </t>
  </si>
  <si>
    <t>ARGAMASSA TRAÇO 1:3 (EM VOLUME DE CIMENTO E AREIA MÉDIA ÚMIDA) PARA CONTRAPISO, PREPARO MECÂNICO COM BETONEIRA 400 L. AF_08/2019</t>
  </si>
  <si>
    <t xml:space="preserve"> 87298 </t>
  </si>
  <si>
    <t>LIXA EM FOLHA PARA PAREDE OU MADEIRA, NUMERO 120 (COR VERMELHA)</t>
  </si>
  <si>
    <t xml:space="preserve"> 00003767 </t>
  </si>
  <si>
    <t>FITA DE PAPEL MICROPERFURADO, 50 X 150 MM, PARA TRATAMENTO DE JUNTAS DE CHAPA DE GESSO PARA DRYWALL</t>
  </si>
  <si>
    <t xml:space="preserve"> 00039431 </t>
  </si>
  <si>
    <t>MASSA DE REJUNTE EM PO PARA DRYWALL, A BASE DE GESSO, SECAGEM RAPIDA, PARA TRATAMENTO DE JUNTAS DE CHAPA DE GESSO (NECESSITA ADICAO DE AGUA)</t>
  </si>
  <si>
    <t xml:space="preserve"> 00039434 </t>
  </si>
  <si>
    <t>PLACA / CHAPA DE GESSO ACARTONADO, STANDARD (ST), COR BRANCA, E = 12,5 MM, 1200 X 1800 MM (L X C)</t>
  </si>
  <si>
    <t xml:space="preserve"> 00039412 </t>
  </si>
  <si>
    <t>CANTONEIRA ALUMINIO ABAS IGUAIS 1 ", E = 3 /16 "</t>
  </si>
  <si>
    <t xml:space="preserve"> 00000586 </t>
  </si>
  <si>
    <t>GESSEIRO COM ENCARGOS COMPLEMENTARES</t>
  </si>
  <si>
    <t xml:space="preserve"> 88269 </t>
  </si>
  <si>
    <t>AJUDANTE DE PEDREIRO COM ENCARGOS COMPLEMENTARES</t>
  </si>
  <si>
    <t xml:space="preserve"> 88242 </t>
  </si>
  <si>
    <t>ARGAMASSA COLANTE TIPO AC III E</t>
  </si>
  <si>
    <t xml:space="preserve"> 00037596 </t>
  </si>
  <si>
    <t>PASTILHA CERAMICA/PORCELANA, REVEST INT/EXT E  PISCINA, CORES FRIAS *5 X 5* CM</t>
  </si>
  <si>
    <t xml:space="preserve"> 00036881 </t>
  </si>
  <si>
    <t>AZULEJISTA OU LADRILHISTA COM ENCARGOS COMPLEMENTARES</t>
  </si>
  <si>
    <t xml:space="preserve"> 88256 </t>
  </si>
  <si>
    <t>TELA DE ACO SOLDADA NERVURADA, CA-60, Q-138, (2,20 KG/M2), DIAMETRO DO FIO = 4,2 MM, LARGURA = 2,45 M, ESPACAMENTO DA MALHA = 10  X 10 CM</t>
  </si>
  <si>
    <t xml:space="preserve"> 00007155 </t>
  </si>
  <si>
    <t>ARMADOR COM ENCARGOS COMPLEMENTARES</t>
  </si>
  <si>
    <t xml:space="preserve"> 88245 </t>
  </si>
  <si>
    <t>CONCRETO FCK = 20MPA, TRAÇO 1:2,7:3 (CIMENTO/ AREIA MÉDIA/ BRITA 1)  - PREPARO MECÂNICO COM BETONEIRA 400 L. AF_07/2016</t>
  </si>
  <si>
    <t xml:space="preserve"> 94964 </t>
  </si>
  <si>
    <t xml:space="preserve"> CM1708 </t>
  </si>
  <si>
    <t>CHI</t>
  </si>
  <si>
    <t>CARGA MANUAL DE ENTULHO EM CAMINHAO BASCULANTE 6 M3</t>
  </si>
  <si>
    <t xml:space="preserve"> 72897 </t>
  </si>
  <si>
    <t>M3XKM</t>
  </si>
  <si>
    <t>TRANSPORTE COM CAMINHÃO BASCULANTE DE 6 M³, EM VIA URBANA PAVIMENTADA, ADICIONAL PARA DMT EXCEDENTE A 30 KM (UNIDADE: M3XKM). AF_07/2020</t>
  </si>
  <si>
    <t xml:space="preserve"> 97915 </t>
  </si>
  <si>
    <t>MARTELETE OU ROMPEDOR PNEUMÁTICO MANUAL, 28 KG, COM SILENCIADOR - CHI DIURNO. AF_07/2016</t>
  </si>
  <si>
    <t xml:space="preserve"> 5952 </t>
  </si>
  <si>
    <t>MARTELETE OU ROMPEDOR PNEUMÁTICO MANUAL, 28 KG, COM SILENCIADOR - CHP DIURNO. AF_07/2016</t>
  </si>
  <si>
    <t xml:space="preserve"> 5795 </t>
  </si>
  <si>
    <t>Anotação de Resposanbilidade Técnica (Faixa 3 - Tabela A - CONFEA)</t>
  </si>
  <si>
    <t xml:space="preserve"> CM0645 </t>
  </si>
  <si>
    <t>Planilha Orçamentária Analítica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</si>
  <si>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</si>
  <si>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</si>
  <si>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</si>
  <si>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</si>
  <si>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</si>
  <si>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</si>
  <si>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</si>
  <si>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</si>
  <si>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</si>
  <si>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</si>
  <si>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</si>
  <si>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</si>
  <si>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</si>
  <si>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</si>
  <si>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</si>
  <si>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</si>
  <si>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</si>
  <si>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</si>
  <si>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</si>
  <si>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</si>
  <si>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</si>
  <si>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</si>
  <si>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</si>
  <si>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</si>
  <si>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aplicadas, que representam aproximadamente 50% do total da obra)</t>
  </si>
  <si>
    <t>BDI</t>
  </si>
  <si>
    <t>BDI = [(((1+(a1+a2+a3))*(1+a4)*(1+a5)))/(1-B1)-1]</t>
  </si>
  <si>
    <t>Composição de Encargos Sociais</t>
  </si>
  <si>
    <t>CÓDIGO</t>
  </si>
  <si>
    <t>DESCRIÇÃO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</si>
  <si>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</si>
  <si>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</si>
  <si>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</si>
  <si>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</si>
  <si>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</si>
  <si>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</si>
  <si>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</si>
  <si>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</si>
  <si>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</si>
  <si>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</si>
  <si>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</si>
  <si>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</si>
  <si>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</si>
  <si>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</si>
  <si>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</si>
  <si>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</si>
  <si>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</si>
  <si>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</si>
  <si>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</si>
  <si>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</si>
  <si>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</si>
  <si>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</si>
  <si>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</si>
  <si>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</si>
  <si>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</si>
  <si>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</si>
  <si>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</si>
  <si>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</si>
  <si>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</si>
  <si>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</si>
  <si>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</si>
  <si>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</si>
  <si>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</si>
  <si>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</si>
  <si>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</si>
  <si>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</si>
  <si>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</si>
  <si>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</si>
  <si>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</si>
  <si>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</si>
  <si>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</si>
  <si>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</si>
  <si>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</si>
  <si>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</si>
  <si>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</si>
  <si>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</si>
  <si>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</si>
  <si>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</si>
  <si>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</si>
  <si>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</si>
  <si>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</si>
  <si>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</si>
  <si>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</si>
  <si>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</si>
  <si>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</si>
  <si>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</si>
  <si>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</si>
  <si>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</si>
  <si>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</si>
  <si>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</si>
  <si>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</si>
  <si>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</si>
  <si>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Valor Acumulado</t>
  </si>
  <si>
    <t>Custo Acumulado</t>
  </si>
  <si>
    <t>Porcentagem Acumulado</t>
  </si>
  <si>
    <t>Custo</t>
  </si>
  <si>
    <t>Porcentagem</t>
  </si>
  <si>
    <t>90 DIAS</t>
  </si>
  <si>
    <t>60 DIAS</t>
  </si>
  <si>
    <t>30 DIAS</t>
  </si>
  <si>
    <t>Total Por Etapa</t>
  </si>
  <si>
    <t>Cronograma Físico e Financeiro</t>
  </si>
  <si>
    <t>Valor Mensal</t>
  </si>
  <si>
    <t>Classificação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</si>
  <si>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</si>
  <si>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</si>
  <si>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</si>
  <si>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</si>
  <si>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</si>
  <si>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. Em consoância com o edital aqueles são os valores máximos adimitidos, desta forma, é facultado à Licitante sua manutenção ou diminuição.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</si>
  <si>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</si>
  <si>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</si>
  <si>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</si>
  <si>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</si>
  <si>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</si>
  <si>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</si>
  <si>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</si>
  <si>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</si>
  <si>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</si>
  <si>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</si>
  <si>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SOBRE A PLANILHA DE ORÇAMENTO ANALÍTICO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</si>
  <si>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</si>
  <si>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</si>
  <si>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</si>
  <si>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</si>
  <si>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</si>
  <si>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neste arquivo. Em consoância com o edital aqueles são os valores máximos adimitidos, desta forma, é facultado à Licitante sua manutenção ou diminuição.</t>
  </si>
  <si>
    <r>
      <t>Os valores unitários deverão ser preenchidos com</t>
    </r>
    <r>
      <rPr>
        <b/>
        <u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</si>
  <si>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</si>
  <si>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</si>
  <si>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</si>
  <si>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</si>
  <si>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</si>
  <si>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</si>
  <si>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</si>
  <si>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</si>
  <si>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</si>
  <si>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</si>
  <si>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</si>
  <si>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</si>
  <si>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</si>
  <si>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</si>
  <si>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</si>
  <si>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</si>
  <si>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r>
      <t xml:space="preserve">As </t>
    </r>
    <r>
      <rPr>
        <b/>
        <sz val="8"/>
        <color indexed="10"/>
        <rFont val="Arial"/>
        <family val="2"/>
      </rPr>
      <t>etapas</t>
    </r>
    <r>
      <rPr>
        <sz val="8"/>
        <rFont val="Arial"/>
        <family val="2"/>
      </rPr>
      <t xml:space="preserve"> a serem executadas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</si>
  <si>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</si>
  <si>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</si>
  <si>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</si>
  <si>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</si>
  <si>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</si>
  <si>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</si>
  <si>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</si>
  <si>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</si>
  <si>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</si>
  <si>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</si>
  <si>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</si>
  <si>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t>Marca</t>
  </si>
  <si>
    <t>Modelo</t>
  </si>
  <si>
    <t>********</t>
  </si>
  <si>
    <t>*******</t>
  </si>
  <si>
    <t>Insumos e Serviços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</si>
  <si>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B123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</si>
  <si>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r>
      <rPr>
        <b/>
        <sz val="8"/>
        <color indexed="8"/>
        <rFont val="Arial"/>
        <family val="2"/>
      </rPr>
      <t xml:space="preserve">Objeto: </t>
    </r>
    <r>
      <rPr>
        <sz val="8"/>
        <color indexed="8"/>
        <rFont val="Arial"/>
        <family val="2"/>
      </rPr>
      <t>Recuperação de juntas estruturais e impermeabilização das jardineiras no edifício-sede</t>
    </r>
  </si>
  <si>
    <r>
      <rPr>
        <b/>
        <sz val="8"/>
        <color indexed="8"/>
        <rFont val="Arial"/>
        <family val="2"/>
      </rPr>
      <t>Local:</t>
    </r>
    <r>
      <rPr>
        <sz val="8"/>
        <color indexed="8"/>
        <rFont val="Arial"/>
        <family val="2"/>
      </rPr>
      <t xml:space="preserve"> Praça do Buriti Bloco A, Lote 2 - Zona Cívico-Administrativa - Brasília / DF</t>
    </r>
  </si>
  <si>
    <t>Porcentagem sem item 10</t>
  </si>
  <si>
    <t>Custo total sem item 10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</si>
</sst>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\ %"/>
    <numFmt numFmtId="165" formatCode="#,##0.0000"/>
    <numFmt numFmtId="166" formatCode="#,##0.0000000"/>
    <numFmt numFmtId="167" formatCode="0.0000"/>
  </numFmts>
  <fonts count="34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sz val="8"/>
      <name val="Arial"/>
      <family val="2"/>
    </font>
    <font>
      <b/>
      <sz val="8"/>
      <color indexed="8"/>
      <name val="Arial"/>
      <family val="1"/>
    </font>
    <font>
      <sz val="8"/>
      <color indexed="8"/>
      <name val="Arial"/>
      <family val="1"/>
    </font>
    <font>
      <sz val="8"/>
      <name val="Arial"/>
      <family val="1"/>
    </font>
    <font>
      <b/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  <charset val="1"/>
    </font>
    <font>
      <sz val="10"/>
      <name val="Tahoma"/>
      <family val="2"/>
    </font>
    <font>
      <b/>
      <sz val="8"/>
      <name val="Arial"/>
      <family val="2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1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3">
    <xf numFmtId="0" fontId="0" fillId="0" borderId="0" xfId="0"/>
    <xf numFmtId="0" fontId="4" fillId="2" borderId="0" xfId="0" applyFont="1" applyFill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9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6" fillId="4" borderId="2" xfId="0" applyFont="1" applyFill="1" applyBorder="1" applyAlignment="1">
      <alignment horizontal="center" vertical="top" wrapText="1"/>
    </xf>
    <xf numFmtId="9" fontId="6" fillId="4" borderId="2" xfId="8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right" vertical="top" wrapText="1"/>
    </xf>
    <xf numFmtId="0" fontId="6" fillId="4" borderId="0" xfId="0" applyFont="1" applyFill="1" applyAlignment="1">
      <alignment horizontal="right" vertical="top"/>
    </xf>
    <xf numFmtId="43" fontId="6" fillId="4" borderId="0" xfId="9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8" fillId="5" borderId="3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8" fillId="5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0" fontId="10" fillId="0" borderId="1" xfId="8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/>
    </xf>
    <xf numFmtId="10" fontId="6" fillId="0" borderId="1" xfId="8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4" fillId="0" borderId="0" xfId="1" applyFont="1"/>
    <xf numFmtId="0" fontId="7" fillId="0" borderId="0" xfId="2" applyFont="1"/>
    <xf numFmtId="0" fontId="16" fillId="0" borderId="0" xfId="1" applyFont="1"/>
    <xf numFmtId="0" fontId="12" fillId="0" borderId="0" xfId="2" applyFont="1"/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10" fontId="7" fillId="0" borderId="1" xfId="8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/>
    </xf>
    <xf numFmtId="0" fontId="18" fillId="0" borderId="8" xfId="0" applyFont="1" applyBorder="1" applyAlignment="1">
      <alignment vertical="top"/>
    </xf>
    <xf numFmtId="10" fontId="18" fillId="0" borderId="1" xfId="8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10" fontId="20" fillId="0" borderId="1" xfId="8" applyNumberFormat="1" applyFont="1" applyFill="1" applyBorder="1" applyAlignment="1">
      <alignment horizontal="center" vertical="top" wrapText="1"/>
    </xf>
    <xf numFmtId="10" fontId="19" fillId="0" borderId="1" xfId="8" applyNumberFormat="1" applyFont="1" applyFill="1" applyBorder="1" applyAlignment="1">
      <alignment horizontal="center" vertical="top" wrapText="1"/>
    </xf>
    <xf numFmtId="10" fontId="19" fillId="7" borderId="8" xfId="8" applyNumberFormat="1" applyFont="1" applyFill="1" applyBorder="1" applyAlignment="1">
      <alignment horizontal="center" vertical="distributed" wrapText="1"/>
    </xf>
    <xf numFmtId="0" fontId="0" fillId="0" borderId="0" xfId="2" applyFont="1"/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13" fillId="0" borderId="0" xfId="2"/>
    <xf numFmtId="0" fontId="2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0" fillId="0" borderId="11" xfId="0" applyBorder="1"/>
    <xf numFmtId="0" fontId="0" fillId="0" borderId="6" xfId="0" applyBorder="1"/>
    <xf numFmtId="0" fontId="1" fillId="2" borderId="6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43" fontId="8" fillId="3" borderId="1" xfId="9" applyFont="1" applyFill="1" applyBorder="1" applyAlignment="1">
      <alignment horizontal="right" vertical="top" wrapText="1"/>
    </xf>
    <xf numFmtId="0" fontId="24" fillId="0" borderId="11" xfId="7" applyFont="1" applyBorder="1"/>
    <xf numFmtId="0" fontId="24" fillId="0" borderId="5" xfId="7" applyFont="1" applyBorder="1"/>
    <xf numFmtId="0" fontId="18" fillId="7" borderId="13" xfId="7" applyFont="1" applyFill="1" applyBorder="1" applyAlignment="1">
      <alignment horizontal="center"/>
    </xf>
    <xf numFmtId="0" fontId="25" fillId="7" borderId="14" xfId="5" applyFont="1" applyFill="1" applyBorder="1" applyAlignment="1">
      <alignment vertical="distributed" wrapText="1"/>
    </xf>
    <xf numFmtId="0" fontId="7" fillId="0" borderId="15" xfId="7" applyFont="1" applyBorder="1" applyAlignment="1">
      <alignment horizontal="center"/>
    </xf>
    <xf numFmtId="0" fontId="7" fillId="0" borderId="16" xfId="7" applyFont="1" applyBorder="1" applyAlignment="1">
      <alignment horizontal="justify" vertical="distributed" wrapText="1"/>
    </xf>
    <xf numFmtId="0" fontId="7" fillId="0" borderId="17" xfId="7" applyFont="1" applyBorder="1" applyAlignment="1">
      <alignment horizontal="center"/>
    </xf>
    <xf numFmtId="0" fontId="7" fillId="0" borderId="18" xfId="7" applyFont="1" applyBorder="1" applyAlignment="1">
      <alignment horizontal="justify" vertical="distributed" wrapText="1"/>
    </xf>
    <xf numFmtId="0" fontId="13" fillId="0" borderId="6" xfId="7" applyBorder="1"/>
    <xf numFmtId="0" fontId="13" fillId="0" borderId="7" xfId="7" applyBorder="1"/>
    <xf numFmtId="0" fontId="18" fillId="7" borderId="15" xfId="7" applyFont="1" applyFill="1" applyBorder="1" applyAlignment="1">
      <alignment horizontal="center"/>
    </xf>
    <xf numFmtId="0" fontId="25" fillId="7" borderId="16" xfId="5" applyFont="1" applyFill="1" applyBorder="1" applyAlignment="1">
      <alignment vertical="distributed" wrapText="1"/>
    </xf>
    <xf numFmtId="0" fontId="18" fillId="7" borderId="15" xfId="0" applyFont="1" applyFill="1" applyBorder="1" applyAlignment="1">
      <alignment horizontal="center"/>
    </xf>
    <xf numFmtId="0" fontId="25" fillId="7" borderId="16" xfId="3" applyFont="1" applyFill="1" applyBorder="1" applyAlignment="1">
      <alignment vertical="distributed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justify" vertical="distributed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justify" vertical="distributed" wrapText="1"/>
    </xf>
    <xf numFmtId="0" fontId="14" fillId="0" borderId="11" xfId="4" applyFont="1" applyBorder="1" applyAlignment="1">
      <alignment horizontal="left"/>
    </xf>
    <xf numFmtId="0" fontId="14" fillId="0" borderId="19" xfId="0" applyFont="1" applyBorder="1"/>
    <xf numFmtId="0" fontId="14" fillId="0" borderId="19" xfId="4" applyFont="1" applyBorder="1" applyAlignment="1">
      <alignment horizontal="left"/>
    </xf>
    <xf numFmtId="0" fontId="25" fillId="0" borderId="12" xfId="4" applyFont="1" applyBorder="1" applyAlignment="1">
      <alignment horizontal="center" vertical="center"/>
    </xf>
    <xf numFmtId="0" fontId="14" fillId="0" borderId="20" xfId="0" applyFont="1" applyBorder="1"/>
    <xf numFmtId="0" fontId="25" fillId="0" borderId="20" xfId="0" applyFont="1" applyBorder="1" applyAlignment="1">
      <alignment horizontal="center"/>
    </xf>
    <xf numFmtId="17" fontId="14" fillId="0" borderId="11" xfId="4" applyNumberFormat="1" applyFont="1" applyBorder="1" applyAlignment="1">
      <alignment horizontal="left"/>
    </xf>
    <xf numFmtId="14" fontId="25" fillId="0" borderId="12" xfId="4" applyNumberFormat="1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top" wrapText="1"/>
    </xf>
    <xf numFmtId="0" fontId="18" fillId="4" borderId="0" xfId="0" applyFont="1" applyFill="1" applyAlignment="1">
      <alignment horizontal="right" vertical="top" wrapText="1"/>
    </xf>
    <xf numFmtId="0" fontId="18" fillId="4" borderId="0" xfId="0" applyFont="1" applyFill="1" applyAlignment="1">
      <alignment horizontal="right" vertical="top"/>
    </xf>
    <xf numFmtId="43" fontId="18" fillId="4" borderId="0" xfId="9" applyFont="1" applyFill="1" applyAlignment="1">
      <alignment vertical="top" wrapText="1"/>
    </xf>
    <xf numFmtId="43" fontId="18" fillId="4" borderId="0" xfId="9" applyFont="1" applyFill="1" applyAlignment="1">
      <alignment horizontal="center" vertical="top" wrapText="1"/>
    </xf>
    <xf numFmtId="0" fontId="14" fillId="0" borderId="21" xfId="4" applyFont="1" applyBorder="1" applyAlignment="1">
      <alignment horizontal="left"/>
    </xf>
    <xf numFmtId="4" fontId="7" fillId="0" borderId="4" xfId="0" applyNumberFormat="1" applyFont="1" applyBorder="1"/>
    <xf numFmtId="0" fontId="14" fillId="0" borderId="4" xfId="4" applyFont="1" applyBorder="1" applyAlignment="1">
      <alignment horizontal="left"/>
    </xf>
    <xf numFmtId="0" fontId="7" fillId="0" borderId="6" xfId="3" applyFont="1" applyBorder="1" applyAlignment="1">
      <alignment horizontal="left"/>
    </xf>
    <xf numFmtId="0" fontId="14" fillId="0" borderId="7" xfId="4" applyFont="1" applyBorder="1" applyAlignment="1">
      <alignment horizontal="left"/>
    </xf>
    <xf numFmtId="0" fontId="7" fillId="0" borderId="11" xfId="3" applyFont="1" applyBorder="1" applyAlignment="1">
      <alignment horizontal="left"/>
    </xf>
    <xf numFmtId="0" fontId="14" fillId="0" borderId="5" xfId="4" applyFont="1" applyBorder="1" applyAlignment="1">
      <alignment horizontal="left"/>
    </xf>
    <xf numFmtId="167" fontId="14" fillId="0" borderId="21" xfId="4" applyNumberFormat="1" applyFont="1" applyBorder="1" applyAlignment="1">
      <alignment horizontal="left"/>
    </xf>
    <xf numFmtId="17" fontId="14" fillId="0" borderId="4" xfId="4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 wrapText="1"/>
    </xf>
    <xf numFmtId="14" fontId="25" fillId="0" borderId="20" xfId="4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right" vertical="center" wrapText="1"/>
    </xf>
    <xf numFmtId="167" fontId="8" fillId="0" borderId="1" xfId="0" applyNumberFormat="1" applyFont="1" applyBorder="1" applyAlignment="1">
      <alignment horizontal="right" vertical="center" wrapText="1"/>
    </xf>
    <xf numFmtId="167" fontId="0" fillId="0" borderId="0" xfId="0" applyNumberFormat="1"/>
    <xf numFmtId="0" fontId="25" fillId="0" borderId="12" xfId="4" applyFont="1" applyBorder="1" applyAlignment="1">
      <alignment vertical="center"/>
    </xf>
    <xf numFmtId="0" fontId="0" fillId="0" borderId="0" xfId="0" applyBorder="1"/>
    <xf numFmtId="0" fontId="1" fillId="2" borderId="0" xfId="0" applyFont="1" applyFill="1" applyBorder="1" applyAlignment="1">
      <alignment vertical="top" wrapText="1"/>
    </xf>
    <xf numFmtId="10" fontId="30" fillId="5" borderId="22" xfId="8" applyNumberFormat="1" applyFont="1" applyFill="1" applyBorder="1" applyAlignment="1">
      <alignment horizontal="right" vertical="top" wrapText="1"/>
    </xf>
    <xf numFmtId="10" fontId="31" fillId="5" borderId="22" xfId="8" applyNumberFormat="1" applyFont="1" applyFill="1" applyBorder="1" applyAlignment="1">
      <alignment horizontal="right" vertical="top" wrapText="1"/>
    </xf>
    <xf numFmtId="43" fontId="8" fillId="5" borderId="23" xfId="9" applyFont="1" applyFill="1" applyBorder="1" applyAlignment="1">
      <alignment horizontal="right" vertical="top" wrapText="1"/>
    </xf>
    <xf numFmtId="43" fontId="32" fillId="5" borderId="23" xfId="9" applyFont="1" applyFill="1" applyBorder="1" applyAlignment="1">
      <alignment horizontal="right" vertical="top" wrapText="1"/>
    </xf>
    <xf numFmtId="10" fontId="30" fillId="0" borderId="22" xfId="8" applyNumberFormat="1" applyFont="1" applyFill="1" applyBorder="1" applyAlignment="1">
      <alignment horizontal="right" vertical="top" wrapText="1"/>
    </xf>
    <xf numFmtId="10" fontId="33" fillId="0" borderId="22" xfId="8" applyNumberFormat="1" applyFont="1" applyFill="1" applyBorder="1" applyAlignment="1">
      <alignment horizontal="right" vertical="top" wrapText="1"/>
    </xf>
    <xf numFmtId="10" fontId="33" fillId="0" borderId="22" xfId="8" quotePrefix="1" applyNumberFormat="1" applyFont="1" applyFill="1" applyBorder="1" applyAlignment="1">
      <alignment horizontal="right" vertical="top" wrapText="1"/>
    </xf>
    <xf numFmtId="43" fontId="8" fillId="0" borderId="23" xfId="9" applyFont="1" applyFill="1" applyBorder="1" applyAlignment="1">
      <alignment horizontal="right" vertical="top" wrapText="1"/>
    </xf>
    <xf numFmtId="43" fontId="21" fillId="0" borderId="23" xfId="9" applyFont="1" applyFill="1" applyBorder="1" applyAlignment="1">
      <alignment horizontal="right" vertical="top" wrapText="1"/>
    </xf>
    <xf numFmtId="10" fontId="30" fillId="3" borderId="22" xfId="8" applyNumberFormat="1" applyFont="1" applyFill="1" applyBorder="1" applyAlignment="1">
      <alignment horizontal="right" vertical="top" wrapText="1"/>
    </xf>
    <xf numFmtId="10" fontId="31" fillId="3" borderId="22" xfId="8" applyNumberFormat="1" applyFont="1" applyFill="1" applyBorder="1" applyAlignment="1">
      <alignment horizontal="right" vertical="top" wrapText="1"/>
    </xf>
    <xf numFmtId="43" fontId="8" fillId="3" borderId="23" xfId="9" applyFont="1" applyFill="1" applyBorder="1" applyAlignment="1">
      <alignment horizontal="right" vertical="top" wrapText="1"/>
    </xf>
    <xf numFmtId="43" fontId="32" fillId="3" borderId="23" xfId="9" applyFont="1" applyFill="1" applyBorder="1" applyAlignment="1">
      <alignment horizontal="right" vertical="top" wrapText="1"/>
    </xf>
    <xf numFmtId="43" fontId="6" fillId="2" borderId="0" xfId="0" applyNumberFormat="1" applyFont="1" applyFill="1" applyAlignment="1">
      <alignment horizontal="left" vertical="top" wrapText="1"/>
    </xf>
    <xf numFmtId="0" fontId="7" fillId="0" borderId="24" xfId="0" applyFont="1" applyBorder="1"/>
    <xf numFmtId="0" fontId="7" fillId="0" borderId="0" xfId="0" applyFont="1"/>
    <xf numFmtId="4" fontId="18" fillId="2" borderId="0" xfId="0" applyNumberFormat="1" applyFont="1" applyFill="1" applyAlignment="1">
      <alignment vertical="top" wrapText="1"/>
    </xf>
    <xf numFmtId="4" fontId="6" fillId="2" borderId="25" xfId="0" applyNumberFormat="1" applyFont="1" applyFill="1" applyBorder="1" applyAlignment="1">
      <alignment horizontal="right" vertical="top" wrapText="1"/>
    </xf>
    <xf numFmtId="10" fontId="32" fillId="0" borderId="22" xfId="8" applyNumberFormat="1" applyFont="1" applyFill="1" applyBorder="1" applyAlignment="1">
      <alignment horizontal="right" vertical="top" wrapText="1"/>
    </xf>
    <xf numFmtId="43" fontId="6" fillId="2" borderId="23" xfId="9" applyFont="1" applyFill="1" applyBorder="1" applyAlignment="1">
      <alignment horizontal="right" vertical="top" wrapText="1"/>
    </xf>
    <xf numFmtId="4" fontId="18" fillId="2" borderId="0" xfId="0" applyNumberFormat="1" applyFont="1" applyFill="1" applyAlignment="1">
      <alignment horizontal="right" vertical="top" wrapText="1"/>
    </xf>
    <xf numFmtId="0" fontId="23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167" fontId="2" fillId="4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justify" vertical="center" wrapText="1"/>
    </xf>
    <xf numFmtId="0" fontId="32" fillId="5" borderId="1" xfId="0" applyFont="1" applyFill="1" applyBorder="1" applyAlignment="1">
      <alignment horizontal="left" vertical="top" wrapText="1"/>
    </xf>
    <xf numFmtId="165" fontId="32" fillId="5" borderId="1" xfId="0" applyNumberFormat="1" applyFont="1" applyFill="1" applyBorder="1" applyAlignment="1">
      <alignment horizontal="right" vertical="top" wrapText="1"/>
    </xf>
    <xf numFmtId="4" fontId="32" fillId="5" borderId="1" xfId="0" applyNumberFormat="1" applyFont="1" applyFill="1" applyBorder="1" applyAlignment="1">
      <alignment horizontal="right" vertical="top" wrapText="1"/>
    </xf>
    <xf numFmtId="0" fontId="32" fillId="6" borderId="1" xfId="0" applyFont="1" applyFill="1" applyBorder="1" applyAlignment="1">
      <alignment horizontal="left" vertical="top" wrapText="1"/>
    </xf>
    <xf numFmtId="165" fontId="32" fillId="6" borderId="1" xfId="0" applyNumberFormat="1" applyFont="1" applyFill="1" applyBorder="1" applyAlignment="1">
      <alignment horizontal="right" vertical="top" wrapText="1"/>
    </xf>
    <xf numFmtId="4" fontId="32" fillId="3" borderId="1" xfId="0" applyNumberFormat="1" applyFont="1" applyFill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167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2" fillId="3" borderId="1" xfId="0" applyFont="1" applyFill="1" applyBorder="1" applyAlignment="1">
      <alignment horizontal="right" vertical="top" wrapText="1"/>
    </xf>
    <xf numFmtId="0" fontId="32" fillId="3" borderId="1" xfId="0" applyFont="1" applyFill="1" applyBorder="1" applyAlignment="1">
      <alignment horizontal="left" vertical="top" wrapText="1"/>
    </xf>
    <xf numFmtId="0" fontId="32" fillId="0" borderId="1" xfId="0" applyFont="1" applyBorder="1" applyAlignment="1">
      <alignment horizontal="left" vertical="top" wrapText="1"/>
    </xf>
    <xf numFmtId="0" fontId="32" fillId="8" borderId="1" xfId="0" applyFont="1" applyFill="1" applyBorder="1" applyAlignment="1">
      <alignment horizontal="right" vertical="top" wrapText="1"/>
    </xf>
    <xf numFmtId="0" fontId="32" fillId="8" borderId="1" xfId="0" applyFont="1" applyFill="1" applyBorder="1" applyAlignment="1">
      <alignment horizontal="left" vertical="top" wrapText="1"/>
    </xf>
    <xf numFmtId="4" fontId="32" fillId="8" borderId="1" xfId="0" applyNumberFormat="1" applyFont="1" applyFill="1" applyBorder="1" applyAlignment="1">
      <alignment horizontal="right" vertical="top" wrapText="1"/>
    </xf>
    <xf numFmtId="0" fontId="32" fillId="5" borderId="1" xfId="0" applyFont="1" applyFill="1" applyBorder="1" applyAlignment="1">
      <alignment horizontal="right" vertical="top" wrapText="1"/>
    </xf>
    <xf numFmtId="0" fontId="32" fillId="9" borderId="1" xfId="0" applyFont="1" applyFill="1" applyBorder="1" applyAlignment="1">
      <alignment horizontal="right" vertical="top" wrapText="1"/>
    </xf>
    <xf numFmtId="0" fontId="32" fillId="9" borderId="1" xfId="0" applyFont="1" applyFill="1" applyBorder="1" applyAlignment="1">
      <alignment horizontal="left" vertical="top" wrapText="1"/>
    </xf>
    <xf numFmtId="4" fontId="32" fillId="9" borderId="1" xfId="0" applyNumberFormat="1" applyFont="1" applyFill="1" applyBorder="1" applyAlignment="1">
      <alignment horizontal="right" vertical="top" wrapText="1"/>
    </xf>
    <xf numFmtId="0" fontId="21" fillId="0" borderId="26" xfId="0" applyFont="1" applyBorder="1" applyAlignment="1">
      <alignment horizontal="left" vertical="top" wrapText="1"/>
    </xf>
    <xf numFmtId="0" fontId="21" fillId="8" borderId="26" xfId="0" applyFont="1" applyFill="1" applyBorder="1" applyAlignment="1">
      <alignment horizontal="left" vertical="top" wrapText="1"/>
    </xf>
    <xf numFmtId="164" fontId="32" fillId="5" borderId="1" xfId="0" applyNumberFormat="1" applyFont="1" applyFill="1" applyBorder="1" applyAlignment="1">
      <alignment horizontal="right" vertical="top" wrapText="1"/>
    </xf>
    <xf numFmtId="43" fontId="0" fillId="0" borderId="0" xfId="0" applyNumberFormat="1"/>
    <xf numFmtId="4" fontId="9" fillId="0" borderId="25" xfId="0" applyNumberFormat="1" applyFont="1" applyFill="1" applyBorder="1" applyAlignment="1">
      <alignment horizontal="right" vertical="center" wrapText="1"/>
    </xf>
    <xf numFmtId="0" fontId="23" fillId="4" borderId="27" xfId="7" applyFont="1" applyFill="1" applyBorder="1" applyAlignment="1">
      <alignment horizontal="center"/>
    </xf>
    <xf numFmtId="0" fontId="23" fillId="4" borderId="28" xfId="7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25" fillId="0" borderId="12" xfId="4" applyFont="1" applyBorder="1" applyAlignment="1">
      <alignment horizontal="center" vertical="center"/>
    </xf>
    <xf numFmtId="0" fontId="25" fillId="0" borderId="10" xfId="4" applyFont="1" applyBorder="1" applyAlignment="1">
      <alignment horizontal="center" vertical="center"/>
    </xf>
    <xf numFmtId="0" fontId="25" fillId="0" borderId="9" xfId="4" applyFont="1" applyBorder="1" applyAlignment="1">
      <alignment horizontal="center" vertical="center"/>
    </xf>
    <xf numFmtId="0" fontId="25" fillId="0" borderId="6" xfId="3" applyFont="1" applyBorder="1" applyAlignment="1">
      <alignment horizontal="center"/>
    </xf>
    <xf numFmtId="0" fontId="25" fillId="0" borderId="7" xfId="3" applyFont="1" applyBorder="1" applyAlignment="1">
      <alignment horizontal="center"/>
    </xf>
    <xf numFmtId="0" fontId="25" fillId="0" borderId="12" xfId="3" applyFont="1" applyBorder="1" applyAlignment="1">
      <alignment horizontal="center"/>
    </xf>
    <xf numFmtId="0" fontId="25" fillId="0" borderId="10" xfId="3" applyFont="1" applyBorder="1" applyAlignment="1">
      <alignment horizontal="center"/>
    </xf>
    <xf numFmtId="0" fontId="25" fillId="0" borderId="11" xfId="3" applyFont="1" applyBorder="1" applyAlignment="1">
      <alignment horizontal="center"/>
    </xf>
    <xf numFmtId="0" fontId="25" fillId="0" borderId="5" xfId="3" applyFont="1" applyBorder="1" applyAlignment="1">
      <alignment horizontal="center"/>
    </xf>
    <xf numFmtId="14" fontId="25" fillId="0" borderId="12" xfId="3" applyNumberFormat="1" applyFont="1" applyBorder="1" applyAlignment="1">
      <alignment horizontal="center"/>
    </xf>
    <xf numFmtId="14" fontId="25" fillId="0" borderId="9" xfId="3" applyNumberFormat="1" applyFont="1" applyBorder="1" applyAlignment="1">
      <alignment horizontal="center"/>
    </xf>
    <xf numFmtId="17" fontId="14" fillId="0" borderId="11" xfId="4" applyNumberFormat="1" applyFont="1" applyBorder="1" applyAlignment="1">
      <alignment horizontal="justify"/>
    </xf>
    <xf numFmtId="17" fontId="14" fillId="0" borderId="5" xfId="4" applyNumberFormat="1" applyFont="1" applyBorder="1" applyAlignment="1">
      <alignment horizontal="justify"/>
    </xf>
    <xf numFmtId="43" fontId="6" fillId="4" borderId="0" xfId="9" applyFont="1" applyFill="1" applyAlignment="1">
      <alignment horizontal="center" vertical="top" wrapText="1"/>
    </xf>
    <xf numFmtId="0" fontId="6" fillId="4" borderId="30" xfId="0" applyFont="1" applyFill="1" applyBorder="1" applyAlignment="1">
      <alignment horizontal="center" vertical="top" wrapText="1"/>
    </xf>
    <xf numFmtId="0" fontId="6" fillId="4" borderId="31" xfId="0" applyFont="1" applyFill="1" applyBorder="1" applyAlignment="1">
      <alignment horizontal="center" vertical="top" wrapText="1"/>
    </xf>
    <xf numFmtId="9" fontId="6" fillId="4" borderId="30" xfId="8" applyFont="1" applyFill="1" applyBorder="1" applyAlignment="1">
      <alignment horizontal="center" vertical="top" wrapText="1"/>
    </xf>
    <xf numFmtId="9" fontId="6" fillId="4" borderId="31" xfId="8" applyFont="1" applyFill="1" applyBorder="1" applyAlignment="1">
      <alignment horizontal="center" vertical="top" wrapText="1"/>
    </xf>
    <xf numFmtId="0" fontId="25" fillId="0" borderId="32" xfId="3" applyFont="1" applyBorder="1" applyAlignment="1">
      <alignment horizontal="center"/>
    </xf>
    <xf numFmtId="14" fontId="25" fillId="0" borderId="12" xfId="4" applyNumberFormat="1" applyFont="1" applyBorder="1" applyAlignment="1">
      <alignment horizontal="center" vertical="center"/>
    </xf>
    <xf numFmtId="14" fontId="25" fillId="0" borderId="10" xfId="4" applyNumberFormat="1" applyFont="1" applyBorder="1" applyAlignment="1">
      <alignment horizontal="center" vertical="center"/>
    </xf>
    <xf numFmtId="0" fontId="22" fillId="2" borderId="33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19" fillId="7" borderId="3" xfId="6" applyFont="1" applyFill="1" applyBorder="1" applyAlignment="1">
      <alignment horizontal="center" vertical="distributed" wrapText="1"/>
    </xf>
    <xf numFmtId="0" fontId="19" fillId="7" borderId="34" xfId="6" applyFont="1" applyFill="1" applyBorder="1" applyAlignment="1">
      <alignment horizontal="center" vertical="distributed" wrapText="1"/>
    </xf>
    <xf numFmtId="0" fontId="19" fillId="7" borderId="8" xfId="6" applyFont="1" applyFill="1" applyBorder="1" applyAlignment="1">
      <alignment horizontal="center" vertical="distributed" wrapText="1"/>
    </xf>
    <xf numFmtId="0" fontId="15" fillId="0" borderId="33" xfId="3" applyFont="1" applyBorder="1" applyAlignment="1">
      <alignment horizontal="center" vertical="center"/>
    </xf>
    <xf numFmtId="0" fontId="18" fillId="7" borderId="3" xfId="6" applyFont="1" applyFill="1" applyBorder="1" applyAlignment="1">
      <alignment horizontal="center" vertical="distributed" wrapText="1"/>
    </xf>
    <xf numFmtId="0" fontId="18" fillId="7" borderId="34" xfId="6" applyFont="1" applyFill="1" applyBorder="1" applyAlignment="1">
      <alignment horizontal="center" vertical="distributed" wrapText="1"/>
    </xf>
    <xf numFmtId="0" fontId="18" fillId="7" borderId="8" xfId="6" applyFont="1" applyFill="1" applyBorder="1" applyAlignment="1">
      <alignment horizontal="center" vertical="distributed" wrapText="1"/>
    </xf>
    <xf numFmtId="0" fontId="18" fillId="2" borderId="0" xfId="0" applyFont="1" applyFill="1" applyAlignment="1">
      <alignment horizontal="right" vertical="top" wrapText="1"/>
    </xf>
    <xf numFmtId="0" fontId="8" fillId="3" borderId="22" xfId="0" applyFont="1" applyFill="1" applyBorder="1" applyAlignment="1">
      <alignment horizontal="justify" vertical="top" wrapText="1"/>
    </xf>
    <xf numFmtId="0" fontId="8" fillId="3" borderId="23" xfId="0" applyFont="1" applyFill="1" applyBorder="1" applyAlignment="1">
      <alignment horizontal="justify" vertical="top" wrapText="1"/>
    </xf>
    <xf numFmtId="0" fontId="8" fillId="0" borderId="22" xfId="0" applyFont="1" applyBorder="1" applyAlignment="1">
      <alignment horizontal="justify" vertical="top" wrapText="1"/>
    </xf>
    <xf numFmtId="0" fontId="8" fillId="0" borderId="23" xfId="0" applyFont="1" applyBorder="1" applyAlignment="1">
      <alignment horizontal="justify" vertical="top" wrapText="1"/>
    </xf>
    <xf numFmtId="0" fontId="8" fillId="5" borderId="22" xfId="0" applyFont="1" applyFill="1" applyBorder="1" applyAlignment="1">
      <alignment horizontal="justify" vertical="top" wrapText="1"/>
    </xf>
    <xf numFmtId="0" fontId="8" fillId="5" borderId="23" xfId="0" applyFont="1" applyFill="1" applyBorder="1" applyAlignment="1">
      <alignment horizontal="justify" vertical="top" wrapText="1"/>
    </xf>
    <xf numFmtId="0" fontId="8" fillId="3" borderId="22" xfId="0" applyFont="1" applyFill="1" applyBorder="1" applyAlignment="1">
      <alignment vertical="top" wrapText="1"/>
    </xf>
    <xf numFmtId="0" fontId="8" fillId="3" borderId="23" xfId="0" applyFont="1" applyFill="1" applyBorder="1" applyAlignment="1">
      <alignment vertical="top" wrapText="1"/>
    </xf>
    <xf numFmtId="0" fontId="8" fillId="5" borderId="22" xfId="0" applyFont="1" applyFill="1" applyBorder="1" applyAlignment="1">
      <alignment vertical="top" wrapText="1"/>
    </xf>
    <xf numFmtId="0" fontId="8" fillId="5" borderId="23" xfId="0" applyFont="1" applyFill="1" applyBorder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0" fontId="6" fillId="2" borderId="24" xfId="0" applyFont="1" applyFill="1" applyBorder="1" applyAlignment="1">
      <alignment horizontal="right" vertical="top" wrapText="1"/>
    </xf>
  </cellXfs>
  <cellStyles count="10">
    <cellStyle name="Normal" xfId="0" builtinId="0"/>
    <cellStyle name="Normal 2" xfId="1"/>
    <cellStyle name="Normal_Orç 037_2009 - Ar Condicionado Salas Técnicas - PJ Sobradinho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" xfId="6"/>
    <cellStyle name="Normal_Plan1_1 2" xfId="7"/>
    <cellStyle name="Porcentagem" xfId="8" builtinId="5"/>
    <cellStyle name="Separador de milhares" xfId="9" builtinId="3"/>
  </cellStyles>
  <dxfs count="521"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59999389629810485"/>
          </stop>
          <stop position="1">
            <color theme="6" tint="-0.25098422193060094"/>
          </stop>
        </gradientFill>
      </fill>
    </dxf>
    <dxf>
      <font>
        <color rgb="FFD8ECF6"/>
      </font>
    </dxf>
    <dxf>
      <fill>
        <gradientFill degree="90">
          <stop position="0">
            <color theme="8" tint="0.59999389629810485"/>
          </stop>
          <stop position="1">
            <color theme="4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ag/Documents/Trabalhos/MPDFT/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workbookViewId="0">
      <selection sqref="A1:B1"/>
    </sheetView>
  </sheetViews>
  <sheetFormatPr defaultRowHeight="14.25"/>
  <cols>
    <col min="1" max="1" width="6" customWidth="1"/>
    <col min="2" max="2" width="73.75" customWidth="1"/>
  </cols>
  <sheetData>
    <row r="1" spans="1:2">
      <c r="A1" s="181" t="s">
        <v>608</v>
      </c>
      <c r="B1" s="182"/>
    </row>
    <row r="2" spans="1:2">
      <c r="A2" s="82"/>
      <c r="B2" s="83"/>
    </row>
    <row r="3" spans="1:2">
      <c r="A3" s="84"/>
      <c r="B3" s="85" t="s">
        <v>609</v>
      </c>
    </row>
    <row r="4" spans="1:2" ht="33.75">
      <c r="A4" s="86">
        <v>1</v>
      </c>
      <c r="B4" s="87" t="s">
        <v>610</v>
      </c>
    </row>
    <row r="5" spans="1:2">
      <c r="A5" s="86">
        <v>2</v>
      </c>
      <c r="B5" s="87" t="s">
        <v>611</v>
      </c>
    </row>
    <row r="6" spans="1:2" ht="22.5">
      <c r="A6" s="86" t="s">
        <v>612</v>
      </c>
      <c r="B6" s="87" t="s">
        <v>613</v>
      </c>
    </row>
    <row r="7" spans="1:2">
      <c r="A7" s="86" t="s">
        <v>614</v>
      </c>
      <c r="B7" s="87" t="s">
        <v>615</v>
      </c>
    </row>
    <row r="8" spans="1:2" ht="22.5">
      <c r="A8" s="86" t="s">
        <v>616</v>
      </c>
      <c r="B8" s="87" t="s">
        <v>617</v>
      </c>
    </row>
    <row r="9" spans="1:2">
      <c r="A9" s="86" t="s">
        <v>618</v>
      </c>
      <c r="B9" s="87" t="s">
        <v>665</v>
      </c>
    </row>
    <row r="10" spans="1:2" ht="22.5">
      <c r="A10" s="88" t="s">
        <v>619</v>
      </c>
      <c r="B10" s="89" t="s">
        <v>620</v>
      </c>
    </row>
    <row r="11" spans="1:2">
      <c r="A11" s="90"/>
      <c r="B11" s="91"/>
    </row>
    <row r="12" spans="1:2">
      <c r="A12" s="84" t="s">
        <v>552</v>
      </c>
      <c r="B12" s="85" t="s">
        <v>621</v>
      </c>
    </row>
    <row r="13" spans="1:2" ht="22.5">
      <c r="A13" s="86" t="s">
        <v>510</v>
      </c>
      <c r="B13" s="87" t="s">
        <v>622</v>
      </c>
    </row>
    <row r="14" spans="1:2" ht="22.5">
      <c r="A14" s="86" t="s">
        <v>536</v>
      </c>
      <c r="B14" s="87" t="s">
        <v>623</v>
      </c>
    </row>
    <row r="15" spans="1:2">
      <c r="A15" s="92" t="s">
        <v>574</v>
      </c>
      <c r="B15" s="93" t="s">
        <v>624</v>
      </c>
    </row>
    <row r="16" spans="1:2">
      <c r="A16" s="86" t="s">
        <v>524</v>
      </c>
      <c r="B16" s="87" t="s">
        <v>625</v>
      </c>
    </row>
    <row r="17" spans="1:2" ht="22.5">
      <c r="A17" s="86" t="s">
        <v>556</v>
      </c>
      <c r="B17" s="87" t="s">
        <v>626</v>
      </c>
    </row>
    <row r="18" spans="1:2" ht="22.5">
      <c r="A18" s="86" t="s">
        <v>558</v>
      </c>
      <c r="B18" s="87" t="s">
        <v>627</v>
      </c>
    </row>
    <row r="19" spans="1:2">
      <c r="A19" s="92" t="s">
        <v>587</v>
      </c>
      <c r="B19" s="93" t="s">
        <v>628</v>
      </c>
    </row>
    <row r="20" spans="1:2">
      <c r="A20" s="86" t="s">
        <v>577</v>
      </c>
      <c r="B20" s="87" t="s">
        <v>629</v>
      </c>
    </row>
    <row r="21" spans="1:2" ht="22.5">
      <c r="A21" s="86" t="s">
        <v>579</v>
      </c>
      <c r="B21" s="87" t="s">
        <v>630</v>
      </c>
    </row>
    <row r="22" spans="1:2" ht="22.5">
      <c r="A22" s="86" t="s">
        <v>581</v>
      </c>
      <c r="B22" s="87" t="s">
        <v>631</v>
      </c>
    </row>
    <row r="23" spans="1:2" ht="22.5">
      <c r="A23" s="86" t="s">
        <v>583</v>
      </c>
      <c r="B23" s="87" t="s">
        <v>632</v>
      </c>
    </row>
    <row r="24" spans="1:2">
      <c r="A24" s="92" t="s">
        <v>633</v>
      </c>
      <c r="B24" s="93" t="s">
        <v>634</v>
      </c>
    </row>
    <row r="25" spans="1:2" ht="33.75">
      <c r="A25" s="86" t="s">
        <v>589</v>
      </c>
      <c r="B25" s="87" t="s">
        <v>635</v>
      </c>
    </row>
    <row r="26" spans="1:2" ht="22.5">
      <c r="A26" s="86" t="s">
        <v>591</v>
      </c>
      <c r="B26" s="87" t="s">
        <v>636</v>
      </c>
    </row>
    <row r="27" spans="1:2">
      <c r="A27" s="86" t="s">
        <v>637</v>
      </c>
      <c r="B27" s="87" t="s">
        <v>638</v>
      </c>
    </row>
    <row r="28" spans="1:2">
      <c r="A28" s="92" t="s">
        <v>639</v>
      </c>
      <c r="B28" s="93" t="s">
        <v>640</v>
      </c>
    </row>
    <row r="29" spans="1:2">
      <c r="A29" s="86" t="s">
        <v>641</v>
      </c>
      <c r="B29" s="87" t="s">
        <v>642</v>
      </c>
    </row>
    <row r="30" spans="1:2">
      <c r="A30" s="94" t="s">
        <v>643</v>
      </c>
      <c r="B30" s="95" t="s">
        <v>644</v>
      </c>
    </row>
    <row r="31" spans="1:2">
      <c r="A31" s="96" t="s">
        <v>645</v>
      </c>
      <c r="B31" s="97" t="s">
        <v>646</v>
      </c>
    </row>
    <row r="32" spans="1:2" ht="22.5">
      <c r="A32" s="96" t="s">
        <v>647</v>
      </c>
      <c r="B32" s="97" t="s">
        <v>648</v>
      </c>
    </row>
    <row r="33" spans="1:2" ht="22.5">
      <c r="A33" s="98" t="s">
        <v>649</v>
      </c>
      <c r="B33" s="99" t="s">
        <v>650</v>
      </c>
    </row>
  </sheetData>
  <mergeCells count="1">
    <mergeCell ref="A1:B1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showOutlineSymbols="0" showWhiteSpace="0" zoomScaleNormal="100" workbookViewId="0"/>
  </sheetViews>
  <sheetFormatPr defaultRowHeight="14.25"/>
  <cols>
    <col min="1" max="1" width="10" bestFit="1" customWidth="1"/>
    <col min="2" max="2" width="60" bestFit="1" customWidth="1"/>
    <col min="3" max="3" width="10" bestFit="1" customWidth="1"/>
    <col min="4" max="4" width="18.125" bestFit="1" customWidth="1"/>
  </cols>
  <sheetData>
    <row r="1" spans="1:4" ht="14.25" customHeight="1">
      <c r="A1" s="100" t="str">
        <f ca="1">'Orçamento Sintético'!A1</f>
        <v>P. Execução:</v>
      </c>
      <c r="B1" s="101" t="str">
        <f ca="1">'Orçamento Sintético'!D1</f>
        <v>Objeto: Recuperação de juntas estruturais e impermeabilização das jardineiras no edifício-sede</v>
      </c>
      <c r="C1" s="102" t="str">
        <f ca="1">'Orçamento Sintético'!C1</f>
        <v>Licitação:</v>
      </c>
      <c r="D1" s="185"/>
    </row>
    <row r="2" spans="1:4" ht="14.25" customHeight="1">
      <c r="A2" s="103" t="str">
        <f ca="1">'Orçamento Sintético'!A2</f>
        <v>A</v>
      </c>
      <c r="B2" s="104" t="str">
        <f ca="1">'Orçamento Sintético'!D2</f>
        <v>Local: Praça do Buriti Bloco A, Lote 2 - Zona Cívico-Administrativa - Brasília / DF</v>
      </c>
      <c r="C2" s="105" t="str">
        <f ca="1">'Orçamento Sintético'!C2</f>
        <v>B</v>
      </c>
      <c r="D2" s="186"/>
    </row>
    <row r="3" spans="1:4">
      <c r="A3" s="106" t="str">
        <f ca="1">'Orçamento Sintético'!A3</f>
        <v>P. Validade:</v>
      </c>
      <c r="B3" s="106" t="str">
        <f ca="1">'Orçamento Sintético'!C3</f>
        <v>Razão Social:</v>
      </c>
      <c r="C3" s="100" t="str">
        <f ca="1">'Orçamento Sintético'!E1</f>
        <v>Data:</v>
      </c>
      <c r="D3" s="186"/>
    </row>
    <row r="4" spans="1:4">
      <c r="A4" s="103" t="str">
        <f ca="1">'Orçamento Sintético'!A4</f>
        <v>C</v>
      </c>
      <c r="B4" s="103" t="str">
        <f ca="1">'Orçamento Sintético'!C4</f>
        <v>D</v>
      </c>
      <c r="C4" s="107">
        <f ca="1">'Orçamento Sintético'!E2</f>
        <v>1</v>
      </c>
      <c r="D4" s="186"/>
    </row>
    <row r="5" spans="1:4">
      <c r="A5" s="100" t="str">
        <f ca="1">'Orçamento Sintético'!A5</f>
        <v>P. Garantia:</v>
      </c>
      <c r="B5" s="106" t="str">
        <f ca="1">'Orçamento Sintético'!C5</f>
        <v>CNPJ:</v>
      </c>
      <c r="C5" s="100" t="str">
        <f ca="1">'Orçamento Sintético'!E3</f>
        <v>Telefone:</v>
      </c>
      <c r="D5" s="186"/>
    </row>
    <row r="6" spans="1:4">
      <c r="A6" s="103" t="str">
        <f ca="1">'Orçamento Sintético'!A6</f>
        <v>F</v>
      </c>
      <c r="B6" s="103" t="str">
        <f ca="1">'Orçamento Sintético'!C6</f>
        <v>G</v>
      </c>
      <c r="C6" s="107" t="str">
        <f ca="1">'Orçamento Sintético'!E4</f>
        <v>E</v>
      </c>
      <c r="D6" s="187"/>
    </row>
    <row r="7" spans="1:4" ht="15">
      <c r="A7" s="183" t="s">
        <v>331</v>
      </c>
      <c r="B7" s="184"/>
      <c r="C7" s="184"/>
      <c r="D7" s="184"/>
    </row>
    <row r="8" spans="1:4" ht="30" customHeight="1">
      <c r="A8" s="108" t="s">
        <v>1</v>
      </c>
      <c r="B8" s="108" t="s">
        <v>4</v>
      </c>
      <c r="C8" s="2" t="s">
        <v>8</v>
      </c>
      <c r="D8" s="2" t="s">
        <v>330</v>
      </c>
    </row>
    <row r="9" spans="1:4" ht="24" customHeight="1">
      <c r="A9" s="24" t="s">
        <v>9</v>
      </c>
      <c r="B9" s="156" t="str">
        <f ca="1">VLOOKUP(A9,'Orçamento Sintético'!$A:$H,4,0)</f>
        <v>SERVIÇOS TÉCNICO - PROFISSIONAIS</v>
      </c>
      <c r="C9" s="158">
        <f ca="1">VLOOKUP(A9,'Orçamento Sintético'!$A:$H,8,0)</f>
        <v>233.94</v>
      </c>
      <c r="D9" s="178">
        <f>ROUND(C9/$D$17,4)</f>
        <v>4.0000000000000002E-4</v>
      </c>
    </row>
    <row r="10" spans="1:4" ht="24" customHeight="1">
      <c r="A10" s="24" t="s">
        <v>18</v>
      </c>
      <c r="B10" s="156" t="str">
        <f ca="1">VLOOKUP(A10,'Orçamento Sintético'!$A:$H,4,0)</f>
        <v>SERVIÇOS PRELIMINARES</v>
      </c>
      <c r="C10" s="158">
        <f ca="1">VLOOKUP(A10,'Orçamento Sintético'!$A:$H,8,0)</f>
        <v>33366.17</v>
      </c>
      <c r="D10" s="178">
        <f t="shared" ref="D10:D15" si="0">ROUND(C10/$D$17,4)</f>
        <v>6.3100000000000003E-2</v>
      </c>
    </row>
    <row r="11" spans="1:4" ht="24" customHeight="1">
      <c r="A11" s="24" t="s">
        <v>119</v>
      </c>
      <c r="B11" s="156" t="str">
        <f ca="1">VLOOKUP(A11,'Orçamento Sintético'!$A:$H,4,0)</f>
        <v>ARQUITETURA E ELEMENTOS DE URBANISMO</v>
      </c>
      <c r="C11" s="158">
        <f ca="1">VLOOKUP(A11,'Orçamento Sintético'!$A:$H,8,0)</f>
        <v>471020.13999999996</v>
      </c>
      <c r="D11" s="178">
        <f t="shared" si="0"/>
        <v>0.89019999999999999</v>
      </c>
    </row>
    <row r="12" spans="1:4" ht="24" customHeight="1">
      <c r="A12" s="24" t="s">
        <v>275</v>
      </c>
      <c r="B12" s="156" t="str">
        <f ca="1">VLOOKUP(A12,'Orçamento Sintético'!$A:$H,4,0)</f>
        <v>INSTALAÇÕES HIDRÁULICAS E SANITÁRIAS</v>
      </c>
      <c r="C12" s="158">
        <f ca="1">VLOOKUP(A12,'Orçamento Sintético'!$A:$H,8,0)</f>
        <v>261.32</v>
      </c>
      <c r="D12" s="178">
        <f t="shared" si="0"/>
        <v>5.0000000000000001E-4</v>
      </c>
    </row>
    <row r="13" spans="1:4" ht="24" customHeight="1">
      <c r="A13" s="24" t="s">
        <v>284</v>
      </c>
      <c r="B13" s="24" t="s">
        <v>285</v>
      </c>
      <c r="C13" s="158">
        <f ca="1">VLOOKUP(A13,'Orçamento Sintético'!$A:$H,8,0)</f>
        <v>3076.6000000000004</v>
      </c>
      <c r="D13" s="178">
        <f t="shared" si="0"/>
        <v>5.7999999999999996E-3</v>
      </c>
    </row>
    <row r="14" spans="1:4" ht="24" customHeight="1">
      <c r="A14" s="24" t="s">
        <v>301</v>
      </c>
      <c r="B14" s="24" t="s">
        <v>302</v>
      </c>
      <c r="C14" s="158">
        <f ca="1">VLOOKUP(A14,'Orçamento Sintético'!$A:$H,8,0)</f>
        <v>2549.63</v>
      </c>
      <c r="D14" s="178">
        <f t="shared" si="0"/>
        <v>4.7999999999999996E-3</v>
      </c>
    </row>
    <row r="15" spans="1:4" ht="24" customHeight="1">
      <c r="A15" s="24" t="s">
        <v>312</v>
      </c>
      <c r="B15" s="24" t="s">
        <v>313</v>
      </c>
      <c r="C15" s="158">
        <f ca="1">VLOOKUP(A15,'Orçamento Sintético'!$A:$H,8,0)</f>
        <v>18603.54</v>
      </c>
      <c r="D15" s="178">
        <f t="shared" si="0"/>
        <v>3.5200000000000002E-2</v>
      </c>
    </row>
    <row r="16" spans="1:4">
      <c r="A16" s="22"/>
      <c r="B16" s="22"/>
      <c r="C16" s="22"/>
      <c r="D16" s="22"/>
    </row>
    <row r="17" spans="1:4" ht="14.25" customHeight="1">
      <c r="A17" s="109"/>
      <c r="B17" s="110" t="s">
        <v>324</v>
      </c>
      <c r="C17" s="111"/>
      <c r="D17" s="111">
        <f>SUM(C9:C15)</f>
        <v>529111.34</v>
      </c>
    </row>
    <row r="18" spans="1:4" ht="14.25" customHeight="1">
      <c r="A18" s="109"/>
      <c r="B18" s="110" t="s">
        <v>325</v>
      </c>
      <c r="C18" s="112" t="str">
        <f ca="1">"("&amp;'Composição de BDI'!D28*100&amp;"%)"</f>
        <v>(22,12%)</v>
      </c>
      <c r="D18" s="111">
        <f ca="1">TRUNC(D17*'Composição de BDI'!D28,2)</f>
        <v>117039.42</v>
      </c>
    </row>
    <row r="19" spans="1:4">
      <c r="A19" s="109"/>
      <c r="B19" s="110" t="s">
        <v>326</v>
      </c>
      <c r="C19" s="111"/>
      <c r="D19" s="111">
        <f>SUM(D17:D18)</f>
        <v>646150.76</v>
      </c>
    </row>
  </sheetData>
  <sheetCalcPr fullCalcOnLoad="1"/>
  <mergeCells count="2">
    <mergeCell ref="A7:D7"/>
    <mergeCell ref="D1:D6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7" fitToHeight="0" orientation="landscape" r:id="rId1"/>
  <headerFooter>
    <oddHeader>&amp;L &amp;C &amp;R</oddHeader>
    <oddFooter>&amp;L &amp;C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showGridLines="0" showOutlineSymbols="0" showWhiteSpace="0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"/>
    </sheetView>
  </sheetViews>
  <sheetFormatPr defaultRowHeight="14.25"/>
  <cols>
    <col min="1" max="3" width="9.625" customWidth="1"/>
    <col min="4" max="4" width="60" bestFit="1" customWidth="1"/>
    <col min="5" max="5" width="8" bestFit="1" customWidth="1"/>
    <col min="6" max="6" width="11.625" customWidth="1"/>
    <col min="7" max="8" width="12.625" customWidth="1"/>
  </cols>
  <sheetData>
    <row r="1" spans="1:8" ht="15" customHeight="1">
      <c r="A1" s="100" t="s">
        <v>651</v>
      </c>
      <c r="B1" s="113"/>
      <c r="C1" s="102" t="s">
        <v>652</v>
      </c>
      <c r="D1" s="101" t="s">
        <v>666</v>
      </c>
      <c r="E1" s="100" t="s">
        <v>327</v>
      </c>
      <c r="F1" s="114"/>
      <c r="G1" s="195"/>
      <c r="H1" s="196"/>
    </row>
    <row r="2" spans="1:8" ht="15" customHeight="1">
      <c r="A2" s="188" t="s">
        <v>552</v>
      </c>
      <c r="B2" s="189"/>
      <c r="C2" s="105" t="s">
        <v>574</v>
      </c>
      <c r="D2" s="104" t="s">
        <v>667</v>
      </c>
      <c r="E2" s="197">
        <v>1</v>
      </c>
      <c r="F2" s="198"/>
      <c r="G2" s="191"/>
      <c r="H2" s="192"/>
    </row>
    <row r="3" spans="1:8">
      <c r="A3" s="199" t="s">
        <v>653</v>
      </c>
      <c r="B3" s="200"/>
      <c r="C3" s="199" t="s">
        <v>654</v>
      </c>
      <c r="D3" s="200"/>
      <c r="E3" s="100" t="s">
        <v>655</v>
      </c>
      <c r="F3" s="115"/>
      <c r="G3" s="116"/>
      <c r="H3" s="117"/>
    </row>
    <row r="4" spans="1:8">
      <c r="A4" s="188" t="s">
        <v>587</v>
      </c>
      <c r="B4" s="189"/>
      <c r="C4" s="188" t="s">
        <v>633</v>
      </c>
      <c r="D4" s="189"/>
      <c r="E4" s="188" t="s">
        <v>639</v>
      </c>
      <c r="F4" s="190"/>
      <c r="G4" s="191"/>
      <c r="H4" s="192"/>
    </row>
    <row r="5" spans="1:8">
      <c r="A5" s="118" t="s">
        <v>656</v>
      </c>
      <c r="B5" s="119"/>
      <c r="C5" s="100" t="s">
        <v>657</v>
      </c>
      <c r="D5" s="113"/>
      <c r="E5" s="100" t="s">
        <v>658</v>
      </c>
      <c r="F5" s="115"/>
      <c r="G5" s="116"/>
      <c r="H5" s="117"/>
    </row>
    <row r="6" spans="1:8" ht="14.25" customHeight="1">
      <c r="A6" s="193" t="s">
        <v>643</v>
      </c>
      <c r="B6" s="194"/>
      <c r="C6" s="188" t="s">
        <v>659</v>
      </c>
      <c r="D6" s="189"/>
      <c r="E6" s="188" t="s">
        <v>323</v>
      </c>
      <c r="F6" s="190"/>
      <c r="G6" s="193"/>
      <c r="H6" s="194"/>
    </row>
    <row r="7" spans="1:8" ht="15">
      <c r="A7" s="183" t="s">
        <v>0</v>
      </c>
      <c r="B7" s="184"/>
      <c r="C7" s="184"/>
      <c r="D7" s="184"/>
      <c r="E7" s="184"/>
      <c r="F7" s="184"/>
      <c r="G7" s="184"/>
      <c r="H7" s="184"/>
    </row>
    <row r="8" spans="1:8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3" t="s">
        <v>6</v>
      </c>
      <c r="G8" s="2" t="s">
        <v>7</v>
      </c>
      <c r="H8" s="2" t="s">
        <v>8</v>
      </c>
    </row>
    <row r="9" spans="1:8">
      <c r="A9" s="4" t="s">
        <v>9</v>
      </c>
      <c r="B9" s="4"/>
      <c r="C9" s="4"/>
      <c r="D9" s="4" t="s">
        <v>10</v>
      </c>
      <c r="E9" s="4"/>
      <c r="F9" s="5"/>
      <c r="G9" s="4"/>
      <c r="H9" s="5">
        <f>H10</f>
        <v>233.94</v>
      </c>
    </row>
    <row r="10" spans="1:8">
      <c r="A10" s="6" t="s">
        <v>11</v>
      </c>
      <c r="B10" s="6"/>
      <c r="C10" s="6"/>
      <c r="D10" s="6" t="s">
        <v>12</v>
      </c>
      <c r="E10" s="6"/>
      <c r="F10" s="7"/>
      <c r="G10" s="6"/>
      <c r="H10" s="8">
        <f>H11</f>
        <v>233.94</v>
      </c>
    </row>
    <row r="11" spans="1:8">
      <c r="A11" s="9" t="s">
        <v>13</v>
      </c>
      <c r="B11" s="10" t="s">
        <v>14</v>
      </c>
      <c r="C11" s="10" t="s">
        <v>15</v>
      </c>
      <c r="D11" s="13" t="s">
        <v>16</v>
      </c>
      <c r="E11" s="10" t="s">
        <v>17</v>
      </c>
      <c r="F11" s="11">
        <v>1</v>
      </c>
      <c r="G11" s="12">
        <f ca="1">VLOOKUP(A11,'Orçamento Analítico'!$A:$H,8,0)</f>
        <v>233.94</v>
      </c>
      <c r="H11" s="12">
        <f>TRUNC(F11 * G11, 2)</f>
        <v>233.94</v>
      </c>
    </row>
    <row r="12" spans="1:8">
      <c r="A12" s="4" t="s">
        <v>18</v>
      </c>
      <c r="B12" s="4"/>
      <c r="C12" s="4"/>
      <c r="D12" s="4" t="s">
        <v>19</v>
      </c>
      <c r="E12" s="4"/>
      <c r="F12" s="5"/>
      <c r="G12" s="4"/>
      <c r="H12" s="5">
        <f>H13+H18+H42</f>
        <v>33366.17</v>
      </c>
    </row>
    <row r="13" spans="1:8">
      <c r="A13" s="6" t="s">
        <v>20</v>
      </c>
      <c r="B13" s="6"/>
      <c r="C13" s="6"/>
      <c r="D13" s="6" t="s">
        <v>21</v>
      </c>
      <c r="E13" s="6"/>
      <c r="F13" s="7"/>
      <c r="G13" s="6"/>
      <c r="H13" s="8">
        <f>H14</f>
        <v>2368.46</v>
      </c>
    </row>
    <row r="14" spans="1:8">
      <c r="A14" s="14" t="s">
        <v>22</v>
      </c>
      <c r="B14" s="14"/>
      <c r="C14" s="14"/>
      <c r="D14" s="14" t="s">
        <v>23</v>
      </c>
      <c r="E14" s="14"/>
      <c r="F14" s="15"/>
      <c r="G14" s="14"/>
      <c r="H14" s="16">
        <f>SUM(H15:H17)</f>
        <v>2368.46</v>
      </c>
    </row>
    <row r="15" spans="1:8">
      <c r="A15" s="9" t="s">
        <v>24</v>
      </c>
      <c r="B15" s="10" t="s">
        <v>25</v>
      </c>
      <c r="C15" s="10" t="str">
        <f ca="1">VLOOKUP(B15,'Insumos e Serviços'!$A:$F,2,0)</f>
        <v>SINAPI</v>
      </c>
      <c r="D15" s="13" t="str">
        <f ca="1">VLOOKUP(B15,'Insumos e Serviços'!$A:$F,4,0)</f>
        <v>SINALIZAÇÃO COM FITA FIXADA EM CONE PLÁSTICO, INCLUINDO CONE. AF_11/2017</v>
      </c>
      <c r="E15" s="10" t="str">
        <f ca="1">VLOOKUP(B15,'Insumos e Serviços'!$A:$F,5,0)</f>
        <v>M</v>
      </c>
      <c r="F15" s="11">
        <v>122</v>
      </c>
      <c r="G15" s="12">
        <f ca="1">VLOOKUP(B15,'Insumos e Serviços'!$A:$F,6,0)</f>
        <v>11.23</v>
      </c>
      <c r="H15" s="12">
        <f>TRUNC(F15 * G15, 2)</f>
        <v>1370.06</v>
      </c>
    </row>
    <row r="16" spans="1:8" ht="22.5">
      <c r="A16" s="9" t="s">
        <v>29</v>
      </c>
      <c r="B16" s="10" t="s">
        <v>30</v>
      </c>
      <c r="C16" s="10" t="str">
        <f ca="1">VLOOKUP(B16,'Insumos e Serviços'!$A:$F,2,0)</f>
        <v>SINAPI</v>
      </c>
      <c r="D16" s="13" t="str">
        <f ca="1">VLOOKUP(B16,'Insumos e Serviços'!$A:$F,4,0)</f>
        <v>MONTAGEM E DESMONTAGEM DE ANDAIME TUBULAR TIPO TORRE (EXCLUSIVE ANDAIME E LIMPEZA). AF_11/2017</v>
      </c>
      <c r="E16" s="10" t="str">
        <f ca="1">VLOOKUP(B16,'Insumos e Serviços'!$A:$F,5,0)</f>
        <v>M</v>
      </c>
      <c r="F16" s="11">
        <v>48</v>
      </c>
      <c r="G16" s="12">
        <f ca="1">VLOOKUP(B16,'Insumos e Serviços'!$A:$F,6,0)</f>
        <v>14.8</v>
      </c>
      <c r="H16" s="12">
        <f>TRUNC(F16 * G16, 2)</f>
        <v>710.4</v>
      </c>
    </row>
    <row r="17" spans="1:8" ht="22.5">
      <c r="A17" s="9" t="s">
        <v>32</v>
      </c>
      <c r="B17" s="10" t="s">
        <v>33</v>
      </c>
      <c r="C17" s="10" t="str">
        <f ca="1">VLOOKUP(B17,'Insumos e Serviços'!$A:$F,2,0)</f>
        <v>SINAPI</v>
      </c>
      <c r="D17" s="13" t="str">
        <f ca="1">VLOOKUP(B17,'Insumos e Serviços'!$A:$F,4,0)</f>
        <v>LOCACAO DE ANDAIME METALICO TUBULAR DE ENCAIXE, TIPO DE TORRE, COM LARGURA DE 1 ATE 1,5 M E ALTURA DE *1,00* M (INCLUSO SAPATAS FIXAS OU RODIZIOS)</v>
      </c>
      <c r="E17" s="10" t="str">
        <f ca="1">VLOOKUP(B17,'Insumos e Serviços'!$A:$F,5,0)</f>
        <v>MXMES</v>
      </c>
      <c r="F17" s="11">
        <v>24</v>
      </c>
      <c r="G17" s="12">
        <f ca="1">VLOOKUP(B17,'Insumos e Serviços'!$A:$F,6,0)</f>
        <v>12</v>
      </c>
      <c r="H17" s="12">
        <f>TRUNC(F17 * G17, 2)</f>
        <v>288</v>
      </c>
    </row>
    <row r="18" spans="1:8">
      <c r="A18" s="6" t="s">
        <v>36</v>
      </c>
      <c r="B18" s="6"/>
      <c r="C18" s="6"/>
      <c r="D18" s="6" t="s">
        <v>37</v>
      </c>
      <c r="E18" s="6"/>
      <c r="F18" s="7"/>
      <c r="G18" s="6"/>
      <c r="H18" s="8">
        <f>H19+H24</f>
        <v>29417.19</v>
      </c>
    </row>
    <row r="19" spans="1:8">
      <c r="A19" s="14" t="s">
        <v>38</v>
      </c>
      <c r="B19" s="14"/>
      <c r="C19" s="14"/>
      <c r="D19" s="14" t="s">
        <v>39</v>
      </c>
      <c r="E19" s="14"/>
      <c r="F19" s="15"/>
      <c r="G19" s="14"/>
      <c r="H19" s="16">
        <f>SUM(H20:H23)</f>
        <v>4034.46</v>
      </c>
    </row>
    <row r="20" spans="1:8">
      <c r="A20" s="9" t="s">
        <v>40</v>
      </c>
      <c r="B20" s="10" t="s">
        <v>41</v>
      </c>
      <c r="C20" s="10" t="s">
        <v>15</v>
      </c>
      <c r="D20" s="13" t="s">
        <v>42</v>
      </c>
      <c r="E20" s="10" t="s">
        <v>43</v>
      </c>
      <c r="F20" s="11">
        <v>15</v>
      </c>
      <c r="G20" s="12">
        <f ca="1">VLOOKUP(A20,'Orçamento Analítico'!$A:$H,8,0)</f>
        <v>5.15</v>
      </c>
      <c r="H20" s="12">
        <f>TRUNC(F20 * G20, 2)</f>
        <v>77.25</v>
      </c>
    </row>
    <row r="21" spans="1:8">
      <c r="A21" s="9" t="s">
        <v>44</v>
      </c>
      <c r="B21" s="10" t="s">
        <v>45</v>
      </c>
      <c r="C21" s="10" t="s">
        <v>15</v>
      </c>
      <c r="D21" s="13" t="s">
        <v>46</v>
      </c>
      <c r="E21" s="10" t="s">
        <v>47</v>
      </c>
      <c r="F21" s="11">
        <v>1</v>
      </c>
      <c r="G21" s="12">
        <f ca="1">VLOOKUP(A21,'Orçamento Analítico'!$A:$H,8,0)</f>
        <v>105.76</v>
      </c>
      <c r="H21" s="12">
        <f>TRUNC(F21 * G21, 2)</f>
        <v>105.76</v>
      </c>
    </row>
    <row r="22" spans="1:8" ht="22.5">
      <c r="A22" s="9" t="s">
        <v>48</v>
      </c>
      <c r="B22" s="10" t="s">
        <v>49</v>
      </c>
      <c r="C22" s="10" t="s">
        <v>15</v>
      </c>
      <c r="D22" s="13" t="s">
        <v>50</v>
      </c>
      <c r="E22" s="10" t="s">
        <v>43</v>
      </c>
      <c r="F22" s="11">
        <v>82</v>
      </c>
      <c r="G22" s="12">
        <f ca="1">VLOOKUP(A22,'Orçamento Analítico'!$A:$H,8,0)</f>
        <v>23.39</v>
      </c>
      <c r="H22" s="12">
        <f>TRUNC(F22 * G22, 2)</f>
        <v>1917.98</v>
      </c>
    </row>
    <row r="23" spans="1:8" ht="22.5">
      <c r="A23" s="9" t="s">
        <v>51</v>
      </c>
      <c r="B23" s="10" t="s">
        <v>52</v>
      </c>
      <c r="C23" s="10" t="s">
        <v>15</v>
      </c>
      <c r="D23" s="13" t="s">
        <v>53</v>
      </c>
      <c r="E23" s="10" t="s">
        <v>47</v>
      </c>
      <c r="F23" s="11">
        <v>9</v>
      </c>
      <c r="G23" s="12">
        <f ca="1">VLOOKUP(A23,'Orçamento Analítico'!$A:$H,8,0)</f>
        <v>214.82999999999998</v>
      </c>
      <c r="H23" s="12">
        <f>TRUNC(F23 * G23, 2)</f>
        <v>1933.47</v>
      </c>
    </row>
    <row r="24" spans="1:8">
      <c r="A24" s="14" t="s">
        <v>54</v>
      </c>
      <c r="B24" s="14"/>
      <c r="C24" s="14"/>
      <c r="D24" s="14" t="s">
        <v>55</v>
      </c>
      <c r="E24" s="14"/>
      <c r="F24" s="15"/>
      <c r="G24" s="14"/>
      <c r="H24" s="16">
        <f>SUM(H25:H41)</f>
        <v>25382.73</v>
      </c>
    </row>
    <row r="25" spans="1:8">
      <c r="A25" s="9" t="s">
        <v>56</v>
      </c>
      <c r="B25" s="10" t="s">
        <v>57</v>
      </c>
      <c r="C25" s="10" t="s">
        <v>15</v>
      </c>
      <c r="D25" s="13" t="s">
        <v>58</v>
      </c>
      <c r="E25" s="10" t="s">
        <v>59</v>
      </c>
      <c r="F25" s="11">
        <v>30</v>
      </c>
      <c r="G25" s="12">
        <f ca="1">VLOOKUP(A25,'Orçamento Analítico'!$A:$H,8,0)</f>
        <v>2.23</v>
      </c>
      <c r="H25" s="12">
        <f t="shared" ref="H25:H41" si="0">TRUNC(F25 * G25, 2)</f>
        <v>66.900000000000006</v>
      </c>
    </row>
    <row r="26" spans="1:8">
      <c r="A26" s="9" t="s">
        <v>60</v>
      </c>
      <c r="B26" s="10" t="s">
        <v>61</v>
      </c>
      <c r="C26" s="10" t="s">
        <v>15</v>
      </c>
      <c r="D26" s="13" t="s">
        <v>62</v>
      </c>
      <c r="E26" s="10" t="s">
        <v>47</v>
      </c>
      <c r="F26" s="11">
        <v>66</v>
      </c>
      <c r="G26" s="12">
        <f ca="1">VLOOKUP(A26,'Orçamento Analítico'!$A:$H,8,0)</f>
        <v>47.75</v>
      </c>
      <c r="H26" s="12">
        <f t="shared" si="0"/>
        <v>3151.5</v>
      </c>
    </row>
    <row r="27" spans="1:8" ht="22.5">
      <c r="A27" s="9" t="s">
        <v>63</v>
      </c>
      <c r="B27" s="10" t="s">
        <v>64</v>
      </c>
      <c r="C27" s="10" t="s">
        <v>15</v>
      </c>
      <c r="D27" s="13" t="s">
        <v>65</v>
      </c>
      <c r="E27" s="10" t="s">
        <v>59</v>
      </c>
      <c r="F27" s="11">
        <v>4</v>
      </c>
      <c r="G27" s="12">
        <f ca="1">VLOOKUP(A27,'Orçamento Analítico'!$A:$H,8,0)</f>
        <v>6.86</v>
      </c>
      <c r="H27" s="12">
        <f t="shared" si="0"/>
        <v>27.44</v>
      </c>
    </row>
    <row r="28" spans="1:8">
      <c r="A28" s="9" t="s">
        <v>66</v>
      </c>
      <c r="B28" s="10" t="s">
        <v>67</v>
      </c>
      <c r="C28" s="10" t="str">
        <f ca="1">VLOOKUP(B28,'Insumos e Serviços'!$A:$F,2,0)</f>
        <v>SINAPI</v>
      </c>
      <c r="D28" s="13" t="str">
        <f ca="1">VLOOKUP(B28,'Insumos e Serviços'!$A:$F,4,0)</f>
        <v>LIXAMENTO MANUAL EM SUPERFÍCIES METÁLICAS EM OBRA. AF_01/2020</v>
      </c>
      <c r="E28" s="10" t="str">
        <f ca="1">VLOOKUP(B28,'Insumos e Serviços'!$A:$F,5,0)</f>
        <v>m²</v>
      </c>
      <c r="F28" s="11">
        <v>146</v>
      </c>
      <c r="G28" s="12">
        <f ca="1">VLOOKUP(B28,'Insumos e Serviços'!$A:$F,6,0)</f>
        <v>8.11</v>
      </c>
      <c r="H28" s="12">
        <f t="shared" si="0"/>
        <v>1184.06</v>
      </c>
    </row>
    <row r="29" spans="1:8">
      <c r="A29" s="9" t="s">
        <v>69</v>
      </c>
      <c r="B29" s="10" t="s">
        <v>70</v>
      </c>
      <c r="C29" s="10" t="s">
        <v>15</v>
      </c>
      <c r="D29" s="13" t="s">
        <v>71</v>
      </c>
      <c r="E29" s="10" t="s">
        <v>43</v>
      </c>
      <c r="F29" s="11">
        <v>19</v>
      </c>
      <c r="G29" s="12">
        <f ca="1">VLOOKUP(A29,'Orçamento Analítico'!$A:$H,8,0)</f>
        <v>28.28</v>
      </c>
      <c r="H29" s="12">
        <f t="shared" si="0"/>
        <v>537.32000000000005</v>
      </c>
    </row>
    <row r="30" spans="1:8" ht="22.5">
      <c r="A30" s="9" t="s">
        <v>72</v>
      </c>
      <c r="B30" s="10" t="s">
        <v>73</v>
      </c>
      <c r="C30" s="10" t="s">
        <v>15</v>
      </c>
      <c r="D30" s="13" t="s">
        <v>74</v>
      </c>
      <c r="E30" s="10" t="s">
        <v>59</v>
      </c>
      <c r="F30" s="11">
        <v>160</v>
      </c>
      <c r="G30" s="12">
        <f ca="1">VLOOKUP(A30,'Orçamento Analítico'!$A:$H,8,0)</f>
        <v>6.97</v>
      </c>
      <c r="H30" s="12">
        <f t="shared" si="0"/>
        <v>1115.2</v>
      </c>
    </row>
    <row r="31" spans="1:8">
      <c r="A31" s="9" t="s">
        <v>75</v>
      </c>
      <c r="B31" s="10" t="s">
        <v>76</v>
      </c>
      <c r="C31" s="10" t="s">
        <v>15</v>
      </c>
      <c r="D31" s="13" t="s">
        <v>77</v>
      </c>
      <c r="E31" s="10" t="s">
        <v>28</v>
      </c>
      <c r="F31" s="11">
        <v>162</v>
      </c>
      <c r="G31" s="12">
        <f ca="1">VLOOKUP(A31,'Orçamento Analítico'!$A:$H,8,0)</f>
        <v>5.25</v>
      </c>
      <c r="H31" s="12">
        <f t="shared" si="0"/>
        <v>850.5</v>
      </c>
    </row>
    <row r="32" spans="1:8">
      <c r="A32" s="9" t="s">
        <v>78</v>
      </c>
      <c r="B32" s="10" t="s">
        <v>79</v>
      </c>
      <c r="C32" s="10" t="s">
        <v>15</v>
      </c>
      <c r="D32" s="13" t="s">
        <v>80</v>
      </c>
      <c r="E32" s="10" t="s">
        <v>28</v>
      </c>
      <c r="F32" s="11">
        <v>247</v>
      </c>
      <c r="G32" s="12">
        <f ca="1">VLOOKUP(A32,'Orçamento Analítico'!$A:$H,8,0)</f>
        <v>6.86</v>
      </c>
      <c r="H32" s="12">
        <f t="shared" si="0"/>
        <v>1694.42</v>
      </c>
    </row>
    <row r="33" spans="1:8" ht="22.5">
      <c r="A33" s="9" t="s">
        <v>81</v>
      </c>
      <c r="B33" s="10" t="s">
        <v>82</v>
      </c>
      <c r="C33" s="10" t="s">
        <v>15</v>
      </c>
      <c r="D33" s="13" t="s">
        <v>83</v>
      </c>
      <c r="E33" s="10" t="s">
        <v>43</v>
      </c>
      <c r="F33" s="11">
        <v>236</v>
      </c>
      <c r="G33" s="12">
        <f ca="1">VLOOKUP(A33,'Orçamento Analítico'!$A:$H,8,0)</f>
        <v>39.700000000000003</v>
      </c>
      <c r="H33" s="12">
        <f t="shared" si="0"/>
        <v>9369.2000000000007</v>
      </c>
    </row>
    <row r="34" spans="1:8">
      <c r="A34" s="9" t="s">
        <v>84</v>
      </c>
      <c r="B34" s="10" t="s">
        <v>85</v>
      </c>
      <c r="C34" s="10" t="str">
        <f ca="1">VLOOKUP(B34,'Insumos e Serviços'!$A:$F,2,0)</f>
        <v>SINAPI</v>
      </c>
      <c r="D34" s="13" t="str">
        <f ca="1">VLOOKUP(B34,'Insumos e Serviços'!$A:$F,4,0)</f>
        <v>LIMPEZA MANUAL DE VEGETAÇÃO EM TERRENO COM ENXADA.AF_05/2018</v>
      </c>
      <c r="E34" s="10" t="str">
        <f ca="1">VLOOKUP(B34,'Insumos e Serviços'!$A:$F,5,0)</f>
        <v>m²</v>
      </c>
      <c r="F34" s="11">
        <v>195</v>
      </c>
      <c r="G34" s="12">
        <f ca="1">VLOOKUP(B34,'Insumos e Serviços'!$A:$F,6,0)</f>
        <v>2.84</v>
      </c>
      <c r="H34" s="12">
        <f t="shared" si="0"/>
        <v>553.79999999999995</v>
      </c>
    </row>
    <row r="35" spans="1:8">
      <c r="A35" s="9" t="s">
        <v>87</v>
      </c>
      <c r="B35" s="10" t="s">
        <v>88</v>
      </c>
      <c r="C35" s="10" t="s">
        <v>15</v>
      </c>
      <c r="D35" s="13" t="s">
        <v>89</v>
      </c>
      <c r="E35" s="10" t="s">
        <v>43</v>
      </c>
      <c r="F35" s="11">
        <v>421</v>
      </c>
      <c r="G35" s="12">
        <f ca="1">VLOOKUP(A35,'Orçamento Analítico'!$A:$H,8,0)</f>
        <v>6.86</v>
      </c>
      <c r="H35" s="12">
        <f t="shared" si="0"/>
        <v>2888.06</v>
      </c>
    </row>
    <row r="36" spans="1:8">
      <c r="A36" s="9" t="s">
        <v>90</v>
      </c>
      <c r="B36" s="10" t="s">
        <v>91</v>
      </c>
      <c r="C36" s="10" t="s">
        <v>15</v>
      </c>
      <c r="D36" s="13" t="s">
        <v>92</v>
      </c>
      <c r="E36" s="10" t="s">
        <v>43</v>
      </c>
      <c r="F36" s="11">
        <v>41</v>
      </c>
      <c r="G36" s="12">
        <f ca="1">VLOOKUP(A36,'Orçamento Analítico'!$A:$H,8,0)</f>
        <v>5.84</v>
      </c>
      <c r="H36" s="12">
        <f t="shared" si="0"/>
        <v>239.44</v>
      </c>
    </row>
    <row r="37" spans="1:8" ht="22.5">
      <c r="A37" s="9" t="s">
        <v>93</v>
      </c>
      <c r="B37" s="10" t="s">
        <v>94</v>
      </c>
      <c r="C37" s="10" t="str">
        <f ca="1">VLOOKUP(B37,'Insumos e Serviços'!$A:$F,2,0)</f>
        <v>SINAPI</v>
      </c>
      <c r="D37" s="13" t="str">
        <f ca="1">VLOOKUP(B37,'Insumos e Serviços'!$A:$F,4,0)</f>
        <v>REMOÇÃO DE FORROS DE DRYWALL, PVC E FIBROMINERAL, DE FORMA MANUAL, SEM REAPROVEITAMENTO. AF_12/2017</v>
      </c>
      <c r="E37" s="10" t="str">
        <f ca="1">VLOOKUP(B37,'Insumos e Serviços'!$A:$F,5,0)</f>
        <v>m²</v>
      </c>
      <c r="F37" s="11">
        <v>100</v>
      </c>
      <c r="G37" s="12">
        <f ca="1">VLOOKUP(B37,'Insumos e Serviços'!$A:$F,6,0)</f>
        <v>1.32</v>
      </c>
      <c r="H37" s="12">
        <f t="shared" si="0"/>
        <v>132</v>
      </c>
    </row>
    <row r="38" spans="1:8">
      <c r="A38" s="9" t="s">
        <v>96</v>
      </c>
      <c r="B38" s="10" t="s">
        <v>97</v>
      </c>
      <c r="C38" s="10" t="s">
        <v>15</v>
      </c>
      <c r="D38" s="13" t="s">
        <v>98</v>
      </c>
      <c r="E38" s="10" t="s">
        <v>43</v>
      </c>
      <c r="F38" s="11">
        <v>485</v>
      </c>
      <c r="G38" s="12">
        <f ca="1">VLOOKUP(A38,'Orçamento Analítico'!$A:$H,8,0)</f>
        <v>4.63</v>
      </c>
      <c r="H38" s="12">
        <f t="shared" si="0"/>
        <v>2245.5500000000002</v>
      </c>
    </row>
    <row r="39" spans="1:8">
      <c r="A39" s="9" t="s">
        <v>99</v>
      </c>
      <c r="B39" s="10" t="s">
        <v>100</v>
      </c>
      <c r="C39" s="10" t="s">
        <v>15</v>
      </c>
      <c r="D39" s="13" t="s">
        <v>101</v>
      </c>
      <c r="E39" s="10" t="s">
        <v>47</v>
      </c>
      <c r="F39" s="11">
        <v>38</v>
      </c>
      <c r="G39" s="12">
        <f ca="1">VLOOKUP(A39,'Orçamento Analítico'!$A:$H,8,0)</f>
        <v>20.6</v>
      </c>
      <c r="H39" s="12">
        <f t="shared" si="0"/>
        <v>782.8</v>
      </c>
    </row>
    <row r="40" spans="1:8">
      <c r="A40" s="9" t="s">
        <v>102</v>
      </c>
      <c r="B40" s="10" t="s">
        <v>103</v>
      </c>
      <c r="C40" s="10" t="s">
        <v>15</v>
      </c>
      <c r="D40" s="13" t="s">
        <v>104</v>
      </c>
      <c r="E40" s="10" t="s">
        <v>59</v>
      </c>
      <c r="F40" s="11">
        <v>65</v>
      </c>
      <c r="G40" s="12">
        <f ca="1">VLOOKUP(A40,'Orçamento Analítico'!$A:$H,8,0)</f>
        <v>8.33</v>
      </c>
      <c r="H40" s="12">
        <f t="shared" si="0"/>
        <v>541.45000000000005</v>
      </c>
    </row>
    <row r="41" spans="1:8">
      <c r="A41" s="9" t="s">
        <v>105</v>
      </c>
      <c r="B41" s="10" t="s">
        <v>106</v>
      </c>
      <c r="C41" s="10" t="str">
        <f ca="1">VLOOKUP(B41,'Insumos e Serviços'!$A:$F,2,0)</f>
        <v>SINAPI</v>
      </c>
      <c r="D41" s="13" t="str">
        <f ca="1">VLOOKUP(B41,'Insumos e Serviços'!$A:$F,4,0)</f>
        <v>REMOÇÃO DE LUMINÁRIAS, DE FORMA MANUAL, SEM REAPROVEITAMENTO. AF_12/2017</v>
      </c>
      <c r="E41" s="10" t="str">
        <f ca="1">VLOOKUP(B41,'Insumos e Serviços'!$A:$F,5,0)</f>
        <v>UN</v>
      </c>
      <c r="F41" s="11">
        <v>3</v>
      </c>
      <c r="G41" s="12">
        <f ca="1">VLOOKUP(B41,'Insumos e Serviços'!$A:$F,6,0)</f>
        <v>1.03</v>
      </c>
      <c r="H41" s="12">
        <f t="shared" si="0"/>
        <v>3.09</v>
      </c>
    </row>
    <row r="42" spans="1:8">
      <c r="A42" s="6" t="s">
        <v>109</v>
      </c>
      <c r="B42" s="6"/>
      <c r="C42" s="6"/>
      <c r="D42" s="6" t="s">
        <v>110</v>
      </c>
      <c r="E42" s="6"/>
      <c r="F42" s="7"/>
      <c r="G42" s="6"/>
      <c r="H42" s="8">
        <f>H43</f>
        <v>1580.52</v>
      </c>
    </row>
    <row r="43" spans="1:8">
      <c r="A43" s="14" t="s">
        <v>111</v>
      </c>
      <c r="B43" s="14"/>
      <c r="C43" s="14"/>
      <c r="D43" s="14" t="s">
        <v>112</v>
      </c>
      <c r="E43" s="14"/>
      <c r="F43" s="15"/>
      <c r="G43" s="14"/>
      <c r="H43" s="16">
        <f>SUM(H44:H45)</f>
        <v>1580.52</v>
      </c>
    </row>
    <row r="44" spans="1:8" ht="22.5">
      <c r="A44" s="9" t="s">
        <v>113</v>
      </c>
      <c r="B44" s="10" t="s">
        <v>114</v>
      </c>
      <c r="C44" s="10" t="str">
        <f ca="1">VLOOKUP(B44,'Insumos e Serviços'!$A:$F,2,0)</f>
        <v>SINAPI</v>
      </c>
      <c r="D44" s="13" t="str">
        <f ca="1">VLOOKUP(B44,'Insumos e Serviços'!$A:$F,4,0)</f>
        <v>ATERRO MANUAL DE VALAS COM SOLO ARGILO-ARENOSO E COMPACTAÇÃO MECANIZADA. AF_05/2016</v>
      </c>
      <c r="E44" s="10" t="str">
        <f ca="1">VLOOKUP(B44,'Insumos e Serviços'!$A:$F,5,0)</f>
        <v>m³</v>
      </c>
      <c r="F44" s="11">
        <v>18</v>
      </c>
      <c r="G44" s="12">
        <f ca="1">VLOOKUP(B44,'Insumos e Serviços'!$A:$F,6,0)</f>
        <v>36.57</v>
      </c>
      <c r="H44" s="12">
        <f>TRUNC(F44 * G44, 2)</f>
        <v>658.26</v>
      </c>
    </row>
    <row r="45" spans="1:8">
      <c r="A45" s="9" t="s">
        <v>116</v>
      </c>
      <c r="B45" s="10" t="s">
        <v>117</v>
      </c>
      <c r="C45" s="10" t="str">
        <f ca="1">VLOOKUP(B45,'Insumos e Serviços'!$A:$F,2,0)</f>
        <v>SINAPI</v>
      </c>
      <c r="D45" s="13" t="str">
        <f ca="1">VLOOKUP(B45,'Insumos e Serviços'!$A:$F,4,0)</f>
        <v>REATERRO MANUAL DE VALAS COM COMPACTAÇÃO MECANIZADA. AF_04/2016</v>
      </c>
      <c r="E45" s="10" t="str">
        <f ca="1">VLOOKUP(B45,'Insumos e Serviços'!$A:$F,5,0)</f>
        <v>m³</v>
      </c>
      <c r="F45" s="11">
        <v>38</v>
      </c>
      <c r="G45" s="12">
        <f ca="1">VLOOKUP(B45,'Insumos e Serviços'!$A:$F,6,0)</f>
        <v>24.27</v>
      </c>
      <c r="H45" s="12">
        <f>TRUNC(F45 * G45, 2)</f>
        <v>922.26</v>
      </c>
    </row>
    <row r="46" spans="1:8">
      <c r="A46" s="4" t="s">
        <v>119</v>
      </c>
      <c r="B46" s="4"/>
      <c r="C46" s="4"/>
      <c r="D46" s="4" t="s">
        <v>120</v>
      </c>
      <c r="E46" s="4"/>
      <c r="F46" s="5"/>
      <c r="G46" s="4"/>
      <c r="H46" s="5">
        <f>H47</f>
        <v>471020.13999999996</v>
      </c>
    </row>
    <row r="47" spans="1:8">
      <c r="A47" s="14" t="s">
        <v>121</v>
      </c>
      <c r="B47" s="14"/>
      <c r="C47" s="14"/>
      <c r="D47" s="14" t="s">
        <v>122</v>
      </c>
      <c r="E47" s="14"/>
      <c r="F47" s="15"/>
      <c r="G47" s="14"/>
      <c r="H47" s="16">
        <f>H48+H50+H55+H60+H64+H72+H92+H98</f>
        <v>471020.13999999996</v>
      </c>
    </row>
    <row r="48" spans="1:8">
      <c r="A48" s="6" t="s">
        <v>123</v>
      </c>
      <c r="B48" s="6"/>
      <c r="C48" s="6"/>
      <c r="D48" s="6" t="s">
        <v>124</v>
      </c>
      <c r="E48" s="6"/>
      <c r="F48" s="7"/>
      <c r="G48" s="6"/>
      <c r="H48" s="8">
        <f>H49</f>
        <v>4200</v>
      </c>
    </row>
    <row r="49" spans="1:8">
      <c r="A49" s="9" t="s">
        <v>125</v>
      </c>
      <c r="B49" s="10" t="s">
        <v>126</v>
      </c>
      <c r="C49" s="10" t="s">
        <v>15</v>
      </c>
      <c r="D49" s="13" t="s">
        <v>127</v>
      </c>
      <c r="E49" s="10" t="s">
        <v>128</v>
      </c>
      <c r="F49" s="11">
        <v>1</v>
      </c>
      <c r="G49" s="12">
        <f ca="1">VLOOKUP(A49,'Orçamento Analítico'!$A:$H,8,0)</f>
        <v>4200</v>
      </c>
      <c r="H49" s="12">
        <f>TRUNC(F49 * G49, 2)</f>
        <v>4200</v>
      </c>
    </row>
    <row r="50" spans="1:8">
      <c r="A50" s="6" t="s">
        <v>129</v>
      </c>
      <c r="B50" s="6"/>
      <c r="C50" s="6"/>
      <c r="D50" s="6" t="s">
        <v>130</v>
      </c>
      <c r="E50" s="6"/>
      <c r="F50" s="7"/>
      <c r="G50" s="6"/>
      <c r="H50" s="8">
        <f>SUM(H51:H54)</f>
        <v>24165.309999999998</v>
      </c>
    </row>
    <row r="51" spans="1:8">
      <c r="A51" s="9" t="s">
        <v>131</v>
      </c>
      <c r="B51" s="10" t="s">
        <v>132</v>
      </c>
      <c r="C51" s="10" t="s">
        <v>15</v>
      </c>
      <c r="D51" s="13" t="s">
        <v>133</v>
      </c>
      <c r="E51" s="10" t="s">
        <v>43</v>
      </c>
      <c r="F51" s="11">
        <v>82</v>
      </c>
      <c r="G51" s="12">
        <f ca="1">VLOOKUP(A51,'Orçamento Analítico'!$A:$H,8,0)</f>
        <v>285.11</v>
      </c>
      <c r="H51" s="12">
        <f>TRUNC(F51 * G51, 2)</f>
        <v>23379.02</v>
      </c>
    </row>
    <row r="52" spans="1:8">
      <c r="A52" s="9" t="s">
        <v>134</v>
      </c>
      <c r="B52" s="10" t="s">
        <v>135</v>
      </c>
      <c r="C52" s="10" t="str">
        <f ca="1">VLOOKUP(B52,'Insumos e Serviços'!$A:$F,2,0)</f>
        <v>SINAPI</v>
      </c>
      <c r="D52" s="13" t="str">
        <f ca="1">VLOOKUP(B52,'Insumos e Serviços'!$A:$F,4,0)</f>
        <v>PINTURA ACRILICA EM PISO CIMENTADO DUAS DEMAOS</v>
      </c>
      <c r="E52" s="10" t="str">
        <f ca="1">VLOOKUP(B52,'Insumos e Serviços'!$A:$F,5,0)</f>
        <v>m²</v>
      </c>
      <c r="F52" s="11">
        <v>22</v>
      </c>
      <c r="G52" s="12">
        <f ca="1">VLOOKUP(B52,'Insumos e Serviços'!$A:$F,6,0)</f>
        <v>14.97</v>
      </c>
      <c r="H52" s="12">
        <f>TRUNC(F52 * G52, 2)</f>
        <v>329.34</v>
      </c>
    </row>
    <row r="53" spans="1:8" ht="22.5">
      <c r="A53" s="9" t="s">
        <v>137</v>
      </c>
      <c r="B53" s="10" t="s">
        <v>138</v>
      </c>
      <c r="C53" s="10" t="s">
        <v>15</v>
      </c>
      <c r="D53" s="13" t="s">
        <v>139</v>
      </c>
      <c r="E53" s="10" t="s">
        <v>43</v>
      </c>
      <c r="F53" s="11">
        <v>2</v>
      </c>
      <c r="G53" s="12">
        <f ca="1">VLOOKUP(A53,'Orçamento Analítico'!$A:$H,8,0)</f>
        <v>75.63</v>
      </c>
      <c r="H53" s="12">
        <f>TRUNC(F53 * G53, 2)</f>
        <v>151.26</v>
      </c>
    </row>
    <row r="54" spans="1:8" ht="33.75">
      <c r="A54" s="9" t="s">
        <v>140</v>
      </c>
      <c r="B54" s="10" t="s">
        <v>141</v>
      </c>
      <c r="C54" s="10" t="str">
        <f ca="1">VLOOKUP(B54,'Insumos e Serviços'!$A:$F,2,0)</f>
        <v>SINAPI</v>
      </c>
      <c r="D54" s="13" t="str">
        <f ca="1">VLOOKUP(B54,'Insumos e Serviços'!$A:$F,4,0)</f>
        <v>CONTRAPISO EM ARGAMASSA TRAÇO 1:4 (CIMENTO E AREIA), PREPARO MECÂNICO COM BETONEIRA 400 L, APLICADO EM ÁREAS SECAS SOBRE LAJE, ADERIDO, ESPESSURA 2CM. AF_06/2014</v>
      </c>
      <c r="E54" s="10" t="str">
        <f ca="1">VLOOKUP(B54,'Insumos e Serviços'!$A:$F,5,0)</f>
        <v>m²</v>
      </c>
      <c r="F54" s="11">
        <v>11</v>
      </c>
      <c r="G54" s="12">
        <f ca="1">VLOOKUP(B54,'Insumos e Serviços'!$A:$F,6,0)</f>
        <v>27.79</v>
      </c>
      <c r="H54" s="12">
        <f>TRUNC(F54 * G54, 2)</f>
        <v>305.69</v>
      </c>
    </row>
    <row r="55" spans="1:8">
      <c r="A55" s="6" t="s">
        <v>143</v>
      </c>
      <c r="B55" s="6"/>
      <c r="C55" s="6"/>
      <c r="D55" s="6" t="s">
        <v>144</v>
      </c>
      <c r="E55" s="6"/>
      <c r="F55" s="7"/>
      <c r="G55" s="6"/>
      <c r="H55" s="8">
        <f>SUM(H56:H59)</f>
        <v>89072.359999999986</v>
      </c>
    </row>
    <row r="56" spans="1:8" ht="33.75">
      <c r="A56" s="9" t="s">
        <v>145</v>
      </c>
      <c r="B56" s="10" t="s">
        <v>146</v>
      </c>
      <c r="C56" s="10" t="str">
        <f ca="1">VLOOKUP(B56,'Insumos e Serviços'!$A:$F,2,0)</f>
        <v>SINAPI</v>
      </c>
      <c r="D56" s="13" t="str">
        <f ca="1">VLOOKUP(B56,'Insumos e Serviços'!$A:$F,4,0)</f>
        <v>CHAPISCO APLICADO EM ALVENARIA (SEM PRESENÇA DE VÃOS) E ESTRUTURAS DE CONCRETO DE FACHADA, COM COLHER DE PEDREIRO.  ARGAMASSA TRAÇO 1:3 COM PREPARO EM BETONEIRA 400L. AF_06/2014</v>
      </c>
      <c r="E56" s="10" t="str">
        <f ca="1">VLOOKUP(B56,'Insumos e Serviços'!$A:$F,5,0)</f>
        <v>m²</v>
      </c>
      <c r="F56" s="11">
        <v>41</v>
      </c>
      <c r="G56" s="12">
        <f ca="1">VLOOKUP(B56,'Insumos e Serviços'!$A:$F,6,0)</f>
        <v>5.61</v>
      </c>
      <c r="H56" s="12">
        <f>TRUNC(F56 * G56, 2)</f>
        <v>230.01</v>
      </c>
    </row>
    <row r="57" spans="1:8" ht="33.75">
      <c r="A57" s="9" t="s">
        <v>148</v>
      </c>
      <c r="B57" s="10" t="s">
        <v>149</v>
      </c>
      <c r="C57" s="10" t="str">
        <f ca="1">VLOOKUP(B57,'Insumos e Serviços'!$A:$F,2,0)</f>
        <v>SINAPI</v>
      </c>
      <c r="D57" s="13" t="str">
        <f ca="1">VLOOKUP(B57,'Insumos e Serviços'!$A:$F,4,0)</f>
        <v>EMBOÇO OU MASSA ÚNICA EM ARGAMASSA TRAÇO 1:2:8, PREPARO MECÂNICO COM BETONEIRA 400 L, APLICADA MANUALMENTE EM PANOS CEGOS DE FACHADA (SEM PRESENÇA DE VÃOS), ESPESSURA DE 35 MM. AF_06/2014</v>
      </c>
      <c r="E57" s="10" t="str">
        <f ca="1">VLOOKUP(B57,'Insumos e Serviços'!$A:$F,5,0)</f>
        <v>m²</v>
      </c>
      <c r="F57" s="11">
        <v>41</v>
      </c>
      <c r="G57" s="12">
        <f ca="1">VLOOKUP(B57,'Insumos e Serviços'!$A:$F,6,0)</f>
        <v>40.119999999999997</v>
      </c>
      <c r="H57" s="12">
        <f>TRUNC(F57 * G57, 2)</f>
        <v>1644.92</v>
      </c>
    </row>
    <row r="58" spans="1:8" ht="33.75">
      <c r="A58" s="9" t="s">
        <v>151</v>
      </c>
      <c r="B58" s="10" t="s">
        <v>152</v>
      </c>
      <c r="C58" s="10" t="s">
        <v>15</v>
      </c>
      <c r="D58" s="13" t="s">
        <v>153</v>
      </c>
      <c r="E58" s="10" t="s">
        <v>43</v>
      </c>
      <c r="F58" s="11">
        <v>408</v>
      </c>
      <c r="G58" s="12">
        <f ca="1">VLOOKUP(A58,'Orçamento Analítico'!$A:$H,8,0)</f>
        <v>198.05999999999997</v>
      </c>
      <c r="H58" s="12">
        <f>TRUNC(F58 * G58, 2)</f>
        <v>80808.479999999996</v>
      </c>
    </row>
    <row r="59" spans="1:8" ht="22.5">
      <c r="A59" s="9" t="s">
        <v>154</v>
      </c>
      <c r="B59" s="10" t="s">
        <v>155</v>
      </c>
      <c r="C59" s="10" t="s">
        <v>15</v>
      </c>
      <c r="D59" s="13" t="s">
        <v>156</v>
      </c>
      <c r="E59" s="10" t="s">
        <v>59</v>
      </c>
      <c r="F59" s="11">
        <v>223</v>
      </c>
      <c r="G59" s="12">
        <f ca="1">VLOOKUP(A59,'Orçamento Analítico'!$A:$H,8,0)</f>
        <v>28.65</v>
      </c>
      <c r="H59" s="12">
        <f>TRUNC(F59 * G59, 2)</f>
        <v>6388.95</v>
      </c>
    </row>
    <row r="60" spans="1:8">
      <c r="A60" s="6" t="s">
        <v>157</v>
      </c>
      <c r="B60" s="6"/>
      <c r="C60" s="6"/>
      <c r="D60" s="6" t="s">
        <v>158</v>
      </c>
      <c r="E60" s="6"/>
      <c r="F60" s="7"/>
      <c r="G60" s="6"/>
      <c r="H60" s="8">
        <f>SUM(H61:H63)</f>
        <v>7608.09</v>
      </c>
    </row>
    <row r="61" spans="1:8" ht="22.5">
      <c r="A61" s="9" t="s">
        <v>159</v>
      </c>
      <c r="B61" s="10" t="s">
        <v>160</v>
      </c>
      <c r="C61" s="10" t="str">
        <f ca="1">VLOOKUP(B61,'Insumos e Serviços'!$A:$F,2,0)</f>
        <v>SINAPI</v>
      </c>
      <c r="D61" s="13" t="str">
        <f ca="1">VLOOKUP(B61,'Insumos e Serviços'!$A:$F,4,0)</f>
        <v>FORRO EM DRYWALL, PARA AMBIENTES COMERCIAIS, INCLUSIVE ESTRUTURA DE FIXAÇÃO. AF_05/2017_P</v>
      </c>
      <c r="E61" s="10" t="str">
        <f ca="1">VLOOKUP(B61,'Insumos e Serviços'!$A:$F,5,0)</f>
        <v>m²</v>
      </c>
      <c r="F61" s="11">
        <v>100</v>
      </c>
      <c r="G61" s="12">
        <f ca="1">VLOOKUP(B61,'Insumos e Serviços'!$A:$F,6,0)</f>
        <v>50.79</v>
      </c>
      <c r="H61" s="12">
        <f>TRUNC(F61 * G61, 2)</f>
        <v>5079</v>
      </c>
    </row>
    <row r="62" spans="1:8" ht="22.5">
      <c r="A62" s="9" t="s">
        <v>162</v>
      </c>
      <c r="B62" s="10" t="s">
        <v>163</v>
      </c>
      <c r="C62" s="10" t="s">
        <v>15</v>
      </c>
      <c r="D62" s="13" t="s">
        <v>164</v>
      </c>
      <c r="E62" s="10" t="s">
        <v>128</v>
      </c>
      <c r="F62" s="11">
        <v>1</v>
      </c>
      <c r="G62" s="12">
        <f ca="1">VLOOKUP(A62,'Orçamento Analítico'!$A:$H,8,0)</f>
        <v>142.88999999999999</v>
      </c>
      <c r="H62" s="12">
        <f>TRUNC(F62 * G62, 2)</f>
        <v>142.88999999999999</v>
      </c>
    </row>
    <row r="63" spans="1:8" ht="22.5">
      <c r="A63" s="9" t="s">
        <v>165</v>
      </c>
      <c r="B63" s="10" t="s">
        <v>166</v>
      </c>
      <c r="C63" s="10" t="s">
        <v>15</v>
      </c>
      <c r="D63" s="13" t="s">
        <v>167</v>
      </c>
      <c r="E63" s="10" t="s">
        <v>43</v>
      </c>
      <c r="F63" s="11">
        <v>485</v>
      </c>
      <c r="G63" s="12">
        <f ca="1">VLOOKUP(A63,'Orçamento Analítico'!$A:$H,8,0)</f>
        <v>4.9200000000000008</v>
      </c>
      <c r="H63" s="12">
        <f>TRUNC(F63 * G63, 2)</f>
        <v>2386.1999999999998</v>
      </c>
    </row>
    <row r="64" spans="1:8">
      <c r="A64" s="6" t="s">
        <v>168</v>
      </c>
      <c r="B64" s="6"/>
      <c r="C64" s="6"/>
      <c r="D64" s="6" t="s">
        <v>169</v>
      </c>
      <c r="E64" s="6"/>
      <c r="F64" s="7"/>
      <c r="G64" s="6"/>
      <c r="H64" s="8">
        <f>SUM(H65:H71)</f>
        <v>27006.400000000001</v>
      </c>
    </row>
    <row r="65" spans="1:8" ht="33.75">
      <c r="A65" s="9" t="s">
        <v>170</v>
      </c>
      <c r="B65" s="10" t="s">
        <v>171</v>
      </c>
      <c r="C65" s="10" t="str">
        <f ca="1">VLOOKUP(B65,'Insumos e Serviços'!$A:$F,2,0)</f>
        <v>SINAPI</v>
      </c>
      <c r="D65" s="13" t="str">
        <f ca="1">VLOOKUP(B65,'Insumos e Serviços'!$A:$F,4,0)</f>
        <v>PINTURA COM TINTA ALQUÍDICA DE ACABAMENTO (ESMALTE SINTÉTICO FOSCO) APLICADA A ROLO OU PINCEL SOBRE SUPERFÍCIES METÁLICAS (EXCETO PERFIL) EXECUTADO EM OBRA (POR DEMÃO). AF_01/2020</v>
      </c>
      <c r="E65" s="10" t="str">
        <f ca="1">VLOOKUP(B65,'Insumos e Serviços'!$A:$F,5,0)</f>
        <v>m²</v>
      </c>
      <c r="F65" s="11">
        <v>47</v>
      </c>
      <c r="G65" s="12">
        <f ca="1">VLOOKUP(B65,'Insumos e Serviços'!$A:$F,6,0)</f>
        <v>19.95</v>
      </c>
      <c r="H65" s="12">
        <f t="shared" ref="H65:H71" si="1">TRUNC(F65 * G65, 2)</f>
        <v>937.65</v>
      </c>
    </row>
    <row r="66" spans="1:8">
      <c r="A66" s="9" t="s">
        <v>173</v>
      </c>
      <c r="B66" s="10" t="s">
        <v>174</v>
      </c>
      <c r="C66" s="10" t="str">
        <f ca="1">VLOOKUP(B66,'Insumos e Serviços'!$A:$F,2,0)</f>
        <v>SINAPI</v>
      </c>
      <c r="D66" s="13" t="str">
        <f ca="1">VLOOKUP(B66,'Insumos e Serviços'!$A:$F,4,0)</f>
        <v>APLICAÇÃO E LIXAMENTO DE MASSA LÁTEX EM TETO, UMA DEMÃO. AF_06/2014</v>
      </c>
      <c r="E66" s="10" t="str">
        <f ca="1">VLOOKUP(B66,'Insumos e Serviços'!$A:$F,5,0)</f>
        <v>m²</v>
      </c>
      <c r="F66" s="11">
        <v>485</v>
      </c>
      <c r="G66" s="12">
        <f ca="1">VLOOKUP(B66,'Insumos e Serviços'!$A:$F,6,0)</f>
        <v>18.05</v>
      </c>
      <c r="H66" s="12">
        <f t="shared" si="1"/>
        <v>8754.25</v>
      </c>
    </row>
    <row r="67" spans="1:8" ht="22.5">
      <c r="A67" s="9" t="s">
        <v>176</v>
      </c>
      <c r="B67" s="10" t="s">
        <v>177</v>
      </c>
      <c r="C67" s="10" t="str">
        <f ca="1">VLOOKUP(B67,'Insumos e Serviços'!$A:$F,2,0)</f>
        <v>SINAPI</v>
      </c>
      <c r="D67" s="13" t="str">
        <f ca="1">VLOOKUP(B67,'Insumos e Serviços'!$A:$F,4,0)</f>
        <v>APLICAÇÃO MANUAL DE PINTURA COM TINTA LÁTEX PVA EM TETO, DUAS DEMÃOS. AF_06/2014</v>
      </c>
      <c r="E67" s="10" t="str">
        <f ca="1">VLOOKUP(B67,'Insumos e Serviços'!$A:$F,5,0)</f>
        <v>m²</v>
      </c>
      <c r="F67" s="11">
        <v>485</v>
      </c>
      <c r="G67" s="12">
        <f ca="1">VLOOKUP(B67,'Insumos e Serviços'!$A:$F,6,0)</f>
        <v>11.59</v>
      </c>
      <c r="H67" s="12">
        <f t="shared" si="1"/>
        <v>5621.15</v>
      </c>
    </row>
    <row r="68" spans="1:8">
      <c r="A68" s="9" t="s">
        <v>179</v>
      </c>
      <c r="B68" s="10" t="s">
        <v>180</v>
      </c>
      <c r="C68" s="10" t="str">
        <f ca="1">VLOOKUP(B68,'Insumos e Serviços'!$A:$F,2,0)</f>
        <v>SINAPI</v>
      </c>
      <c r="D68" s="13" t="str">
        <f ca="1">VLOOKUP(B68,'Insumos e Serviços'!$A:$F,4,0)</f>
        <v>APLICAÇÃO DE FUNDO SELADOR ACRÍLICO EM TETO, UMA DEMÃO. AF_06/2014</v>
      </c>
      <c r="E68" s="10" t="str">
        <f ca="1">VLOOKUP(B68,'Insumos e Serviços'!$A:$F,5,0)</f>
        <v>m²</v>
      </c>
      <c r="F68" s="11">
        <v>485</v>
      </c>
      <c r="G68" s="12">
        <f ca="1">VLOOKUP(B68,'Insumos e Serviços'!$A:$F,6,0)</f>
        <v>2.87</v>
      </c>
      <c r="H68" s="12">
        <f t="shared" si="1"/>
        <v>1391.95</v>
      </c>
    </row>
    <row r="69" spans="1:8">
      <c r="A69" s="9" t="s">
        <v>182</v>
      </c>
      <c r="B69" s="10" t="s">
        <v>183</v>
      </c>
      <c r="C69" s="10" t="str">
        <f ca="1">VLOOKUP(B69,'Insumos e Serviços'!$A:$F,2,0)</f>
        <v>SINAPI</v>
      </c>
      <c r="D69" s="13" t="str">
        <f ca="1">VLOOKUP(B69,'Insumos e Serviços'!$A:$F,4,0)</f>
        <v>APLICAÇÃO DE FUNDO SELADOR ACRÍLICO EM PAREDES, UMA DEMÃO. AF_06/2014</v>
      </c>
      <c r="E69" s="10" t="str">
        <f ca="1">VLOOKUP(B69,'Insumos e Serviços'!$A:$F,5,0)</f>
        <v>m²</v>
      </c>
      <c r="F69" s="11">
        <v>246</v>
      </c>
      <c r="G69" s="12">
        <f ca="1">VLOOKUP(B69,'Insumos e Serviços'!$A:$F,6,0)</f>
        <v>2.5</v>
      </c>
      <c r="H69" s="12">
        <f t="shared" si="1"/>
        <v>615</v>
      </c>
    </row>
    <row r="70" spans="1:8" ht="22.5">
      <c r="A70" s="9" t="s">
        <v>185</v>
      </c>
      <c r="B70" s="10" t="s">
        <v>186</v>
      </c>
      <c r="C70" s="10" t="str">
        <f ca="1">VLOOKUP(B70,'Insumos e Serviços'!$A:$F,2,0)</f>
        <v>SINAPI</v>
      </c>
      <c r="D70" s="13" t="str">
        <f ca="1">VLOOKUP(B70,'Insumos e Serviços'!$A:$F,4,0)</f>
        <v>APLICAÇÃO MANUAL DE PINTURA COM TINTA LÁTEX ACRÍLICA EM PAREDES, DUAS DEMÃOS. AF_06/2014</v>
      </c>
      <c r="E70" s="10" t="str">
        <f ca="1">VLOOKUP(B70,'Insumos e Serviços'!$A:$F,5,0)</f>
        <v>m²</v>
      </c>
      <c r="F70" s="11">
        <v>246</v>
      </c>
      <c r="G70" s="12">
        <f ca="1">VLOOKUP(B70,'Insumos e Serviços'!$A:$F,6,0)</f>
        <v>12.12</v>
      </c>
      <c r="H70" s="12">
        <f t="shared" si="1"/>
        <v>2981.52</v>
      </c>
    </row>
    <row r="71" spans="1:8" ht="33.75">
      <c r="A71" s="9" t="s">
        <v>188</v>
      </c>
      <c r="B71" s="10" t="s">
        <v>189</v>
      </c>
      <c r="C71" s="10" t="str">
        <f ca="1">VLOOKUP(B71,'Insumos e Serviços'!$A:$F,2,0)</f>
        <v>SINAPI</v>
      </c>
      <c r="D71" s="13" t="str">
        <f ca="1">VLOOKUP(B71,'Insumos e Serviços'!$A:$F,4,0)</f>
        <v>PINTURA COM TINTA ALQUÍDICA DE ACABAMENTO (ESMALTE SINTÉTICO FOSCO) APLICADA A ROLO OU PINCEL SOBRE SUPERFÍCIES METÁLICAS (EXCETO PERFIL) EXECUTADO EM OBRA (02 DEMÃOS). AF_01/2020</v>
      </c>
      <c r="E71" s="10" t="str">
        <f ca="1">VLOOKUP(B71,'Insumos e Serviços'!$A:$F,5,0)</f>
        <v>m²</v>
      </c>
      <c r="F71" s="11">
        <v>168</v>
      </c>
      <c r="G71" s="12">
        <f ca="1">VLOOKUP(B71,'Insumos e Serviços'!$A:$F,6,0)</f>
        <v>39.909999999999997</v>
      </c>
      <c r="H71" s="12">
        <f t="shared" si="1"/>
        <v>6704.88</v>
      </c>
    </row>
    <row r="72" spans="1:8">
      <c r="A72" s="6" t="s">
        <v>191</v>
      </c>
      <c r="B72" s="6"/>
      <c r="C72" s="6"/>
      <c r="D72" s="6" t="s">
        <v>192</v>
      </c>
      <c r="E72" s="6"/>
      <c r="F72" s="7"/>
      <c r="G72" s="6"/>
      <c r="H72" s="8">
        <f>SUM(H73:H91)</f>
        <v>250483.60000000003</v>
      </c>
    </row>
    <row r="73" spans="1:8">
      <c r="A73" s="9" t="s">
        <v>193</v>
      </c>
      <c r="B73" s="10" t="s">
        <v>194</v>
      </c>
      <c r="C73" s="10" t="str">
        <f ca="1">VLOOKUP(B73,'Insumos e Serviços'!$A:$F,2,0)</f>
        <v>SINAPI</v>
      </c>
      <c r="D73" s="13" t="str">
        <f ca="1">VLOOKUP(B73,'Insumos e Serviços'!$A:$F,4,0)</f>
        <v>LIMPEZA DE SUPERFÍCIE COM JATO DE ALTA PRESSÃO. AF_04/2019</v>
      </c>
      <c r="E73" s="10" t="str">
        <f ca="1">VLOOKUP(B73,'Insumos e Serviços'!$A:$F,5,0)</f>
        <v>m²</v>
      </c>
      <c r="F73" s="11">
        <v>346</v>
      </c>
      <c r="G73" s="12">
        <f ca="1">VLOOKUP(B73,'Insumos e Serviços'!$A:$F,6,0)</f>
        <v>1.53</v>
      </c>
      <c r="H73" s="12">
        <f t="shared" ref="H73:H91" si="2">TRUNC(F73 * G73, 2)</f>
        <v>529.38</v>
      </c>
    </row>
    <row r="74" spans="1:8" ht="22.5">
      <c r="A74" s="9" t="s">
        <v>196</v>
      </c>
      <c r="B74" s="10" t="s">
        <v>197</v>
      </c>
      <c r="C74" s="10" t="str">
        <f ca="1">VLOOKUP(B74,'Insumos e Serviços'!$A:$F,2,0)</f>
        <v>SINAPI</v>
      </c>
      <c r="D74" s="13" t="str">
        <f ca="1">VLOOKUP(B74,'Insumos e Serviços'!$A:$F,4,0)</f>
        <v>LIMPEZA DE PISO CERÂMICO OU COM PEDRAS RÚSTICAS UTILIZANDO ÁCIDO MURIÁTICO. AF_04/2019</v>
      </c>
      <c r="E74" s="10" t="str">
        <f ca="1">VLOOKUP(B74,'Insumos e Serviços'!$A:$F,5,0)</f>
        <v>m²</v>
      </c>
      <c r="F74" s="11">
        <v>82</v>
      </c>
      <c r="G74" s="12">
        <f ca="1">VLOOKUP(B74,'Insumos e Serviços'!$A:$F,6,0)</f>
        <v>8.66</v>
      </c>
      <c r="H74" s="12">
        <f t="shared" si="2"/>
        <v>710.12</v>
      </c>
    </row>
    <row r="75" spans="1:8" ht="33.75">
      <c r="A75" s="9" t="s">
        <v>199</v>
      </c>
      <c r="B75" s="10" t="s">
        <v>200</v>
      </c>
      <c r="C75" s="10" t="s">
        <v>15</v>
      </c>
      <c r="D75" s="13" t="s">
        <v>201</v>
      </c>
      <c r="E75" s="10" t="s">
        <v>43</v>
      </c>
      <c r="F75" s="11">
        <v>253</v>
      </c>
      <c r="G75" s="12">
        <f ca="1">VLOOKUP(A75,'Orçamento Analítico'!$A:$H,8,0)</f>
        <v>45.21</v>
      </c>
      <c r="H75" s="12">
        <f t="shared" si="2"/>
        <v>11438.13</v>
      </c>
    </row>
    <row r="76" spans="1:8" ht="22.5">
      <c r="A76" s="9" t="s">
        <v>202</v>
      </c>
      <c r="B76" s="10" t="s">
        <v>203</v>
      </c>
      <c r="C76" s="10" t="s">
        <v>15</v>
      </c>
      <c r="D76" s="13" t="s">
        <v>204</v>
      </c>
      <c r="E76" s="10" t="s">
        <v>43</v>
      </c>
      <c r="F76" s="11">
        <v>256</v>
      </c>
      <c r="G76" s="12">
        <f ca="1">VLOOKUP(A76,'Orçamento Analítico'!$A:$H,8,0)</f>
        <v>113.7</v>
      </c>
      <c r="H76" s="12">
        <f t="shared" si="2"/>
        <v>29107.200000000001</v>
      </c>
    </row>
    <row r="77" spans="1:8" ht="33.75">
      <c r="A77" s="9" t="s">
        <v>205</v>
      </c>
      <c r="B77" s="10" t="s">
        <v>206</v>
      </c>
      <c r="C77" s="10" t="s">
        <v>15</v>
      </c>
      <c r="D77" s="13" t="s">
        <v>207</v>
      </c>
      <c r="E77" s="10" t="s">
        <v>43</v>
      </c>
      <c r="F77" s="11">
        <v>253</v>
      </c>
      <c r="G77" s="12">
        <f ca="1">VLOOKUP(A77,'Orçamento Analítico'!$A:$H,8,0)</f>
        <v>59.73</v>
      </c>
      <c r="H77" s="12">
        <f t="shared" si="2"/>
        <v>15111.69</v>
      </c>
    </row>
    <row r="78" spans="1:8">
      <c r="A78" s="9" t="s">
        <v>208</v>
      </c>
      <c r="B78" s="10" t="s">
        <v>209</v>
      </c>
      <c r="C78" s="10" t="str">
        <f ca="1">VLOOKUP(B78,'Insumos e Serviços'!$A:$F,2,0)</f>
        <v>SINAPI</v>
      </c>
      <c r="D78" s="13" t="str">
        <f ca="1">VLOOKUP(B78,'Insumos e Serviços'!$A:$F,4,0)</f>
        <v>EXECUCAO DE DRENO COM MANTA GEOTEXTIL 200 G/M2</v>
      </c>
      <c r="E78" s="10" t="str">
        <f ca="1">VLOOKUP(B78,'Insumos e Serviços'!$A:$F,5,0)</f>
        <v>m²</v>
      </c>
      <c r="F78" s="11">
        <v>256</v>
      </c>
      <c r="G78" s="12">
        <f ca="1">VLOOKUP(B78,'Insumos e Serviços'!$A:$F,6,0)</f>
        <v>5.49</v>
      </c>
      <c r="H78" s="12">
        <f t="shared" si="2"/>
        <v>1405.44</v>
      </c>
    </row>
    <row r="79" spans="1:8" ht="22.5">
      <c r="A79" s="9" t="s">
        <v>211</v>
      </c>
      <c r="B79" s="10" t="s">
        <v>212</v>
      </c>
      <c r="C79" s="10" t="str">
        <f ca="1">VLOOKUP(B79,'Insumos e Serviços'!$A:$F,2,0)</f>
        <v>SINAPI</v>
      </c>
      <c r="D79" s="13" t="str">
        <f ca="1">VLOOKUP(B79,'Insumos e Serviços'!$A:$F,4,0)</f>
        <v>IMPERMEABILIZACAO DE CALHAS/LAJES DESCOBERTAS, COM EMULSAO ASFALTICA COM ELASTOMEROS, 3 DEMAOS</v>
      </c>
      <c r="E79" s="10" t="str">
        <f ca="1">VLOOKUP(B79,'Insumos e Serviços'!$A:$F,5,0)</f>
        <v>m²</v>
      </c>
      <c r="F79" s="11">
        <v>60</v>
      </c>
      <c r="G79" s="12">
        <f ca="1">VLOOKUP(B79,'Insumos e Serviços'!$A:$F,6,0)</f>
        <v>44.45</v>
      </c>
      <c r="H79" s="12">
        <f t="shared" si="2"/>
        <v>2667</v>
      </c>
    </row>
    <row r="80" spans="1:8" ht="22.5">
      <c r="A80" s="9" t="s">
        <v>214</v>
      </c>
      <c r="B80" s="10" t="s">
        <v>215</v>
      </c>
      <c r="C80" s="10" t="s">
        <v>15</v>
      </c>
      <c r="D80" s="13" t="s">
        <v>216</v>
      </c>
      <c r="E80" s="10" t="s">
        <v>59</v>
      </c>
      <c r="F80" s="11">
        <v>199</v>
      </c>
      <c r="G80" s="12">
        <f ca="1">VLOOKUP(A80,'Orçamento Analítico'!$A:$H,8,0)</f>
        <v>23.15</v>
      </c>
      <c r="H80" s="12">
        <f t="shared" si="2"/>
        <v>4606.8500000000004</v>
      </c>
    </row>
    <row r="81" spans="1:8" ht="22.5">
      <c r="A81" s="9" t="s">
        <v>217</v>
      </c>
      <c r="B81" s="10" t="s">
        <v>218</v>
      </c>
      <c r="C81" s="10" t="s">
        <v>15</v>
      </c>
      <c r="D81" s="13" t="s">
        <v>219</v>
      </c>
      <c r="E81" s="10" t="s">
        <v>43</v>
      </c>
      <c r="F81" s="11">
        <v>338</v>
      </c>
      <c r="G81" s="12">
        <f ca="1">VLOOKUP(A81,'Orçamento Analítico'!$A:$H,8,0)</f>
        <v>248.41</v>
      </c>
      <c r="H81" s="12">
        <f t="shared" si="2"/>
        <v>83962.58</v>
      </c>
    </row>
    <row r="82" spans="1:8" ht="22.5">
      <c r="A82" s="9" t="s">
        <v>220</v>
      </c>
      <c r="B82" s="10" t="s">
        <v>221</v>
      </c>
      <c r="C82" s="10" t="s">
        <v>15</v>
      </c>
      <c r="D82" s="13" t="s">
        <v>222</v>
      </c>
      <c r="E82" s="10" t="s">
        <v>43</v>
      </c>
      <c r="F82" s="11">
        <v>338</v>
      </c>
      <c r="G82" s="12">
        <f ca="1">VLOOKUP(A82,'Orçamento Analítico'!$A:$H,8,0)</f>
        <v>146.39999999999998</v>
      </c>
      <c r="H82" s="12">
        <f t="shared" si="2"/>
        <v>49483.199999999997</v>
      </c>
    </row>
    <row r="83" spans="1:8" ht="22.5">
      <c r="A83" s="9" t="s">
        <v>223</v>
      </c>
      <c r="B83" s="10" t="s">
        <v>224</v>
      </c>
      <c r="C83" s="10" t="s">
        <v>15</v>
      </c>
      <c r="D83" s="13" t="s">
        <v>225</v>
      </c>
      <c r="E83" s="10" t="s">
        <v>59</v>
      </c>
      <c r="F83" s="11">
        <v>27</v>
      </c>
      <c r="G83" s="12">
        <f ca="1">VLOOKUP(A83,'Orçamento Analítico'!$A:$H,8,0)</f>
        <v>12.13</v>
      </c>
      <c r="H83" s="12">
        <f t="shared" si="2"/>
        <v>327.51</v>
      </c>
    </row>
    <row r="84" spans="1:8" ht="22.5">
      <c r="A84" s="9" t="s">
        <v>226</v>
      </c>
      <c r="B84" s="10" t="s">
        <v>227</v>
      </c>
      <c r="C84" s="10" t="s">
        <v>15</v>
      </c>
      <c r="D84" s="13" t="s">
        <v>228</v>
      </c>
      <c r="E84" s="10" t="s">
        <v>59</v>
      </c>
      <c r="F84" s="11">
        <v>105</v>
      </c>
      <c r="G84" s="12">
        <f ca="1">VLOOKUP(A84,'Orçamento Analítico'!$A:$H,8,0)</f>
        <v>129.77000000000001</v>
      </c>
      <c r="H84" s="12">
        <f t="shared" si="2"/>
        <v>13625.85</v>
      </c>
    </row>
    <row r="85" spans="1:8" ht="22.5">
      <c r="A85" s="9" t="s">
        <v>229</v>
      </c>
      <c r="B85" s="10" t="s">
        <v>230</v>
      </c>
      <c r="C85" s="10" t="s">
        <v>15</v>
      </c>
      <c r="D85" s="13" t="s">
        <v>231</v>
      </c>
      <c r="E85" s="10" t="s">
        <v>59</v>
      </c>
      <c r="F85" s="11">
        <v>16</v>
      </c>
      <c r="G85" s="12">
        <f ca="1">VLOOKUP(A85,'Orçamento Analítico'!$A:$H,8,0)</f>
        <v>56.24</v>
      </c>
      <c r="H85" s="12">
        <f t="shared" si="2"/>
        <v>899.84</v>
      </c>
    </row>
    <row r="86" spans="1:8" ht="33.75">
      <c r="A86" s="9" t="s">
        <v>232</v>
      </c>
      <c r="B86" s="10" t="s">
        <v>233</v>
      </c>
      <c r="C86" s="10" t="s">
        <v>15</v>
      </c>
      <c r="D86" s="13" t="s">
        <v>234</v>
      </c>
      <c r="E86" s="10" t="s">
        <v>59</v>
      </c>
      <c r="F86" s="11">
        <v>16</v>
      </c>
      <c r="G86" s="12">
        <f ca="1">VLOOKUP(A86,'Orçamento Analítico'!$A:$H,8,0)</f>
        <v>194.66</v>
      </c>
      <c r="H86" s="12">
        <f t="shared" si="2"/>
        <v>3114.56</v>
      </c>
    </row>
    <row r="87" spans="1:8" ht="33.75">
      <c r="A87" s="9" t="s">
        <v>235</v>
      </c>
      <c r="B87" s="10" t="s">
        <v>236</v>
      </c>
      <c r="C87" s="10" t="s">
        <v>15</v>
      </c>
      <c r="D87" s="13" t="s">
        <v>237</v>
      </c>
      <c r="E87" s="10" t="s">
        <v>59</v>
      </c>
      <c r="F87" s="11">
        <v>313</v>
      </c>
      <c r="G87" s="12">
        <f ca="1">VLOOKUP(A87,'Orçamento Analítico'!$A:$H,8,0)</f>
        <v>60.68</v>
      </c>
      <c r="H87" s="12">
        <f t="shared" si="2"/>
        <v>18992.84</v>
      </c>
    </row>
    <row r="88" spans="1:8" ht="22.5">
      <c r="A88" s="9" t="s">
        <v>238</v>
      </c>
      <c r="B88" s="10" t="s">
        <v>239</v>
      </c>
      <c r="C88" s="10" t="s">
        <v>15</v>
      </c>
      <c r="D88" s="13" t="s">
        <v>240</v>
      </c>
      <c r="E88" s="10" t="s">
        <v>128</v>
      </c>
      <c r="F88" s="11">
        <v>15</v>
      </c>
      <c r="G88" s="12">
        <f ca="1">VLOOKUP(A88,'Orçamento Analítico'!$A:$H,8,0)</f>
        <v>33.04</v>
      </c>
      <c r="H88" s="12">
        <f t="shared" si="2"/>
        <v>495.6</v>
      </c>
    </row>
    <row r="89" spans="1:8" ht="22.5">
      <c r="A89" s="9" t="s">
        <v>241</v>
      </c>
      <c r="B89" s="10" t="s">
        <v>242</v>
      </c>
      <c r="C89" s="10" t="s">
        <v>15</v>
      </c>
      <c r="D89" s="13" t="s">
        <v>243</v>
      </c>
      <c r="E89" s="10" t="s">
        <v>43</v>
      </c>
      <c r="F89" s="11">
        <v>49</v>
      </c>
      <c r="G89" s="12">
        <f ca="1">VLOOKUP(A89,'Orçamento Analítico'!$A:$H,8,0)</f>
        <v>53.47</v>
      </c>
      <c r="H89" s="12">
        <f t="shared" si="2"/>
        <v>2620.0300000000002</v>
      </c>
    </row>
    <row r="90" spans="1:8" ht="33.75">
      <c r="A90" s="9" t="s">
        <v>244</v>
      </c>
      <c r="B90" s="10" t="s">
        <v>245</v>
      </c>
      <c r="C90" s="10" t="s">
        <v>15</v>
      </c>
      <c r="D90" s="13" t="s">
        <v>246</v>
      </c>
      <c r="E90" s="10" t="s">
        <v>43</v>
      </c>
      <c r="F90" s="11">
        <v>49</v>
      </c>
      <c r="G90" s="12">
        <f ca="1">VLOOKUP(A90,'Orçamento Analítico'!$A:$H,8,0)</f>
        <v>54.17</v>
      </c>
      <c r="H90" s="12">
        <f t="shared" si="2"/>
        <v>2654.33</v>
      </c>
    </row>
    <row r="91" spans="1:8" ht="22.5">
      <c r="A91" s="9" t="s">
        <v>247</v>
      </c>
      <c r="B91" s="10" t="s">
        <v>248</v>
      </c>
      <c r="C91" s="10" t="s">
        <v>15</v>
      </c>
      <c r="D91" s="13" t="s">
        <v>249</v>
      </c>
      <c r="E91" s="10" t="s">
        <v>43</v>
      </c>
      <c r="F91" s="11">
        <v>91</v>
      </c>
      <c r="G91" s="12">
        <f ca="1">VLOOKUP(A91,'Orçamento Analítico'!$A:$H,8,0)</f>
        <v>95.95</v>
      </c>
      <c r="H91" s="12">
        <f t="shared" si="2"/>
        <v>8731.4500000000007</v>
      </c>
    </row>
    <row r="92" spans="1:8">
      <c r="A92" s="6" t="s">
        <v>250</v>
      </c>
      <c r="B92" s="6"/>
      <c r="C92" s="6"/>
      <c r="D92" s="6" t="s">
        <v>251</v>
      </c>
      <c r="E92" s="6"/>
      <c r="F92" s="7"/>
      <c r="G92" s="6"/>
      <c r="H92" s="8">
        <f>SUM(H93:H97)</f>
        <v>50822.47</v>
      </c>
    </row>
    <row r="93" spans="1:8" ht="22.5">
      <c r="A93" s="9" t="s">
        <v>252</v>
      </c>
      <c r="B93" s="10" t="s">
        <v>253</v>
      </c>
      <c r="C93" s="10" t="s">
        <v>15</v>
      </c>
      <c r="D93" s="13" t="s">
        <v>254</v>
      </c>
      <c r="E93" s="10" t="s">
        <v>28</v>
      </c>
      <c r="F93" s="11">
        <v>162</v>
      </c>
      <c r="G93" s="12">
        <f ca="1">VLOOKUP(A93,'Orçamento Analítico'!$A:$H,8,0)</f>
        <v>50.46</v>
      </c>
      <c r="H93" s="12">
        <f>TRUNC(F93 * G93, 2)</f>
        <v>8174.52</v>
      </c>
    </row>
    <row r="94" spans="1:8" ht="22.5">
      <c r="A94" s="9" t="s">
        <v>255</v>
      </c>
      <c r="B94" s="10" t="s">
        <v>256</v>
      </c>
      <c r="C94" s="10" t="s">
        <v>15</v>
      </c>
      <c r="D94" s="13" t="s">
        <v>257</v>
      </c>
      <c r="E94" s="10" t="s">
        <v>28</v>
      </c>
      <c r="F94" s="11">
        <v>186</v>
      </c>
      <c r="G94" s="12">
        <f ca="1">VLOOKUP(A94,'Orçamento Analítico'!$A:$H,8,0)</f>
        <v>156.03000000000003</v>
      </c>
      <c r="H94" s="12">
        <f>TRUNC(F94 * G94, 2)</f>
        <v>29021.58</v>
      </c>
    </row>
    <row r="95" spans="1:8" ht="22.5">
      <c r="A95" s="9" t="s">
        <v>258</v>
      </c>
      <c r="B95" s="10" t="s">
        <v>259</v>
      </c>
      <c r="C95" s="10" t="s">
        <v>15</v>
      </c>
      <c r="D95" s="13" t="s">
        <v>260</v>
      </c>
      <c r="E95" s="10" t="s">
        <v>28</v>
      </c>
      <c r="F95" s="11">
        <v>42</v>
      </c>
      <c r="G95" s="12">
        <f ca="1">VLOOKUP(A95,'Orçamento Analítico'!$A:$H,8,0)</f>
        <v>200.95999999999998</v>
      </c>
      <c r="H95" s="12">
        <f>TRUNC(F95 * G95, 2)</f>
        <v>8440.32</v>
      </c>
    </row>
    <row r="96" spans="1:8" ht="22.5">
      <c r="A96" s="9" t="s">
        <v>261</v>
      </c>
      <c r="B96" s="10" t="s">
        <v>262</v>
      </c>
      <c r="C96" s="10" t="s">
        <v>15</v>
      </c>
      <c r="D96" s="13" t="s">
        <v>263</v>
      </c>
      <c r="E96" s="10" t="s">
        <v>28</v>
      </c>
      <c r="F96" s="11">
        <v>16</v>
      </c>
      <c r="G96" s="12">
        <f ca="1">VLOOKUP(A96,'Orçamento Analítico'!$A:$H,8,0)</f>
        <v>268.34999999999997</v>
      </c>
      <c r="H96" s="12">
        <f>TRUNC(F96 * G96, 2)</f>
        <v>4293.6000000000004</v>
      </c>
    </row>
    <row r="97" spans="1:8" ht="22.5">
      <c r="A97" s="9" t="s">
        <v>264</v>
      </c>
      <c r="B97" s="10" t="s">
        <v>265</v>
      </c>
      <c r="C97" s="10" t="s">
        <v>15</v>
      </c>
      <c r="D97" s="13" t="s">
        <v>266</v>
      </c>
      <c r="E97" s="10" t="s">
        <v>28</v>
      </c>
      <c r="F97" s="11">
        <v>5</v>
      </c>
      <c r="G97" s="12">
        <f ca="1">VLOOKUP(A97,'Orçamento Analítico'!$A:$H,8,0)</f>
        <v>178.49</v>
      </c>
      <c r="H97" s="12">
        <f>TRUNC(F97 * G97, 2)</f>
        <v>892.45</v>
      </c>
    </row>
    <row r="98" spans="1:8">
      <c r="A98" s="6" t="s">
        <v>267</v>
      </c>
      <c r="B98" s="6"/>
      <c r="C98" s="6"/>
      <c r="D98" s="6" t="s">
        <v>268</v>
      </c>
      <c r="E98" s="6"/>
      <c r="F98" s="7"/>
      <c r="G98" s="6"/>
      <c r="H98" s="8">
        <f>SUM(H99:H100)</f>
        <v>17661.91</v>
      </c>
    </row>
    <row r="99" spans="1:8">
      <c r="A99" s="9" t="s">
        <v>269</v>
      </c>
      <c r="B99" s="10" t="s">
        <v>270</v>
      </c>
      <c r="C99" s="10" t="s">
        <v>15</v>
      </c>
      <c r="D99" s="13" t="s">
        <v>271</v>
      </c>
      <c r="E99" s="10" t="s">
        <v>28</v>
      </c>
      <c r="F99" s="11">
        <v>160</v>
      </c>
      <c r="G99" s="12">
        <f ca="1">VLOOKUP(A99,'Orçamento Analítico'!$A:$H,8,0)</f>
        <v>39.770000000000003</v>
      </c>
      <c r="H99" s="12">
        <f>TRUNC(F99 * G99, 2)</f>
        <v>6363.2</v>
      </c>
    </row>
    <row r="100" spans="1:8" ht="22.5">
      <c r="A100" s="9" t="s">
        <v>272</v>
      </c>
      <c r="B100" s="10" t="s">
        <v>273</v>
      </c>
      <c r="C100" s="10" t="s">
        <v>15</v>
      </c>
      <c r="D100" s="13" t="s">
        <v>274</v>
      </c>
      <c r="E100" s="10" t="s">
        <v>59</v>
      </c>
      <c r="F100" s="11">
        <v>17</v>
      </c>
      <c r="G100" s="12">
        <f ca="1">VLOOKUP(A100,'Orçamento Analítico'!$A:$H,8,0)</f>
        <v>664.63</v>
      </c>
      <c r="H100" s="12">
        <f>TRUNC(F100 * G100, 2)</f>
        <v>11298.71</v>
      </c>
    </row>
    <row r="101" spans="1:8">
      <c r="A101" s="4" t="s">
        <v>275</v>
      </c>
      <c r="B101" s="4"/>
      <c r="C101" s="4"/>
      <c r="D101" s="4" t="s">
        <v>276</v>
      </c>
      <c r="E101" s="4"/>
      <c r="F101" s="5"/>
      <c r="G101" s="4"/>
      <c r="H101" s="5">
        <f>H102</f>
        <v>261.32</v>
      </c>
    </row>
    <row r="102" spans="1:8">
      <c r="A102" s="6" t="s">
        <v>277</v>
      </c>
      <c r="B102" s="6"/>
      <c r="C102" s="6"/>
      <c r="D102" s="6" t="s">
        <v>278</v>
      </c>
      <c r="E102" s="6"/>
      <c r="F102" s="7"/>
      <c r="G102" s="6"/>
      <c r="H102" s="8">
        <f>H103</f>
        <v>261.32</v>
      </c>
    </row>
    <row r="103" spans="1:8">
      <c r="A103" s="14" t="s">
        <v>279</v>
      </c>
      <c r="B103" s="14"/>
      <c r="C103" s="14"/>
      <c r="D103" s="14" t="s">
        <v>280</v>
      </c>
      <c r="E103" s="14"/>
      <c r="F103" s="15"/>
      <c r="G103" s="14"/>
      <c r="H103" s="16">
        <f>H104</f>
        <v>261.32</v>
      </c>
    </row>
    <row r="104" spans="1:8" ht="22.5">
      <c r="A104" s="9" t="s">
        <v>281</v>
      </c>
      <c r="B104" s="10" t="s">
        <v>282</v>
      </c>
      <c r="C104" s="10" t="s">
        <v>15</v>
      </c>
      <c r="D104" s="13" t="s">
        <v>283</v>
      </c>
      <c r="E104" s="10" t="s">
        <v>128</v>
      </c>
      <c r="F104" s="11">
        <v>4</v>
      </c>
      <c r="G104" s="12">
        <f ca="1">VLOOKUP(A104,'Orçamento Analítico'!$A:$H,8,0)</f>
        <v>65.330000000000013</v>
      </c>
      <c r="H104" s="12">
        <f>TRUNC(F104 * G104, 2)</f>
        <v>261.32</v>
      </c>
    </row>
    <row r="105" spans="1:8">
      <c r="A105" s="4" t="s">
        <v>284</v>
      </c>
      <c r="B105" s="4"/>
      <c r="C105" s="4"/>
      <c r="D105" s="4" t="s">
        <v>285</v>
      </c>
      <c r="E105" s="4"/>
      <c r="F105" s="5"/>
      <c r="G105" s="4"/>
      <c r="H105" s="5">
        <f>H106</f>
        <v>3076.6000000000004</v>
      </c>
    </row>
    <row r="106" spans="1:8">
      <c r="A106" s="6" t="s">
        <v>286</v>
      </c>
      <c r="B106" s="6"/>
      <c r="C106" s="6"/>
      <c r="D106" s="6" t="s">
        <v>287</v>
      </c>
      <c r="E106" s="6"/>
      <c r="F106" s="7"/>
      <c r="G106" s="6"/>
      <c r="H106" s="8">
        <f>H107+H110</f>
        <v>3076.6000000000004</v>
      </c>
    </row>
    <row r="107" spans="1:8">
      <c r="A107" s="14" t="s">
        <v>288</v>
      </c>
      <c r="B107" s="14"/>
      <c r="C107" s="14"/>
      <c r="D107" s="14" t="s">
        <v>289</v>
      </c>
      <c r="E107" s="14"/>
      <c r="F107" s="15"/>
      <c r="G107" s="14"/>
      <c r="H107" s="16">
        <f>SUM(H108:H109)</f>
        <v>1151.95</v>
      </c>
    </row>
    <row r="108" spans="1:8" ht="45">
      <c r="A108" s="9" t="s">
        <v>290</v>
      </c>
      <c r="B108" s="10" t="s">
        <v>291</v>
      </c>
      <c r="C108" s="10" t="s">
        <v>15</v>
      </c>
      <c r="D108" s="13" t="s">
        <v>292</v>
      </c>
      <c r="E108" s="10" t="s">
        <v>128</v>
      </c>
      <c r="F108" s="11">
        <v>3</v>
      </c>
      <c r="G108" s="12">
        <f ca="1">VLOOKUP(A108,'Orçamento Analítico'!$A:$H,8,0)</f>
        <v>263.04999999999995</v>
      </c>
      <c r="H108" s="12">
        <f>TRUNC(F108 * G108, 2)</f>
        <v>789.15</v>
      </c>
    </row>
    <row r="109" spans="1:8" ht="22.5">
      <c r="A109" s="9" t="s">
        <v>293</v>
      </c>
      <c r="B109" s="10" t="s">
        <v>294</v>
      </c>
      <c r="C109" s="10" t="s">
        <v>15</v>
      </c>
      <c r="D109" s="13" t="s">
        <v>295</v>
      </c>
      <c r="E109" s="10" t="s">
        <v>59</v>
      </c>
      <c r="F109" s="11">
        <v>40</v>
      </c>
      <c r="G109" s="12">
        <f ca="1">VLOOKUP(A109,'Orçamento Analítico'!$A:$H,8,0)</f>
        <v>9.07</v>
      </c>
      <c r="H109" s="12">
        <f>TRUNC(F109 * G109, 2)</f>
        <v>362.8</v>
      </c>
    </row>
    <row r="110" spans="1:8">
      <c r="A110" s="14" t="s">
        <v>296</v>
      </c>
      <c r="B110" s="14"/>
      <c r="C110" s="14"/>
      <c r="D110" s="14" t="s">
        <v>297</v>
      </c>
      <c r="E110" s="14"/>
      <c r="F110" s="15"/>
      <c r="G110" s="14"/>
      <c r="H110" s="16">
        <f>H111</f>
        <v>1924.65</v>
      </c>
    </row>
    <row r="111" spans="1:8" ht="22.5">
      <c r="A111" s="9" t="s">
        <v>298</v>
      </c>
      <c r="B111" s="10" t="s">
        <v>299</v>
      </c>
      <c r="C111" s="10" t="s">
        <v>15</v>
      </c>
      <c r="D111" s="13" t="s">
        <v>300</v>
      </c>
      <c r="E111" s="10" t="s">
        <v>28</v>
      </c>
      <c r="F111" s="11">
        <v>65</v>
      </c>
      <c r="G111" s="12">
        <f ca="1">VLOOKUP(A111,'Orçamento Analítico'!$A:$H,8,0)</f>
        <v>29.61</v>
      </c>
      <c r="H111" s="12">
        <f>TRUNC(F111 * G111, 2)</f>
        <v>1924.65</v>
      </c>
    </row>
    <row r="112" spans="1:8">
      <c r="A112" s="4" t="s">
        <v>301</v>
      </c>
      <c r="B112" s="4"/>
      <c r="C112" s="4"/>
      <c r="D112" s="4" t="s">
        <v>302</v>
      </c>
      <c r="E112" s="4"/>
      <c r="F112" s="5"/>
      <c r="G112" s="4"/>
      <c r="H112" s="5">
        <f>H113</f>
        <v>2549.63</v>
      </c>
    </row>
    <row r="113" spans="1:8">
      <c r="A113" s="6" t="s">
        <v>303</v>
      </c>
      <c r="B113" s="6"/>
      <c r="C113" s="6"/>
      <c r="D113" s="6" t="s">
        <v>304</v>
      </c>
      <c r="E113" s="6"/>
      <c r="F113" s="7"/>
      <c r="G113" s="6"/>
      <c r="H113" s="8">
        <f>SUM(H114:H116)</f>
        <v>2549.63</v>
      </c>
    </row>
    <row r="114" spans="1:8">
      <c r="A114" s="9" t="s">
        <v>305</v>
      </c>
      <c r="B114" s="10" t="s">
        <v>306</v>
      </c>
      <c r="C114" s="10" t="str">
        <f ca="1">VLOOKUP(B114,'Insumos e Serviços'!$A:$F,2,0)</f>
        <v>SINAPI</v>
      </c>
      <c r="D114" s="13" t="str">
        <f ca="1">VLOOKUP(B114,'Insumos e Serviços'!$A:$F,4,0)</f>
        <v>LIMPEZA DE REVESTIMENTO CERÂMICO EM PAREDE COM PANO ÚMIDO AF_04/2019</v>
      </c>
      <c r="E114" s="10" t="str">
        <f ca="1">VLOOKUP(B114,'Insumos e Serviços'!$A:$F,5,0)</f>
        <v>m²</v>
      </c>
      <c r="F114" s="11">
        <v>408</v>
      </c>
      <c r="G114" s="12">
        <f ca="1">VLOOKUP(B114,'Insumos e Serviços'!$A:$F,6,0)</f>
        <v>0.68</v>
      </c>
      <c r="H114" s="12">
        <f>TRUNC(F114 * G114, 2)</f>
        <v>277.44</v>
      </c>
    </row>
    <row r="115" spans="1:8">
      <c r="A115" s="9" t="s">
        <v>308</v>
      </c>
      <c r="B115" s="10" t="s">
        <v>194</v>
      </c>
      <c r="C115" s="10" t="str">
        <f ca="1">VLOOKUP(B115,'Insumos e Serviços'!$A:$F,2,0)</f>
        <v>SINAPI</v>
      </c>
      <c r="D115" s="13" t="str">
        <f ca="1">VLOOKUP(B115,'Insumos e Serviços'!$A:$F,4,0)</f>
        <v>LIMPEZA DE SUPERFÍCIE COM JATO DE ALTA PRESSÃO. AF_04/2019</v>
      </c>
      <c r="E115" s="10" t="str">
        <f ca="1">VLOOKUP(B115,'Insumos e Serviços'!$A:$F,5,0)</f>
        <v>m²</v>
      </c>
      <c r="F115" s="11">
        <v>588</v>
      </c>
      <c r="G115" s="12">
        <f ca="1">VLOOKUP(B115,'Insumos e Serviços'!$A:$F,6,0)</f>
        <v>1.53</v>
      </c>
      <c r="H115" s="12">
        <f>TRUNC(F115 * G115, 2)</f>
        <v>899.64</v>
      </c>
    </row>
    <row r="116" spans="1:8">
      <c r="A116" s="9" t="s">
        <v>309</v>
      </c>
      <c r="B116" s="10" t="s">
        <v>310</v>
      </c>
      <c r="C116" s="10" t="str">
        <f ca="1">VLOOKUP(B116,'Insumos e Serviços'!$A:$F,2,0)</f>
        <v>SINAPI</v>
      </c>
      <c r="D116" s="13" t="str">
        <f ca="1">VLOOKUP(B116,'Insumos e Serviços'!$A:$F,4,0)</f>
        <v>LIMPEZA DE CONTRAPISO COM VASSOURA A SECO. AF_04/2019</v>
      </c>
      <c r="E116" s="10" t="str">
        <f ca="1">VLOOKUP(B116,'Insumos e Serviços'!$A:$F,5,0)</f>
        <v>m²</v>
      </c>
      <c r="F116" s="11">
        <v>485</v>
      </c>
      <c r="G116" s="12">
        <f ca="1">VLOOKUP(B116,'Insumos e Serviços'!$A:$F,6,0)</f>
        <v>2.83</v>
      </c>
      <c r="H116" s="12">
        <f>TRUNC(F116 * G116, 2)</f>
        <v>1372.55</v>
      </c>
    </row>
    <row r="117" spans="1:8">
      <c r="A117" s="4" t="s">
        <v>312</v>
      </c>
      <c r="B117" s="4"/>
      <c r="C117" s="4"/>
      <c r="D117" s="4" t="s">
        <v>313</v>
      </c>
      <c r="E117" s="4"/>
      <c r="F117" s="5"/>
      <c r="G117" s="4"/>
      <c r="H117" s="5">
        <f>H118</f>
        <v>18603.54</v>
      </c>
    </row>
    <row r="118" spans="1:8">
      <c r="A118" s="6" t="s">
        <v>314</v>
      </c>
      <c r="B118" s="6"/>
      <c r="C118" s="6"/>
      <c r="D118" s="6" t="s">
        <v>315</v>
      </c>
      <c r="E118" s="6"/>
      <c r="F118" s="7"/>
      <c r="G118" s="6"/>
      <c r="H118" s="8">
        <f>SUM(H119:H120)</f>
        <v>18603.54</v>
      </c>
    </row>
    <row r="119" spans="1:8">
      <c r="A119" s="9" t="s">
        <v>316</v>
      </c>
      <c r="B119" s="10" t="s">
        <v>317</v>
      </c>
      <c r="C119" s="10" t="str">
        <f ca="1">VLOOKUP(B119,'Insumos e Serviços'!$A:$F,2,0)</f>
        <v>SINAPI</v>
      </c>
      <c r="D119" s="13" t="str">
        <f ca="1">VLOOKUP(B119,'Insumos e Serviços'!$A:$F,4,0)</f>
        <v>ENCARREGADO GERAL DE OBRAS COM ENCARGOS COMPLEMENTARES</v>
      </c>
      <c r="E119" s="10" t="str">
        <f ca="1">VLOOKUP(B119,'Insumos e Serviços'!$A:$F,5,0)</f>
        <v>MES</v>
      </c>
      <c r="F119" s="11">
        <v>3</v>
      </c>
      <c r="G119" s="12">
        <f ca="1">VLOOKUP(B119,'Insumos e Serviços'!$A:$F,6,0)</f>
        <v>3349.71</v>
      </c>
      <c r="H119" s="12">
        <f>TRUNC(F119 * G119, 2)</f>
        <v>10049.129999999999</v>
      </c>
    </row>
    <row r="120" spans="1:8">
      <c r="A120" s="9" t="s">
        <v>320</v>
      </c>
      <c r="B120" s="10" t="s">
        <v>321</v>
      </c>
      <c r="C120" s="10" t="str">
        <f ca="1">VLOOKUP(B120,'Insumos e Serviços'!$A:$F,2,0)</f>
        <v>SINAPI</v>
      </c>
      <c r="D120" s="13" t="str">
        <f ca="1">VLOOKUP(B120,'Insumos e Serviços'!$A:$F,4,0)</f>
        <v>ENGENHEIRO CIVIL DE OBRA PLENO COM ENCARGOS COMPLEMENTARES</v>
      </c>
      <c r="E120" s="10" t="str">
        <f ca="1">VLOOKUP(B120,'Insumos e Serviços'!$A:$F,5,0)</f>
        <v>H</v>
      </c>
      <c r="F120" s="11">
        <v>81</v>
      </c>
      <c r="G120" s="12">
        <f ca="1">VLOOKUP(B120,'Insumos e Serviços'!$A:$F,6,0)</f>
        <v>105.61</v>
      </c>
      <c r="H120" s="12">
        <f>TRUNC(F120 * G120, 2)</f>
        <v>8554.41</v>
      </c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7" t="s">
        <v>328</v>
      </c>
      <c r="B122" s="18">
        <f>1-B123</f>
        <v>0.5</v>
      </c>
      <c r="C122" s="19"/>
      <c r="D122" s="20" t="s">
        <v>324</v>
      </c>
      <c r="E122" s="20"/>
      <c r="F122" s="21"/>
      <c r="G122" s="201">
        <f>H9+H12+H46+H101+H105+H112+H117</f>
        <v>529111.34</v>
      </c>
      <c r="H122" s="201"/>
    </row>
    <row r="123" spans="1:8">
      <c r="A123" s="202" t="s">
        <v>329</v>
      </c>
      <c r="B123" s="204">
        <v>0.5</v>
      </c>
      <c r="C123" s="19"/>
      <c r="D123" s="19" t="s">
        <v>325</v>
      </c>
      <c r="E123" s="19" t="str">
        <f ca="1">CONCATENATE("(",'Composição de BDI'!$D$28*100,"%)")</f>
        <v>(22,12%)</v>
      </c>
      <c r="F123" s="21"/>
      <c r="G123" s="201">
        <f ca="1">TRUNC(G122*'Composição de BDI'!$D$28,2)</f>
        <v>117039.42</v>
      </c>
      <c r="H123" s="201"/>
    </row>
    <row r="124" spans="1:8">
      <c r="A124" s="203"/>
      <c r="B124" s="205"/>
      <c r="C124" s="19"/>
      <c r="D124" s="20" t="s">
        <v>326</v>
      </c>
      <c r="E124" s="20"/>
      <c r="F124" s="21"/>
      <c r="G124" s="201">
        <f>G122+G123</f>
        <v>646150.76</v>
      </c>
      <c r="H124" s="201"/>
    </row>
  </sheetData>
  <sheetCalcPr fullCalcOnLoad="1"/>
  <mergeCells count="20">
    <mergeCell ref="G122:H122"/>
    <mergeCell ref="A123:A124"/>
    <mergeCell ref="B123:B124"/>
    <mergeCell ref="G123:H123"/>
    <mergeCell ref="G124:H124"/>
    <mergeCell ref="A7:H7"/>
    <mergeCell ref="A2:B2"/>
    <mergeCell ref="E2:F2"/>
    <mergeCell ref="G2:H2"/>
    <mergeCell ref="A3:B3"/>
    <mergeCell ref="C3:D3"/>
    <mergeCell ref="A4:B4"/>
    <mergeCell ref="C4:D4"/>
    <mergeCell ref="E4:F4"/>
    <mergeCell ref="G4:H4"/>
    <mergeCell ref="A6:B6"/>
    <mergeCell ref="C6:D6"/>
    <mergeCell ref="G1:H1"/>
    <mergeCell ref="E6:F6"/>
    <mergeCell ref="G6:H6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2" fitToHeight="0" orientation="portrait" r:id="rId1"/>
  <headerFooter>
    <oddHeader>&amp;L &amp;C &amp;R</oddHeader>
    <oddFooter>&amp;L &amp;C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7"/>
  <sheetViews>
    <sheetView showGridLines="0" showOutlineSymbols="0" showWhiteSpace="0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"/>
    </sheetView>
  </sheetViews>
  <sheetFormatPr defaultRowHeight="14.25"/>
  <cols>
    <col min="1" max="3" width="9.625" customWidth="1"/>
    <col min="4" max="4" width="50.625" customWidth="1"/>
    <col min="5" max="5" width="7.625" customWidth="1"/>
    <col min="6" max="6" width="11.625" style="126" customWidth="1"/>
    <col min="7" max="8" width="12.625" customWidth="1"/>
  </cols>
  <sheetData>
    <row r="1" spans="1:9">
      <c r="A1" s="100" t="str">
        <f ca="1">'Orçamento Sintético'!A1</f>
        <v>P. Execução:</v>
      </c>
      <c r="B1" s="113"/>
      <c r="C1" s="100" t="str">
        <f ca="1">'Orçamento Sintético'!C1</f>
        <v>Licitação:</v>
      </c>
      <c r="D1" s="101" t="str">
        <f ca="1">'Orçamento Sintético'!D1</f>
        <v>Objeto: Recuperação de juntas estruturais e impermeabilização das jardineiras no edifício-sede</v>
      </c>
      <c r="E1" s="100" t="str">
        <f ca="1">'Orçamento Sintético'!E1</f>
        <v>Data:</v>
      </c>
      <c r="F1" s="120"/>
      <c r="G1" s="206"/>
      <c r="H1" s="196"/>
    </row>
    <row r="2" spans="1:9">
      <c r="A2" s="188" t="str">
        <f ca="1">'Orçamento Sintético'!A2:B2</f>
        <v>A</v>
      </c>
      <c r="B2" s="189"/>
      <c r="C2" s="105" t="str">
        <f ca="1">'Orçamento Sintético'!C2</f>
        <v>B</v>
      </c>
      <c r="D2" s="104" t="str">
        <f ca="1">'Orçamento Sintético'!D2</f>
        <v>Local: Praça do Buriti Bloco A, Lote 2 - Zona Cívico-Administrativa - Brasília / DF</v>
      </c>
      <c r="E2" s="207">
        <f ca="1">'Orçamento Sintético'!E2:F2</f>
        <v>1</v>
      </c>
      <c r="F2" s="208"/>
      <c r="G2" s="191"/>
      <c r="H2" s="192"/>
    </row>
    <row r="3" spans="1:9">
      <c r="A3" s="106" t="str">
        <f ca="1">'Orçamento Sintético'!A3</f>
        <v>P. Validade:</v>
      </c>
      <c r="B3" s="113"/>
      <c r="C3" s="106" t="str">
        <f ca="1">'Orçamento Sintético'!C3</f>
        <v>Razão Social:</v>
      </c>
      <c r="D3" s="113"/>
      <c r="E3" s="100" t="str">
        <f ca="1">'Orçamento Sintético'!E3</f>
        <v>Telefone:</v>
      </c>
      <c r="F3" s="120"/>
      <c r="G3" s="116"/>
      <c r="H3" s="117"/>
    </row>
    <row r="4" spans="1:9">
      <c r="A4" s="188" t="str">
        <f ca="1">'Orçamento Sintético'!A4:B4</f>
        <v>C</v>
      </c>
      <c r="B4" s="189"/>
      <c r="C4" s="188" t="str">
        <f ca="1">'Orçamento Sintético'!C4:D4</f>
        <v>D</v>
      </c>
      <c r="D4" s="189"/>
      <c r="E4" s="188" t="str">
        <f ca="1">'Orçamento Sintético'!E4:F4</f>
        <v>E</v>
      </c>
      <c r="F4" s="189"/>
      <c r="G4" s="191"/>
      <c r="H4" s="192"/>
    </row>
    <row r="5" spans="1:9">
      <c r="A5" s="100" t="str">
        <f ca="1">'Orçamento Sintético'!A5</f>
        <v>P. Garantia:</v>
      </c>
      <c r="B5" s="113"/>
      <c r="C5" s="100" t="str">
        <f ca="1">'Orçamento Sintético'!C5</f>
        <v>CNPJ:</v>
      </c>
      <c r="D5" s="113"/>
      <c r="E5" s="100" t="str">
        <f ca="1">'Orçamento Sintético'!E5</f>
        <v>E-mail:</v>
      </c>
      <c r="F5" s="120"/>
      <c r="G5" s="116"/>
      <c r="H5" s="117"/>
    </row>
    <row r="6" spans="1:9">
      <c r="A6" s="188" t="str">
        <f ca="1">'Orçamento Sintético'!A6:B6</f>
        <v>F</v>
      </c>
      <c r="B6" s="189"/>
      <c r="C6" s="188" t="str">
        <f ca="1">'Orçamento Sintético'!C6:D6</f>
        <v>G</v>
      </c>
      <c r="D6" s="189"/>
      <c r="E6" s="188" t="str">
        <f ca="1">'Orçamento Sintético'!E6:F6</f>
        <v>H</v>
      </c>
      <c r="F6" s="189"/>
      <c r="G6" s="193"/>
      <c r="H6" s="194"/>
    </row>
    <row r="7" spans="1:9" ht="15">
      <c r="A7" s="183" t="s">
        <v>503</v>
      </c>
      <c r="B7" s="184"/>
      <c r="C7" s="184"/>
      <c r="D7" s="184"/>
      <c r="E7" s="184"/>
      <c r="F7" s="184"/>
      <c r="G7" s="184"/>
      <c r="H7" s="184"/>
    </row>
    <row r="8" spans="1:9">
      <c r="A8" s="152" t="s">
        <v>1</v>
      </c>
      <c r="B8" s="152" t="s">
        <v>2</v>
      </c>
      <c r="C8" s="152" t="s">
        <v>3</v>
      </c>
      <c r="D8" s="152" t="s">
        <v>4</v>
      </c>
      <c r="E8" s="152" t="s">
        <v>5</v>
      </c>
      <c r="F8" s="153" t="s">
        <v>6</v>
      </c>
      <c r="G8" s="152" t="s">
        <v>7</v>
      </c>
      <c r="H8" s="152" t="s">
        <v>8</v>
      </c>
    </row>
    <row r="9" spans="1:9">
      <c r="A9" s="28" t="s">
        <v>9</v>
      </c>
      <c r="B9" s="28"/>
      <c r="C9" s="28"/>
      <c r="D9" s="156" t="str">
        <f ca="1">VLOOKUP(A9,'Orçamento Sintético'!$A:$H,4,0)</f>
        <v>SERVIÇOS TÉCNICO - PROFISSIONAIS</v>
      </c>
      <c r="E9" s="156"/>
      <c r="F9" s="157"/>
      <c r="G9" s="156"/>
      <c r="H9" s="158"/>
    </row>
    <row r="10" spans="1:9">
      <c r="A10" s="29" t="s">
        <v>11</v>
      </c>
      <c r="B10" s="29"/>
      <c r="C10" s="29"/>
      <c r="D10" s="159" t="str">
        <f ca="1">VLOOKUP(A10,'Orçamento Sintético'!$A:$H,4,0)</f>
        <v>TAXAS E EMOLUMENTOS</v>
      </c>
      <c r="E10" s="159"/>
      <c r="F10" s="160"/>
      <c r="G10" s="159"/>
      <c r="H10" s="161"/>
    </row>
    <row r="11" spans="1:9">
      <c r="A11" s="33" t="s">
        <v>13</v>
      </c>
      <c r="B11" s="154" t="str">
        <f ca="1">VLOOKUP(A11,'Orçamento Sintético'!$A:$H,2,0)</f>
        <v xml:space="preserve"> MPDFT0009 </v>
      </c>
      <c r="C11" s="154" t="str">
        <f ca="1">VLOOKUP(A11,'Orçamento Sintético'!$A:$H,3,0)</f>
        <v>Próprio</v>
      </c>
      <c r="D11" s="155" t="str">
        <f ca="1">VLOOKUP(A11,'Orçamento Sintético'!$A:$H,4,0)</f>
        <v>Registro do contrato junto ao conselho de classe (ART)</v>
      </c>
      <c r="E11" s="154" t="str">
        <f ca="1">VLOOKUP(A11,'Orçamento Sintético'!$A:$H,5,0)</f>
        <v>vb</v>
      </c>
      <c r="F11" s="125"/>
      <c r="G11" s="34"/>
      <c r="H11" s="34">
        <f>H12</f>
        <v>233.94</v>
      </c>
    </row>
    <row r="12" spans="1:9" ht="15" thickBot="1">
      <c r="A12" s="162" t="str">
        <f ca="1">VLOOKUP(B12,'Insumos e Serviços'!$A:$F,3,0)</f>
        <v>Insumo</v>
      </c>
      <c r="B12" s="162" t="s">
        <v>502</v>
      </c>
      <c r="C12" s="10" t="str">
        <f ca="1">VLOOKUP(B12,'Insumos e Serviços'!$A:$F,2,0)</f>
        <v>Próprio</v>
      </c>
      <c r="D12" s="163" t="str">
        <f ca="1">VLOOKUP(B12,'Insumos e Serviços'!$A:$F,4,0)</f>
        <v>Anotação de Resposanbilidade Técnica (Faixa 3 - Tabela A - CONFEA)</v>
      </c>
      <c r="E12" s="162" t="str">
        <f ca="1">VLOOKUP(B12,'Insumos e Serviços'!$A:$F,5,0)</f>
        <v>vb</v>
      </c>
      <c r="F12" s="164">
        <v>1</v>
      </c>
      <c r="G12" s="165">
        <f ca="1">VLOOKUP(B12,'Insumos e Serviços'!$A:$F,6,0)</f>
        <v>233.94</v>
      </c>
      <c r="H12" s="165">
        <f>TRUNC(F12*G12,2)</f>
        <v>233.94</v>
      </c>
      <c r="I12" s="145"/>
    </row>
    <row r="13" spans="1:9" ht="15" thickTop="1">
      <c r="A13" s="176"/>
      <c r="B13" s="176"/>
      <c r="C13" s="176"/>
      <c r="D13" s="176"/>
      <c r="E13" s="176"/>
      <c r="F13" s="177"/>
      <c r="G13" s="177"/>
      <c r="H13" s="177"/>
    </row>
    <row r="14" spans="1:9">
      <c r="A14" s="28" t="s">
        <v>18</v>
      </c>
      <c r="B14" s="28"/>
      <c r="C14" s="28"/>
      <c r="D14" s="156" t="str">
        <f ca="1">VLOOKUP(A14,'Orçamento Sintético'!$A:$H,4,0)</f>
        <v>SERVIÇOS PRELIMINARES</v>
      </c>
      <c r="E14" s="156"/>
      <c r="F14" s="157"/>
      <c r="G14" s="156"/>
      <c r="H14" s="158"/>
    </row>
    <row r="15" spans="1:9">
      <c r="A15" s="29" t="s">
        <v>36</v>
      </c>
      <c r="B15" s="159"/>
      <c r="C15" s="159"/>
      <c r="D15" s="159" t="str">
        <f ca="1">VLOOKUP(A15,'Orçamento Sintético'!$A:$H,4,0)</f>
        <v>DEMOLIÇÃO</v>
      </c>
      <c r="E15" s="159"/>
      <c r="F15" s="166"/>
      <c r="G15" s="167"/>
      <c r="H15" s="161"/>
    </row>
    <row r="16" spans="1:9">
      <c r="A16" s="33" t="s">
        <v>38</v>
      </c>
      <c r="B16" s="168"/>
      <c r="C16" s="168"/>
      <c r="D16" s="168" t="str">
        <f ca="1">VLOOKUP(A16,'Orçamento Sintético'!$A:$H,4,0)</f>
        <v>Demolição Convencional</v>
      </c>
      <c r="E16" s="168"/>
      <c r="F16" s="169"/>
      <c r="G16" s="170"/>
      <c r="H16" s="171"/>
    </row>
    <row r="17" spans="1:8">
      <c r="A17" s="33" t="s">
        <v>40</v>
      </c>
      <c r="B17" s="154" t="str">
        <f ca="1">VLOOKUP(A17,'Orçamento Sintético'!$A:$H,2,0)</f>
        <v xml:space="preserve"> MPDFT0922 </v>
      </c>
      <c r="C17" s="154" t="str">
        <f ca="1">VLOOKUP(A17,'Orçamento Sintético'!$A:$H,3,0)</f>
        <v>Próprio</v>
      </c>
      <c r="D17" s="155" t="str">
        <f ca="1">VLOOKUP(A17,'Orçamento Sintético'!$A:$H,4,0)</f>
        <v>Cópia da Orse (35) - Demolição de piso vinílico, exclusive contrapiso</v>
      </c>
      <c r="E17" s="154" t="str">
        <f ca="1">VLOOKUP(A17,'Orçamento Sintético'!$A:$H,5,0)</f>
        <v>m²</v>
      </c>
      <c r="F17" s="125"/>
      <c r="G17" s="34"/>
      <c r="H17" s="34">
        <f>H18</f>
        <v>5.15</v>
      </c>
    </row>
    <row r="18" spans="1:8" ht="15" thickBot="1">
      <c r="A18" s="162" t="str">
        <f ca="1">VLOOKUP(B18,'Insumos e Serviços'!$A:$F,3,0)</f>
        <v>Composição</v>
      </c>
      <c r="B18" s="162" t="s">
        <v>335</v>
      </c>
      <c r="C18" s="10" t="str">
        <f ca="1">VLOOKUP(B18,'Insumos e Serviços'!$A:$F,2,0)</f>
        <v>SINAPI</v>
      </c>
      <c r="D18" s="163" t="str">
        <f ca="1">VLOOKUP(B18,'Insumos e Serviços'!$A:$F,4,0)</f>
        <v>SERVENTE COM ENCARGOS COMPLEMENTARES</v>
      </c>
      <c r="E18" s="162" t="str">
        <f ca="1">VLOOKUP(B18,'Insumos e Serviços'!$A:$F,5,0)</f>
        <v>H</v>
      </c>
      <c r="F18" s="164">
        <v>0.3</v>
      </c>
      <c r="G18" s="165">
        <f ca="1">VLOOKUP(B18,'Insumos e Serviços'!$A:$F,6,0)</f>
        <v>17.170000000000002</v>
      </c>
      <c r="H18" s="165">
        <f>TRUNC(F18*G18,2)</f>
        <v>5.15</v>
      </c>
    </row>
    <row r="19" spans="1:8" ht="15" thickTop="1">
      <c r="A19" s="176"/>
      <c r="B19" s="176"/>
      <c r="C19" s="176"/>
      <c r="D19" s="176"/>
      <c r="E19" s="176"/>
      <c r="F19" s="177"/>
      <c r="G19" s="177"/>
      <c r="H19" s="177"/>
    </row>
    <row r="20" spans="1:8" ht="22.5">
      <c r="A20" s="33" t="s">
        <v>44</v>
      </c>
      <c r="B20" s="154" t="str">
        <f ca="1">VLOOKUP(A20,'Orçamento Sintético'!$A:$H,2,0)</f>
        <v xml:space="preserve"> MPDFT0103 </v>
      </c>
      <c r="C20" s="154" t="str">
        <f ca="1">VLOOKUP(A20,'Orçamento Sintético'!$A:$H,3,0)</f>
        <v>Próprio</v>
      </c>
      <c r="D20" s="155" t="str">
        <f ca="1">VLOOKUP(A20,'Orçamento Sintético'!$A:$H,4,0)</f>
        <v>Copia da SBC (022089) - DEMOLICAO DE ESCADAS EXTERNAS EM ALVENARIA/CONCRETO</v>
      </c>
      <c r="E20" s="154" t="str">
        <f ca="1">VLOOKUP(A20,'Orçamento Sintético'!$A:$H,5,0)</f>
        <v>m³</v>
      </c>
      <c r="F20" s="125"/>
      <c r="G20" s="34"/>
      <c r="H20" s="34">
        <f>SUM(H21:H22)</f>
        <v>105.76</v>
      </c>
    </row>
    <row r="21" spans="1:8">
      <c r="A21" s="162" t="str">
        <f ca="1">VLOOKUP(B21,'Insumos e Serviços'!$A:$F,3,0)</f>
        <v>Composição</v>
      </c>
      <c r="B21" s="162" t="s">
        <v>413</v>
      </c>
      <c r="C21" s="10" t="str">
        <f ca="1">VLOOKUP(B21,'Insumos e Serviços'!$A:$F,2,0)</f>
        <v>SINAPI</v>
      </c>
      <c r="D21" s="163" t="str">
        <f ca="1">VLOOKUP(B21,'Insumos e Serviços'!$A:$F,4,0)</f>
        <v>PEDREIRO COM ENCARGOS COMPLEMENTARES</v>
      </c>
      <c r="E21" s="162" t="str">
        <f ca="1">VLOOKUP(B21,'Insumos e Serviços'!$A:$F,5,0)</f>
        <v>H</v>
      </c>
      <c r="F21" s="124">
        <v>0.91400000000000003</v>
      </c>
      <c r="G21" s="165">
        <f ca="1">VLOOKUP(B21,'Insumos e Serviços'!$A:$F,6,0)</f>
        <v>23.25</v>
      </c>
      <c r="H21" s="165">
        <f>TRUNC(F21*G21,2)</f>
        <v>21.25</v>
      </c>
    </row>
    <row r="22" spans="1:8" ht="15" thickBot="1">
      <c r="A22" s="162" t="str">
        <f ca="1">VLOOKUP(B22,'Insumos e Serviços'!$A:$F,3,0)</f>
        <v>Composição</v>
      </c>
      <c r="B22" s="162" t="s">
        <v>335</v>
      </c>
      <c r="C22" s="10" t="str">
        <f ca="1">VLOOKUP(B22,'Insumos e Serviços'!$A:$F,2,0)</f>
        <v>SINAPI</v>
      </c>
      <c r="D22" s="163" t="str">
        <f ca="1">VLOOKUP(B22,'Insumos e Serviços'!$A:$F,4,0)</f>
        <v>SERVENTE COM ENCARGOS COMPLEMENTARES</v>
      </c>
      <c r="E22" s="162" t="str">
        <f ca="1">VLOOKUP(B22,'Insumos e Serviços'!$A:$F,5,0)</f>
        <v>H</v>
      </c>
      <c r="F22" s="124">
        <v>4.9219999999999997</v>
      </c>
      <c r="G22" s="165">
        <f ca="1">VLOOKUP(B22,'Insumos e Serviços'!$A:$F,6,0)</f>
        <v>17.170000000000002</v>
      </c>
      <c r="H22" s="165">
        <f>TRUNC(F22*G22,2)</f>
        <v>84.51</v>
      </c>
    </row>
    <row r="23" spans="1:8" ht="15" thickTop="1">
      <c r="A23" s="176"/>
      <c r="B23" s="176"/>
      <c r="C23" s="176"/>
      <c r="D23" s="176"/>
      <c r="E23" s="176"/>
      <c r="F23" s="177"/>
      <c r="G23" s="177"/>
      <c r="H23" s="177"/>
    </row>
    <row r="24" spans="1:8" ht="33.75">
      <c r="A24" s="31" t="s">
        <v>48</v>
      </c>
      <c r="B24" s="154" t="str">
        <f ca="1">VLOOKUP(A24,'Orçamento Sintético'!$A:$H,2,0)</f>
        <v xml:space="preserve"> MPDFT0182 </v>
      </c>
      <c r="C24" s="154" t="str">
        <f ca="1">VLOOKUP(A24,'Orçamento Sintético'!$A:$H,3,0)</f>
        <v>Próprio</v>
      </c>
      <c r="D24" s="155" t="str">
        <f ca="1">VLOOKUP(A24,'Orçamento Sintético'!$A:$H,4,0)</f>
        <v>Copia da SETOP (DEM-REV-015) - DEMOLIÇÃO DE REVESTIMENTO DE PEDRA (MÁRMORE, GRANITO, ARDÓSIA, SÃO TOMÉ, ETC.), INCLUSIVE AFASTAMENTO</v>
      </c>
      <c r="E24" s="154" t="str">
        <f ca="1">VLOOKUP(A24,'Orçamento Sintético'!$A:$H,5,0)</f>
        <v>m²</v>
      </c>
      <c r="F24" s="125"/>
      <c r="G24" s="34"/>
      <c r="H24" s="34">
        <f>SUM(H25:H26)</f>
        <v>23.39</v>
      </c>
    </row>
    <row r="25" spans="1:8">
      <c r="A25" s="162" t="str">
        <f ca="1">VLOOKUP(B25,'Insumos e Serviços'!$A:$F,3,0)</f>
        <v>Composição</v>
      </c>
      <c r="B25" s="162" t="s">
        <v>413</v>
      </c>
      <c r="C25" s="10" t="str">
        <f ca="1">VLOOKUP(B25,'Insumos e Serviços'!$A:$F,2,0)</f>
        <v>SINAPI</v>
      </c>
      <c r="D25" s="163" t="str">
        <f ca="1">VLOOKUP(B25,'Insumos e Serviços'!$A:$F,4,0)</f>
        <v>PEDREIRO COM ENCARGOS COMPLEMENTARES</v>
      </c>
      <c r="E25" s="162" t="str">
        <f ca="1">VLOOKUP(B25,'Insumos e Serviços'!$A:$F,5,0)</f>
        <v>H</v>
      </c>
      <c r="F25" s="124">
        <v>0.12</v>
      </c>
      <c r="G25" s="165">
        <f ca="1">VLOOKUP(B25,'Insumos e Serviços'!$A:$F,6,0)</f>
        <v>23.25</v>
      </c>
      <c r="H25" s="165">
        <f>TRUNC(F25*G25,2)</f>
        <v>2.79</v>
      </c>
    </row>
    <row r="26" spans="1:8" ht="15" thickBot="1">
      <c r="A26" s="162" t="str">
        <f ca="1">VLOOKUP(B26,'Insumos e Serviços'!$A:$F,3,0)</f>
        <v>Composição</v>
      </c>
      <c r="B26" s="162" t="s">
        <v>335</v>
      </c>
      <c r="C26" s="10" t="str">
        <f ca="1">VLOOKUP(B26,'Insumos e Serviços'!$A:$F,2,0)</f>
        <v>SINAPI</v>
      </c>
      <c r="D26" s="163" t="str">
        <f ca="1">VLOOKUP(B26,'Insumos e Serviços'!$A:$F,4,0)</f>
        <v>SERVENTE COM ENCARGOS COMPLEMENTARES</v>
      </c>
      <c r="E26" s="162" t="str">
        <f ca="1">VLOOKUP(B26,'Insumos e Serviços'!$A:$F,5,0)</f>
        <v>H</v>
      </c>
      <c r="F26" s="124">
        <v>1.2</v>
      </c>
      <c r="G26" s="165">
        <f ca="1">VLOOKUP(B26,'Insumos e Serviços'!$A:$F,6,0)</f>
        <v>17.170000000000002</v>
      </c>
      <c r="H26" s="165">
        <f>TRUNC(F26*G26,2)</f>
        <v>20.6</v>
      </c>
    </row>
    <row r="27" spans="1:8" ht="15" thickTop="1">
      <c r="A27" s="176"/>
      <c r="B27" s="176"/>
      <c r="C27" s="176"/>
      <c r="D27" s="176"/>
      <c r="E27" s="176"/>
      <c r="F27" s="177"/>
      <c r="G27" s="177"/>
      <c r="H27" s="177"/>
    </row>
    <row r="28" spans="1:8" ht="33.75">
      <c r="A28" s="31" t="s">
        <v>51</v>
      </c>
      <c r="B28" s="154" t="str">
        <f ca="1">VLOOKUP(A28,'Orçamento Sintético'!$A:$H,2,0)</f>
        <v xml:space="preserve"> MPDFT0708 </v>
      </c>
      <c r="C28" s="154" t="str">
        <f ca="1">VLOOKUP(A28,'Orçamento Sintético'!$A:$H,3,0)</f>
        <v>Próprio</v>
      </c>
      <c r="D28" s="155" t="str">
        <f ca="1">VLOOKUP(A28,'Orçamento Sintético'!$A:$H,4,0)</f>
        <v>Copia da SINAPI (97627) - Demolição de passeio, contrapiso ou similares, de forma mecanizada, sem reaproveitamento, inclusive afastamento</v>
      </c>
      <c r="E28" s="154" t="str">
        <f ca="1">VLOOKUP(A28,'Orçamento Sintético'!$A:$H,5,0)</f>
        <v>m³</v>
      </c>
      <c r="F28" s="125"/>
      <c r="G28" s="34"/>
      <c r="H28" s="34">
        <f>SUM(H29:H32)</f>
        <v>214.82999999999998</v>
      </c>
    </row>
    <row r="29" spans="1:8" ht="22.5">
      <c r="A29" s="162" t="str">
        <f ca="1">VLOOKUP(B29,'Insumos e Serviços'!$A:$F,3,0)</f>
        <v>Composição</v>
      </c>
      <c r="B29" s="162" t="s">
        <v>500</v>
      </c>
      <c r="C29" s="10" t="str">
        <f ca="1">VLOOKUP(B29,'Insumos e Serviços'!$A:$F,2,0)</f>
        <v>SINAPI</v>
      </c>
      <c r="D29" s="163" t="str">
        <f ca="1">VLOOKUP(B29,'Insumos e Serviços'!$A:$F,4,0)</f>
        <v>MARTELETE OU ROMPEDOR PNEUMÁTICO MANUAL, 28 KG, COM SILENCIADOR - CHP DIURNO. AF_07/2016</v>
      </c>
      <c r="E29" s="162" t="str">
        <f ca="1">VLOOKUP(B29,'Insumos e Serviços'!$A:$F,5,0)</f>
        <v>CHP</v>
      </c>
      <c r="F29" s="124">
        <v>3.2467999999999999</v>
      </c>
      <c r="G29" s="165">
        <f ca="1">VLOOKUP(B29,'Insumos e Serviços'!$A:$F,6,0)</f>
        <v>21.22</v>
      </c>
      <c r="H29" s="165">
        <f>TRUNC(F29*G29,2)</f>
        <v>68.89</v>
      </c>
    </row>
    <row r="30" spans="1:8" ht="22.5">
      <c r="A30" s="162" t="str">
        <f ca="1">VLOOKUP(B30,'Insumos e Serviços'!$A:$F,3,0)</f>
        <v>Composição</v>
      </c>
      <c r="B30" s="162" t="s">
        <v>498</v>
      </c>
      <c r="C30" s="10" t="str">
        <f ca="1">VLOOKUP(B30,'Insumos e Serviços'!$A:$F,2,0)</f>
        <v>SINAPI</v>
      </c>
      <c r="D30" s="163" t="str">
        <f ca="1">VLOOKUP(B30,'Insumos e Serviços'!$A:$F,4,0)</f>
        <v>MARTELETE OU ROMPEDOR PNEUMÁTICO MANUAL, 28 KG, COM SILENCIADOR - CHI DIURNO. AF_07/2016</v>
      </c>
      <c r="E30" s="162" t="str">
        <f ca="1">VLOOKUP(B30,'Insumos e Serviços'!$A:$F,5,0)</f>
        <v>CHI</v>
      </c>
      <c r="F30" s="124">
        <v>0.92020000000000002</v>
      </c>
      <c r="G30" s="165">
        <f ca="1">VLOOKUP(B30,'Insumos e Serviços'!$A:$F,6,0)</f>
        <v>19.77</v>
      </c>
      <c r="H30" s="165">
        <f>TRUNC(F30*G30,2)</f>
        <v>18.190000000000001</v>
      </c>
    </row>
    <row r="31" spans="1:8">
      <c r="A31" s="162" t="str">
        <f ca="1">VLOOKUP(B31,'Insumos e Serviços'!$A:$F,3,0)</f>
        <v>Composição</v>
      </c>
      <c r="B31" s="162" t="s">
        <v>413</v>
      </c>
      <c r="C31" s="10" t="str">
        <f ca="1">VLOOKUP(B31,'Insumos e Serviços'!$A:$F,2,0)</f>
        <v>SINAPI</v>
      </c>
      <c r="D31" s="163" t="str">
        <f ca="1">VLOOKUP(B31,'Insumos e Serviços'!$A:$F,4,0)</f>
        <v>PEDREIRO COM ENCARGOS COMPLEMENTARES</v>
      </c>
      <c r="E31" s="162" t="str">
        <f ca="1">VLOOKUP(B31,'Insumos e Serviços'!$A:$F,5,0)</f>
        <v>H</v>
      </c>
      <c r="F31" s="124">
        <v>0.63660000000000005</v>
      </c>
      <c r="G31" s="165">
        <f ca="1">VLOOKUP(B31,'Insumos e Serviços'!$A:$F,6,0)</f>
        <v>23.25</v>
      </c>
      <c r="H31" s="165">
        <f>TRUNC(F31*G31,2)</f>
        <v>14.8</v>
      </c>
    </row>
    <row r="32" spans="1:8" ht="15" thickBot="1">
      <c r="A32" s="162" t="str">
        <f ca="1">VLOOKUP(B32,'Insumos e Serviços'!$A:$F,3,0)</f>
        <v>Composição</v>
      </c>
      <c r="B32" s="162" t="s">
        <v>335</v>
      </c>
      <c r="C32" s="10" t="str">
        <f ca="1">VLOOKUP(B32,'Insumos e Serviços'!$A:$F,2,0)</f>
        <v>SINAPI</v>
      </c>
      <c r="D32" s="163" t="str">
        <f ca="1">VLOOKUP(B32,'Insumos e Serviços'!$A:$F,4,0)</f>
        <v>SERVENTE COM ENCARGOS COMPLEMENTARES</v>
      </c>
      <c r="E32" s="162" t="str">
        <f ca="1">VLOOKUP(B32,'Insumos e Serviços'!$A:$F,5,0)</f>
        <v>H</v>
      </c>
      <c r="F32" s="124">
        <v>6.5785</v>
      </c>
      <c r="G32" s="165">
        <f ca="1">VLOOKUP(B32,'Insumos e Serviços'!$A:$F,6,0)</f>
        <v>17.170000000000002</v>
      </c>
      <c r="H32" s="165">
        <f>TRUNC(F32*G32,2)</f>
        <v>112.95</v>
      </c>
    </row>
    <row r="33" spans="1:8" ht="15" thickTop="1">
      <c r="A33" s="176"/>
      <c r="B33" s="176"/>
      <c r="C33" s="176"/>
      <c r="D33" s="176"/>
      <c r="E33" s="176"/>
      <c r="F33" s="177"/>
      <c r="G33" s="177"/>
      <c r="H33" s="177"/>
    </row>
    <row r="34" spans="1:8">
      <c r="A34" s="33" t="s">
        <v>54</v>
      </c>
      <c r="B34" s="168"/>
      <c r="C34" s="168"/>
      <c r="D34" s="168" t="str">
        <f ca="1">VLOOKUP(A34,'Orçamento Sintético'!$A:$H,4,0)</f>
        <v>Remoções</v>
      </c>
      <c r="E34" s="168"/>
      <c r="F34" s="169"/>
      <c r="G34" s="170"/>
      <c r="H34" s="171"/>
    </row>
    <row r="35" spans="1:8">
      <c r="A35" s="31" t="s">
        <v>56</v>
      </c>
      <c r="B35" s="154" t="str">
        <f ca="1">VLOOKUP(A35,'Orçamento Sintético'!$A:$H,2,0)</f>
        <v xml:space="preserve"> MPDFT0631 </v>
      </c>
      <c r="C35" s="154" t="str">
        <f ca="1">VLOOKUP(A35,'Orçamento Sintético'!$A:$H,3,0)</f>
        <v>Próprio</v>
      </c>
      <c r="D35" s="155" t="str">
        <f ca="1">VLOOKUP(A35,'Orçamento Sintético'!$A:$H,4,0)</f>
        <v>Copia da SETOP (PIS-FAI-005) - Remoção de fita antiderrapante</v>
      </c>
      <c r="E35" s="154" t="str">
        <f ca="1">VLOOKUP(A35,'Orçamento Sintético'!$A:$H,5,0)</f>
        <v>m</v>
      </c>
      <c r="F35" s="125"/>
      <c r="G35" s="34"/>
      <c r="H35" s="34">
        <f>SUM(H36:H36)</f>
        <v>2.23</v>
      </c>
    </row>
    <row r="36" spans="1:8" ht="15" thickBot="1">
      <c r="A36" s="162" t="str">
        <f ca="1">VLOOKUP(B36,'Insumos e Serviços'!$A:$F,3,0)</f>
        <v>Composição</v>
      </c>
      <c r="B36" s="162" t="s">
        <v>335</v>
      </c>
      <c r="C36" s="10" t="str">
        <f ca="1">VLOOKUP(B36,'Insumos e Serviços'!$A:$F,2,0)</f>
        <v>SINAPI</v>
      </c>
      <c r="D36" s="163" t="str">
        <f ca="1">VLOOKUP(B36,'Insumos e Serviços'!$A:$F,4,0)</f>
        <v>SERVENTE COM ENCARGOS COMPLEMENTARES</v>
      </c>
      <c r="E36" s="162" t="str">
        <f ca="1">VLOOKUP(B36,'Insumos e Serviços'!$A:$F,5,0)</f>
        <v>H</v>
      </c>
      <c r="F36" s="124">
        <v>0.13</v>
      </c>
      <c r="G36" s="165">
        <f ca="1">VLOOKUP(B36,'Insumos e Serviços'!$A:$F,6,0)</f>
        <v>17.170000000000002</v>
      </c>
      <c r="H36" s="165">
        <f>TRUNC(F36*G36,2)</f>
        <v>2.23</v>
      </c>
    </row>
    <row r="37" spans="1:8" ht="15" thickTop="1">
      <c r="A37" s="176"/>
      <c r="B37" s="176"/>
      <c r="C37" s="176"/>
      <c r="D37" s="176"/>
      <c r="E37" s="176"/>
      <c r="F37" s="177"/>
      <c r="G37" s="177"/>
      <c r="H37" s="177"/>
    </row>
    <row r="38" spans="1:8">
      <c r="A38" s="31" t="s">
        <v>60</v>
      </c>
      <c r="B38" s="154" t="str">
        <f ca="1">VLOOKUP(A38,'Orçamento Sintético'!$A:$H,2,0)</f>
        <v xml:space="preserve"> MPDFT0004 </v>
      </c>
      <c r="C38" s="154" t="str">
        <f ca="1">VLOOKUP(A38,'Orçamento Sintético'!$A:$H,3,0)</f>
        <v>Próprio</v>
      </c>
      <c r="D38" s="155" t="str">
        <f ca="1">VLOOKUP(A38,'Orçamento Sintético'!$A:$H,4,0)</f>
        <v>Transporte de material – bota-fora, D.M.T = 35,0 km</v>
      </c>
      <c r="E38" s="154" t="str">
        <f ca="1">VLOOKUP(A38,'Orçamento Sintético'!$A:$H,5,0)</f>
        <v>m³</v>
      </c>
      <c r="F38" s="125"/>
      <c r="G38" s="34"/>
      <c r="H38" s="34">
        <f>SUM(H39:H40)</f>
        <v>47.75</v>
      </c>
    </row>
    <row r="39" spans="1:8" ht="33.75">
      <c r="A39" s="162" t="str">
        <f ca="1">VLOOKUP(B39,'Insumos e Serviços'!$A:$F,3,0)</f>
        <v>Composição</v>
      </c>
      <c r="B39" s="162" t="s">
        <v>496</v>
      </c>
      <c r="C39" s="10" t="str">
        <f ca="1">VLOOKUP(B39,'Insumos e Serviços'!$A:$F,2,0)</f>
        <v>SINAPI</v>
      </c>
      <c r="D39" s="163" t="str">
        <f ca="1">VLOOKUP(B39,'Insumos e Serviços'!$A:$F,4,0)</f>
        <v>TRANSPORTE COM CAMINHÃO BASCULANTE DE 6 M³, EM VIA URBANA PAVIMENTADA, ADICIONAL PARA DMT EXCEDENTE A 30 KM (UNIDADE: M3XKM). AF_07/2020</v>
      </c>
      <c r="E39" s="162" t="str">
        <f ca="1">VLOOKUP(B39,'Insumos e Serviços'!$A:$F,5,0)</f>
        <v>M3XKM</v>
      </c>
      <c r="F39" s="124">
        <v>35</v>
      </c>
      <c r="G39" s="165">
        <f ca="1">VLOOKUP(B39,'Insumos e Serviços'!$A:$F,6,0)</f>
        <v>0.75</v>
      </c>
      <c r="H39" s="165">
        <f>TRUNC(F39*G39,2)</f>
        <v>26.25</v>
      </c>
    </row>
    <row r="40" spans="1:8" ht="15" thickBot="1">
      <c r="A40" s="162" t="str">
        <f ca="1">VLOOKUP(B40,'Insumos e Serviços'!$A:$F,3,0)</f>
        <v>Composição</v>
      </c>
      <c r="B40" s="162" t="s">
        <v>493</v>
      </c>
      <c r="C40" s="10" t="str">
        <f ca="1">VLOOKUP(B40,'Insumos e Serviços'!$A:$F,2,0)</f>
        <v>SINAPI</v>
      </c>
      <c r="D40" s="163" t="str">
        <f ca="1">VLOOKUP(B40,'Insumos e Serviços'!$A:$F,4,0)</f>
        <v>CARGA MANUAL DE ENTULHO EM CAMINHAO BASCULANTE 6 M3</v>
      </c>
      <c r="E40" s="162" t="str">
        <f ca="1">VLOOKUP(B40,'Insumos e Serviços'!$A:$F,5,0)</f>
        <v>m³</v>
      </c>
      <c r="F40" s="124">
        <v>1</v>
      </c>
      <c r="G40" s="165">
        <f ca="1">VLOOKUP(B40,'Insumos e Serviços'!$A:$F,6,0)</f>
        <v>21.5</v>
      </c>
      <c r="H40" s="165">
        <f>TRUNC(F40*G40,2)</f>
        <v>21.5</v>
      </c>
    </row>
    <row r="41" spans="1:8" ht="15" thickTop="1">
      <c r="A41" s="176"/>
      <c r="B41" s="176"/>
      <c r="C41" s="176"/>
      <c r="D41" s="176"/>
      <c r="E41" s="176"/>
      <c r="F41" s="177"/>
      <c r="G41" s="177"/>
      <c r="H41" s="177"/>
    </row>
    <row r="42" spans="1:8" ht="22.5">
      <c r="A42" s="31" t="s">
        <v>63</v>
      </c>
      <c r="B42" s="154" t="str">
        <f ca="1">VLOOKUP(A42,'Orçamento Sintético'!$A:$H,2,0)</f>
        <v xml:space="preserve"> MPDFT0109 </v>
      </c>
      <c r="C42" s="154" t="str">
        <f ca="1">VLOOKUP(A42,'Orçamento Sintético'!$A:$H,3,0)</f>
        <v>Próprio</v>
      </c>
      <c r="D42" s="155" t="str">
        <f ca="1">VLOOKUP(A42,'Orçamento Sintético'!$A:$H,4,0)</f>
        <v>Copia da CPOS (04.30.060) - Remoção de tubulação hidráulica em geral, incluindo conexões, caixas e ralos</v>
      </c>
      <c r="E42" s="154" t="str">
        <f ca="1">VLOOKUP(A42,'Orçamento Sintético'!$A:$H,5,0)</f>
        <v>m</v>
      </c>
      <c r="F42" s="125"/>
      <c r="G42" s="34"/>
      <c r="H42" s="34">
        <f>SUM(H43)</f>
        <v>6.86</v>
      </c>
    </row>
    <row r="43" spans="1:8" ht="15" thickBot="1">
      <c r="A43" s="162" t="str">
        <f ca="1">VLOOKUP(B43,'Insumos e Serviços'!$A:$F,3,0)</f>
        <v>Composição</v>
      </c>
      <c r="B43" s="162" t="s">
        <v>335</v>
      </c>
      <c r="C43" s="10" t="str">
        <f ca="1">VLOOKUP(B43,'Insumos e Serviços'!$A:$F,2,0)</f>
        <v>SINAPI</v>
      </c>
      <c r="D43" s="163" t="str">
        <f ca="1">VLOOKUP(B43,'Insumos e Serviços'!$A:$F,4,0)</f>
        <v>SERVENTE COM ENCARGOS COMPLEMENTARES</v>
      </c>
      <c r="E43" s="162" t="str">
        <f ca="1">VLOOKUP(B43,'Insumos e Serviços'!$A:$F,5,0)</f>
        <v>H</v>
      </c>
      <c r="F43" s="124">
        <v>0.4</v>
      </c>
      <c r="G43" s="165">
        <f ca="1">VLOOKUP(B43,'Insumos e Serviços'!$A:$F,6,0)</f>
        <v>17.170000000000002</v>
      </c>
      <c r="H43" s="165">
        <f>TRUNC(F43*G43,2)</f>
        <v>6.86</v>
      </c>
    </row>
    <row r="44" spans="1:8" ht="15" thickTop="1">
      <c r="A44" s="176"/>
      <c r="B44" s="176"/>
      <c r="C44" s="176"/>
      <c r="D44" s="176"/>
      <c r="E44" s="176"/>
      <c r="F44" s="177"/>
      <c r="G44" s="177"/>
      <c r="H44" s="177"/>
    </row>
    <row r="45" spans="1:8" ht="22.5">
      <c r="A45" s="31" t="s">
        <v>69</v>
      </c>
      <c r="B45" s="154" t="str">
        <f ca="1">VLOOKUP(A45,'Orçamento Sintético'!$A:$H,2,0)</f>
        <v xml:space="preserve"> MPDFT0600 </v>
      </c>
      <c r="C45" s="154" t="str">
        <f ca="1">VLOOKUP(A45,'Orçamento Sintético'!$A:$H,3,0)</f>
        <v>Próprio</v>
      </c>
      <c r="D45" s="155" t="str">
        <f ca="1">VLOOKUP(A45,'Orçamento Sintético'!$A:$H,4,0)</f>
        <v>Copia da CPOS (04.09.100) - Retirada de guarda-corpo ou gradil em geral</v>
      </c>
      <c r="E45" s="154" t="str">
        <f ca="1">VLOOKUP(A45,'Orçamento Sintético'!$A:$H,5,0)</f>
        <v>m²</v>
      </c>
      <c r="F45" s="125"/>
      <c r="G45" s="34"/>
      <c r="H45" s="34">
        <f>SUM(H46:H47)</f>
        <v>28.28</v>
      </c>
    </row>
    <row r="46" spans="1:8">
      <c r="A46" s="162" t="str">
        <f ca="1">VLOOKUP(B46,'Insumos e Serviços'!$A:$F,3,0)</f>
        <v>Composição</v>
      </c>
      <c r="B46" s="162" t="s">
        <v>413</v>
      </c>
      <c r="C46" s="10" t="str">
        <f ca="1">VLOOKUP(B46,'Insumos e Serviços'!$A:$F,2,0)</f>
        <v>SINAPI</v>
      </c>
      <c r="D46" s="163" t="str">
        <f ca="1">VLOOKUP(B46,'Insumos e Serviços'!$A:$F,4,0)</f>
        <v>PEDREIRO COM ENCARGOS COMPLEMENTARES</v>
      </c>
      <c r="E46" s="162" t="str">
        <f ca="1">VLOOKUP(B46,'Insumos e Serviços'!$A:$F,5,0)</f>
        <v>H</v>
      </c>
      <c r="F46" s="124">
        <v>0.7</v>
      </c>
      <c r="G46" s="165">
        <f ca="1">VLOOKUP(B46,'Insumos e Serviços'!$A:$F,6,0)</f>
        <v>23.25</v>
      </c>
      <c r="H46" s="165">
        <f>TRUNC(F46*G46,2)</f>
        <v>16.27</v>
      </c>
    </row>
    <row r="47" spans="1:8" ht="15" thickBot="1">
      <c r="A47" s="162" t="str">
        <f ca="1">VLOOKUP(B47,'Insumos e Serviços'!$A:$F,3,0)</f>
        <v>Composição</v>
      </c>
      <c r="B47" s="162" t="s">
        <v>335</v>
      </c>
      <c r="C47" s="10" t="str">
        <f ca="1">VLOOKUP(B47,'Insumos e Serviços'!$A:$F,2,0)</f>
        <v>SINAPI</v>
      </c>
      <c r="D47" s="163" t="str">
        <f ca="1">VLOOKUP(B47,'Insumos e Serviços'!$A:$F,4,0)</f>
        <v>SERVENTE COM ENCARGOS COMPLEMENTARES</v>
      </c>
      <c r="E47" s="162" t="str">
        <f ca="1">VLOOKUP(B47,'Insumos e Serviços'!$A:$F,5,0)</f>
        <v>H</v>
      </c>
      <c r="F47" s="124">
        <v>0.7</v>
      </c>
      <c r="G47" s="165">
        <f ca="1">VLOOKUP(B47,'Insumos e Serviços'!$A:$F,6,0)</f>
        <v>17.170000000000002</v>
      </c>
      <c r="H47" s="165">
        <f>TRUNC(F47*G47,2)</f>
        <v>12.01</v>
      </c>
    </row>
    <row r="48" spans="1:8" ht="15" thickTop="1">
      <c r="A48" s="176"/>
      <c r="B48" s="176"/>
      <c r="C48" s="176"/>
      <c r="D48" s="176"/>
      <c r="E48" s="176"/>
      <c r="F48" s="177"/>
      <c r="G48" s="177"/>
      <c r="H48" s="177"/>
    </row>
    <row r="49" spans="1:8" ht="22.5">
      <c r="A49" s="31" t="s">
        <v>72</v>
      </c>
      <c r="B49" s="154" t="str">
        <f ca="1">VLOOKUP(A49,'Orçamento Sintético'!$A:$H,2,0)</f>
        <v xml:space="preserve"> MPDFT0601 </v>
      </c>
      <c r="C49" s="154" t="str">
        <f ca="1">VLOOKUP(A49,'Orçamento Sintético'!$A:$H,3,0)</f>
        <v>Próprio</v>
      </c>
      <c r="D49" s="155" t="str">
        <f ca="1">VLOOKUP(A49,'Orçamento Sintético'!$A:$H,4,0)</f>
        <v>Copia da CPOS (04.09.080) - Retirada de batente, corrimão ou peças lineares metálicas, fixados</v>
      </c>
      <c r="E49" s="154" t="str">
        <f ca="1">VLOOKUP(A49,'Orçamento Sintético'!$A:$H,5,0)</f>
        <v>m</v>
      </c>
      <c r="F49" s="125"/>
      <c r="G49" s="34"/>
      <c r="H49" s="34">
        <f>SUM(H50)</f>
        <v>6.97</v>
      </c>
    </row>
    <row r="50" spans="1:8" ht="15" thickBot="1">
      <c r="A50" s="162" t="str">
        <f ca="1">VLOOKUP(B50,'Insumos e Serviços'!$A:$F,3,0)</f>
        <v>Composição</v>
      </c>
      <c r="B50" s="162" t="s">
        <v>413</v>
      </c>
      <c r="C50" s="10" t="str">
        <f ca="1">VLOOKUP(B50,'Insumos e Serviços'!$A:$F,2,0)</f>
        <v>SINAPI</v>
      </c>
      <c r="D50" s="163" t="str">
        <f ca="1">VLOOKUP(B50,'Insumos e Serviços'!$A:$F,4,0)</f>
        <v>PEDREIRO COM ENCARGOS COMPLEMENTARES</v>
      </c>
      <c r="E50" s="162" t="str">
        <f ca="1">VLOOKUP(B50,'Insumos e Serviços'!$A:$F,5,0)</f>
        <v>H</v>
      </c>
      <c r="F50" s="124">
        <v>0.3</v>
      </c>
      <c r="G50" s="165">
        <f ca="1">VLOOKUP(B50,'Insumos e Serviços'!$A:$F,6,0)</f>
        <v>23.25</v>
      </c>
      <c r="H50" s="165">
        <f>TRUNC(F50*G50,2)</f>
        <v>6.97</v>
      </c>
    </row>
    <row r="51" spans="1:8" ht="15" thickTop="1">
      <c r="A51" s="176"/>
      <c r="B51" s="176"/>
      <c r="C51" s="176"/>
      <c r="D51" s="176"/>
      <c r="E51" s="176"/>
      <c r="F51" s="177"/>
      <c r="G51" s="177"/>
      <c r="H51" s="177"/>
    </row>
    <row r="52" spans="1:8" ht="22.5">
      <c r="A52" s="31" t="s">
        <v>75</v>
      </c>
      <c r="B52" s="154" t="str">
        <f ca="1">VLOOKUP(A52,'Orçamento Sintético'!$A:$H,2,0)</f>
        <v xml:space="preserve"> MPDFT0636 </v>
      </c>
      <c r="C52" s="154" t="str">
        <f ca="1">VLOOKUP(A52,'Orçamento Sintético'!$A:$H,3,0)</f>
        <v>Próprio</v>
      </c>
      <c r="D52" s="155" t="str">
        <f ca="1">VLOOKUP(A52,'Orçamento Sintético'!$A:$H,4,0)</f>
        <v>Copia da SINAPI (85412) - REMOCAO DE RODAPE DE MARMORE OU GRANITO</v>
      </c>
      <c r="E52" s="154" t="str">
        <f ca="1">VLOOKUP(A52,'Orçamento Sintético'!$A:$H,5,0)</f>
        <v>M</v>
      </c>
      <c r="F52" s="125"/>
      <c r="G52" s="34"/>
      <c r="H52" s="34">
        <f>SUM(H53:H54)</f>
        <v>5.25</v>
      </c>
    </row>
    <row r="53" spans="1:8">
      <c r="A53" s="162" t="str">
        <f ca="1">VLOOKUP(B53,'Insumos e Serviços'!$A:$F,3,0)</f>
        <v>Composição</v>
      </c>
      <c r="B53" s="162" t="s">
        <v>413</v>
      </c>
      <c r="C53" s="10" t="str">
        <f ca="1">VLOOKUP(B53,'Insumos e Serviços'!$A:$F,2,0)</f>
        <v>SINAPI</v>
      </c>
      <c r="D53" s="163" t="str">
        <f ca="1">VLOOKUP(B53,'Insumos e Serviços'!$A:$F,4,0)</f>
        <v>PEDREIRO COM ENCARGOS COMPLEMENTARES</v>
      </c>
      <c r="E53" s="162" t="str">
        <f ca="1">VLOOKUP(B53,'Insumos e Serviços'!$A:$F,5,0)</f>
        <v>H</v>
      </c>
      <c r="F53" s="124">
        <v>2.7E-2</v>
      </c>
      <c r="G53" s="165">
        <f ca="1">VLOOKUP(B53,'Insumos e Serviços'!$A:$F,6,0)</f>
        <v>23.25</v>
      </c>
      <c r="H53" s="165">
        <f>TRUNC(F53*G53,2)</f>
        <v>0.62</v>
      </c>
    </row>
    <row r="54" spans="1:8" ht="15" thickBot="1">
      <c r="A54" s="162" t="str">
        <f ca="1">VLOOKUP(B54,'Insumos e Serviços'!$A:$F,3,0)</f>
        <v>Composição</v>
      </c>
      <c r="B54" s="162" t="s">
        <v>335</v>
      </c>
      <c r="C54" s="10" t="str">
        <f ca="1">VLOOKUP(B54,'Insumos e Serviços'!$A:$F,2,0)</f>
        <v>SINAPI</v>
      </c>
      <c r="D54" s="163" t="str">
        <f ca="1">VLOOKUP(B54,'Insumos e Serviços'!$A:$F,4,0)</f>
        <v>SERVENTE COM ENCARGOS COMPLEMENTARES</v>
      </c>
      <c r="E54" s="162" t="str">
        <f ca="1">VLOOKUP(B54,'Insumos e Serviços'!$A:$F,5,0)</f>
        <v>H</v>
      </c>
      <c r="F54" s="124">
        <v>0.27</v>
      </c>
      <c r="G54" s="165">
        <f ca="1">VLOOKUP(B54,'Insumos e Serviços'!$A:$F,6,0)</f>
        <v>17.170000000000002</v>
      </c>
      <c r="H54" s="165">
        <f>TRUNC(F54*G54,2)</f>
        <v>4.63</v>
      </c>
    </row>
    <row r="55" spans="1:8" ht="15" thickTop="1">
      <c r="A55" s="176"/>
      <c r="B55" s="176"/>
      <c r="C55" s="176"/>
      <c r="D55" s="176"/>
      <c r="E55" s="176"/>
      <c r="F55" s="177"/>
      <c r="G55" s="177"/>
      <c r="H55" s="177"/>
    </row>
    <row r="56" spans="1:8" ht="22.5">
      <c r="A56" s="31" t="s">
        <v>78</v>
      </c>
      <c r="B56" s="154" t="str">
        <f ca="1">VLOOKUP(A56,'Orçamento Sintético'!$A:$H,2,0)</f>
        <v xml:space="preserve"> MPDFT0928 </v>
      </c>
      <c r="C56" s="154" t="str">
        <f ca="1">VLOOKUP(A56,'Orçamento Sintético'!$A:$H,3,0)</f>
        <v>Próprio</v>
      </c>
      <c r="D56" s="155" t="str">
        <f ca="1">VLOOKUP(A56,'Orçamento Sintético'!$A:$H,4,0)</f>
        <v>Copia da SETOP (DEM-PEI-005) - RETIRADA DE PEITORIL DE MÁRMORE OU GRANITO</v>
      </c>
      <c r="E56" s="154" t="str">
        <f ca="1">VLOOKUP(A56,'Orçamento Sintético'!$A:$H,5,0)</f>
        <v>M</v>
      </c>
      <c r="F56" s="125"/>
      <c r="G56" s="34"/>
      <c r="H56" s="34">
        <f>SUM(H57)</f>
        <v>6.86</v>
      </c>
    </row>
    <row r="57" spans="1:8" ht="15" thickBot="1">
      <c r="A57" s="162" t="str">
        <f ca="1">VLOOKUP(B57,'Insumos e Serviços'!$A:$F,3,0)</f>
        <v>Composição</v>
      </c>
      <c r="B57" s="162" t="s">
        <v>335</v>
      </c>
      <c r="C57" s="10" t="str">
        <f ca="1">VLOOKUP(B57,'Insumos e Serviços'!$A:$F,2,0)</f>
        <v>SINAPI</v>
      </c>
      <c r="D57" s="163" t="str">
        <f ca="1">VLOOKUP(B57,'Insumos e Serviços'!$A:$F,4,0)</f>
        <v>SERVENTE COM ENCARGOS COMPLEMENTARES</v>
      </c>
      <c r="E57" s="162" t="str">
        <f ca="1">VLOOKUP(B57,'Insumos e Serviços'!$A:$F,5,0)</f>
        <v>H</v>
      </c>
      <c r="F57" s="124">
        <v>0.4</v>
      </c>
      <c r="G57" s="165">
        <f ca="1">VLOOKUP(B57,'Insumos e Serviços'!$A:$F,6,0)</f>
        <v>17.170000000000002</v>
      </c>
      <c r="H57" s="165">
        <f>TRUNC(F57*G57,2)</f>
        <v>6.86</v>
      </c>
    </row>
    <row r="58" spans="1:8" ht="15" thickTop="1">
      <c r="A58" s="176"/>
      <c r="B58" s="176"/>
      <c r="C58" s="176"/>
      <c r="D58" s="176"/>
      <c r="E58" s="176"/>
      <c r="F58" s="177"/>
      <c r="G58" s="177"/>
      <c r="H58" s="177"/>
    </row>
    <row r="59" spans="1:8" ht="22.5">
      <c r="A59" s="31" t="s">
        <v>81</v>
      </c>
      <c r="B59" s="154" t="str">
        <f ca="1">VLOOKUP(A59,'Orçamento Sintético'!$A:$H,2,0)</f>
        <v xml:space="preserve"> MPDFT0218 </v>
      </c>
      <c r="C59" s="154" t="str">
        <f ca="1">VLOOKUP(A59,'Orçamento Sintético'!$A:$H,3,0)</f>
        <v>Próprio</v>
      </c>
      <c r="D59" s="155" t="str">
        <f ca="1">VLOOKUP(A59,'Orçamento Sintético'!$A:$H,4,0)</f>
        <v>Copia da SETOP (DEM-IMP-005) - REMOÇÃO DE IMPERMEABILIZAÇÃO E PROTEÇÃO MECÂNICA</v>
      </c>
      <c r="E59" s="154" t="str">
        <f ca="1">VLOOKUP(A59,'Orçamento Sintético'!$A:$H,5,0)</f>
        <v>m²</v>
      </c>
      <c r="F59" s="125"/>
      <c r="G59" s="34"/>
      <c r="H59" s="34">
        <f>SUM(H60:H61)</f>
        <v>39.700000000000003</v>
      </c>
    </row>
    <row r="60" spans="1:8">
      <c r="A60" s="162" t="str">
        <f ca="1">VLOOKUP(B60,'Insumos e Serviços'!$A:$F,3,0)</f>
        <v>Composição</v>
      </c>
      <c r="B60" s="162" t="s">
        <v>335</v>
      </c>
      <c r="C60" s="10" t="str">
        <f ca="1">VLOOKUP(B60,'Insumos e Serviços'!$A:$F,2,0)</f>
        <v>SINAPI</v>
      </c>
      <c r="D60" s="163" t="str">
        <f ca="1">VLOOKUP(B60,'Insumos e Serviços'!$A:$F,4,0)</f>
        <v>SERVENTE COM ENCARGOS COMPLEMENTARES</v>
      </c>
      <c r="E60" s="162" t="str">
        <f ca="1">VLOOKUP(B60,'Insumos e Serviços'!$A:$F,5,0)</f>
        <v>H</v>
      </c>
      <c r="F60" s="124">
        <v>1.5</v>
      </c>
      <c r="G60" s="165">
        <f ca="1">VLOOKUP(B60,'Insumos e Serviços'!$A:$F,6,0)</f>
        <v>17.170000000000002</v>
      </c>
      <c r="H60" s="165">
        <f>TRUNC(F60*G60,2)</f>
        <v>25.75</v>
      </c>
    </row>
    <row r="61" spans="1:8" ht="15" thickBot="1">
      <c r="A61" s="162" t="str">
        <f ca="1">VLOOKUP(B61,'Insumos e Serviços'!$A:$F,3,0)</f>
        <v>Composição</v>
      </c>
      <c r="B61" s="162" t="s">
        <v>413</v>
      </c>
      <c r="C61" s="10" t="str">
        <f ca="1">VLOOKUP(B61,'Insumos e Serviços'!$A:$F,2,0)</f>
        <v>SINAPI</v>
      </c>
      <c r="D61" s="163" t="str">
        <f ca="1">VLOOKUP(B61,'Insumos e Serviços'!$A:$F,4,0)</f>
        <v>PEDREIRO COM ENCARGOS COMPLEMENTARES</v>
      </c>
      <c r="E61" s="162" t="str">
        <f ca="1">VLOOKUP(B61,'Insumos e Serviços'!$A:$F,5,0)</f>
        <v>H</v>
      </c>
      <c r="F61" s="124">
        <v>0.6</v>
      </c>
      <c r="G61" s="165">
        <f ca="1">VLOOKUP(B61,'Insumos e Serviços'!$A:$F,6,0)</f>
        <v>23.25</v>
      </c>
      <c r="H61" s="165">
        <f>TRUNC(F61*G61,2)</f>
        <v>13.95</v>
      </c>
    </row>
    <row r="62" spans="1:8" ht="15" thickTop="1">
      <c r="A62" s="176"/>
      <c r="B62" s="176"/>
      <c r="C62" s="176"/>
      <c r="D62" s="176"/>
      <c r="E62" s="176"/>
      <c r="F62" s="177"/>
      <c r="G62" s="177"/>
      <c r="H62" s="177"/>
    </row>
    <row r="63" spans="1:8" ht="22.5">
      <c r="A63" s="31" t="s">
        <v>87</v>
      </c>
      <c r="B63" s="154" t="str">
        <f ca="1">VLOOKUP(A63,'Orçamento Sintético'!$A:$H,2,0)</f>
        <v xml:space="preserve"> MPDFT0935 </v>
      </c>
      <c r="C63" s="154" t="str">
        <f ca="1">VLOOKUP(A63,'Orçamento Sintético'!$A:$H,3,0)</f>
        <v>Próprio</v>
      </c>
      <c r="D63" s="155" t="str">
        <f ca="1">VLOOKUP(A63,'Orçamento Sintético'!$A:$H,4,0)</f>
        <v>Copia da ORSE (7725) - Remoção de pintura látex (raspagem e/ou lixamento e/ou escovação)</v>
      </c>
      <c r="E63" s="154" t="str">
        <f ca="1">VLOOKUP(A63,'Orçamento Sintético'!$A:$H,5,0)</f>
        <v>m²</v>
      </c>
      <c r="F63" s="125"/>
      <c r="G63" s="34"/>
      <c r="H63" s="34">
        <f>SUM(H64:H64)</f>
        <v>6.86</v>
      </c>
    </row>
    <row r="64" spans="1:8" ht="15" thickBot="1">
      <c r="A64" s="162" t="str">
        <f ca="1">VLOOKUP(B64,'Insumos e Serviços'!$A:$F,3,0)</f>
        <v>Composição</v>
      </c>
      <c r="B64" s="162" t="s">
        <v>335</v>
      </c>
      <c r="C64" s="10" t="str">
        <f ca="1">VLOOKUP(B64,'Insumos e Serviços'!$A:$F,2,0)</f>
        <v>SINAPI</v>
      </c>
      <c r="D64" s="163" t="str">
        <f ca="1">VLOOKUP(B64,'Insumos e Serviços'!$A:$F,4,0)</f>
        <v>SERVENTE COM ENCARGOS COMPLEMENTARES</v>
      </c>
      <c r="E64" s="162" t="str">
        <f ca="1">VLOOKUP(B64,'Insumos e Serviços'!$A:$F,5,0)</f>
        <v>H</v>
      </c>
      <c r="F64" s="124">
        <v>0.4</v>
      </c>
      <c r="G64" s="165">
        <f ca="1">VLOOKUP(B64,'Insumos e Serviços'!$A:$F,6,0)</f>
        <v>17.170000000000002</v>
      </c>
      <c r="H64" s="165">
        <f>TRUNC(F64*G64,2)</f>
        <v>6.86</v>
      </c>
    </row>
    <row r="65" spans="1:8" ht="15" thickTop="1">
      <c r="A65" s="176"/>
      <c r="B65" s="176"/>
      <c r="C65" s="176"/>
      <c r="D65" s="176"/>
      <c r="E65" s="176"/>
      <c r="F65" s="177"/>
      <c r="G65" s="177"/>
      <c r="H65" s="177"/>
    </row>
    <row r="66" spans="1:8">
      <c r="A66" s="31" t="s">
        <v>90</v>
      </c>
      <c r="B66" s="154" t="str">
        <f ca="1">VLOOKUP(A66,'Orçamento Sintético'!$A:$H,2,0)</f>
        <v xml:space="preserve"> MPDFT0936 </v>
      </c>
      <c r="C66" s="154" t="str">
        <f ca="1">VLOOKUP(A66,'Orçamento Sintético'!$A:$H,3,0)</f>
        <v>Próprio</v>
      </c>
      <c r="D66" s="155" t="str">
        <f ca="1">VLOOKUP(A66,'Orçamento Sintético'!$A:$H,4,0)</f>
        <v>Copia da SEDOP (020019) - Retirada de reboco ou emboço</v>
      </c>
      <c r="E66" s="154" t="str">
        <f ca="1">VLOOKUP(A66,'Orçamento Sintético'!$A:$H,5,0)</f>
        <v>m²</v>
      </c>
      <c r="F66" s="125"/>
      <c r="G66" s="34"/>
      <c r="H66" s="34">
        <f>SUM(H67:H68)</f>
        <v>5.84</v>
      </c>
    </row>
    <row r="67" spans="1:8">
      <c r="A67" s="162" t="str">
        <f ca="1">VLOOKUP(B67,'Insumos e Serviços'!$A:$F,3,0)</f>
        <v>Composição</v>
      </c>
      <c r="B67" s="162" t="s">
        <v>335</v>
      </c>
      <c r="C67" s="10" t="str">
        <f ca="1">VLOOKUP(B67,'Insumos e Serviços'!$A:$F,2,0)</f>
        <v>SINAPI</v>
      </c>
      <c r="D67" s="163" t="str">
        <f ca="1">VLOOKUP(B67,'Insumos e Serviços'!$A:$F,4,0)</f>
        <v>SERVENTE COM ENCARGOS COMPLEMENTARES</v>
      </c>
      <c r="E67" s="162" t="str">
        <f ca="1">VLOOKUP(B67,'Insumos e Serviços'!$A:$F,5,0)</f>
        <v>H</v>
      </c>
      <c r="F67" s="124">
        <v>0.3</v>
      </c>
      <c r="G67" s="165">
        <f ca="1">VLOOKUP(B67,'Insumos e Serviços'!$A:$F,6,0)</f>
        <v>17.170000000000002</v>
      </c>
      <c r="H67" s="165">
        <f>TRUNC(F67*G67,2)</f>
        <v>5.15</v>
      </c>
    </row>
    <row r="68" spans="1:8" ht="15" thickBot="1">
      <c r="A68" s="162" t="str">
        <f ca="1">VLOOKUP(B68,'Insumos e Serviços'!$A:$F,3,0)</f>
        <v>Composição</v>
      </c>
      <c r="B68" s="162" t="s">
        <v>413</v>
      </c>
      <c r="C68" s="10" t="str">
        <f ca="1">VLOOKUP(B68,'Insumos e Serviços'!$A:$F,2,0)</f>
        <v>SINAPI</v>
      </c>
      <c r="D68" s="163" t="str">
        <f ca="1">VLOOKUP(B68,'Insumos e Serviços'!$A:$F,4,0)</f>
        <v>PEDREIRO COM ENCARGOS COMPLEMENTARES</v>
      </c>
      <c r="E68" s="162" t="str">
        <f ca="1">VLOOKUP(B68,'Insumos e Serviços'!$A:$F,5,0)</f>
        <v>H</v>
      </c>
      <c r="F68" s="124">
        <v>0.03</v>
      </c>
      <c r="G68" s="165">
        <f ca="1">VLOOKUP(B68,'Insumos e Serviços'!$A:$F,6,0)</f>
        <v>23.25</v>
      </c>
      <c r="H68" s="165">
        <f>TRUNC(F68*G68,2)</f>
        <v>0.69</v>
      </c>
    </row>
    <row r="69" spans="1:8" ht="15" thickTop="1">
      <c r="A69" s="176"/>
      <c r="B69" s="176"/>
      <c r="C69" s="176"/>
      <c r="D69" s="176"/>
      <c r="E69" s="176"/>
      <c r="F69" s="177"/>
      <c r="G69" s="177"/>
      <c r="H69" s="177"/>
    </row>
    <row r="70" spans="1:8" ht="22.5">
      <c r="A70" s="31" t="s">
        <v>96</v>
      </c>
      <c r="B70" s="154" t="str">
        <f ca="1">VLOOKUP(A70,'Orçamento Sintético'!$A:$H,2,0)</f>
        <v xml:space="preserve"> MPDFT0942 </v>
      </c>
      <c r="C70" s="154" t="str">
        <f ca="1">VLOOKUP(A70,'Orçamento Sintético'!$A:$H,3,0)</f>
        <v>Próprio</v>
      </c>
      <c r="D70" s="155" t="str">
        <f ca="1">VLOOKUP(A70,'Orçamento Sintético'!$A:$H,4,0)</f>
        <v>Baseado em SETOP (PIN-LIX-006) - Remoção de pintura e fitas em forro de gesso acartonado</v>
      </c>
      <c r="E70" s="154" t="str">
        <f ca="1">VLOOKUP(A70,'Orçamento Sintético'!$A:$H,5,0)</f>
        <v>m²</v>
      </c>
      <c r="F70" s="125"/>
      <c r="G70" s="34"/>
      <c r="H70" s="34">
        <f>SUM(H71:H72)</f>
        <v>4.63</v>
      </c>
    </row>
    <row r="71" spans="1:8">
      <c r="A71" s="162" t="str">
        <f ca="1">VLOOKUP(B71,'Insumos e Serviços'!$A:$F,3,0)</f>
        <v>Composição</v>
      </c>
      <c r="B71" s="162" t="s">
        <v>335</v>
      </c>
      <c r="C71" s="10" t="str">
        <f ca="1">VLOOKUP(B71,'Insumos e Serviços'!$A:$F,2,0)</f>
        <v>SINAPI</v>
      </c>
      <c r="D71" s="163" t="str">
        <f ca="1">VLOOKUP(B71,'Insumos e Serviços'!$A:$F,4,0)</f>
        <v>SERVENTE COM ENCARGOS COMPLEMENTARES</v>
      </c>
      <c r="E71" s="162" t="str">
        <f ca="1">VLOOKUP(B71,'Insumos e Serviços'!$A:$F,5,0)</f>
        <v>H</v>
      </c>
      <c r="F71" s="124">
        <v>0.26</v>
      </c>
      <c r="G71" s="165">
        <f ca="1">VLOOKUP(B71,'Insumos e Serviços'!$A:$F,6,0)</f>
        <v>17.170000000000002</v>
      </c>
      <c r="H71" s="165">
        <f>TRUNC(F71*G71,2)</f>
        <v>4.46</v>
      </c>
    </row>
    <row r="72" spans="1:8" ht="15" thickBot="1">
      <c r="A72" s="162" t="str">
        <f ca="1">VLOOKUP(B72,'Insumos e Serviços'!$A:$F,3,0)</f>
        <v>Insumo</v>
      </c>
      <c r="B72" s="162" t="s">
        <v>465</v>
      </c>
      <c r="C72" s="10" t="str">
        <f ca="1">VLOOKUP(B72,'Insumos e Serviços'!$A:$F,2,0)</f>
        <v>SINAPI</v>
      </c>
      <c r="D72" s="163" t="str">
        <f ca="1">VLOOKUP(B72,'Insumos e Serviços'!$A:$F,4,0)</f>
        <v>LIXA EM FOLHA PARA PAREDE OU MADEIRA, NUMERO 120 (COR VERMELHA)</v>
      </c>
      <c r="E72" s="162" t="str">
        <f ca="1">VLOOKUP(B72,'Insumos e Serviços'!$A:$F,5,0)</f>
        <v>UN</v>
      </c>
      <c r="F72" s="124">
        <v>0.25</v>
      </c>
      <c r="G72" s="165">
        <f ca="1">VLOOKUP(B72,'Insumos e Serviços'!$A:$F,6,0)</f>
        <v>0.7</v>
      </c>
      <c r="H72" s="165">
        <f>TRUNC(F72*G72,2)</f>
        <v>0.17</v>
      </c>
    </row>
    <row r="73" spans="1:8" ht="15" thickTop="1">
      <c r="A73" s="176"/>
      <c r="B73" s="176"/>
      <c r="C73" s="176"/>
      <c r="D73" s="176"/>
      <c r="E73" s="176"/>
      <c r="F73" s="177"/>
      <c r="G73" s="177"/>
      <c r="H73" s="177"/>
    </row>
    <row r="74" spans="1:8">
      <c r="A74" s="31" t="s">
        <v>99</v>
      </c>
      <c r="B74" s="154" t="str">
        <f ca="1">VLOOKUP(A74,'Orçamento Sintético'!$A:$H,2,0)</f>
        <v xml:space="preserve"> MPDFT0943 </v>
      </c>
      <c r="C74" s="154" t="str">
        <f ca="1">VLOOKUP(A74,'Orçamento Sintético'!$A:$H,3,0)</f>
        <v>Próprio</v>
      </c>
      <c r="D74" s="155" t="str">
        <f ca="1">VLOOKUP(A74,'Orçamento Sintético'!$A:$H,4,0)</f>
        <v>Baseado em SIURB (010211) - Carga manual e remoção de terra</v>
      </c>
      <c r="E74" s="154" t="str">
        <f ca="1">VLOOKUP(A74,'Orçamento Sintético'!$A:$H,5,0)</f>
        <v>m³</v>
      </c>
      <c r="F74" s="125"/>
      <c r="G74" s="34"/>
      <c r="H74" s="34">
        <f>SUM(H75)</f>
        <v>20.6</v>
      </c>
    </row>
    <row r="75" spans="1:8" ht="15" thickBot="1">
      <c r="A75" s="162" t="str">
        <f ca="1">VLOOKUP(B75,'Insumos e Serviços'!$A:$F,3,0)</f>
        <v>Composição</v>
      </c>
      <c r="B75" s="162" t="s">
        <v>335</v>
      </c>
      <c r="C75" s="10" t="str">
        <f ca="1">VLOOKUP(B75,'Insumos e Serviços'!$A:$F,2,0)</f>
        <v>SINAPI</v>
      </c>
      <c r="D75" s="163" t="str">
        <f ca="1">VLOOKUP(B75,'Insumos e Serviços'!$A:$F,4,0)</f>
        <v>SERVENTE COM ENCARGOS COMPLEMENTARES</v>
      </c>
      <c r="E75" s="162" t="str">
        <f ca="1">VLOOKUP(B75,'Insumos e Serviços'!$A:$F,5,0)</f>
        <v>H</v>
      </c>
      <c r="F75" s="124">
        <v>1.2</v>
      </c>
      <c r="G75" s="165">
        <f ca="1">VLOOKUP(B75,'Insumos e Serviços'!$A:$F,6,0)</f>
        <v>17.170000000000002</v>
      </c>
      <c r="H75" s="165">
        <f>TRUNC(F75*G75,2)</f>
        <v>20.6</v>
      </c>
    </row>
    <row r="76" spans="1:8" ht="15" thickTop="1">
      <c r="A76" s="176"/>
      <c r="B76" s="176"/>
      <c r="C76" s="176"/>
      <c r="D76" s="176"/>
      <c r="E76" s="176"/>
      <c r="F76" s="177"/>
      <c r="G76" s="177"/>
      <c r="H76" s="177"/>
    </row>
    <row r="77" spans="1:8" ht="22.5">
      <c r="A77" s="31" t="s">
        <v>102</v>
      </c>
      <c r="B77" s="154" t="str">
        <f ca="1">VLOOKUP(A77,'Orçamento Sintético'!$A:$H,2,0)</f>
        <v xml:space="preserve"> MPDFT0949 </v>
      </c>
      <c r="C77" s="154" t="str">
        <f ca="1">VLOOKUP(A77,'Orçamento Sintético'!$A:$H,3,0)</f>
        <v>Próprio</v>
      </c>
      <c r="D77" s="155" t="str">
        <f ca="1">VLOOKUP(A77,'Orçamento Sintético'!$A:$H,4,0)</f>
        <v>Copia da CPOS (04.18.410) - Remoção de cordoalha ou cabo de cobre nu</v>
      </c>
      <c r="E77" s="154" t="str">
        <f ca="1">VLOOKUP(A77,'Orçamento Sintético'!$A:$H,5,0)</f>
        <v>m</v>
      </c>
      <c r="F77" s="125"/>
      <c r="G77" s="34"/>
      <c r="H77" s="34">
        <f>SUM(H78:H79)</f>
        <v>8.33</v>
      </c>
    </row>
    <row r="78" spans="1:8">
      <c r="A78" s="162" t="str">
        <f ca="1">VLOOKUP(B78,'Insumos e Serviços'!$A:$F,3,0)</f>
        <v>Composição</v>
      </c>
      <c r="B78" s="162" t="s">
        <v>340</v>
      </c>
      <c r="C78" s="10" t="str">
        <f ca="1">VLOOKUP(B78,'Insumos e Serviços'!$A:$F,2,0)</f>
        <v>SINAPI</v>
      </c>
      <c r="D78" s="163" t="str">
        <f ca="1">VLOOKUP(B78,'Insumos e Serviços'!$A:$F,4,0)</f>
        <v>AUXILIAR DE ELETRICISTA COM ENCARGOS COMPLEMENTARES</v>
      </c>
      <c r="E78" s="162" t="str">
        <f ca="1">VLOOKUP(B78,'Insumos e Serviços'!$A:$F,5,0)</f>
        <v>H</v>
      </c>
      <c r="F78" s="124">
        <v>0.2</v>
      </c>
      <c r="G78" s="165">
        <f ca="1">VLOOKUP(B78,'Insumos e Serviços'!$A:$F,6,0)</f>
        <v>18.28</v>
      </c>
      <c r="H78" s="165">
        <f>TRUNC(F78*G78,2)</f>
        <v>3.65</v>
      </c>
    </row>
    <row r="79" spans="1:8" ht="15" thickBot="1">
      <c r="A79" s="162" t="str">
        <f ca="1">VLOOKUP(B79,'Insumos e Serviços'!$A:$F,3,0)</f>
        <v>Composição</v>
      </c>
      <c r="B79" s="162" t="s">
        <v>338</v>
      </c>
      <c r="C79" s="10" t="str">
        <f ca="1">VLOOKUP(B79,'Insumos e Serviços'!$A:$F,2,0)</f>
        <v>SINAPI</v>
      </c>
      <c r="D79" s="163" t="str">
        <f ca="1">VLOOKUP(B79,'Insumos e Serviços'!$A:$F,4,0)</f>
        <v>ELETRICISTA COM ENCARGOS COMPLEMENTARES</v>
      </c>
      <c r="E79" s="162" t="str">
        <f ca="1">VLOOKUP(B79,'Insumos e Serviços'!$A:$F,5,0)</f>
        <v>H</v>
      </c>
      <c r="F79" s="124">
        <v>0.2</v>
      </c>
      <c r="G79" s="165">
        <f ca="1">VLOOKUP(B79,'Insumos e Serviços'!$A:$F,6,0)</f>
        <v>23.44</v>
      </c>
      <c r="H79" s="165">
        <f>TRUNC(F79*G79,2)</f>
        <v>4.68</v>
      </c>
    </row>
    <row r="80" spans="1:8" ht="15" thickTop="1">
      <c r="A80" s="176"/>
      <c r="B80" s="176"/>
      <c r="C80" s="176"/>
      <c r="D80" s="176"/>
      <c r="E80" s="176"/>
      <c r="F80" s="177"/>
      <c r="G80" s="177"/>
      <c r="H80" s="177"/>
    </row>
    <row r="81" spans="1:8">
      <c r="A81" s="28" t="s">
        <v>119</v>
      </c>
      <c r="B81" s="28"/>
      <c r="C81" s="28"/>
      <c r="D81" s="156" t="str">
        <f ca="1">VLOOKUP(A81,'Orçamento Sintético'!$A:$H,4,0)</f>
        <v>ARQUITETURA E ELEMENTOS DE URBANISMO</v>
      </c>
      <c r="E81" s="156"/>
      <c r="F81" s="172"/>
      <c r="G81" s="156"/>
      <c r="H81" s="158"/>
    </row>
    <row r="82" spans="1:8">
      <c r="A82" s="33" t="s">
        <v>121</v>
      </c>
      <c r="B82" s="168"/>
      <c r="C82" s="168"/>
      <c r="D82" s="168" t="str">
        <f ca="1">VLOOKUP(A82,'Orçamento Sintético'!$A:$H,4,0)</f>
        <v>ARQUITETURA</v>
      </c>
      <c r="E82" s="168"/>
      <c r="F82" s="169"/>
      <c r="G82" s="170"/>
      <c r="H82" s="171"/>
    </row>
    <row r="83" spans="1:8">
      <c r="A83" s="159" t="s">
        <v>123</v>
      </c>
      <c r="B83" s="159"/>
      <c r="C83" s="159"/>
      <c r="D83" s="159" t="str">
        <f ca="1">VLOOKUP(A83,'Orçamento Sintético'!$A:$H,4,0)</f>
        <v>Cobertura e fechamento lateral</v>
      </c>
      <c r="E83" s="159"/>
      <c r="F83" s="173"/>
      <c r="G83" s="174"/>
      <c r="H83" s="175"/>
    </row>
    <row r="84" spans="1:8">
      <c r="A84" s="33" t="s">
        <v>125</v>
      </c>
      <c r="B84" s="154" t="str">
        <f ca="1">VLOOKUP(A84,'Orçamento Sintético'!$A:$H,2,0)</f>
        <v xml:space="preserve"> MPDFT0951 </v>
      </c>
      <c r="C84" s="154" t="str">
        <f ca="1">VLOOKUP(A84,'Orçamento Sintético'!$A:$H,3,0)</f>
        <v>Próprio</v>
      </c>
      <c r="D84" s="155" t="str">
        <f ca="1">VLOOKUP(A84,'Orçamento Sintético'!$A:$H,4,0)</f>
        <v>Fornecimento e instalação de marquise metálica, fixação com tirantes</v>
      </c>
      <c r="E84" s="154" t="str">
        <f ca="1">VLOOKUP(A84,'Orçamento Sintético'!$A:$H,5,0)</f>
        <v>un</v>
      </c>
      <c r="F84" s="125"/>
      <c r="G84" s="34"/>
      <c r="H84" s="34">
        <f>SUM(H85:H85)</f>
        <v>4200</v>
      </c>
    </row>
    <row r="85" spans="1:8" ht="15" thickBot="1">
      <c r="A85" s="162" t="str">
        <f ca="1">VLOOKUP(B85,'Insumos e Serviços'!$A:$F,3,0)</f>
        <v>Insumo</v>
      </c>
      <c r="B85" s="162" t="s">
        <v>490</v>
      </c>
      <c r="C85" s="10" t="str">
        <f ca="1">VLOOKUP(B85,'Insumos e Serviços'!$A:$F,2,0)</f>
        <v>Próprio</v>
      </c>
      <c r="D85" s="163" t="str">
        <f ca="1">VLOOKUP(B85,'Insumos e Serviços'!$A:$F,4,0)</f>
        <v>Fornecimento e instalação de marquise metálica, fixação com tirantes</v>
      </c>
      <c r="E85" s="162" t="str">
        <f ca="1">VLOOKUP(B85,'Insumos e Serviços'!$A:$F,5,0)</f>
        <v>un</v>
      </c>
      <c r="F85" s="124">
        <v>1</v>
      </c>
      <c r="G85" s="165">
        <f ca="1">VLOOKUP(B85,'Insumos e Serviços'!$A:$F,6,0)</f>
        <v>4200</v>
      </c>
      <c r="H85" s="165">
        <f>TRUNC(F85*G85,2)</f>
        <v>4200</v>
      </c>
    </row>
    <row r="86" spans="1:8" ht="15" thickTop="1">
      <c r="A86" s="176"/>
      <c r="B86" s="176"/>
      <c r="C86" s="176"/>
      <c r="D86" s="176"/>
      <c r="E86" s="176"/>
      <c r="F86" s="177"/>
      <c r="G86" s="177"/>
      <c r="H86" s="177"/>
    </row>
    <row r="87" spans="1:8">
      <c r="A87" s="29" t="s">
        <v>129</v>
      </c>
      <c r="B87" s="159"/>
      <c r="C87" s="159"/>
      <c r="D87" s="159" t="str">
        <f ca="1">VLOOKUP(A87,'Orçamento Sintético'!$A:$H,4,0)</f>
        <v>Revestimentos de pisos</v>
      </c>
      <c r="E87" s="159"/>
      <c r="F87" s="173"/>
      <c r="G87" s="174"/>
      <c r="H87" s="175"/>
    </row>
    <row r="88" spans="1:8" ht="22.5">
      <c r="A88" s="31" t="s">
        <v>131</v>
      </c>
      <c r="B88" s="154" t="str">
        <f ca="1">VLOOKUP(A88,'Orçamento Sintético'!$A:$H,2,0)</f>
        <v xml:space="preserve"> MPDFT0929 </v>
      </c>
      <c r="C88" s="154" t="str">
        <f ca="1">VLOOKUP(A88,'Orçamento Sintético'!$A:$H,3,0)</f>
        <v>Próprio</v>
      </c>
      <c r="D88" s="155" t="str">
        <f ca="1">VLOOKUP(A88,'Orçamento Sintético'!$A:$H,4,0)</f>
        <v>Baseado em SINAPI (101092) - Piso em granito levigado, Vermelho Brasília, e = 2cm</v>
      </c>
      <c r="E88" s="154" t="str">
        <f ca="1">VLOOKUP(A88,'Orçamento Sintético'!$A:$H,5,0)</f>
        <v>m²</v>
      </c>
      <c r="F88" s="125"/>
      <c r="G88" s="34"/>
      <c r="H88" s="34">
        <f>SUM(H89:H95)</f>
        <v>285.11</v>
      </c>
    </row>
    <row r="89" spans="1:8">
      <c r="A89" s="162" t="str">
        <f ca="1">VLOOKUP(B89,'Insumos e Serviços'!$A:$F,3,0)</f>
        <v>Composição</v>
      </c>
      <c r="B89" s="162" t="s">
        <v>393</v>
      </c>
      <c r="C89" s="10" t="str">
        <f ca="1">VLOOKUP(B89,'Insumos e Serviços'!$A:$F,2,0)</f>
        <v>SINAPI</v>
      </c>
      <c r="D89" s="163" t="str">
        <f ca="1">VLOOKUP(B89,'Insumos e Serviços'!$A:$F,4,0)</f>
        <v>MARMORISTA/GRANITEIRO COM ENCARGOS COMPLEMENTARES</v>
      </c>
      <c r="E89" s="162" t="str">
        <f ca="1">VLOOKUP(B89,'Insumos e Serviços'!$A:$F,5,0)</f>
        <v>H</v>
      </c>
      <c r="F89" s="124">
        <v>1.4750000000000001</v>
      </c>
      <c r="G89" s="165">
        <f ca="1">VLOOKUP(B89,'Insumos e Serviços'!$A:$F,6,0)</f>
        <v>19.39</v>
      </c>
      <c r="H89" s="165">
        <f t="shared" ref="H89:H95" si="0">TRUNC(F89*G89,2)</f>
        <v>28.6</v>
      </c>
    </row>
    <row r="90" spans="1:8">
      <c r="A90" s="162" t="str">
        <f ca="1">VLOOKUP(B90,'Insumos e Serviços'!$A:$F,3,0)</f>
        <v>Composição</v>
      </c>
      <c r="B90" s="162" t="s">
        <v>335</v>
      </c>
      <c r="C90" s="10" t="str">
        <f ca="1">VLOOKUP(B90,'Insumos e Serviços'!$A:$F,2,0)</f>
        <v>SINAPI</v>
      </c>
      <c r="D90" s="163" t="str">
        <f ca="1">VLOOKUP(B90,'Insumos e Serviços'!$A:$F,4,0)</f>
        <v>SERVENTE COM ENCARGOS COMPLEMENTARES</v>
      </c>
      <c r="E90" s="162" t="str">
        <f ca="1">VLOOKUP(B90,'Insumos e Serviços'!$A:$F,5,0)</f>
        <v>H</v>
      </c>
      <c r="F90" s="124">
        <v>0.73799999999999999</v>
      </c>
      <c r="G90" s="165">
        <f ca="1">VLOOKUP(B90,'Insumos e Serviços'!$A:$F,6,0)</f>
        <v>17.170000000000002</v>
      </c>
      <c r="H90" s="165">
        <f t="shared" si="0"/>
        <v>12.67</v>
      </c>
    </row>
    <row r="91" spans="1:8">
      <c r="A91" s="162" t="str">
        <f ca="1">VLOOKUP(B91,'Insumos e Serviços'!$A:$F,3,0)</f>
        <v>Composição</v>
      </c>
      <c r="B91" s="162" t="s">
        <v>391</v>
      </c>
      <c r="C91" s="10" t="str">
        <f ca="1">VLOOKUP(B91,'Insumos e Serviços'!$A:$F,2,0)</f>
        <v>SINAPI</v>
      </c>
      <c r="D91" s="163" t="str">
        <f ca="1">VLOOKUP(B91,'Insumos e Serviços'!$A:$F,4,0)</f>
        <v>IMPERMEABILIZADOR COM ENCARGOS COMPLEMENTARES</v>
      </c>
      <c r="E91" s="162" t="str">
        <f ca="1">VLOOKUP(B91,'Insumos e Serviços'!$A:$F,5,0)</f>
        <v>H</v>
      </c>
      <c r="F91" s="124">
        <v>0.27</v>
      </c>
      <c r="G91" s="165">
        <f ca="1">VLOOKUP(B91,'Insumos e Serviços'!$A:$F,6,0)</f>
        <v>23.25</v>
      </c>
      <c r="H91" s="165">
        <f t="shared" si="0"/>
        <v>6.27</v>
      </c>
    </row>
    <row r="92" spans="1:8">
      <c r="A92" s="162" t="str">
        <f ca="1">VLOOKUP(B92,'Insumos e Serviços'!$A:$F,3,0)</f>
        <v>Insumo</v>
      </c>
      <c r="B92" s="162" t="s">
        <v>399</v>
      </c>
      <c r="C92" s="10" t="str">
        <f ca="1">VLOOKUP(B92,'Insumos e Serviços'!$A:$F,2,0)</f>
        <v>SINAPI</v>
      </c>
      <c r="D92" s="163" t="str">
        <f ca="1">VLOOKUP(B92,'Insumos e Serviços'!$A:$F,4,0)</f>
        <v>REJUNTE CIMENTICIO, QUALQUER COR</v>
      </c>
      <c r="E92" s="162" t="str">
        <f ca="1">VLOOKUP(B92,'Insumos e Serviços'!$A:$F,5,0)</f>
        <v>KG</v>
      </c>
      <c r="F92" s="124">
        <v>0.14000000000000001</v>
      </c>
      <c r="G92" s="165">
        <f ca="1">VLOOKUP(B92,'Insumos e Serviços'!$A:$F,6,0)</f>
        <v>2.64</v>
      </c>
      <c r="H92" s="165">
        <f t="shared" si="0"/>
        <v>0.36</v>
      </c>
    </row>
    <row r="93" spans="1:8">
      <c r="A93" s="162" t="str">
        <f ca="1">VLOOKUP(B93,'Insumos e Serviços'!$A:$F,3,0)</f>
        <v>Insumo</v>
      </c>
      <c r="B93" s="162" t="s">
        <v>397</v>
      </c>
      <c r="C93" s="10" t="str">
        <f ca="1">VLOOKUP(B93,'Insumos e Serviços'!$A:$F,2,0)</f>
        <v>SINAPI</v>
      </c>
      <c r="D93" s="163" t="str">
        <f ca="1">VLOOKUP(B93,'Insumos e Serviços'!$A:$F,4,0)</f>
        <v>ARGAMASSA COLANTE TIPO AC III</v>
      </c>
      <c r="E93" s="162" t="str">
        <f ca="1">VLOOKUP(B93,'Insumos e Serviços'!$A:$F,5,0)</f>
        <v>KG</v>
      </c>
      <c r="F93" s="124">
        <v>8.6199999999999992</v>
      </c>
      <c r="G93" s="165">
        <f ca="1">VLOOKUP(B93,'Insumos e Serviços'!$A:$F,6,0)</f>
        <v>1.38</v>
      </c>
      <c r="H93" s="165">
        <f t="shared" si="0"/>
        <v>11.89</v>
      </c>
    </row>
    <row r="94" spans="1:8">
      <c r="A94" s="162" t="str">
        <f ca="1">VLOOKUP(B94,'Insumos e Serviços'!$A:$F,3,0)</f>
        <v>Insumo</v>
      </c>
      <c r="B94" s="162" t="s">
        <v>395</v>
      </c>
      <c r="C94" s="10" t="str">
        <f ca="1">VLOOKUP(B94,'Insumos e Serviços'!$A:$F,2,0)</f>
        <v>Próprio</v>
      </c>
      <c r="D94" s="163" t="str">
        <f ca="1">VLOOKUP(B94,'Insumos e Serviços'!$A:$F,4,0)</f>
        <v>Granito Vermelho Brasília, ou equivalente, e=2cm, acabamento levigado</v>
      </c>
      <c r="E94" s="162" t="str">
        <f ca="1">VLOOKUP(B94,'Insumos e Serviços'!$A:$F,5,0)</f>
        <v>m²</v>
      </c>
      <c r="F94" s="124">
        <v>1.1599999999999999</v>
      </c>
      <c r="G94" s="165">
        <f ca="1">VLOOKUP(B94,'Insumos e Serviços'!$A:$F,6,0)</f>
        <v>185</v>
      </c>
      <c r="H94" s="165">
        <f t="shared" si="0"/>
        <v>214.6</v>
      </c>
    </row>
    <row r="95" spans="1:8" ht="23.25" thickBot="1">
      <c r="A95" s="162" t="str">
        <f ca="1">VLOOKUP(B95,'Insumos e Serviços'!$A:$F,3,0)</f>
        <v>Insumo</v>
      </c>
      <c r="B95" s="162" t="s">
        <v>383</v>
      </c>
      <c r="C95" s="10" t="str">
        <f ca="1">VLOOKUP(B95,'Insumos e Serviços'!$A:$F,2,0)</f>
        <v>Próprio</v>
      </c>
      <c r="D95" s="163" t="str">
        <f ca="1">VLOOKUP(B95,'Insumos e Serviços'!$A:$F,4,0)</f>
        <v>Solução hidrofugante à base de silano-siloxano Nitoprimer 40, fab. Anchortec Quartzolit</v>
      </c>
      <c r="E95" s="162" t="str">
        <f ca="1">VLOOKUP(B95,'Insumos e Serviços'!$A:$F,5,0)</f>
        <v>l</v>
      </c>
      <c r="F95" s="124">
        <v>0.3</v>
      </c>
      <c r="G95" s="165">
        <f ca="1">VLOOKUP(B95,'Insumos e Serviços'!$A:$F,6,0)</f>
        <v>35.74</v>
      </c>
      <c r="H95" s="165">
        <f t="shared" si="0"/>
        <v>10.72</v>
      </c>
    </row>
    <row r="96" spans="1:8" ht="15" thickTop="1">
      <c r="A96" s="176"/>
      <c r="B96" s="176"/>
      <c r="C96" s="176"/>
      <c r="D96" s="176"/>
      <c r="E96" s="176"/>
      <c r="F96" s="177"/>
      <c r="G96" s="177"/>
      <c r="H96" s="177"/>
    </row>
    <row r="97" spans="1:8" ht="22.5">
      <c r="A97" s="31" t="s">
        <v>137</v>
      </c>
      <c r="B97" s="154" t="str">
        <f ca="1">VLOOKUP(A97,'Orçamento Sintético'!$A:$H,2,0)</f>
        <v xml:space="preserve"> MPDFT0950 </v>
      </c>
      <c r="C97" s="154" t="str">
        <f ca="1">VLOOKUP(A97,'Orçamento Sintético'!$A:$H,3,0)</f>
        <v>Próprio</v>
      </c>
      <c r="D97" s="155" t="str">
        <f ca="1">VLOOKUP(A97,'Orçamento Sintético'!$A:$H,4,0)</f>
        <v>Rampa em concreto concreto armado com tela soldada de 4,2mm, espaçamento de 10 cm nas duas direções.</v>
      </c>
      <c r="E97" s="154" t="str">
        <f ca="1">VLOOKUP(A97,'Orçamento Sintético'!$A:$H,5,0)</f>
        <v>m²</v>
      </c>
      <c r="F97" s="125"/>
      <c r="G97" s="34"/>
      <c r="H97" s="34">
        <f>SUM(H98:H100)</f>
        <v>75.63</v>
      </c>
    </row>
    <row r="98" spans="1:8" ht="22.5">
      <c r="A98" s="162" t="str">
        <f ca="1">VLOOKUP(B98,'Insumos e Serviços'!$A:$F,3,0)</f>
        <v>Composição</v>
      </c>
      <c r="B98" s="162" t="s">
        <v>489</v>
      </c>
      <c r="C98" s="10" t="str">
        <f ca="1">VLOOKUP(B98,'Insumos e Serviços'!$A:$F,2,0)</f>
        <v>SINAPI</v>
      </c>
      <c r="D98" s="163" t="str">
        <f ca="1">VLOOKUP(B98,'Insumos e Serviços'!$A:$F,4,0)</f>
        <v>CONCRETO FCK = 20MPA, TRAÇO 1:2,7:3 (CIMENTO/ AREIA MÉDIA/ BRITA 1)  - PREPARO MECÂNICO COM BETONEIRA 400 L. AF_07/2016</v>
      </c>
      <c r="E98" s="162" t="str">
        <f ca="1">VLOOKUP(B98,'Insumos e Serviços'!$A:$F,5,0)</f>
        <v>m³</v>
      </c>
      <c r="F98" s="124">
        <v>0.11</v>
      </c>
      <c r="G98" s="165">
        <f ca="1">VLOOKUP(B98,'Insumos e Serviços'!$A:$F,6,0)</f>
        <v>368.82</v>
      </c>
      <c r="H98" s="165">
        <f>TRUNC(F98*G98,2)</f>
        <v>40.57</v>
      </c>
    </row>
    <row r="99" spans="1:8">
      <c r="A99" s="162" t="str">
        <f ca="1">VLOOKUP(B99,'Insumos e Serviços'!$A:$F,3,0)</f>
        <v>Composição</v>
      </c>
      <c r="B99" s="162" t="s">
        <v>487</v>
      </c>
      <c r="C99" s="10" t="str">
        <f ca="1">VLOOKUP(B99,'Insumos e Serviços'!$A:$F,2,0)</f>
        <v>SINAPI</v>
      </c>
      <c r="D99" s="163" t="str">
        <f ca="1">VLOOKUP(B99,'Insumos e Serviços'!$A:$F,4,0)</f>
        <v>ARMADOR COM ENCARGOS COMPLEMENTARES</v>
      </c>
      <c r="E99" s="162" t="str">
        <f ca="1">VLOOKUP(B99,'Insumos e Serviços'!$A:$F,5,0)</f>
        <v>H</v>
      </c>
      <c r="F99" s="124">
        <v>0.5</v>
      </c>
      <c r="G99" s="165">
        <f ca="1">VLOOKUP(B99,'Insumos e Serviços'!$A:$F,6,0)</f>
        <v>23.13</v>
      </c>
      <c r="H99" s="165">
        <f>TRUNC(F99*G99,2)</f>
        <v>11.56</v>
      </c>
    </row>
    <row r="100" spans="1:8" ht="34.5" thickBot="1">
      <c r="A100" s="162" t="str">
        <f ca="1">VLOOKUP(B100,'Insumos e Serviços'!$A:$F,3,0)</f>
        <v>Insumo</v>
      </c>
      <c r="B100" s="162" t="s">
        <v>485</v>
      </c>
      <c r="C100" s="10" t="str">
        <f ca="1">VLOOKUP(B100,'Insumos e Serviços'!$A:$F,2,0)</f>
        <v>SINAPI</v>
      </c>
      <c r="D100" s="163" t="str">
        <f ca="1">VLOOKUP(B100,'Insumos e Serviços'!$A:$F,4,0)</f>
        <v>TELA DE ACO SOLDADA NERVURADA, CA-60, Q-138, (2,20 KG/M2), DIAMETRO DO FIO = 4,2 MM, LARGURA = 2,45 M, ESPACAMENTO DA MALHA = 10  X 10 CM</v>
      </c>
      <c r="E100" s="162" t="str">
        <f ca="1">VLOOKUP(B100,'Insumos e Serviços'!$A:$F,5,0)</f>
        <v>m²</v>
      </c>
      <c r="F100" s="124">
        <v>1</v>
      </c>
      <c r="G100" s="165">
        <f ca="1">VLOOKUP(B100,'Insumos e Serviços'!$A:$F,6,0)</f>
        <v>23.5</v>
      </c>
      <c r="H100" s="165">
        <f>TRUNC(F100*G100,2)</f>
        <v>23.5</v>
      </c>
    </row>
    <row r="101" spans="1:8" ht="15" thickTop="1">
      <c r="A101" s="176"/>
      <c r="B101" s="176"/>
      <c r="C101" s="176"/>
      <c r="D101" s="176"/>
      <c r="E101" s="176"/>
      <c r="F101" s="177"/>
      <c r="G101" s="177"/>
      <c r="H101" s="177"/>
    </row>
    <row r="102" spans="1:8">
      <c r="A102" s="29" t="s">
        <v>143</v>
      </c>
      <c r="B102" s="159"/>
      <c r="C102" s="159"/>
      <c r="D102" s="159" t="str">
        <f ca="1">VLOOKUP(A102,'Orçamento Sintético'!$A:$H,4,0)</f>
        <v>Revestimentos de paredes</v>
      </c>
      <c r="E102" s="159"/>
      <c r="F102" s="173"/>
      <c r="G102" s="174"/>
      <c r="H102" s="175"/>
    </row>
    <row r="103" spans="1:8" ht="45">
      <c r="A103" s="31" t="s">
        <v>151</v>
      </c>
      <c r="B103" s="154" t="str">
        <f ca="1">VLOOKUP(A103,'Orçamento Sintético'!$A:$H,2,0)</f>
        <v xml:space="preserve"> MPDFT0937 </v>
      </c>
      <c r="C103" s="154" t="str">
        <f ca="1">VLOOKUP(A103,'Orçamento Sintético'!$A:$H,3,0)</f>
        <v>Próprio</v>
      </c>
      <c r="D103" s="155" t="str">
        <f ca="1">VLOOKUP(A103,'Orçamento Sintético'!$A:$H,4,0)</f>
        <v>Copia da SINAPI (87243 + 87747) - Pastilha de porcelana 5,0x5,0cm, linha Engenharia, cor Barents, fab. Atlas (ref.M6329), assentada com argamassa pré-fabricada, incluindo rejuntamento e aditivo adesivo para argamassa</v>
      </c>
      <c r="E103" s="154" t="str">
        <f ca="1">VLOOKUP(A103,'Orçamento Sintético'!$A:$H,5,0)</f>
        <v>m²</v>
      </c>
      <c r="F103" s="125"/>
      <c r="G103" s="34"/>
      <c r="H103" s="34">
        <f>SUM(H104:H108)</f>
        <v>198.05999999999997</v>
      </c>
    </row>
    <row r="104" spans="1:8">
      <c r="A104" s="162" t="str">
        <f ca="1">VLOOKUP(B104,'Insumos e Serviços'!$A:$F,3,0)</f>
        <v>Composição</v>
      </c>
      <c r="B104" s="162" t="s">
        <v>483</v>
      </c>
      <c r="C104" s="10" t="str">
        <f ca="1">VLOOKUP(B104,'Insumos e Serviços'!$A:$F,2,0)</f>
        <v>SINAPI</v>
      </c>
      <c r="D104" s="163" t="str">
        <f ca="1">VLOOKUP(B104,'Insumos e Serviços'!$A:$F,4,0)</f>
        <v>AZULEJISTA OU LADRILHISTA COM ENCARGOS COMPLEMENTARES</v>
      </c>
      <c r="E104" s="162" t="str">
        <f ca="1">VLOOKUP(B104,'Insumos e Serviços'!$A:$F,5,0)</f>
        <v>H</v>
      </c>
      <c r="F104" s="124">
        <v>1.03</v>
      </c>
      <c r="G104" s="165">
        <f ca="1">VLOOKUP(B104,'Insumos e Serviços'!$A:$F,6,0)</f>
        <v>23.17</v>
      </c>
      <c r="H104" s="165">
        <f>TRUNC(F104*G104,2)</f>
        <v>23.86</v>
      </c>
    </row>
    <row r="105" spans="1:8">
      <c r="A105" s="162" t="str">
        <f ca="1">VLOOKUP(B105,'Insumos e Serviços'!$A:$F,3,0)</f>
        <v>Composição</v>
      </c>
      <c r="B105" s="162" t="s">
        <v>335</v>
      </c>
      <c r="C105" s="10" t="str">
        <f ca="1">VLOOKUP(B105,'Insumos e Serviços'!$A:$F,2,0)</f>
        <v>SINAPI</v>
      </c>
      <c r="D105" s="163" t="str">
        <f ca="1">VLOOKUP(B105,'Insumos e Serviços'!$A:$F,4,0)</f>
        <v>SERVENTE COM ENCARGOS COMPLEMENTARES</v>
      </c>
      <c r="E105" s="162" t="str">
        <f ca="1">VLOOKUP(B105,'Insumos e Serviços'!$A:$F,5,0)</f>
        <v>H</v>
      </c>
      <c r="F105" s="124">
        <v>0.51</v>
      </c>
      <c r="G105" s="165">
        <f ca="1">VLOOKUP(B105,'Insumos e Serviços'!$A:$F,6,0)</f>
        <v>17.170000000000002</v>
      </c>
      <c r="H105" s="165">
        <f>TRUNC(F105*G105,2)</f>
        <v>8.75</v>
      </c>
    </row>
    <row r="106" spans="1:8" ht="22.5">
      <c r="A106" s="162" t="str">
        <f ca="1">VLOOKUP(B106,'Insumos e Serviços'!$A:$F,3,0)</f>
        <v>Insumo</v>
      </c>
      <c r="B106" s="162" t="s">
        <v>481</v>
      </c>
      <c r="C106" s="10" t="str">
        <f ca="1">VLOOKUP(B106,'Insumos e Serviços'!$A:$F,2,0)</f>
        <v>SINAPI</v>
      </c>
      <c r="D106" s="163" t="str">
        <f ca="1">VLOOKUP(B106,'Insumos e Serviços'!$A:$F,4,0)</f>
        <v>PASTILHA CERAMICA/PORCELANA, REVEST INT/EXT E  PISCINA, CORES FRIAS *5 X 5* CM</v>
      </c>
      <c r="E106" s="162" t="str">
        <f ca="1">VLOOKUP(B106,'Insumos e Serviços'!$A:$F,5,0)</f>
        <v>m²</v>
      </c>
      <c r="F106" s="124">
        <v>1.0900000000000001</v>
      </c>
      <c r="G106" s="165">
        <f ca="1">VLOOKUP(B106,'Insumos e Serviços'!$A:$F,6,0)</f>
        <v>136.11000000000001</v>
      </c>
      <c r="H106" s="165">
        <f>TRUNC(F106*G106,2)</f>
        <v>148.35</v>
      </c>
    </row>
    <row r="107" spans="1:8">
      <c r="A107" s="162" t="str">
        <f ca="1">VLOOKUP(B107,'Insumos e Serviços'!$A:$F,3,0)</f>
        <v>Insumo</v>
      </c>
      <c r="B107" s="162" t="s">
        <v>479</v>
      </c>
      <c r="C107" s="10" t="str">
        <f ca="1">VLOOKUP(B107,'Insumos e Serviços'!$A:$F,2,0)</f>
        <v>SINAPI</v>
      </c>
      <c r="D107" s="163" t="str">
        <f ca="1">VLOOKUP(B107,'Insumos e Serviços'!$A:$F,4,0)</f>
        <v>ARGAMASSA COLANTE TIPO AC III E</v>
      </c>
      <c r="E107" s="162" t="str">
        <f ca="1">VLOOKUP(B107,'Insumos e Serviços'!$A:$F,5,0)</f>
        <v>KG</v>
      </c>
      <c r="F107" s="124">
        <v>7.69</v>
      </c>
      <c r="G107" s="165">
        <f ca="1">VLOOKUP(B107,'Insumos e Serviços'!$A:$F,6,0)</f>
        <v>1.58</v>
      </c>
      <c r="H107" s="165">
        <f>TRUNC(F107*G107,2)</f>
        <v>12.15</v>
      </c>
    </row>
    <row r="108" spans="1:8" ht="23.25" thickBot="1">
      <c r="A108" s="162" t="str">
        <f ca="1">VLOOKUP(B108,'Insumos e Serviços'!$A:$F,3,0)</f>
        <v>Insumo</v>
      </c>
      <c r="B108" s="162" t="s">
        <v>411</v>
      </c>
      <c r="C108" s="10" t="str">
        <f ca="1">VLOOKUP(B108,'Insumos e Serviços'!$A:$F,2,0)</f>
        <v>SINAPI</v>
      </c>
      <c r="D108" s="163" t="str">
        <f ca="1">VLOOKUP(B108,'Insumos e Serviços'!$A:$F,4,0)</f>
        <v>ADITIVO ADESIVO LIQUIDO PARA ARGAMASSAS DE REVESTIMENTOS CIMENTICIOS</v>
      </c>
      <c r="E108" s="162" t="str">
        <f ca="1">VLOOKUP(B108,'Insumos e Serviços'!$A:$F,5,0)</f>
        <v>L</v>
      </c>
      <c r="F108" s="124">
        <v>0.435</v>
      </c>
      <c r="G108" s="165">
        <f ca="1">VLOOKUP(B108,'Insumos e Serviços'!$A:$F,6,0)</f>
        <v>11.39</v>
      </c>
      <c r="H108" s="165">
        <f>TRUNC(F108*G108,2)</f>
        <v>4.95</v>
      </c>
    </row>
    <row r="109" spans="1:8" ht="15" thickTop="1">
      <c r="A109" s="176"/>
      <c r="B109" s="176"/>
      <c r="C109" s="176"/>
      <c r="D109" s="176"/>
      <c r="E109" s="176"/>
      <c r="F109" s="177"/>
      <c r="G109" s="177"/>
      <c r="H109" s="177"/>
    </row>
    <row r="110" spans="1:8" ht="33.75">
      <c r="A110" s="31" t="s">
        <v>154</v>
      </c>
      <c r="B110" s="154" t="str">
        <f ca="1">VLOOKUP(A110,'Orçamento Sintético'!$A:$H,2,0)</f>
        <v xml:space="preserve"> MPDFT0500 </v>
      </c>
      <c r="C110" s="154" t="str">
        <f ca="1">VLOOKUP(A110,'Orçamento Sintético'!$A:$H,3,0)</f>
        <v>Próprio</v>
      </c>
      <c r="D110" s="155" t="str">
        <f ca="1">VLOOKUP(A110,'Orçamento Sintético'!$A:$H,4,0)</f>
        <v>Copia da IOPES (040705) - Junta de dilatação com selante elástico monocomponente a base de poliuretano, dimensões 15x35mm, inclusive delimitador de profundidade</v>
      </c>
      <c r="E110" s="154" t="str">
        <f ca="1">VLOOKUP(A110,'Orçamento Sintético'!$A:$H,5,0)</f>
        <v>m</v>
      </c>
      <c r="F110" s="125"/>
      <c r="G110" s="34"/>
      <c r="H110" s="34">
        <f>SUM(H111:H114)</f>
        <v>28.65</v>
      </c>
    </row>
    <row r="111" spans="1:8">
      <c r="A111" s="162" t="str">
        <f ca="1">VLOOKUP(B111,'Insumos e Serviços'!$A:$F,3,0)</f>
        <v>Composição</v>
      </c>
      <c r="B111" s="162" t="s">
        <v>413</v>
      </c>
      <c r="C111" s="10" t="str">
        <f ca="1">VLOOKUP(B111,'Insumos e Serviços'!$A:$F,2,0)</f>
        <v>SINAPI</v>
      </c>
      <c r="D111" s="163" t="str">
        <f ca="1">VLOOKUP(B111,'Insumos e Serviços'!$A:$F,4,0)</f>
        <v>PEDREIRO COM ENCARGOS COMPLEMENTARES</v>
      </c>
      <c r="E111" s="162" t="str">
        <f ca="1">VLOOKUP(B111,'Insumos e Serviços'!$A:$F,5,0)</f>
        <v>H</v>
      </c>
      <c r="F111" s="124">
        <v>0.2</v>
      </c>
      <c r="G111" s="165">
        <f ca="1">VLOOKUP(B111,'Insumos e Serviços'!$A:$F,6,0)</f>
        <v>23.25</v>
      </c>
      <c r="H111" s="165">
        <f>TRUNC(F111*G111,2)</f>
        <v>4.6500000000000004</v>
      </c>
    </row>
    <row r="112" spans="1:8">
      <c r="A112" s="162" t="str">
        <f ca="1">VLOOKUP(B112,'Insumos e Serviços'!$A:$F,3,0)</f>
        <v>Composição</v>
      </c>
      <c r="B112" s="162" t="s">
        <v>477</v>
      </c>
      <c r="C112" s="10" t="str">
        <f ca="1">VLOOKUP(B112,'Insumos e Serviços'!$A:$F,2,0)</f>
        <v>SINAPI</v>
      </c>
      <c r="D112" s="163" t="str">
        <f ca="1">VLOOKUP(B112,'Insumos e Serviços'!$A:$F,4,0)</f>
        <v>AJUDANTE DE PEDREIRO COM ENCARGOS COMPLEMENTARES</v>
      </c>
      <c r="E112" s="162" t="str">
        <f ca="1">VLOOKUP(B112,'Insumos e Serviços'!$A:$F,5,0)</f>
        <v>H</v>
      </c>
      <c r="F112" s="124">
        <v>0.2</v>
      </c>
      <c r="G112" s="165">
        <f ca="1">VLOOKUP(B112,'Insumos e Serviços'!$A:$F,6,0)</f>
        <v>17.170000000000002</v>
      </c>
      <c r="H112" s="165">
        <f>TRUNC(F112*G112,2)</f>
        <v>3.43</v>
      </c>
    </row>
    <row r="113" spans="1:8" ht="22.5">
      <c r="A113" s="162" t="str">
        <f ca="1">VLOOKUP(B113,'Insumos e Serviços'!$A:$F,3,0)</f>
        <v>Insumo</v>
      </c>
      <c r="B113" s="162" t="s">
        <v>430</v>
      </c>
      <c r="C113" s="10" t="str">
        <f ca="1">VLOOKUP(B113,'Insumos e Serviços'!$A:$F,2,0)</f>
        <v>SINAPI</v>
      </c>
      <c r="D113" s="163" t="str">
        <f ca="1">VLOOKUP(B113,'Insumos e Serviços'!$A:$F,4,0)</f>
        <v>SELANTE ELASTICO MONOCOMPONENTE A BASE DE POLIURETANO (PU) PARA JUNTAS DIVERSAS</v>
      </c>
      <c r="E113" s="162" t="str">
        <f ca="1">VLOOKUP(B113,'Insumos e Serviços'!$A:$F,5,0)</f>
        <v>310ML</v>
      </c>
      <c r="F113" s="124">
        <v>0.75</v>
      </c>
      <c r="G113" s="165">
        <f ca="1">VLOOKUP(B113,'Insumos e Serviços'!$A:$F,6,0)</f>
        <v>26.81</v>
      </c>
      <c r="H113" s="165">
        <f>TRUNC(F113*G113,2)</f>
        <v>20.100000000000001</v>
      </c>
    </row>
    <row r="114" spans="1:8" ht="15" thickBot="1">
      <c r="A114" s="162" t="str">
        <f ca="1">VLOOKUP(B114,'Insumos e Serviços'!$A:$F,3,0)</f>
        <v>Insumo</v>
      </c>
      <c r="B114" s="162" t="s">
        <v>421</v>
      </c>
      <c r="C114" s="10" t="str">
        <f ca="1">VLOOKUP(B114,'Insumos e Serviços'!$A:$F,2,0)</f>
        <v>Próprio</v>
      </c>
      <c r="D114" s="163" t="str">
        <f ca="1">VLOOKUP(B114,'Insumos e Serviços'!$A:$F,4,0)</f>
        <v>Delimitador de profundidade (Tarucel) Ø 15mm</v>
      </c>
      <c r="E114" s="162" t="str">
        <f ca="1">VLOOKUP(B114,'Insumos e Serviços'!$A:$F,5,0)</f>
        <v>m</v>
      </c>
      <c r="F114" s="124">
        <v>1.05</v>
      </c>
      <c r="G114" s="165">
        <f ca="1">VLOOKUP(B114,'Insumos e Serviços'!$A:$F,6,0)</f>
        <v>0.45</v>
      </c>
      <c r="H114" s="165">
        <f>TRUNC(F114*G114,2)</f>
        <v>0.47</v>
      </c>
    </row>
    <row r="115" spans="1:8" ht="15" thickTop="1">
      <c r="A115" s="176"/>
      <c r="B115" s="176"/>
      <c r="C115" s="176"/>
      <c r="D115" s="176"/>
      <c r="E115" s="176"/>
      <c r="F115" s="177"/>
      <c r="G115" s="177"/>
      <c r="H115" s="177"/>
    </row>
    <row r="116" spans="1:8">
      <c r="A116" s="29" t="s">
        <v>157</v>
      </c>
      <c r="B116" s="159"/>
      <c r="C116" s="159"/>
      <c r="D116" s="159" t="str">
        <f ca="1">VLOOKUP(A116,'Orçamento Sintético'!$A:$H,4,0)</f>
        <v>Revestimentos de forro</v>
      </c>
      <c r="E116" s="159"/>
      <c r="F116" s="173"/>
      <c r="G116" s="174"/>
      <c r="H116" s="175"/>
    </row>
    <row r="117" spans="1:8" ht="22.5">
      <c r="A117" s="31" t="s">
        <v>162</v>
      </c>
      <c r="B117" s="154" t="str">
        <f ca="1">VLOOKUP(A117,'Orçamento Sintético'!$A:$H,2,0)</f>
        <v xml:space="preserve"> MPDFT1051 </v>
      </c>
      <c r="C117" s="154" t="str">
        <f ca="1">VLOOKUP(A117,'Orçamento Sintético'!$A:$H,3,0)</f>
        <v>Próprio</v>
      </c>
      <c r="D117" s="155" t="str">
        <f ca="1">VLOOKUP(A117,'Orçamento Sintético'!$A:$H,4,0)</f>
        <v>Copia da SBC (023361) - Execução de visita em forro de gesso, DM 60 x 60cm, inclusive acabamento em perfis de alumínio na cor branca</v>
      </c>
      <c r="E117" s="154" t="str">
        <f ca="1">VLOOKUP(A117,'Orçamento Sintético'!$A:$H,5,0)</f>
        <v>un</v>
      </c>
      <c r="F117" s="125"/>
      <c r="G117" s="34"/>
      <c r="H117" s="34">
        <f>SUM(H118:H121)</f>
        <v>142.88999999999999</v>
      </c>
    </row>
    <row r="118" spans="1:8">
      <c r="A118" s="162" t="str">
        <f ca="1">VLOOKUP(B118,'Insumos e Serviços'!$A:$F,3,0)</f>
        <v>Composição</v>
      </c>
      <c r="B118" s="162" t="s">
        <v>475</v>
      </c>
      <c r="C118" s="10" t="str">
        <f ca="1">VLOOKUP(B118,'Insumos e Serviços'!$A:$F,2,0)</f>
        <v>SINAPI</v>
      </c>
      <c r="D118" s="163" t="str">
        <f ca="1">VLOOKUP(B118,'Insumos e Serviços'!$A:$F,4,0)</f>
        <v>GESSEIRO COM ENCARGOS COMPLEMENTARES</v>
      </c>
      <c r="E118" s="162" t="str">
        <f ca="1">VLOOKUP(B118,'Insumos e Serviços'!$A:$F,5,0)</f>
        <v>H</v>
      </c>
      <c r="F118" s="124">
        <v>0.65700000000000003</v>
      </c>
      <c r="G118" s="165">
        <f ca="1">VLOOKUP(B118,'Insumos e Serviços'!$A:$F,6,0)</f>
        <v>23.13</v>
      </c>
      <c r="H118" s="165">
        <f>TRUNC(F118*G118,2)</f>
        <v>15.19</v>
      </c>
    </row>
    <row r="119" spans="1:8">
      <c r="A119" s="162" t="str">
        <f ca="1">VLOOKUP(B119,'Insumos e Serviços'!$A:$F,3,0)</f>
        <v>Composição</v>
      </c>
      <c r="B119" s="162" t="s">
        <v>409</v>
      </c>
      <c r="C119" s="10" t="str">
        <f ca="1">VLOOKUP(B119,'Insumos e Serviços'!$A:$F,2,0)</f>
        <v>SINAPI</v>
      </c>
      <c r="D119" s="163" t="str">
        <f ca="1">VLOOKUP(B119,'Insumos e Serviços'!$A:$F,4,0)</f>
        <v>AJUDANTE ESPECIALIZADO COM ENCARGOS COMPLEMENTARES</v>
      </c>
      <c r="E119" s="162" t="str">
        <f ca="1">VLOOKUP(B119,'Insumos e Serviços'!$A:$F,5,0)</f>
        <v>H</v>
      </c>
      <c r="F119" s="124">
        <v>0.65700000000000003</v>
      </c>
      <c r="G119" s="165">
        <f ca="1">VLOOKUP(B119,'Insumos e Serviços'!$A:$F,6,0)</f>
        <v>20.39</v>
      </c>
      <c r="H119" s="165">
        <f>TRUNC(F119*G119,2)</f>
        <v>13.39</v>
      </c>
    </row>
    <row r="120" spans="1:8">
      <c r="A120" s="162" t="str">
        <f ca="1">VLOOKUP(B120,'Insumos e Serviços'!$A:$F,3,0)</f>
        <v>Insumo</v>
      </c>
      <c r="B120" s="162" t="s">
        <v>473</v>
      </c>
      <c r="C120" s="10" t="str">
        <f ca="1">VLOOKUP(B120,'Insumos e Serviços'!$A:$F,2,0)</f>
        <v>SINAPI</v>
      </c>
      <c r="D120" s="163" t="str">
        <f ca="1">VLOOKUP(B120,'Insumos e Serviços'!$A:$F,4,0)</f>
        <v>CANTONEIRA ALUMINIO ABAS IGUAIS 1 ", E = 3 /16 "</v>
      </c>
      <c r="E120" s="162" t="str">
        <f ca="1">VLOOKUP(B120,'Insumos e Serviços'!$A:$F,5,0)</f>
        <v>M</v>
      </c>
      <c r="F120" s="124">
        <v>6</v>
      </c>
      <c r="G120" s="165">
        <f ca="1">VLOOKUP(B120,'Insumos e Serviços'!$A:$F,6,0)</f>
        <v>18.22</v>
      </c>
      <c r="H120" s="165">
        <f>TRUNC(F120*G120,2)</f>
        <v>109.32</v>
      </c>
    </row>
    <row r="121" spans="1:8" ht="23.25" thickBot="1">
      <c r="A121" s="162" t="str">
        <f ca="1">VLOOKUP(B121,'Insumos e Serviços'!$A:$F,3,0)</f>
        <v>Insumo</v>
      </c>
      <c r="B121" s="162" t="s">
        <v>471</v>
      </c>
      <c r="C121" s="10" t="str">
        <f ca="1">VLOOKUP(B121,'Insumos e Serviços'!$A:$F,2,0)</f>
        <v>SINAPI</v>
      </c>
      <c r="D121" s="163" t="str">
        <f ca="1">VLOOKUP(B121,'Insumos e Serviços'!$A:$F,4,0)</f>
        <v>PLACA / CHAPA DE GESSO ACARTONADO, STANDARD (ST), COR BRANCA, E = 12,5 MM, 1200 X 1800 MM (L X C)</v>
      </c>
      <c r="E121" s="162" t="str">
        <f ca="1">VLOOKUP(B121,'Insumos e Serviços'!$A:$F,5,0)</f>
        <v>m²</v>
      </c>
      <c r="F121" s="124">
        <v>0.39600000000000002</v>
      </c>
      <c r="G121" s="165">
        <f ca="1">VLOOKUP(B121,'Insumos e Serviços'!$A:$F,6,0)</f>
        <v>12.62</v>
      </c>
      <c r="H121" s="165">
        <f>TRUNC(F121*G121,2)</f>
        <v>4.99</v>
      </c>
    </row>
    <row r="122" spans="1:8" ht="15" thickTop="1">
      <c r="A122" s="176"/>
      <c r="B122" s="176"/>
      <c r="C122" s="176"/>
      <c r="D122" s="176"/>
      <c r="E122" s="176"/>
      <c r="F122" s="177"/>
      <c r="G122" s="177"/>
      <c r="H122" s="177"/>
    </row>
    <row r="123" spans="1:8" ht="33.75">
      <c r="A123" s="31" t="s">
        <v>165</v>
      </c>
      <c r="B123" s="154" t="str">
        <f ca="1">VLOOKUP(A123,'Orçamento Sintético'!$A:$H,2,0)</f>
        <v xml:space="preserve"> MPDFT0941 </v>
      </c>
      <c r="C123" s="154" t="str">
        <f ca="1">VLOOKUP(A123,'Orçamento Sintético'!$A:$H,3,0)</f>
        <v>Próprio</v>
      </c>
      <c r="D123" s="155" t="str">
        <f ca="1">VLOOKUP(A123,'Orçamento Sintético'!$A:$H,4,0)</f>
        <v>Baseado em SINAPI (96114) - Fita autoadesiva em papel microperfurado e massa pronta para tratamento de juntas de forro de gesso acartonado</v>
      </c>
      <c r="E123" s="154" t="str">
        <f ca="1">VLOOKUP(A123,'Orçamento Sintético'!$A:$H,5,0)</f>
        <v>m²</v>
      </c>
      <c r="F123" s="125"/>
      <c r="G123" s="34"/>
      <c r="H123" s="34">
        <f>SUM(H124:H126)</f>
        <v>4.9200000000000008</v>
      </c>
    </row>
    <row r="124" spans="1:8">
      <c r="A124" s="162" t="str">
        <f ca="1">VLOOKUP(B124,'Insumos e Serviços'!$A:$F,3,0)</f>
        <v>Composição</v>
      </c>
      <c r="B124" s="162" t="s">
        <v>335</v>
      </c>
      <c r="C124" s="10" t="str">
        <f ca="1">VLOOKUP(B124,'Insumos e Serviços'!$A:$F,2,0)</f>
        <v>SINAPI</v>
      </c>
      <c r="D124" s="163" t="str">
        <f ca="1">VLOOKUP(B124,'Insumos e Serviços'!$A:$F,4,0)</f>
        <v>SERVENTE COM ENCARGOS COMPLEMENTARES</v>
      </c>
      <c r="E124" s="162" t="str">
        <f ca="1">VLOOKUP(B124,'Insumos e Serviços'!$A:$F,5,0)</f>
        <v>H</v>
      </c>
      <c r="F124" s="124">
        <v>0.2</v>
      </c>
      <c r="G124" s="165">
        <f ca="1">VLOOKUP(B124,'Insumos e Serviços'!$A:$F,6,0)</f>
        <v>17.170000000000002</v>
      </c>
      <c r="H124" s="165">
        <f>TRUNC(F124*G124,2)</f>
        <v>3.43</v>
      </c>
    </row>
    <row r="125" spans="1:8" ht="33.75">
      <c r="A125" s="162" t="str">
        <f ca="1">VLOOKUP(B125,'Insumos e Serviços'!$A:$F,3,0)</f>
        <v>Insumo</v>
      </c>
      <c r="B125" s="162" t="s">
        <v>469</v>
      </c>
      <c r="C125" s="10" t="str">
        <f ca="1">VLOOKUP(B125,'Insumos e Serviços'!$A:$F,2,0)</f>
        <v>SINAPI</v>
      </c>
      <c r="D125" s="163" t="str">
        <f ca="1">VLOOKUP(B125,'Insumos e Serviços'!$A:$F,4,0)</f>
        <v>MASSA DE REJUNTE EM PO PARA DRYWALL, A BASE DE GESSO, SECAGEM RAPIDA, PARA TRATAMENTO DE JUNTAS DE CHAPA DE GESSO (NECESSITA ADICAO DE AGUA)</v>
      </c>
      <c r="E125" s="162" t="str">
        <f ca="1">VLOOKUP(B125,'Insumos e Serviços'!$A:$F,5,0)</f>
        <v>KG</v>
      </c>
      <c r="F125" s="124">
        <v>0.5202</v>
      </c>
      <c r="G125" s="165">
        <f ca="1">VLOOKUP(B125,'Insumos e Serviços'!$A:$F,6,0)</f>
        <v>2.48</v>
      </c>
      <c r="H125" s="165">
        <f>TRUNC(F125*G125,2)</f>
        <v>1.29</v>
      </c>
    </row>
    <row r="126" spans="1:8" ht="23.25" thickBot="1">
      <c r="A126" s="162" t="str">
        <f ca="1">VLOOKUP(B126,'Insumos e Serviços'!$A:$F,3,0)</f>
        <v>Insumo</v>
      </c>
      <c r="B126" s="162" t="s">
        <v>467</v>
      </c>
      <c r="C126" s="10" t="str">
        <f ca="1">VLOOKUP(B126,'Insumos e Serviços'!$A:$F,2,0)</f>
        <v>SINAPI</v>
      </c>
      <c r="D126" s="163" t="str">
        <f ca="1">VLOOKUP(B126,'Insumos e Serviços'!$A:$F,4,0)</f>
        <v>FITA DE PAPEL MICROPERFURADO, 50 X 150 MM, PARA TRATAMENTO DE JUNTAS DE CHAPA DE GESSO PARA DRYWALL</v>
      </c>
      <c r="E126" s="162" t="str">
        <f ca="1">VLOOKUP(B126,'Insumos e Serviços'!$A:$F,5,0)</f>
        <v>M</v>
      </c>
      <c r="F126" s="124">
        <v>1.4395</v>
      </c>
      <c r="G126" s="165">
        <f ca="1">VLOOKUP(B126,'Insumos e Serviços'!$A:$F,6,0)</f>
        <v>0.14000000000000001</v>
      </c>
      <c r="H126" s="165">
        <f>TRUNC(F126*G126,2)</f>
        <v>0.2</v>
      </c>
    </row>
    <row r="127" spans="1:8" ht="15" thickTop="1">
      <c r="A127" s="176"/>
      <c r="B127" s="176"/>
      <c r="C127" s="176"/>
      <c r="D127" s="176"/>
      <c r="E127" s="176"/>
      <c r="F127" s="177"/>
      <c r="G127" s="177"/>
      <c r="H127" s="177"/>
    </row>
    <row r="128" spans="1:8">
      <c r="A128" s="29" t="s">
        <v>191</v>
      </c>
      <c r="B128" s="159"/>
      <c r="C128" s="159"/>
      <c r="D128" s="159" t="str">
        <f ca="1">VLOOKUP(A128,'Orçamento Sintético'!$A:$H,4,0)</f>
        <v>Impermeabilizações</v>
      </c>
      <c r="E128" s="159"/>
      <c r="F128" s="173"/>
      <c r="G128" s="174"/>
      <c r="H128" s="175"/>
    </row>
    <row r="129" spans="1:8" ht="33.75">
      <c r="A129" s="31" t="s">
        <v>199</v>
      </c>
      <c r="B129" s="154" t="str">
        <f ca="1">VLOOKUP(A129,'Orçamento Sintético'!$A:$H,2,0)</f>
        <v xml:space="preserve"> MPDFT1058 </v>
      </c>
      <c r="C129" s="154" t="str">
        <f ca="1">VLOOKUP(A129,'Orçamento Sintético'!$A:$H,3,0)</f>
        <v>Próprio</v>
      </c>
      <c r="D129" s="155" t="str">
        <f ca="1">VLOOKUP(A129,'Orçamento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E129" s="154" t="str">
        <f ca="1">VLOOKUP(A129,'Orçamento Sintético'!$A:$H,5,0)</f>
        <v>m²</v>
      </c>
      <c r="F129" s="125"/>
      <c r="G129" s="34"/>
      <c r="H129" s="34">
        <f>SUM(H130:H133)</f>
        <v>45.21</v>
      </c>
    </row>
    <row r="130" spans="1:8">
      <c r="A130" s="162" t="str">
        <f ca="1">VLOOKUP(B130,'Insumos e Serviços'!$A:$F,3,0)</f>
        <v>Composição</v>
      </c>
      <c r="B130" s="162" t="s">
        <v>413</v>
      </c>
      <c r="C130" s="10" t="str">
        <f ca="1">VLOOKUP(B130,'Insumos e Serviços'!$A:$F,2,0)</f>
        <v>SINAPI</v>
      </c>
      <c r="D130" s="163" t="str">
        <f ca="1">VLOOKUP(B130,'Insumos e Serviços'!$A:$F,4,0)</f>
        <v>PEDREIRO COM ENCARGOS COMPLEMENTARES</v>
      </c>
      <c r="E130" s="162" t="str">
        <f ca="1">VLOOKUP(B130,'Insumos e Serviços'!$A:$F,5,0)</f>
        <v>H</v>
      </c>
      <c r="F130" s="124">
        <v>0.63</v>
      </c>
      <c r="G130" s="165">
        <f ca="1">VLOOKUP(B130,'Insumos e Serviços'!$A:$F,6,0)</f>
        <v>23.25</v>
      </c>
      <c r="H130" s="165">
        <f>TRUNC(F130*G130,2)</f>
        <v>14.64</v>
      </c>
    </row>
    <row r="131" spans="1:8">
      <c r="A131" s="162" t="str">
        <f ca="1">VLOOKUP(B131,'Insumos e Serviços'!$A:$F,3,0)</f>
        <v>Composição</v>
      </c>
      <c r="B131" s="162" t="s">
        <v>335</v>
      </c>
      <c r="C131" s="10" t="str">
        <f ca="1">VLOOKUP(B131,'Insumos e Serviços'!$A:$F,2,0)</f>
        <v>SINAPI</v>
      </c>
      <c r="D131" s="163" t="str">
        <f ca="1">VLOOKUP(B131,'Insumos e Serviços'!$A:$F,4,0)</f>
        <v>SERVENTE COM ENCARGOS COMPLEMENTARES</v>
      </c>
      <c r="E131" s="162" t="str">
        <f ca="1">VLOOKUP(B131,'Insumos e Serviços'!$A:$F,5,0)</f>
        <v>H</v>
      </c>
      <c r="F131" s="124">
        <v>0.315</v>
      </c>
      <c r="G131" s="165">
        <f ca="1">VLOOKUP(B131,'Insumos e Serviços'!$A:$F,6,0)</f>
        <v>17.170000000000002</v>
      </c>
      <c r="H131" s="165">
        <f>TRUNC(F131*G131,2)</f>
        <v>5.4</v>
      </c>
    </row>
    <row r="132" spans="1:8" ht="33.75">
      <c r="A132" s="162" t="str">
        <f ca="1">VLOOKUP(B132,'Insumos e Serviços'!$A:$F,3,0)</f>
        <v>Composição</v>
      </c>
      <c r="B132" s="162" t="s">
        <v>463</v>
      </c>
      <c r="C132" s="10" t="str">
        <f ca="1">VLOOKUP(B132,'Insumos e Serviços'!$A:$F,2,0)</f>
        <v>SINAPI</v>
      </c>
      <c r="D132" s="163" t="str">
        <f ca="1">VLOOKUP(B132,'Insumos e Serviços'!$A:$F,4,0)</f>
        <v>ARGAMASSA TRAÇO 1:3 (EM VOLUME DE CIMENTO E AREIA MÉDIA ÚMIDA) PARA CONTRAPISO, PREPARO MECÂNICO COM BETONEIRA 400 L. AF_08/2019</v>
      </c>
      <c r="E132" s="162" t="str">
        <f ca="1">VLOOKUP(B132,'Insumos e Serviços'!$A:$F,5,0)</f>
        <v>m³</v>
      </c>
      <c r="F132" s="124">
        <v>4.3099999999999999E-2</v>
      </c>
      <c r="G132" s="165">
        <f ca="1">VLOOKUP(B132,'Insumos e Serviços'!$A:$F,6,0)</f>
        <v>469.31</v>
      </c>
      <c r="H132" s="165">
        <f>TRUNC(F132*G132,2)</f>
        <v>20.22</v>
      </c>
    </row>
    <row r="133" spans="1:8" ht="23.25" thickBot="1">
      <c r="A133" s="162" t="str">
        <f ca="1">VLOOKUP(B133,'Insumos e Serviços'!$A:$F,3,0)</f>
        <v>Insumo</v>
      </c>
      <c r="B133" s="162" t="s">
        <v>411</v>
      </c>
      <c r="C133" s="10" t="str">
        <f ca="1">VLOOKUP(B133,'Insumos e Serviços'!$A:$F,2,0)</f>
        <v>SINAPI</v>
      </c>
      <c r="D133" s="163" t="str">
        <f ca="1">VLOOKUP(B133,'Insumos e Serviços'!$A:$F,4,0)</f>
        <v>ADITIVO ADESIVO LIQUIDO PARA ARGAMASSAS DE REVESTIMENTOS CIMENTICIOS</v>
      </c>
      <c r="E133" s="162" t="str">
        <f ca="1">VLOOKUP(B133,'Insumos e Serviços'!$A:$F,5,0)</f>
        <v>L</v>
      </c>
      <c r="F133" s="124">
        <v>0.435</v>
      </c>
      <c r="G133" s="165">
        <f ca="1">VLOOKUP(B133,'Insumos e Serviços'!$A:$F,6,0)</f>
        <v>11.39</v>
      </c>
      <c r="H133" s="165">
        <f>TRUNC(F133*G133,2)</f>
        <v>4.95</v>
      </c>
    </row>
    <row r="134" spans="1:8" ht="15" thickTop="1">
      <c r="A134" s="176"/>
      <c r="B134" s="176"/>
      <c r="C134" s="176"/>
      <c r="D134" s="176"/>
      <c r="E134" s="176"/>
      <c r="F134" s="177"/>
      <c r="G134" s="177"/>
      <c r="H134" s="177"/>
    </row>
    <row r="135" spans="1:8" ht="33.75">
      <c r="A135" s="31" t="s">
        <v>202</v>
      </c>
      <c r="B135" s="154" t="str">
        <f ca="1">VLOOKUP(A135,'Orçamento Sintético'!$A:$H,2,0)</f>
        <v xml:space="preserve"> MPDFT0481 </v>
      </c>
      <c r="C135" s="154" t="str">
        <f ca="1">VLOOKUP(A135,'Orçamento Sintético'!$A:$H,3,0)</f>
        <v>Próprio</v>
      </c>
      <c r="D135" s="155" t="str">
        <f ca="1">VLOOKUP(A135,'Orçamento Sintético'!$A:$H,4,0)</f>
        <v>Copia da SINAPI (98546) - Impermeabilização de superfície com manta asfáltica antirraiz (com polímeros elastoméricos), e=4mm, ref. Torodin Extra, colada com asfalto derretido</v>
      </c>
      <c r="E135" s="154" t="str">
        <f ca="1">VLOOKUP(A135,'Orçamento Sintético'!$A:$H,5,0)</f>
        <v>m²</v>
      </c>
      <c r="F135" s="125"/>
      <c r="G135" s="34"/>
      <c r="H135" s="34">
        <f>SUM(H136:H141)</f>
        <v>113.7</v>
      </c>
    </row>
    <row r="136" spans="1:8">
      <c r="A136" s="162" t="str">
        <f ca="1">VLOOKUP(B136,'Insumos e Serviços'!$A:$F,3,0)</f>
        <v>Composição</v>
      </c>
      <c r="B136" s="162" t="s">
        <v>409</v>
      </c>
      <c r="C136" s="10" t="str">
        <f ca="1">VLOOKUP(B136,'Insumos e Serviços'!$A:$F,2,0)</f>
        <v>SINAPI</v>
      </c>
      <c r="D136" s="163" t="str">
        <f ca="1">VLOOKUP(B136,'Insumos e Serviços'!$A:$F,4,0)</f>
        <v>AJUDANTE ESPECIALIZADO COM ENCARGOS COMPLEMENTARES</v>
      </c>
      <c r="E136" s="162" t="str">
        <f ca="1">VLOOKUP(B136,'Insumos e Serviços'!$A:$F,5,0)</f>
        <v>H</v>
      </c>
      <c r="F136" s="124">
        <v>2.4E-2</v>
      </c>
      <c r="G136" s="165">
        <f ca="1">VLOOKUP(B136,'Insumos e Serviços'!$A:$F,6,0)</f>
        <v>20.39</v>
      </c>
      <c r="H136" s="165">
        <f t="shared" ref="H136:H141" si="1">TRUNC(F136*G136,2)</f>
        <v>0.48</v>
      </c>
    </row>
    <row r="137" spans="1:8">
      <c r="A137" s="162" t="str">
        <f ca="1">VLOOKUP(B137,'Insumos e Serviços'!$A:$F,3,0)</f>
        <v>Composição</v>
      </c>
      <c r="B137" s="162" t="s">
        <v>391</v>
      </c>
      <c r="C137" s="10" t="str">
        <f ca="1">VLOOKUP(B137,'Insumos e Serviços'!$A:$F,2,0)</f>
        <v>SINAPI</v>
      </c>
      <c r="D137" s="163" t="str">
        <f ca="1">VLOOKUP(B137,'Insumos e Serviços'!$A:$F,4,0)</f>
        <v>IMPERMEABILIZADOR COM ENCARGOS COMPLEMENTARES</v>
      </c>
      <c r="E137" s="162" t="str">
        <f ca="1">VLOOKUP(B137,'Insumos e Serviços'!$A:$F,5,0)</f>
        <v>H</v>
      </c>
      <c r="F137" s="124">
        <v>0.11799999999999999</v>
      </c>
      <c r="G137" s="165">
        <f ca="1">VLOOKUP(B137,'Insumos e Serviços'!$A:$F,6,0)</f>
        <v>23.25</v>
      </c>
      <c r="H137" s="165">
        <f t="shared" si="1"/>
        <v>2.74</v>
      </c>
    </row>
    <row r="138" spans="1:8">
      <c r="A138" s="162" t="str">
        <f ca="1">VLOOKUP(B138,'Insumos e Serviços'!$A:$F,3,0)</f>
        <v>Insumo</v>
      </c>
      <c r="B138" s="162" t="s">
        <v>405</v>
      </c>
      <c r="C138" s="10" t="str">
        <f ca="1">VLOOKUP(B138,'Insumos e Serviços'!$A:$F,2,0)</f>
        <v>SINAPI</v>
      </c>
      <c r="D138" s="163" t="str">
        <f ca="1">VLOOKUP(B138,'Insumos e Serviços'!$A:$F,4,0)</f>
        <v>GAS DE COZINHA - GLP</v>
      </c>
      <c r="E138" s="162" t="str">
        <f ca="1">VLOOKUP(B138,'Insumos e Serviços'!$A:$F,5,0)</f>
        <v>KG</v>
      </c>
      <c r="F138" s="124">
        <v>0.10100000000000001</v>
      </c>
      <c r="G138" s="165">
        <f ca="1">VLOOKUP(B138,'Insumos e Serviços'!$A:$F,6,0)</f>
        <v>5.93</v>
      </c>
      <c r="H138" s="165">
        <f t="shared" si="1"/>
        <v>0.59</v>
      </c>
    </row>
    <row r="139" spans="1:8" ht="22.5">
      <c r="A139" s="162" t="str">
        <f ca="1">VLOOKUP(B139,'Insumos e Serviços'!$A:$F,3,0)</f>
        <v>Insumo</v>
      </c>
      <c r="B139" s="162" t="s">
        <v>403</v>
      </c>
      <c r="C139" s="10" t="str">
        <f ca="1">VLOOKUP(B139,'Insumos e Serviços'!$A:$F,2,0)</f>
        <v>SINAPI</v>
      </c>
      <c r="D139" s="163" t="str">
        <f ca="1">VLOOKUP(B139,'Insumos e Serviços'!$A:$F,4,0)</f>
        <v>PRIMER PARA MANTA ASFALTICA A BASE DE ASFALTO MODIFICADO DILUIDO EM SOLVENTE, APLICACAO A FRIO</v>
      </c>
      <c r="E139" s="162" t="str">
        <f ca="1">VLOOKUP(B139,'Insumos e Serviços'!$A:$F,5,0)</f>
        <v>L</v>
      </c>
      <c r="F139" s="124">
        <v>0.61499999999999999</v>
      </c>
      <c r="G139" s="165">
        <f ca="1">VLOOKUP(B139,'Insumos e Serviços'!$A:$F,6,0)</f>
        <v>14.5</v>
      </c>
      <c r="H139" s="165">
        <f t="shared" si="1"/>
        <v>8.91</v>
      </c>
    </row>
    <row r="140" spans="1:8" ht="22.5">
      <c r="A140" s="162" t="str">
        <f ca="1">VLOOKUP(B140,'Insumos e Serviços'!$A:$F,3,0)</f>
        <v>Insumo</v>
      </c>
      <c r="B140" s="162" t="s">
        <v>401</v>
      </c>
      <c r="C140" s="10" t="str">
        <f ca="1">VLOOKUP(B140,'Insumos e Serviços'!$A:$F,2,0)</f>
        <v>SINAPI</v>
      </c>
      <c r="D140" s="163" t="str">
        <f ca="1">VLOOKUP(B140,'Insumos e Serviços'!$A:$F,4,0)</f>
        <v>ASFALTO MODIFICADO TIPO II - NBR 9910 (ASFALTO OXIDADO PARA IMPERMEABILIZACAO, COEFICIENTE DE PENETRACAO 20-35)</v>
      </c>
      <c r="E140" s="162" t="str">
        <f ca="1">VLOOKUP(B140,'Insumos e Serviços'!$A:$F,5,0)</f>
        <v>KG</v>
      </c>
      <c r="F140" s="124">
        <v>3</v>
      </c>
      <c r="G140" s="165">
        <f ca="1">VLOOKUP(B140,'Insumos e Serviços'!$A:$F,6,0)</f>
        <v>11.73</v>
      </c>
      <c r="H140" s="165">
        <f t="shared" si="1"/>
        <v>35.19</v>
      </c>
    </row>
    <row r="141" spans="1:8" ht="15" thickBot="1">
      <c r="A141" s="162" t="str">
        <f ca="1">VLOOKUP(B141,'Insumos e Serviços'!$A:$F,3,0)</f>
        <v>Insumo</v>
      </c>
      <c r="B141" s="162" t="s">
        <v>461</v>
      </c>
      <c r="C141" s="10" t="str">
        <f ca="1">VLOOKUP(B141,'Insumos e Serviços'!$A:$F,2,0)</f>
        <v>Próprio</v>
      </c>
      <c r="D141" s="163" t="str">
        <f ca="1">VLOOKUP(B141,'Insumos e Serviços'!$A:$F,4,0)</f>
        <v>Manta asfáltica elastomérica em poliéster 4mm, antirraiz</v>
      </c>
      <c r="E141" s="162" t="str">
        <f ca="1">VLOOKUP(B141,'Insumos e Serviços'!$A:$F,5,0)</f>
        <v>m²</v>
      </c>
      <c r="F141" s="124">
        <v>1.125</v>
      </c>
      <c r="G141" s="165">
        <f ca="1">VLOOKUP(B141,'Insumos e Serviços'!$A:$F,6,0)</f>
        <v>58.48</v>
      </c>
      <c r="H141" s="165">
        <f t="shared" si="1"/>
        <v>65.790000000000006</v>
      </c>
    </row>
    <row r="142" spans="1:8" ht="15" thickTop="1">
      <c r="A142" s="176"/>
      <c r="B142" s="176"/>
      <c r="C142" s="176"/>
      <c r="D142" s="176"/>
      <c r="E142" s="176"/>
      <c r="F142" s="177"/>
      <c r="G142" s="177"/>
      <c r="H142" s="177"/>
    </row>
    <row r="143" spans="1:8" ht="45">
      <c r="A143" s="31" t="s">
        <v>205</v>
      </c>
      <c r="B143" s="154" t="str">
        <f ca="1">VLOOKUP(A143,'Orçamento Sintético'!$A:$H,2,0)</f>
        <v xml:space="preserve"> MPDFT1061 </v>
      </c>
      <c r="C143" s="154" t="str">
        <f ca="1">VLOOKUP(A143,'Orçamento Sintético'!$A:$H,3,0)</f>
        <v>Próprio</v>
      </c>
      <c r="D143" s="155" t="str">
        <f ca="1">VLOOKUP(A143,'Orçamento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E143" s="154" t="str">
        <f ca="1">VLOOKUP(A143,'Orçamento Sintético'!$A:$H,5,0)</f>
        <v>m²</v>
      </c>
      <c r="F143" s="125"/>
      <c r="G143" s="34"/>
      <c r="H143" s="34">
        <f>SUM(H144:H148)</f>
        <v>59.73</v>
      </c>
    </row>
    <row r="144" spans="1:8">
      <c r="A144" s="162" t="str">
        <f ca="1">VLOOKUP(B144,'Insumos e Serviços'!$A:$F,3,0)</f>
        <v>Composição</v>
      </c>
      <c r="B144" s="162" t="s">
        <v>413</v>
      </c>
      <c r="C144" s="10" t="str">
        <f ca="1">VLOOKUP(B144,'Insumos e Serviços'!$A:$F,2,0)</f>
        <v>SINAPI</v>
      </c>
      <c r="D144" s="163" t="str">
        <f ca="1">VLOOKUP(B144,'Insumos e Serviços'!$A:$F,4,0)</f>
        <v>PEDREIRO COM ENCARGOS COMPLEMENTARES</v>
      </c>
      <c r="E144" s="162" t="str">
        <f ca="1">VLOOKUP(B144,'Insumos e Serviços'!$A:$F,5,0)</f>
        <v>H</v>
      </c>
      <c r="F144" s="124">
        <v>0.91300000000000003</v>
      </c>
      <c r="G144" s="165">
        <f ca="1">VLOOKUP(B144,'Insumos e Serviços'!$A:$F,6,0)</f>
        <v>23.25</v>
      </c>
      <c r="H144" s="165">
        <f>TRUNC(F144*G144,2)</f>
        <v>21.22</v>
      </c>
    </row>
    <row r="145" spans="1:8">
      <c r="A145" s="162" t="str">
        <f ca="1">VLOOKUP(B145,'Insumos e Serviços'!$A:$F,3,0)</f>
        <v>Composição</v>
      </c>
      <c r="B145" s="162" t="s">
        <v>335</v>
      </c>
      <c r="C145" s="10" t="str">
        <f ca="1">VLOOKUP(B145,'Insumos e Serviços'!$A:$F,2,0)</f>
        <v>SINAPI</v>
      </c>
      <c r="D145" s="163" t="str">
        <f ca="1">VLOOKUP(B145,'Insumos e Serviços'!$A:$F,4,0)</f>
        <v>SERVENTE COM ENCARGOS COMPLEMENTARES</v>
      </c>
      <c r="E145" s="162" t="str">
        <f ca="1">VLOOKUP(B145,'Insumos e Serviços'!$A:$F,5,0)</f>
        <v>H</v>
      </c>
      <c r="F145" s="124">
        <v>0.43030000000000002</v>
      </c>
      <c r="G145" s="165">
        <f ca="1">VLOOKUP(B145,'Insumos e Serviços'!$A:$F,6,0)</f>
        <v>17.170000000000002</v>
      </c>
      <c r="H145" s="165">
        <f>TRUNC(F145*G145,2)</f>
        <v>7.38</v>
      </c>
    </row>
    <row r="146" spans="1:8" ht="33.75">
      <c r="A146" s="162" t="str">
        <f ca="1">VLOOKUP(B146,'Insumos e Serviços'!$A:$F,3,0)</f>
        <v>Composição</v>
      </c>
      <c r="B146" s="162" t="s">
        <v>459</v>
      </c>
      <c r="C146" s="10" t="str">
        <f ca="1">VLOOKUP(B146,'Insumos e Serviços'!$A:$F,2,0)</f>
        <v>SINAPI</v>
      </c>
      <c r="D146" s="163" t="str">
        <f ca="1">VLOOKUP(B146,'Insumos e Serviços'!$A:$F,4,0)</f>
        <v>ARGAMASSA TRAÇO 1:4 (EM VOLUME DE CIMENTO E AREIA MÉDIA ÚMIDA) PARA CONTRAPISO, PREPARO MECÂNICO COM BETONEIRA 400 L. AF_08/2019</v>
      </c>
      <c r="E146" s="162" t="str">
        <f ca="1">VLOOKUP(B146,'Insumos e Serviços'!$A:$F,5,0)</f>
        <v>m³</v>
      </c>
      <c r="F146" s="124">
        <v>3.5000000000000003E-2</v>
      </c>
      <c r="G146" s="165">
        <f ca="1">VLOOKUP(B146,'Insumos e Serviços'!$A:$F,6,0)</f>
        <v>432.1</v>
      </c>
      <c r="H146" s="165">
        <f>TRUNC(F146*G146,2)</f>
        <v>15.12</v>
      </c>
    </row>
    <row r="147" spans="1:8" ht="22.5">
      <c r="A147" s="162" t="str">
        <f ca="1">VLOOKUP(B147,'Insumos e Serviços'!$A:$F,3,0)</f>
        <v>Insumo</v>
      </c>
      <c r="B147" s="162" t="s">
        <v>457</v>
      </c>
      <c r="C147" s="10" t="str">
        <f ca="1">VLOOKUP(B147,'Insumos e Serviços'!$A:$F,2,0)</f>
        <v>SINAPI</v>
      </c>
      <c r="D147" s="163" t="str">
        <f ca="1">VLOOKUP(B147,'Insumos e Serviços'!$A:$F,4,0)</f>
        <v>GEOTEXTIL NAO TECIDO AGULHADO DE FILAMENTOS CONTINUOS 100% POLIESTER, RESITENCIA A TRACAO = 14 KN/M</v>
      </c>
      <c r="E147" s="162" t="str">
        <f ca="1">VLOOKUP(B147,'Insumos e Serviços'!$A:$F,5,0)</f>
        <v>m²</v>
      </c>
      <c r="F147" s="124">
        <v>1.04</v>
      </c>
      <c r="G147" s="165">
        <f ca="1">VLOOKUP(B147,'Insumos e Serviços'!$A:$F,6,0)</f>
        <v>6.12</v>
      </c>
      <c r="H147" s="165">
        <f>TRUNC(F147*G147,2)</f>
        <v>6.36</v>
      </c>
    </row>
    <row r="148" spans="1:8" ht="23.25" thickBot="1">
      <c r="A148" s="162" t="str">
        <f ca="1">VLOOKUP(B148,'Insumos e Serviços'!$A:$F,3,0)</f>
        <v>Insumo</v>
      </c>
      <c r="B148" s="162" t="s">
        <v>455</v>
      </c>
      <c r="C148" s="10" t="str">
        <f ca="1">VLOOKUP(B148,'Insumos e Serviços'!$A:$F,2,0)</f>
        <v>SINAPI</v>
      </c>
      <c r="D148" s="163" t="str">
        <f ca="1">VLOOKUP(B148,'Insumos e Serviços'!$A:$F,4,0)</f>
        <v>ASFALTO MODIFICADO TIPO III - NBR 9910 (ASFALTO OXIDADO PARA IMPERMEABILIZACAO, COEFICIENTE DE PENETRACAO 15-25)</v>
      </c>
      <c r="E148" s="162" t="str">
        <f ca="1">VLOOKUP(B148,'Insumos e Serviços'!$A:$F,5,0)</f>
        <v>KG</v>
      </c>
      <c r="F148" s="124">
        <v>0.73329999999999995</v>
      </c>
      <c r="G148" s="165">
        <f ca="1">VLOOKUP(B148,'Insumos e Serviços'!$A:$F,6,0)</f>
        <v>13.17</v>
      </c>
      <c r="H148" s="165">
        <f>TRUNC(F148*G148,2)</f>
        <v>9.65</v>
      </c>
    </row>
    <row r="149" spans="1:8" ht="15" thickTop="1">
      <c r="A149" s="176"/>
      <c r="B149" s="176"/>
      <c r="C149" s="176"/>
      <c r="D149" s="176"/>
      <c r="E149" s="176"/>
      <c r="F149" s="177"/>
      <c r="G149" s="177"/>
      <c r="H149" s="177"/>
    </row>
    <row r="150" spans="1:8" ht="22.5">
      <c r="A150" s="31" t="s">
        <v>214</v>
      </c>
      <c r="B150" s="154" t="str">
        <f ca="1">VLOOKUP(A150,'Orçamento Sintético'!$A:$H,2,0)</f>
        <v xml:space="preserve"> MPDFT0938 </v>
      </c>
      <c r="C150" s="154" t="str">
        <f ca="1">VLOOKUP(A150,'Orçamento Sintético'!$A:$H,3,0)</f>
        <v>Próprio</v>
      </c>
      <c r="D150" s="155" t="str">
        <f ca="1">VLOOKUP(A150,'Orçamento Sintético'!$A:$H,4,0)</f>
        <v>Correção de juntas, com escarificação, primer à base de água e massa asfáltica selante para preenchimento de juntas 10x10mm</v>
      </c>
      <c r="E150" s="154" t="str">
        <f ca="1">VLOOKUP(A150,'Orçamento Sintético'!$A:$H,5,0)</f>
        <v>m</v>
      </c>
      <c r="F150" s="125"/>
      <c r="G150" s="34"/>
      <c r="H150" s="34">
        <f>SUM(H151:H156)</f>
        <v>23.15</v>
      </c>
    </row>
    <row r="151" spans="1:8" ht="22.5">
      <c r="A151" s="162" t="str">
        <f ca="1">VLOOKUP(B151,'Insumos e Serviços'!$A:$F,3,0)</f>
        <v>Composição</v>
      </c>
      <c r="B151" s="162" t="s">
        <v>453</v>
      </c>
      <c r="C151" s="10" t="str">
        <f ca="1">VLOOKUP(B151,'Insumos e Serviços'!$A:$F,2,0)</f>
        <v>Próprio</v>
      </c>
      <c r="D151" s="163" t="str">
        <f ca="1">VLOOKUP(B151,'Insumos e Serviços'!$A:$F,4,0)</f>
        <v>Copia da FDE (16.48.001) - Escarificação de revestimento asfáltico de juntas de proteção mecânica.</v>
      </c>
      <c r="E151" s="162" t="str">
        <f ca="1">VLOOKUP(B151,'Insumos e Serviços'!$A:$F,5,0)</f>
        <v>m²</v>
      </c>
      <c r="F151" s="124">
        <v>0.05</v>
      </c>
      <c r="G151" s="165">
        <f ca="1">VLOOKUP(B151,'Insumos e Serviços'!$A:$F,6,0)</f>
        <v>10.050000000000001</v>
      </c>
      <c r="H151" s="165">
        <f t="shared" ref="H151:H156" si="2">TRUNC(F151*G151,2)</f>
        <v>0.5</v>
      </c>
    </row>
    <row r="152" spans="1:8">
      <c r="A152" s="162" t="str">
        <f ca="1">VLOOKUP(B152,'Insumos e Serviços'!$A:$F,3,0)</f>
        <v>Composição</v>
      </c>
      <c r="B152" s="162" t="s">
        <v>391</v>
      </c>
      <c r="C152" s="10" t="str">
        <f ca="1">VLOOKUP(B152,'Insumos e Serviços'!$A:$F,2,0)</f>
        <v>SINAPI</v>
      </c>
      <c r="D152" s="163" t="str">
        <f ca="1">VLOOKUP(B152,'Insumos e Serviços'!$A:$F,4,0)</f>
        <v>IMPERMEABILIZADOR COM ENCARGOS COMPLEMENTARES</v>
      </c>
      <c r="E152" s="162" t="str">
        <f ca="1">VLOOKUP(B152,'Insumos e Serviços'!$A:$F,5,0)</f>
        <v>H</v>
      </c>
      <c r="F152" s="124">
        <v>0.5</v>
      </c>
      <c r="G152" s="165">
        <f ca="1">VLOOKUP(B152,'Insumos e Serviços'!$A:$F,6,0)</f>
        <v>23.25</v>
      </c>
      <c r="H152" s="165">
        <f t="shared" si="2"/>
        <v>11.62</v>
      </c>
    </row>
    <row r="153" spans="1:8">
      <c r="A153" s="162" t="str">
        <f ca="1">VLOOKUP(B153,'Insumos e Serviços'!$A:$F,3,0)</f>
        <v>Composição</v>
      </c>
      <c r="B153" s="162" t="s">
        <v>335</v>
      </c>
      <c r="C153" s="10" t="str">
        <f ca="1">VLOOKUP(B153,'Insumos e Serviços'!$A:$F,2,0)</f>
        <v>SINAPI</v>
      </c>
      <c r="D153" s="163" t="str">
        <f ca="1">VLOOKUP(B153,'Insumos e Serviços'!$A:$F,4,0)</f>
        <v>SERVENTE COM ENCARGOS COMPLEMENTARES</v>
      </c>
      <c r="E153" s="162" t="str">
        <f ca="1">VLOOKUP(B153,'Insumos e Serviços'!$A:$F,5,0)</f>
        <v>H</v>
      </c>
      <c r="F153" s="124">
        <v>0.5</v>
      </c>
      <c r="G153" s="165">
        <f ca="1">VLOOKUP(B153,'Insumos e Serviços'!$A:$F,6,0)</f>
        <v>17.170000000000002</v>
      </c>
      <c r="H153" s="165">
        <f t="shared" si="2"/>
        <v>8.58</v>
      </c>
    </row>
    <row r="154" spans="1:8">
      <c r="A154" s="162" t="str">
        <f ca="1">VLOOKUP(B154,'Insumos e Serviços'!$A:$F,3,0)</f>
        <v>Insumo</v>
      </c>
      <c r="B154" s="162" t="s">
        <v>451</v>
      </c>
      <c r="C154" s="10" t="str">
        <f ca="1">VLOOKUP(B154,'Insumos e Serviços'!$A:$F,2,0)</f>
        <v>Próprio</v>
      </c>
      <c r="D154" s="163" t="str">
        <f ca="1">VLOOKUP(B154,'Insumos e Serviços'!$A:$F,4,0)</f>
        <v>Primer asfáltico à base de água para mantas, fab. Vedacit</v>
      </c>
      <c r="E154" s="162" t="str">
        <f ca="1">VLOOKUP(B154,'Insumos e Serviços'!$A:$F,5,0)</f>
        <v>l</v>
      </c>
      <c r="F154" s="124">
        <v>1.7999999999999999E-2</v>
      </c>
      <c r="G154" s="165">
        <f ca="1">VLOOKUP(B154,'Insumos e Serviços'!$A:$F,6,0)</f>
        <v>7.13</v>
      </c>
      <c r="H154" s="165">
        <f t="shared" si="2"/>
        <v>0.12</v>
      </c>
    </row>
    <row r="155" spans="1:8" ht="22.5">
      <c r="A155" s="162" t="str">
        <f ca="1">VLOOKUP(B155,'Insumos e Serviços'!$A:$F,3,0)</f>
        <v>Insumo</v>
      </c>
      <c r="B155" s="162" t="s">
        <v>449</v>
      </c>
      <c r="C155" s="10" t="str">
        <f ca="1">VLOOKUP(B155,'Insumos e Serviços'!$A:$F,2,0)</f>
        <v>Próprio</v>
      </c>
      <c r="D155" s="163" t="str">
        <f ca="1">VLOOKUP(B155,'Insumos e Serviços'!$A:$F,4,0)</f>
        <v>Massa asfáltica selante de grande aderência e impermeabilidade para tratamento de juntas horizontais. Ref.: Carbolastico 3, Vedacit</v>
      </c>
      <c r="E155" s="162" t="str">
        <f ca="1">VLOOKUP(B155,'Insumos e Serviços'!$A:$F,5,0)</f>
        <v>un</v>
      </c>
      <c r="F155" s="124">
        <v>0.12</v>
      </c>
      <c r="G155" s="165">
        <f ca="1">VLOOKUP(B155,'Insumos e Serviços'!$A:$F,6,0)</f>
        <v>16.850000000000001</v>
      </c>
      <c r="H155" s="165">
        <f t="shared" si="2"/>
        <v>2.02</v>
      </c>
    </row>
    <row r="156" spans="1:8" ht="15" thickBot="1">
      <c r="A156" s="162" t="str">
        <f ca="1">VLOOKUP(B156,'Insumos e Serviços'!$A:$F,3,0)</f>
        <v>Insumo</v>
      </c>
      <c r="B156" s="162" t="s">
        <v>447</v>
      </c>
      <c r="C156" s="10" t="str">
        <f ca="1">VLOOKUP(B156,'Insumos e Serviços'!$A:$F,2,0)</f>
        <v>SINAPI</v>
      </c>
      <c r="D156" s="163" t="str">
        <f ca="1">VLOOKUP(B156,'Insumos e Serviços'!$A:$F,4,0)</f>
        <v>FITA CREPE ROLO DE 25 MM X 50 M</v>
      </c>
      <c r="E156" s="162" t="str">
        <f ca="1">VLOOKUP(B156,'Insumos e Serviços'!$A:$F,5,0)</f>
        <v>UN</v>
      </c>
      <c r="F156" s="124">
        <v>0.04</v>
      </c>
      <c r="G156" s="165">
        <f ca="1">VLOOKUP(B156,'Insumos e Serviços'!$A:$F,6,0)</f>
        <v>7.84</v>
      </c>
      <c r="H156" s="165">
        <f t="shared" si="2"/>
        <v>0.31</v>
      </c>
    </row>
    <row r="157" spans="1:8" ht="15" thickTop="1">
      <c r="A157" s="176"/>
      <c r="B157" s="176"/>
      <c r="C157" s="176"/>
      <c r="D157" s="176"/>
      <c r="E157" s="176"/>
      <c r="F157" s="177"/>
      <c r="G157" s="177"/>
      <c r="H157" s="177"/>
    </row>
    <row r="158" spans="1:8" ht="22.5">
      <c r="A158" s="31" t="s">
        <v>217</v>
      </c>
      <c r="B158" s="154" t="str">
        <f ca="1">VLOOKUP(A158,'Orçamento Sintético'!$A:$H,2,0)</f>
        <v xml:space="preserve"> MPDFT0939 </v>
      </c>
      <c r="C158" s="154" t="str">
        <f ca="1">VLOOKUP(A158,'Orçamento Sintético'!$A:$H,3,0)</f>
        <v>Próprio</v>
      </c>
      <c r="D158" s="155" t="str">
        <f ca="1">VLOOKUP(A158,'Orçamento Sintético'!$A:$H,4,0)</f>
        <v>Regularização de superfícies e selagem de trincas com resina epóxi, carga inerte, tela de poliéster e argamassa cimentícia polimérica.</v>
      </c>
      <c r="E158" s="154" t="str">
        <f ca="1">VLOOKUP(A158,'Orçamento Sintético'!$A:$H,5,0)</f>
        <v>m²</v>
      </c>
      <c r="F158" s="125"/>
      <c r="G158" s="34"/>
      <c r="H158" s="34">
        <f>SUM(H159:H163)</f>
        <v>248.41</v>
      </c>
    </row>
    <row r="159" spans="1:8">
      <c r="A159" s="162" t="str">
        <f ca="1">VLOOKUP(B159,'Insumos e Serviços'!$A:$F,3,0)</f>
        <v>Composição</v>
      </c>
      <c r="B159" s="162" t="s">
        <v>391</v>
      </c>
      <c r="C159" s="10" t="str">
        <f ca="1">VLOOKUP(B159,'Insumos e Serviços'!$A:$F,2,0)</f>
        <v>SINAPI</v>
      </c>
      <c r="D159" s="163" t="str">
        <f ca="1">VLOOKUP(B159,'Insumos e Serviços'!$A:$F,4,0)</f>
        <v>IMPERMEABILIZADOR COM ENCARGOS COMPLEMENTARES</v>
      </c>
      <c r="E159" s="162" t="str">
        <f ca="1">VLOOKUP(B159,'Insumos e Serviços'!$A:$F,5,0)</f>
        <v>H</v>
      </c>
      <c r="F159" s="124">
        <v>1</v>
      </c>
      <c r="G159" s="165">
        <f ca="1">VLOOKUP(B159,'Insumos e Serviços'!$A:$F,6,0)</f>
        <v>23.25</v>
      </c>
      <c r="H159" s="165">
        <f>TRUNC(F159*G159,2)</f>
        <v>23.25</v>
      </c>
    </row>
    <row r="160" spans="1:8" ht="22.5">
      <c r="A160" s="162" t="str">
        <f ca="1">VLOOKUP(B160,'Insumos e Serviços'!$A:$F,3,0)</f>
        <v>Insumo</v>
      </c>
      <c r="B160" s="162" t="s">
        <v>439</v>
      </c>
      <c r="C160" s="10" t="str">
        <f ca="1">VLOOKUP(B160,'Insumos e Serviços'!$A:$F,2,0)</f>
        <v>Próprio</v>
      </c>
      <c r="D160" s="163" t="str">
        <f ca="1">VLOOKUP(B160,'Insumos e Serviços'!$A:$F,4,0)</f>
        <v>Resina epóxi para imprimação e argamassa de regularização, de baixa viscosidade e bi-componente, Primer Sikafloor 161, fab. Sika</v>
      </c>
      <c r="E160" s="162" t="str">
        <f ca="1">VLOOKUP(B160,'Insumos e Serviços'!$A:$F,5,0)</f>
        <v>kg</v>
      </c>
      <c r="F160" s="124">
        <v>1</v>
      </c>
      <c r="G160" s="165">
        <f ca="1">VLOOKUP(B160,'Insumos e Serviços'!$A:$F,6,0)</f>
        <v>31.91</v>
      </c>
      <c r="H160" s="165">
        <f>TRUNC(F160*G160,2)</f>
        <v>31.91</v>
      </c>
    </row>
    <row r="161" spans="1:8" ht="22.5">
      <c r="A161" s="162" t="str">
        <f ca="1">VLOOKUP(B161,'Insumos e Serviços'!$A:$F,3,0)</f>
        <v>Insumo</v>
      </c>
      <c r="B161" s="162" t="s">
        <v>445</v>
      </c>
      <c r="C161" s="10" t="str">
        <f ca="1">VLOOKUP(B161,'Insumos e Serviços'!$A:$F,2,0)</f>
        <v>Próprio</v>
      </c>
      <c r="D161" s="163" t="str">
        <f ca="1">VLOOKUP(B161,'Insumos e Serviços'!$A:$F,4,0)</f>
        <v>Carga inerte para preparação de revestimentos industriais, Sikadur 512, fab. Sika</v>
      </c>
      <c r="E161" s="162" t="str">
        <f ca="1">VLOOKUP(B161,'Insumos e Serviços'!$A:$F,5,0)</f>
        <v>kg</v>
      </c>
      <c r="F161" s="124">
        <v>4</v>
      </c>
      <c r="G161" s="165">
        <f ca="1">VLOOKUP(B161,'Insumos e Serviços'!$A:$F,6,0)</f>
        <v>2.5</v>
      </c>
      <c r="H161" s="165">
        <f>TRUNC(F161*G161,2)</f>
        <v>10</v>
      </c>
    </row>
    <row r="162" spans="1:8">
      <c r="A162" s="162" t="str">
        <f ca="1">VLOOKUP(B162,'Insumos e Serviços'!$A:$F,3,0)</f>
        <v>Insumo</v>
      </c>
      <c r="B162" s="162" t="s">
        <v>443</v>
      </c>
      <c r="C162" s="10" t="str">
        <f ca="1">VLOOKUP(B162,'Insumos e Serviços'!$A:$F,2,0)</f>
        <v>Próprio</v>
      </c>
      <c r="D162" s="163" t="str">
        <f ca="1">VLOOKUP(B162,'Insumos e Serviços'!$A:$F,4,0)</f>
        <v>Tela estruturante de poliéster</v>
      </c>
      <c r="E162" s="162" t="str">
        <f ca="1">VLOOKUP(B162,'Insumos e Serviços'!$A:$F,5,0)</f>
        <v>m²</v>
      </c>
      <c r="F162" s="124">
        <v>1.05</v>
      </c>
      <c r="G162" s="165">
        <f ca="1">VLOOKUP(B162,'Insumos e Serviços'!$A:$F,6,0)</f>
        <v>5</v>
      </c>
      <c r="H162" s="165">
        <f>TRUNC(F162*G162,2)</f>
        <v>5.25</v>
      </c>
    </row>
    <row r="163" spans="1:8" ht="23.25" thickBot="1">
      <c r="A163" s="162" t="str">
        <f ca="1">VLOOKUP(B163,'Insumos e Serviços'!$A:$F,3,0)</f>
        <v>Insumo</v>
      </c>
      <c r="B163" s="162" t="s">
        <v>441</v>
      </c>
      <c r="C163" s="10" t="str">
        <f ca="1">VLOOKUP(B163,'Insumos e Serviços'!$A:$F,2,0)</f>
        <v>Próprio</v>
      </c>
      <c r="D163" s="163" t="str">
        <f ca="1">VLOOKUP(B163,'Insumos e Serviços'!$A:$F,4,0)</f>
        <v>Argamassa cimentícia modificada com polímero, de alto fluxo, autonivelante e de secagem rápida, Sikafloor-115 Level Residencial, Fab.: Sika</v>
      </c>
      <c r="E163" s="162" t="str">
        <f ca="1">VLOOKUP(B163,'Insumos e Serviços'!$A:$F,5,0)</f>
        <v>kg</v>
      </c>
      <c r="F163" s="124">
        <v>40</v>
      </c>
      <c r="G163" s="165">
        <f ca="1">VLOOKUP(B163,'Insumos e Serviços'!$A:$F,6,0)</f>
        <v>4.45</v>
      </c>
      <c r="H163" s="165">
        <f>TRUNC(F163*G163,2)</f>
        <v>178</v>
      </c>
    </row>
    <row r="164" spans="1:8" ht="15" thickTop="1">
      <c r="A164" s="176"/>
      <c r="B164" s="176"/>
      <c r="C164" s="176"/>
      <c r="D164" s="176"/>
      <c r="E164" s="176"/>
      <c r="F164" s="177"/>
      <c r="G164" s="177"/>
      <c r="H164" s="177"/>
    </row>
    <row r="165" spans="1:8" ht="33.75">
      <c r="A165" s="31" t="s">
        <v>220</v>
      </c>
      <c r="B165" s="154" t="str">
        <f ca="1">VLOOKUP(A165,'Orçamento Sintético'!$A:$H,2,0)</f>
        <v xml:space="preserve"> MPDFT0940 </v>
      </c>
      <c r="C165" s="154" t="str">
        <f ca="1">VLOOKUP(A165,'Orçamento Sintético'!$A:$H,3,0)</f>
        <v>Próprio</v>
      </c>
      <c r="D165" s="155" t="str">
        <f ca="1">VLOOKUP(A165,'Orçamento Sintético'!$A:$H,4,0)</f>
        <v>Aplicação de pintura de poliuretano, com Primer de resina epóxi, revestimento de poliuretano, carga inerte e pintura base de resina de poliuretano</v>
      </c>
      <c r="E165" s="154" t="str">
        <f ca="1">VLOOKUP(A165,'Orçamento Sintético'!$A:$H,5,0)</f>
        <v>m²</v>
      </c>
      <c r="F165" s="125"/>
      <c r="G165" s="34"/>
      <c r="H165" s="34">
        <f>SUM(H166:H170)</f>
        <v>146.39999999999998</v>
      </c>
    </row>
    <row r="166" spans="1:8">
      <c r="A166" s="162" t="str">
        <f ca="1">VLOOKUP(B166,'Insumos e Serviços'!$A:$F,3,0)</f>
        <v>Composição</v>
      </c>
      <c r="B166" s="162" t="s">
        <v>391</v>
      </c>
      <c r="C166" s="10" t="str">
        <f ca="1">VLOOKUP(B166,'Insumos e Serviços'!$A:$F,2,0)</f>
        <v>SINAPI</v>
      </c>
      <c r="D166" s="163" t="str">
        <f ca="1">VLOOKUP(B166,'Insumos e Serviços'!$A:$F,4,0)</f>
        <v>IMPERMEABILIZADOR COM ENCARGOS COMPLEMENTARES</v>
      </c>
      <c r="E166" s="162" t="str">
        <f ca="1">VLOOKUP(B166,'Insumos e Serviços'!$A:$F,5,0)</f>
        <v>H</v>
      </c>
      <c r="F166" s="124">
        <v>1</v>
      </c>
      <c r="G166" s="165">
        <f ca="1">VLOOKUP(B166,'Insumos e Serviços'!$A:$F,6,0)</f>
        <v>23.25</v>
      </c>
      <c r="H166" s="165">
        <f>TRUNC(F166*G166,2)</f>
        <v>23.25</v>
      </c>
    </row>
    <row r="167" spans="1:8" ht="22.5">
      <c r="A167" s="162" t="str">
        <f ca="1">VLOOKUP(B167,'Insumos e Serviços'!$A:$F,3,0)</f>
        <v>Insumo</v>
      </c>
      <c r="B167" s="162" t="s">
        <v>439</v>
      </c>
      <c r="C167" s="10" t="str">
        <f ca="1">VLOOKUP(B167,'Insumos e Serviços'!$A:$F,2,0)</f>
        <v>Próprio</v>
      </c>
      <c r="D167" s="163" t="str">
        <f ca="1">VLOOKUP(B167,'Insumos e Serviços'!$A:$F,4,0)</f>
        <v>Resina epóxi para imprimação e argamassa de regularização, de baixa viscosidade e bi-componente, Primer Sikafloor 161, fab. Sika</v>
      </c>
      <c r="E167" s="162" t="str">
        <f ca="1">VLOOKUP(B167,'Insumos e Serviços'!$A:$F,5,0)</f>
        <v>kg</v>
      </c>
      <c r="F167" s="124">
        <v>0.55000000000000004</v>
      </c>
      <c r="G167" s="165">
        <f ca="1">VLOOKUP(B167,'Insumos e Serviços'!$A:$F,6,0)</f>
        <v>31.91</v>
      </c>
      <c r="H167" s="165">
        <f>TRUNC(F167*G167,2)</f>
        <v>17.55</v>
      </c>
    </row>
    <row r="168" spans="1:8">
      <c r="A168" s="162" t="str">
        <f ca="1">VLOOKUP(B168,'Insumos e Serviços'!$A:$F,3,0)</f>
        <v>Insumo</v>
      </c>
      <c r="B168" s="162" t="s">
        <v>437</v>
      </c>
      <c r="C168" s="10" t="str">
        <f ca="1">VLOOKUP(B168,'Insumos e Serviços'!$A:$F,2,0)</f>
        <v>Próprio</v>
      </c>
      <c r="D168" s="163" t="str">
        <f ca="1">VLOOKUP(B168,'Insumos e Serviços'!$A:$F,4,0)</f>
        <v>Revestimento bicomponente à base de poliuretano, Sikafloor - 3240, Fab.: Sika</v>
      </c>
      <c r="E168" s="162" t="str">
        <f ca="1">VLOOKUP(B168,'Insumos e Serviços'!$A:$F,5,0)</f>
        <v>kg</v>
      </c>
      <c r="F168" s="124">
        <v>0.94</v>
      </c>
      <c r="G168" s="165">
        <f ca="1">VLOOKUP(B168,'Insumos e Serviços'!$A:$F,6,0)</f>
        <v>50</v>
      </c>
      <c r="H168" s="165">
        <f>TRUNC(F168*G168,2)</f>
        <v>47</v>
      </c>
    </row>
    <row r="169" spans="1:8" ht="22.5">
      <c r="A169" s="162" t="str">
        <f ca="1">VLOOKUP(B169,'Insumos e Serviços'!$A:$F,3,0)</f>
        <v>Insumo</v>
      </c>
      <c r="B169" s="162" t="s">
        <v>435</v>
      </c>
      <c r="C169" s="10" t="str">
        <f ca="1">VLOOKUP(B169,'Insumos e Serviços'!$A:$F,2,0)</f>
        <v>Próprio</v>
      </c>
      <c r="D169" s="163" t="str">
        <f ca="1">VLOOKUP(B169,'Insumos e Serviços'!$A:$F,4,0)</f>
        <v>Carga inerte para preparação de revestimentos industriais, Sikadur 515, fab. Sika</v>
      </c>
      <c r="E169" s="162" t="str">
        <f ca="1">VLOOKUP(B169,'Insumos e Serviços'!$A:$F,5,0)</f>
        <v>kg</v>
      </c>
      <c r="F169" s="124">
        <v>0.66</v>
      </c>
      <c r="G169" s="165">
        <f ca="1">VLOOKUP(B169,'Insumos e Serviços'!$A:$F,6,0)</f>
        <v>2.74</v>
      </c>
      <c r="H169" s="165">
        <f>TRUNC(F169*G169,2)</f>
        <v>1.8</v>
      </c>
    </row>
    <row r="170" spans="1:8" ht="15" thickBot="1">
      <c r="A170" s="162" t="str">
        <f ca="1">VLOOKUP(B170,'Insumos e Serviços'!$A:$F,3,0)</f>
        <v>Insumo</v>
      </c>
      <c r="B170" s="162" t="s">
        <v>433</v>
      </c>
      <c r="C170" s="10" t="str">
        <f ca="1">VLOOKUP(B170,'Insumos e Serviços'!$A:$F,2,0)</f>
        <v>Próprio</v>
      </c>
      <c r="D170" s="163" t="str">
        <f ca="1">VLOOKUP(B170,'Insumos e Serviços'!$A:$F,4,0)</f>
        <v>Pintura à base de resina de poliuretano, Sikafloor - 359 N, Fab. Sika</v>
      </c>
      <c r="E170" s="162" t="str">
        <f ca="1">VLOOKUP(B170,'Insumos e Serviços'!$A:$F,5,0)</f>
        <v>kg</v>
      </c>
      <c r="F170" s="124">
        <v>0.9</v>
      </c>
      <c r="G170" s="165">
        <f ca="1">VLOOKUP(B170,'Insumos e Serviços'!$A:$F,6,0)</f>
        <v>63.12</v>
      </c>
      <c r="H170" s="165">
        <f>TRUNC(F170*G170,2)</f>
        <v>56.8</v>
      </c>
    </row>
    <row r="171" spans="1:8" ht="15" thickTop="1">
      <c r="A171" s="176"/>
      <c r="B171" s="176"/>
      <c r="C171" s="176"/>
      <c r="D171" s="176"/>
      <c r="E171" s="176"/>
      <c r="F171" s="177"/>
      <c r="G171" s="177"/>
      <c r="H171" s="177"/>
    </row>
    <row r="172" spans="1:8" ht="22.5">
      <c r="A172" s="31" t="s">
        <v>223</v>
      </c>
      <c r="B172" s="154" t="str">
        <f ca="1">VLOOKUP(A172,'Orçamento Sintético'!$A:$H,2,0)</f>
        <v xml:space="preserve"> MPDFT0944 </v>
      </c>
      <c r="C172" s="154" t="str">
        <f ca="1">VLOOKUP(A172,'Orçamento Sintético'!$A:$H,3,0)</f>
        <v>Próprio</v>
      </c>
      <c r="D172" s="155" t="str">
        <f ca="1">VLOOKUP(A172,'Orçamento Sintético'!$A:$H,4,0)</f>
        <v>Tratamento de trincas com selante de poliuretano monocomponente, cartucho com 300ml, ref. Sikaflex 1-A, Sika</v>
      </c>
      <c r="E172" s="154" t="str">
        <f ca="1">VLOOKUP(A172,'Orçamento Sintético'!$A:$H,5,0)</f>
        <v>m</v>
      </c>
      <c r="F172" s="125"/>
      <c r="G172" s="34"/>
      <c r="H172" s="34">
        <f>SUM(H173:H174)</f>
        <v>12.13</v>
      </c>
    </row>
    <row r="173" spans="1:8">
      <c r="A173" s="162" t="str">
        <f ca="1">VLOOKUP(B173,'Insumos e Serviços'!$A:$F,3,0)</f>
        <v>Composição</v>
      </c>
      <c r="B173" s="162" t="s">
        <v>391</v>
      </c>
      <c r="C173" s="10" t="str">
        <f ca="1">VLOOKUP(B173,'Insumos e Serviços'!$A:$F,2,0)</f>
        <v>SINAPI</v>
      </c>
      <c r="D173" s="163" t="str">
        <f ca="1">VLOOKUP(B173,'Insumos e Serviços'!$A:$F,4,0)</f>
        <v>IMPERMEABILIZADOR COM ENCARGOS COMPLEMENTARES</v>
      </c>
      <c r="E173" s="162" t="str">
        <f ca="1">VLOOKUP(B173,'Insumos e Serviços'!$A:$F,5,0)</f>
        <v>H</v>
      </c>
      <c r="F173" s="124">
        <v>0.15</v>
      </c>
      <c r="G173" s="165">
        <f ca="1">VLOOKUP(B173,'Insumos e Serviços'!$A:$F,6,0)</f>
        <v>23.25</v>
      </c>
      <c r="H173" s="165">
        <f>TRUNC(F173*G173,2)</f>
        <v>3.48</v>
      </c>
    </row>
    <row r="174" spans="1:8" ht="23.25" thickBot="1">
      <c r="A174" s="162" t="str">
        <f ca="1">VLOOKUP(B174,'Insumos e Serviços'!$A:$F,3,0)</f>
        <v>Insumo</v>
      </c>
      <c r="B174" s="162" t="s">
        <v>430</v>
      </c>
      <c r="C174" s="10" t="str">
        <f ca="1">VLOOKUP(B174,'Insumos e Serviços'!$A:$F,2,0)</f>
        <v>SINAPI</v>
      </c>
      <c r="D174" s="163" t="str">
        <f ca="1">VLOOKUP(B174,'Insumos e Serviços'!$A:$F,4,0)</f>
        <v>SELANTE ELASTICO MONOCOMPONENTE A BASE DE POLIURETANO (PU) PARA JUNTAS DIVERSAS</v>
      </c>
      <c r="E174" s="162" t="str">
        <f ca="1">VLOOKUP(B174,'Insumos e Serviços'!$A:$F,5,0)</f>
        <v>310ML</v>
      </c>
      <c r="F174" s="124">
        <v>0.32300000000000001</v>
      </c>
      <c r="G174" s="165">
        <f ca="1">VLOOKUP(B174,'Insumos e Serviços'!$A:$F,6,0)</f>
        <v>26.81</v>
      </c>
      <c r="H174" s="165">
        <f>TRUNC(F174*G174,2)</f>
        <v>8.65</v>
      </c>
    </row>
    <row r="175" spans="1:8" ht="15" thickTop="1">
      <c r="A175" s="176"/>
      <c r="B175" s="176"/>
      <c r="C175" s="176"/>
      <c r="D175" s="176"/>
      <c r="E175" s="176"/>
      <c r="F175" s="177"/>
      <c r="G175" s="177"/>
      <c r="H175" s="177"/>
    </row>
    <row r="176" spans="1:8" ht="33.75">
      <c r="A176" s="31" t="s">
        <v>226</v>
      </c>
      <c r="B176" s="154" t="str">
        <f ca="1">VLOOKUP(A176,'Orçamento Sintético'!$A:$H,2,0)</f>
        <v xml:space="preserve"> MPDFT0948 </v>
      </c>
      <c r="C176" s="154" t="str">
        <f ca="1">VLOOKUP(A176,'Orçamento Sintético'!$A:$H,3,0)</f>
        <v>Próprio</v>
      </c>
      <c r="D176" s="155" t="str">
        <f ca="1">VLOOKUP(A176,'Orçamento Sintético'!$A:$H,4,0)</f>
        <v>Fornecimento e execução por empresa especializada de junta tipo JJ2540 VV EDPM Jeene, incluso limpeza, perfil, adesivo epóxi ADE 52 e pressurizáção</v>
      </c>
      <c r="E176" s="154" t="str">
        <f ca="1">VLOOKUP(A176,'Orçamento Sintético'!$A:$H,5,0)</f>
        <v>m</v>
      </c>
      <c r="F176" s="125"/>
      <c r="G176" s="34"/>
      <c r="H176" s="34">
        <f>SUM(H177)</f>
        <v>129.77000000000001</v>
      </c>
    </row>
    <row r="177" spans="1:8" ht="23.25" thickBot="1">
      <c r="A177" s="162" t="str">
        <f ca="1">VLOOKUP(B177,'Insumos e Serviços'!$A:$F,3,0)</f>
        <v>Insumo</v>
      </c>
      <c r="B177" s="162" t="s">
        <v>427</v>
      </c>
      <c r="C177" s="10" t="str">
        <f ca="1">VLOOKUP(B177,'Insumos e Serviços'!$A:$F,2,0)</f>
        <v>Próprio</v>
      </c>
      <c r="D177" s="163" t="str">
        <f ca="1">VLOOKUP(B177,'Insumos e Serviços'!$A:$F,4,0)</f>
        <v>Fornecimento e execução por empresa especializada de junta tipo JJ2540 VV EDPM Jeene, incluso limpeza, perfil, adesivo epóxi ADE 52 e pressurizáção</v>
      </c>
      <c r="E177" s="162" t="str">
        <f ca="1">VLOOKUP(B177,'Insumos e Serviços'!$A:$F,5,0)</f>
        <v>m</v>
      </c>
      <c r="F177" s="124">
        <v>1</v>
      </c>
      <c r="G177" s="165">
        <f ca="1">VLOOKUP(B177,'Insumos e Serviços'!$A:$F,6,0)</f>
        <v>129.77000000000001</v>
      </c>
      <c r="H177" s="165">
        <f>TRUNC(F177*G177,2)</f>
        <v>129.77000000000001</v>
      </c>
    </row>
    <row r="178" spans="1:8" ht="15" thickTop="1">
      <c r="A178" s="176"/>
      <c r="B178" s="176"/>
      <c r="C178" s="176"/>
      <c r="D178" s="176"/>
      <c r="E178" s="176"/>
      <c r="F178" s="177"/>
      <c r="G178" s="177"/>
      <c r="H178" s="177"/>
    </row>
    <row r="179" spans="1:8" ht="33.75">
      <c r="A179" s="31" t="s">
        <v>229</v>
      </c>
      <c r="B179" s="154" t="str">
        <f ca="1">VLOOKUP(A179,'Orçamento Sintético'!$A:$H,2,0)</f>
        <v xml:space="preserve"> MPDFT0945 </v>
      </c>
      <c r="C179" s="154" t="str">
        <f ca="1">VLOOKUP(A179,'Orçamento Sintético'!$A:$H,3,0)</f>
        <v>Próprio</v>
      </c>
      <c r="D179" s="155" t="str">
        <f ca="1">VLOOKUP(A179,'Orçamento Sintético'!$A:$H,4,0)</f>
        <v>Corte de precisão com disco diamantado em uma faixa de 3 x 3 cm de cada lado do eixo da junta  para criar o detalhe de Lábio Polimérico (corte por m duplo)</v>
      </c>
      <c r="E179" s="154" t="str">
        <f ca="1">VLOOKUP(A179,'Orçamento Sintético'!$A:$H,5,0)</f>
        <v>m</v>
      </c>
      <c r="F179" s="125"/>
      <c r="G179" s="34"/>
      <c r="H179" s="34">
        <f>SUM(H180)</f>
        <v>56.24</v>
      </c>
    </row>
    <row r="180" spans="1:8" ht="23.25" thickBot="1">
      <c r="A180" s="162" t="str">
        <f ca="1">VLOOKUP(B180,'Insumos e Serviços'!$A:$F,3,0)</f>
        <v>Insumo</v>
      </c>
      <c r="B180" s="162" t="s">
        <v>426</v>
      </c>
      <c r="C180" s="10" t="str">
        <f ca="1">VLOOKUP(B180,'Insumos e Serviços'!$A:$F,2,0)</f>
        <v>Próprio</v>
      </c>
      <c r="D180" s="163" t="str">
        <f ca="1">VLOOKUP(B180,'Insumos e Serviços'!$A:$F,4,0)</f>
        <v>Corte de precisão com disco diamantado em uma faixa de 3 x 3 cm de cada lado do eixo da junta para criar o detalhe de Lábio Polimérico (corte por m duplo)</v>
      </c>
      <c r="E180" s="162" t="str">
        <f ca="1">VLOOKUP(B180,'Insumos e Serviços'!$A:$F,5,0)</f>
        <v>m</v>
      </c>
      <c r="F180" s="124">
        <v>1</v>
      </c>
      <c r="G180" s="165">
        <f ca="1">VLOOKUP(B180,'Insumos e Serviços'!$A:$F,6,0)</f>
        <v>56.24</v>
      </c>
      <c r="H180" s="165">
        <f>TRUNC(F180*G180,2)</f>
        <v>56.24</v>
      </c>
    </row>
    <row r="181" spans="1:8" ht="15" thickTop="1">
      <c r="A181" s="176"/>
      <c r="B181" s="176"/>
      <c r="C181" s="176"/>
      <c r="D181" s="176"/>
      <c r="E181" s="176"/>
      <c r="F181" s="177"/>
      <c r="G181" s="177"/>
      <c r="H181" s="177"/>
    </row>
    <row r="182" spans="1:8" ht="33.75">
      <c r="A182" s="31" t="s">
        <v>232</v>
      </c>
      <c r="B182" s="154" t="str">
        <f ca="1">VLOOKUP(A182,'Orçamento Sintético'!$A:$H,2,0)</f>
        <v xml:space="preserve"> MPDFT0947 </v>
      </c>
      <c r="C182" s="154" t="str">
        <f ca="1">VLOOKUP(A182,'Orçamento Sintético'!$A:$H,3,0)</f>
        <v>Próprio</v>
      </c>
      <c r="D182" s="155" t="str">
        <f ca="1">VLOOKUP(A182,'Orçamento Sintético'!$A:$H,4,0)</f>
        <v>Execução dos Lábio Polimérico (3 x 3 cm), incluso limpeza, gabarito, primer adesivo epóxi, lançamento, compactação e nivelamento da argamassa epóxi, executado por empresa especializada</v>
      </c>
      <c r="E182" s="154" t="str">
        <f ca="1">VLOOKUP(A182,'Orçamento Sintético'!$A:$H,5,0)</f>
        <v>m</v>
      </c>
      <c r="F182" s="125"/>
      <c r="G182" s="34"/>
      <c r="H182" s="34">
        <f>SUM(H183)</f>
        <v>194.66</v>
      </c>
    </row>
    <row r="183" spans="1:8" ht="34.5" thickBot="1">
      <c r="A183" s="162" t="str">
        <f ca="1">VLOOKUP(B183,'Insumos e Serviços'!$A:$F,3,0)</f>
        <v>Insumo</v>
      </c>
      <c r="B183" s="162" t="s">
        <v>424</v>
      </c>
      <c r="C183" s="10" t="str">
        <f ca="1">VLOOKUP(B183,'Insumos e Serviços'!$A:$F,2,0)</f>
        <v>Próprio</v>
      </c>
      <c r="D183" s="163" t="str">
        <f ca="1">VLOOKUP(B183,'Insumos e Serviços'!$A:$F,4,0)</f>
        <v>Execução dos Lábio Polimérico (3 x 3 cm), incluso limpeza, gabarito, primer adesivo epóxi, lançamento, compactação e nivelamento da argamassa epóxi, executado por empresa especializada</v>
      </c>
      <c r="E183" s="162" t="str">
        <f ca="1">VLOOKUP(B183,'Insumos e Serviços'!$A:$F,5,0)</f>
        <v>m</v>
      </c>
      <c r="F183" s="124">
        <v>1</v>
      </c>
      <c r="G183" s="165">
        <f ca="1">VLOOKUP(B183,'Insumos e Serviços'!$A:$F,6,0)</f>
        <v>194.66</v>
      </c>
      <c r="H183" s="165">
        <f>TRUNC(F183*G183,2)</f>
        <v>194.66</v>
      </c>
    </row>
    <row r="184" spans="1:8" ht="15" thickTop="1">
      <c r="A184" s="176"/>
      <c r="B184" s="176"/>
      <c r="C184" s="176"/>
      <c r="D184" s="176"/>
      <c r="E184" s="176"/>
      <c r="F184" s="177"/>
      <c r="G184" s="177"/>
      <c r="H184" s="177"/>
    </row>
    <row r="185" spans="1:8" ht="45">
      <c r="A185" s="31" t="s">
        <v>235</v>
      </c>
      <c r="B185" s="154" t="str">
        <f ca="1">VLOOKUP(A185,'Orçamento Sintético'!$A:$H,2,0)</f>
        <v xml:space="preserve"> MPDFT0952 </v>
      </c>
      <c r="C185" s="154" t="str">
        <f ca="1">VLOOKUP(A185,'Orçamento Sintético'!$A:$H,3,0)</f>
        <v>Próprio</v>
      </c>
      <c r="D185" s="155" t="str">
        <f ca="1">VLOOKUP(A185,'Orçamento Sintético'!$A:$H,4,0)</f>
        <v>Cópia da Siurb (050430) - Preenchimento de junta com selante elástico a base de poliuretano, monocomponente, com alta resistência química e mecânica SikaFlex Pró-3 (35x15mm), inclusive delimitador de profundidade</v>
      </c>
      <c r="E185" s="154" t="str">
        <f ca="1">VLOOKUP(A185,'Orçamento Sintético'!$A:$H,5,0)</f>
        <v>m</v>
      </c>
      <c r="F185" s="125"/>
      <c r="G185" s="34"/>
      <c r="H185" s="34">
        <f>SUM(H186:H188)</f>
        <v>60.68</v>
      </c>
    </row>
    <row r="186" spans="1:8">
      <c r="A186" s="162" t="str">
        <f ca="1">VLOOKUP(B186,'Insumos e Serviços'!$A:$F,3,0)</f>
        <v>Composição</v>
      </c>
      <c r="B186" s="162" t="s">
        <v>391</v>
      </c>
      <c r="C186" s="10" t="str">
        <f ca="1">VLOOKUP(B186,'Insumos e Serviços'!$A:$F,2,0)</f>
        <v>SINAPI</v>
      </c>
      <c r="D186" s="163" t="str">
        <f ca="1">VLOOKUP(B186,'Insumos e Serviços'!$A:$F,4,0)</f>
        <v>IMPERMEABILIZADOR COM ENCARGOS COMPLEMENTARES</v>
      </c>
      <c r="E186" s="162" t="str">
        <f ca="1">VLOOKUP(B186,'Insumos e Serviços'!$A:$F,5,0)</f>
        <v>H</v>
      </c>
      <c r="F186" s="124">
        <v>0.2</v>
      </c>
      <c r="G186" s="165">
        <f ca="1">VLOOKUP(B186,'Insumos e Serviços'!$A:$F,6,0)</f>
        <v>23.25</v>
      </c>
      <c r="H186" s="165">
        <f>TRUNC(F186*G186,2)</f>
        <v>4.6500000000000004</v>
      </c>
    </row>
    <row r="187" spans="1:8" ht="22.5">
      <c r="A187" s="162" t="str">
        <f ca="1">VLOOKUP(B187,'Insumos e Serviços'!$A:$F,3,0)</f>
        <v>Insumo</v>
      </c>
      <c r="B187" s="162" t="s">
        <v>423</v>
      </c>
      <c r="C187" s="10" t="str">
        <f ca="1">VLOOKUP(B187,'Insumos e Serviços'!$A:$F,2,0)</f>
        <v>Próprio</v>
      </c>
      <c r="D187" s="163" t="str">
        <f ca="1">VLOOKUP(B187,'Insumos e Serviços'!$A:$F,4,0)</f>
        <v>Selante elástico a base de poliuretano, monocomponente, com alta resistência química e mecânica SikaFlex Pró-3 (sachê 600mL)</v>
      </c>
      <c r="E187" s="162" t="str">
        <f ca="1">VLOOKUP(B187,'Insumos e Serviços'!$A:$F,5,0)</f>
        <v>un</v>
      </c>
      <c r="F187" s="124">
        <v>0.875</v>
      </c>
      <c r="G187" s="165">
        <f ca="1">VLOOKUP(B187,'Insumos e Serviços'!$A:$F,6,0)</f>
        <v>62.5</v>
      </c>
      <c r="H187" s="165">
        <f>TRUNC(F187*G187,2)</f>
        <v>54.68</v>
      </c>
    </row>
    <row r="188" spans="1:8" ht="15" thickBot="1">
      <c r="A188" s="162" t="str">
        <f ca="1">VLOOKUP(B188,'Insumos e Serviços'!$A:$F,3,0)</f>
        <v>Insumo</v>
      </c>
      <c r="B188" s="162" t="s">
        <v>421</v>
      </c>
      <c r="C188" s="10" t="str">
        <f ca="1">VLOOKUP(B188,'Insumos e Serviços'!$A:$F,2,0)</f>
        <v>Próprio</v>
      </c>
      <c r="D188" s="163" t="str">
        <f ca="1">VLOOKUP(B188,'Insumos e Serviços'!$A:$F,4,0)</f>
        <v>Delimitador de profundidade (Tarucel) Ø 15mm</v>
      </c>
      <c r="E188" s="162" t="str">
        <f ca="1">VLOOKUP(B188,'Insumos e Serviços'!$A:$F,5,0)</f>
        <v>m</v>
      </c>
      <c r="F188" s="124">
        <v>3</v>
      </c>
      <c r="G188" s="165">
        <f ca="1">VLOOKUP(B188,'Insumos e Serviços'!$A:$F,6,0)</f>
        <v>0.45</v>
      </c>
      <c r="H188" s="165">
        <f>TRUNC(F188*G188,2)</f>
        <v>1.35</v>
      </c>
    </row>
    <row r="189" spans="1:8" ht="15" thickTop="1">
      <c r="A189" s="176"/>
      <c r="B189" s="176"/>
      <c r="C189" s="176"/>
      <c r="D189" s="176"/>
      <c r="E189" s="176"/>
      <c r="F189" s="177"/>
      <c r="G189" s="177"/>
      <c r="H189" s="177"/>
    </row>
    <row r="190" spans="1:8" ht="33.75">
      <c r="A190" s="31" t="s">
        <v>238</v>
      </c>
      <c r="B190" s="154" t="str">
        <f ca="1">VLOOKUP(A190,'Orçamento Sintético'!$A:$H,2,0)</f>
        <v xml:space="preserve"> MPDFT0547 </v>
      </c>
      <c r="C190" s="154" t="str">
        <f ca="1">VLOOKUP(A190,'Orçamento Sintético'!$A:$H,3,0)</f>
        <v>Próprio</v>
      </c>
      <c r="D190" s="155" t="str">
        <f ca="1">VLOOKUP(A190,'Orçamento Sintético'!$A:$H,4,0)</f>
        <v>Copia da SINAPI (98546) - Impermeabilização de ralos ou ponto emergente com manta asfáltica (com polímeros elastoméricos), e=4mm, ref. Torodin Extra, colada com asfalto derretido</v>
      </c>
      <c r="E190" s="154" t="str">
        <f ca="1">VLOOKUP(A190,'Orçamento Sintético'!$A:$H,5,0)</f>
        <v>un</v>
      </c>
      <c r="F190" s="125"/>
      <c r="G190" s="34"/>
      <c r="H190" s="34">
        <f>SUM(H191:H195)</f>
        <v>33.04</v>
      </c>
    </row>
    <row r="191" spans="1:8">
      <c r="A191" s="162" t="str">
        <f ca="1">VLOOKUP(B191,'Insumos e Serviços'!$A:$F,3,0)</f>
        <v>Composição</v>
      </c>
      <c r="B191" s="162" t="s">
        <v>409</v>
      </c>
      <c r="C191" s="10" t="str">
        <f ca="1">VLOOKUP(B191,'Insumos e Serviços'!$A:$F,2,0)</f>
        <v>SINAPI</v>
      </c>
      <c r="D191" s="163" t="str">
        <f ca="1">VLOOKUP(B191,'Insumos e Serviços'!$A:$F,4,0)</f>
        <v>AJUDANTE ESPECIALIZADO COM ENCARGOS COMPLEMENTARES</v>
      </c>
      <c r="E191" s="162" t="str">
        <f ca="1">VLOOKUP(B191,'Insumos e Serviços'!$A:$F,5,0)</f>
        <v>H</v>
      </c>
      <c r="F191" s="124">
        <v>8.5000000000000006E-2</v>
      </c>
      <c r="G191" s="165">
        <f ca="1">VLOOKUP(B191,'Insumos e Serviços'!$A:$F,6,0)</f>
        <v>20.39</v>
      </c>
      <c r="H191" s="165">
        <f>TRUNC(F191*G191,2)</f>
        <v>1.73</v>
      </c>
    </row>
    <row r="192" spans="1:8">
      <c r="A192" s="162" t="str">
        <f ca="1">VLOOKUP(B192,'Insumos e Serviços'!$A:$F,3,0)</f>
        <v>Composição</v>
      </c>
      <c r="B192" s="162" t="s">
        <v>391</v>
      </c>
      <c r="C192" s="10" t="str">
        <f ca="1">VLOOKUP(B192,'Insumos e Serviços'!$A:$F,2,0)</f>
        <v>SINAPI</v>
      </c>
      <c r="D192" s="163" t="str">
        <f ca="1">VLOOKUP(B192,'Insumos e Serviços'!$A:$F,4,0)</f>
        <v>IMPERMEABILIZADOR COM ENCARGOS COMPLEMENTARES</v>
      </c>
      <c r="E192" s="162" t="str">
        <f ca="1">VLOOKUP(B192,'Insumos e Serviços'!$A:$F,5,0)</f>
        <v>H</v>
      </c>
      <c r="F192" s="124">
        <v>0.41799999999999998</v>
      </c>
      <c r="G192" s="165">
        <f ca="1">VLOOKUP(B192,'Insumos e Serviços'!$A:$F,6,0)</f>
        <v>23.25</v>
      </c>
      <c r="H192" s="165">
        <f>TRUNC(F192*G192,2)</f>
        <v>9.7100000000000009</v>
      </c>
    </row>
    <row r="193" spans="1:8" ht="22.5">
      <c r="A193" s="162" t="str">
        <f ca="1">VLOOKUP(B193,'Insumos e Serviços'!$A:$F,3,0)</f>
        <v>Insumo</v>
      </c>
      <c r="B193" s="162" t="s">
        <v>407</v>
      </c>
      <c r="C193" s="10" t="str">
        <f ca="1">VLOOKUP(B193,'Insumos e Serviços'!$A:$F,2,0)</f>
        <v>SINAPI</v>
      </c>
      <c r="D193" s="163" t="str">
        <f ca="1">VLOOKUP(B193,'Insumos e Serviços'!$A:$F,4,0)</f>
        <v>MANTA ASFALTICA ELASTOMERICA EM POLIESTER 4 MM, TIPO III, CLASSE B, ACABAMENTO PP (NBR 9952)</v>
      </c>
      <c r="E193" s="162" t="str">
        <f ca="1">VLOOKUP(B193,'Insumos e Serviços'!$A:$F,5,0)</f>
        <v>m²</v>
      </c>
      <c r="F193" s="124">
        <v>0.29699999999999999</v>
      </c>
      <c r="G193" s="165">
        <f ca="1">VLOOKUP(B193,'Insumos e Serviços'!$A:$F,6,0)</f>
        <v>42.71</v>
      </c>
      <c r="H193" s="165">
        <f>TRUNC(F193*G193,2)</f>
        <v>12.68</v>
      </c>
    </row>
    <row r="194" spans="1:8">
      <c r="A194" s="162" t="str">
        <f ca="1">VLOOKUP(B194,'Insumos e Serviços'!$A:$F,3,0)</f>
        <v>Insumo</v>
      </c>
      <c r="B194" s="162" t="s">
        <v>405</v>
      </c>
      <c r="C194" s="10" t="str">
        <f ca="1">VLOOKUP(B194,'Insumos e Serviços'!$A:$F,2,0)</f>
        <v>SINAPI</v>
      </c>
      <c r="D194" s="163" t="str">
        <f ca="1">VLOOKUP(B194,'Insumos e Serviços'!$A:$F,4,0)</f>
        <v>GAS DE COZINHA - GLP</v>
      </c>
      <c r="E194" s="162" t="str">
        <f ca="1">VLOOKUP(B194,'Insumos e Serviços'!$A:$F,5,0)</f>
        <v>KG</v>
      </c>
      <c r="F194" s="124">
        <v>0.55500000000000005</v>
      </c>
      <c r="G194" s="165">
        <f ca="1">VLOOKUP(B194,'Insumos e Serviços'!$A:$F,6,0)</f>
        <v>5.93</v>
      </c>
      <c r="H194" s="165">
        <f>TRUNC(F194*G194,2)</f>
        <v>3.29</v>
      </c>
    </row>
    <row r="195" spans="1:8" ht="23.25" thickBot="1">
      <c r="A195" s="162" t="str">
        <f ca="1">VLOOKUP(B195,'Insumos e Serviços'!$A:$F,3,0)</f>
        <v>Insumo</v>
      </c>
      <c r="B195" s="162" t="s">
        <v>401</v>
      </c>
      <c r="C195" s="10" t="str">
        <f ca="1">VLOOKUP(B195,'Insumos e Serviços'!$A:$F,2,0)</f>
        <v>SINAPI</v>
      </c>
      <c r="D195" s="163" t="str">
        <f ca="1">VLOOKUP(B195,'Insumos e Serviços'!$A:$F,4,0)</f>
        <v>ASFALTO MODIFICADO TIPO II - NBR 9910 (ASFALTO OXIDADO PARA IMPERMEABILIZACAO, COEFICIENTE DE PENETRACAO 20-35)</v>
      </c>
      <c r="E195" s="162" t="str">
        <f ca="1">VLOOKUP(B195,'Insumos e Serviços'!$A:$F,5,0)</f>
        <v>KG</v>
      </c>
      <c r="F195" s="124">
        <v>0.48</v>
      </c>
      <c r="G195" s="165">
        <f ca="1">VLOOKUP(B195,'Insumos e Serviços'!$A:$F,6,0)</f>
        <v>11.73</v>
      </c>
      <c r="H195" s="165">
        <f>TRUNC(F195*G195,2)</f>
        <v>5.63</v>
      </c>
    </row>
    <row r="196" spans="1:8" ht="15" thickTop="1">
      <c r="A196" s="176"/>
      <c r="B196" s="176"/>
      <c r="C196" s="176"/>
      <c r="D196" s="176"/>
      <c r="E196" s="176"/>
      <c r="F196" s="177"/>
      <c r="G196" s="177"/>
      <c r="H196" s="177"/>
    </row>
    <row r="197" spans="1:8" ht="33.75">
      <c r="A197" s="31" t="s">
        <v>241</v>
      </c>
      <c r="B197" s="154" t="str">
        <f ca="1">VLOOKUP(A197,'Orçamento Sintético'!$A:$H,2,0)</f>
        <v xml:space="preserve"> MPDFT0499 </v>
      </c>
      <c r="C197" s="154" t="str">
        <f ca="1">VLOOKUP(A197,'Orçamento Sintético'!$A:$H,3,0)</f>
        <v>Próprio</v>
      </c>
      <c r="D197" s="155" t="str">
        <f ca="1">VLOOKUP(A197,'Orçamento Sintético'!$A:$H,4,0)</f>
        <v>Proteção mecânica para áreas verticais com chapisco traço 1:3 e emboço traço 1:4 espessura de 25 mm, Preparados em betoneira de 400 l</v>
      </c>
      <c r="E197" s="154" t="str">
        <f ca="1">VLOOKUP(A197,'Orçamento Sintético'!$A:$H,5,0)</f>
        <v>m²</v>
      </c>
      <c r="F197" s="125"/>
      <c r="G197" s="34"/>
      <c r="H197" s="34">
        <f>SUM(H198:H199)</f>
        <v>53.47</v>
      </c>
    </row>
    <row r="198" spans="1:8" ht="33.75">
      <c r="A198" s="162" t="str">
        <f ca="1">VLOOKUP(B198,'Insumos e Serviços'!$A:$F,3,0)</f>
        <v>Composição</v>
      </c>
      <c r="B198" s="162" t="s">
        <v>419</v>
      </c>
      <c r="C198" s="10" t="str">
        <f ca="1">VLOOKUP(B198,'Insumos e Serviços'!$A:$F,2,0)</f>
        <v>SINAPI</v>
      </c>
      <c r="D198" s="163" t="str">
        <f ca="1">VLOOKUP(B198,'Insumos e Serviços'!$A:$F,4,0)</f>
        <v>CHAPISCO APLICADO EM ALVENARIA (COM PRESENÇA DE VÃOS) E ESTRUTURAS DE CONCRETO DE FACHADA, COM COLHER DE PEDREIRO.  ARGAMASSA TRAÇO 1:3 COM PREPARO EM BETONEIRA 400L. AF_06/2014</v>
      </c>
      <c r="E198" s="162" t="str">
        <f ca="1">VLOOKUP(B198,'Insumos e Serviços'!$A:$F,5,0)</f>
        <v>m²</v>
      </c>
      <c r="F198" s="124">
        <v>1</v>
      </c>
      <c r="G198" s="165">
        <f ca="1">VLOOKUP(B198,'Insumos e Serviços'!$A:$F,6,0)</f>
        <v>7.48</v>
      </c>
      <c r="H198" s="165">
        <f>TRUNC(F198*G198,2)</f>
        <v>7.48</v>
      </c>
    </row>
    <row r="199" spans="1:8" ht="45.75" thickBot="1">
      <c r="A199" s="162" t="str">
        <f ca="1">VLOOKUP(B199,'Insumos e Serviços'!$A:$F,3,0)</f>
        <v>Composição</v>
      </c>
      <c r="B199" s="162" t="s">
        <v>417</v>
      </c>
      <c r="C199" s="10" t="str">
        <f ca="1">VLOOKUP(B199,'Insumos e Serviços'!$A:$F,2,0)</f>
        <v>Próprio</v>
      </c>
      <c r="D199" s="163" t="str">
        <f ca="1">VLOOKUP(B199,'Insumos e Serviços'!$A:$F,4,0)</f>
        <v>Copia da SINAPI (87775) - EMBOÇO OU MASSA ÚNICA EM ARGAMASSA TRAÇO 1:4, PREPARO MECÂNICO COM BETONEIRA 400 L, APLICADA MANUALMENTE EM PANOS DE FACHADA COM PRESENÇA DE VÃOS, ESPESSURA DE 25 MM.</v>
      </c>
      <c r="E199" s="162" t="str">
        <f ca="1">VLOOKUP(B199,'Insumos e Serviços'!$A:$F,5,0)</f>
        <v>m²</v>
      </c>
      <c r="F199" s="124">
        <v>1</v>
      </c>
      <c r="G199" s="165">
        <f ca="1">VLOOKUP(B199,'Insumos e Serviços'!$A:$F,6,0)</f>
        <v>45.99</v>
      </c>
      <c r="H199" s="165">
        <f>TRUNC(F199*G199,2)</f>
        <v>45.99</v>
      </c>
    </row>
    <row r="200" spans="1:8" ht="15" thickTop="1">
      <c r="A200" s="176"/>
      <c r="B200" s="176"/>
      <c r="C200" s="176"/>
      <c r="D200" s="176"/>
      <c r="E200" s="176"/>
      <c r="F200" s="177"/>
      <c r="G200" s="177"/>
      <c r="H200" s="177"/>
    </row>
    <row r="201" spans="1:8" ht="45">
      <c r="A201" s="31" t="s">
        <v>244</v>
      </c>
      <c r="B201" s="154" t="str">
        <f ca="1">VLOOKUP(A201,'Orçamento Sintético'!$A:$H,2,0)</f>
        <v xml:space="preserve"> MPDFT0706 </v>
      </c>
      <c r="C201" s="154" t="str">
        <f ca="1">VLOOKUP(A201,'Orçamento Sintético'!$A:$H,3,0)</f>
        <v>Próprio</v>
      </c>
      <c r="D201" s="155" t="str">
        <f ca="1">VLOOKUP(A201,'Orçamento Sintético'!$A:$H,4,0)</f>
        <v>Cópia da Sinapi (87747+87779) - Regularização / preparação de superfície vertical com argamassa, e = 3cm, traço 1:4 (cimento e areia), com adição de de emulsão adesiva a base de resinas especiais de alto desempenho</v>
      </c>
      <c r="E201" s="154" t="str">
        <f ca="1">VLOOKUP(A201,'Orçamento Sintético'!$A:$H,5,0)</f>
        <v>m²</v>
      </c>
      <c r="F201" s="125"/>
      <c r="G201" s="34"/>
      <c r="H201" s="34">
        <f>SUM(H202:H205)</f>
        <v>54.17</v>
      </c>
    </row>
    <row r="202" spans="1:8" ht="22.5">
      <c r="A202" s="162" t="str">
        <f ca="1">VLOOKUP(B202,'Insumos e Serviços'!$A:$F,3,0)</f>
        <v>Composição</v>
      </c>
      <c r="B202" s="162" t="s">
        <v>415</v>
      </c>
      <c r="C202" s="10" t="str">
        <f ca="1">VLOOKUP(B202,'Insumos e Serviços'!$A:$F,2,0)</f>
        <v>SINAPI</v>
      </c>
      <c r="D202" s="163" t="str">
        <f ca="1">VLOOKUP(B202,'Insumos e Serviços'!$A:$F,4,0)</f>
        <v>ARGAMASSA TRAÇO 1:4 (CIMENTO E AREIA MÉDIA), PREPARO MECÂNICO COM BETONEIRA 400 L. AF_08/2014</v>
      </c>
      <c r="E202" s="162" t="str">
        <f ca="1">VLOOKUP(B202,'Insumos e Serviços'!$A:$F,5,0)</f>
        <v>m³</v>
      </c>
      <c r="F202" s="124">
        <v>4.2099999999999999E-2</v>
      </c>
      <c r="G202" s="165">
        <f ca="1">VLOOKUP(B202,'Insumos e Serviços'!$A:$F,6,0)</f>
        <v>343.82</v>
      </c>
      <c r="H202" s="165">
        <f>TRUNC(F202*G202,2)</f>
        <v>14.47</v>
      </c>
    </row>
    <row r="203" spans="1:8">
      <c r="A203" s="162" t="str">
        <f ca="1">VLOOKUP(B203,'Insumos e Serviços'!$A:$F,3,0)</f>
        <v>Composição</v>
      </c>
      <c r="B203" s="162" t="s">
        <v>413</v>
      </c>
      <c r="C203" s="10" t="str">
        <f ca="1">VLOOKUP(B203,'Insumos e Serviços'!$A:$F,2,0)</f>
        <v>SINAPI</v>
      </c>
      <c r="D203" s="163" t="str">
        <f ca="1">VLOOKUP(B203,'Insumos e Serviços'!$A:$F,4,0)</f>
        <v>PEDREIRO COM ENCARGOS COMPLEMENTARES</v>
      </c>
      <c r="E203" s="162" t="str">
        <f ca="1">VLOOKUP(B203,'Insumos e Serviços'!$A:$F,5,0)</f>
        <v>H</v>
      </c>
      <c r="F203" s="124">
        <v>0.86</v>
      </c>
      <c r="G203" s="165">
        <f ca="1">VLOOKUP(B203,'Insumos e Serviços'!$A:$F,6,0)</f>
        <v>23.25</v>
      </c>
      <c r="H203" s="165">
        <f>TRUNC(F203*G203,2)</f>
        <v>19.989999999999998</v>
      </c>
    </row>
    <row r="204" spans="1:8">
      <c r="A204" s="162" t="str">
        <f ca="1">VLOOKUP(B204,'Insumos e Serviços'!$A:$F,3,0)</f>
        <v>Composição</v>
      </c>
      <c r="B204" s="162" t="s">
        <v>335</v>
      </c>
      <c r="C204" s="10" t="str">
        <f ca="1">VLOOKUP(B204,'Insumos e Serviços'!$A:$F,2,0)</f>
        <v>SINAPI</v>
      </c>
      <c r="D204" s="163" t="str">
        <f ca="1">VLOOKUP(B204,'Insumos e Serviços'!$A:$F,4,0)</f>
        <v>SERVENTE COM ENCARGOS COMPLEMENTARES</v>
      </c>
      <c r="E204" s="162" t="str">
        <f ca="1">VLOOKUP(B204,'Insumos e Serviços'!$A:$F,5,0)</f>
        <v>H</v>
      </c>
      <c r="F204" s="124">
        <v>0.86</v>
      </c>
      <c r="G204" s="165">
        <f ca="1">VLOOKUP(B204,'Insumos e Serviços'!$A:$F,6,0)</f>
        <v>17.170000000000002</v>
      </c>
      <c r="H204" s="165">
        <f>TRUNC(F204*G204,2)</f>
        <v>14.76</v>
      </c>
    </row>
    <row r="205" spans="1:8" ht="23.25" thickBot="1">
      <c r="A205" s="162" t="str">
        <f ca="1">VLOOKUP(B205,'Insumos e Serviços'!$A:$F,3,0)</f>
        <v>Insumo</v>
      </c>
      <c r="B205" s="162" t="s">
        <v>411</v>
      </c>
      <c r="C205" s="10" t="str">
        <f ca="1">VLOOKUP(B205,'Insumos e Serviços'!$A:$F,2,0)</f>
        <v>SINAPI</v>
      </c>
      <c r="D205" s="163" t="str">
        <f ca="1">VLOOKUP(B205,'Insumos e Serviços'!$A:$F,4,0)</f>
        <v>ADITIVO ADESIVO LIQUIDO PARA ARGAMASSAS DE REVESTIMENTOS CIMENTICIOS</v>
      </c>
      <c r="E205" s="162" t="str">
        <f ca="1">VLOOKUP(B205,'Insumos e Serviços'!$A:$F,5,0)</f>
        <v>L</v>
      </c>
      <c r="F205" s="124">
        <v>0.435</v>
      </c>
      <c r="G205" s="165">
        <f ca="1">VLOOKUP(B205,'Insumos e Serviços'!$A:$F,6,0)</f>
        <v>11.39</v>
      </c>
      <c r="H205" s="165">
        <f>TRUNC(F205*G205,2)</f>
        <v>4.95</v>
      </c>
    </row>
    <row r="206" spans="1:8" ht="15" thickTop="1">
      <c r="A206" s="176"/>
      <c r="B206" s="176"/>
      <c r="C206" s="176"/>
      <c r="D206" s="176"/>
      <c r="E206" s="176"/>
      <c r="F206" s="177"/>
      <c r="G206" s="177"/>
      <c r="H206" s="177"/>
    </row>
    <row r="207" spans="1:8" ht="33.75">
      <c r="A207" s="31" t="s">
        <v>247</v>
      </c>
      <c r="B207" s="154" t="str">
        <f ca="1">VLOOKUP(A207,'Orçamento Sintético'!$A:$H,2,0)</f>
        <v xml:space="preserve"> MPDFT0480 </v>
      </c>
      <c r="C207" s="154" t="str">
        <f ca="1">VLOOKUP(A207,'Orçamento Sintético'!$A:$H,3,0)</f>
        <v>Próprio</v>
      </c>
      <c r="D207" s="155" t="str">
        <f ca="1">VLOOKUP(A207,'Orçamento Sintético'!$A:$H,4,0)</f>
        <v>Copia da SINAPI (98546) - Impermeabilização de superfície com manta asfáltica (com polímeros elastoméricos), e=4mm, ref. Torodin Extra, colada com asfalto derretido</v>
      </c>
      <c r="E207" s="154" t="str">
        <f ca="1">VLOOKUP(A207,'Orçamento Sintético'!$A:$H,5,0)</f>
        <v>m²</v>
      </c>
      <c r="F207" s="125"/>
      <c r="G207" s="34"/>
      <c r="H207" s="34">
        <f>SUM(H208:H213)</f>
        <v>95.95</v>
      </c>
    </row>
    <row r="208" spans="1:8">
      <c r="A208" s="162" t="str">
        <f ca="1">VLOOKUP(B208,'Insumos e Serviços'!$A:$F,3,0)</f>
        <v>Composição</v>
      </c>
      <c r="B208" s="162" t="s">
        <v>409</v>
      </c>
      <c r="C208" s="10" t="str">
        <f ca="1">VLOOKUP(B208,'Insumos e Serviços'!$A:$F,2,0)</f>
        <v>SINAPI</v>
      </c>
      <c r="D208" s="163" t="str">
        <f ca="1">VLOOKUP(B208,'Insumos e Serviços'!$A:$F,4,0)</f>
        <v>AJUDANTE ESPECIALIZADO COM ENCARGOS COMPLEMENTARES</v>
      </c>
      <c r="E208" s="162" t="str">
        <f ca="1">VLOOKUP(B208,'Insumos e Serviços'!$A:$F,5,0)</f>
        <v>H</v>
      </c>
      <c r="F208" s="124">
        <v>2.4E-2</v>
      </c>
      <c r="G208" s="165">
        <f ca="1">VLOOKUP(B208,'Insumos e Serviços'!$A:$F,6,0)</f>
        <v>20.39</v>
      </c>
      <c r="H208" s="165">
        <f t="shared" ref="H208:H213" si="3">TRUNC(F208*G208,2)</f>
        <v>0.48</v>
      </c>
    </row>
    <row r="209" spans="1:8">
      <c r="A209" s="162" t="str">
        <f ca="1">VLOOKUP(B209,'Insumos e Serviços'!$A:$F,3,0)</f>
        <v>Composição</v>
      </c>
      <c r="B209" s="162" t="s">
        <v>391</v>
      </c>
      <c r="C209" s="10" t="str">
        <f ca="1">VLOOKUP(B209,'Insumos e Serviços'!$A:$F,2,0)</f>
        <v>SINAPI</v>
      </c>
      <c r="D209" s="163" t="str">
        <f ca="1">VLOOKUP(B209,'Insumos e Serviços'!$A:$F,4,0)</f>
        <v>IMPERMEABILIZADOR COM ENCARGOS COMPLEMENTARES</v>
      </c>
      <c r="E209" s="162" t="str">
        <f ca="1">VLOOKUP(B209,'Insumos e Serviços'!$A:$F,5,0)</f>
        <v>H</v>
      </c>
      <c r="F209" s="124">
        <v>0.11799999999999999</v>
      </c>
      <c r="G209" s="165">
        <f ca="1">VLOOKUP(B209,'Insumos e Serviços'!$A:$F,6,0)</f>
        <v>23.25</v>
      </c>
      <c r="H209" s="165">
        <f t="shared" si="3"/>
        <v>2.74</v>
      </c>
    </row>
    <row r="210" spans="1:8" ht="22.5">
      <c r="A210" s="162" t="str">
        <f ca="1">VLOOKUP(B210,'Insumos e Serviços'!$A:$F,3,0)</f>
        <v>Insumo</v>
      </c>
      <c r="B210" s="162" t="s">
        <v>407</v>
      </c>
      <c r="C210" s="10" t="str">
        <f ca="1">VLOOKUP(B210,'Insumos e Serviços'!$A:$F,2,0)</f>
        <v>SINAPI</v>
      </c>
      <c r="D210" s="163" t="str">
        <f ca="1">VLOOKUP(B210,'Insumos e Serviços'!$A:$F,4,0)</f>
        <v>MANTA ASFALTICA ELASTOMERICA EM POLIESTER 4 MM, TIPO III, CLASSE B, ACABAMENTO PP (NBR 9952)</v>
      </c>
      <c r="E210" s="162" t="str">
        <f ca="1">VLOOKUP(B210,'Insumos e Serviços'!$A:$F,5,0)</f>
        <v>m²</v>
      </c>
      <c r="F210" s="124">
        <v>1.125</v>
      </c>
      <c r="G210" s="165">
        <f ca="1">VLOOKUP(B210,'Insumos e Serviços'!$A:$F,6,0)</f>
        <v>42.71</v>
      </c>
      <c r="H210" s="165">
        <f t="shared" si="3"/>
        <v>48.04</v>
      </c>
    </row>
    <row r="211" spans="1:8">
      <c r="A211" s="162" t="str">
        <f ca="1">VLOOKUP(B211,'Insumos e Serviços'!$A:$F,3,0)</f>
        <v>Insumo</v>
      </c>
      <c r="B211" s="162" t="s">
        <v>405</v>
      </c>
      <c r="C211" s="10" t="str">
        <f ca="1">VLOOKUP(B211,'Insumos e Serviços'!$A:$F,2,0)</f>
        <v>SINAPI</v>
      </c>
      <c r="D211" s="163" t="str">
        <f ca="1">VLOOKUP(B211,'Insumos e Serviços'!$A:$F,4,0)</f>
        <v>GAS DE COZINHA - GLP</v>
      </c>
      <c r="E211" s="162" t="str">
        <f ca="1">VLOOKUP(B211,'Insumos e Serviços'!$A:$F,5,0)</f>
        <v>KG</v>
      </c>
      <c r="F211" s="124">
        <v>0.10100000000000001</v>
      </c>
      <c r="G211" s="165">
        <f ca="1">VLOOKUP(B211,'Insumos e Serviços'!$A:$F,6,0)</f>
        <v>5.93</v>
      </c>
      <c r="H211" s="165">
        <f t="shared" si="3"/>
        <v>0.59</v>
      </c>
    </row>
    <row r="212" spans="1:8" ht="22.5">
      <c r="A212" s="162" t="str">
        <f ca="1">VLOOKUP(B212,'Insumos e Serviços'!$A:$F,3,0)</f>
        <v>Insumo</v>
      </c>
      <c r="B212" s="162" t="s">
        <v>403</v>
      </c>
      <c r="C212" s="10" t="str">
        <f ca="1">VLOOKUP(B212,'Insumos e Serviços'!$A:$F,2,0)</f>
        <v>SINAPI</v>
      </c>
      <c r="D212" s="163" t="str">
        <f ca="1">VLOOKUP(B212,'Insumos e Serviços'!$A:$F,4,0)</f>
        <v>PRIMER PARA MANTA ASFALTICA A BASE DE ASFALTO MODIFICADO DILUIDO EM SOLVENTE, APLICACAO A FRIO</v>
      </c>
      <c r="E212" s="162" t="str">
        <f ca="1">VLOOKUP(B212,'Insumos e Serviços'!$A:$F,5,0)</f>
        <v>L</v>
      </c>
      <c r="F212" s="124">
        <v>0.61499999999999999</v>
      </c>
      <c r="G212" s="165">
        <f ca="1">VLOOKUP(B212,'Insumos e Serviços'!$A:$F,6,0)</f>
        <v>14.5</v>
      </c>
      <c r="H212" s="165">
        <f t="shared" si="3"/>
        <v>8.91</v>
      </c>
    </row>
    <row r="213" spans="1:8" ht="23.25" thickBot="1">
      <c r="A213" s="162" t="str">
        <f ca="1">VLOOKUP(B213,'Insumos e Serviços'!$A:$F,3,0)</f>
        <v>Insumo</v>
      </c>
      <c r="B213" s="162" t="s">
        <v>401</v>
      </c>
      <c r="C213" s="10" t="str">
        <f ca="1">VLOOKUP(B213,'Insumos e Serviços'!$A:$F,2,0)</f>
        <v>SINAPI</v>
      </c>
      <c r="D213" s="163" t="str">
        <f ca="1">VLOOKUP(B213,'Insumos e Serviços'!$A:$F,4,0)</f>
        <v>ASFALTO MODIFICADO TIPO II - NBR 9910 (ASFALTO OXIDADO PARA IMPERMEABILIZACAO, COEFICIENTE DE PENETRACAO 20-35)</v>
      </c>
      <c r="E213" s="162" t="str">
        <f ca="1">VLOOKUP(B213,'Insumos e Serviços'!$A:$F,5,0)</f>
        <v>KG</v>
      </c>
      <c r="F213" s="124">
        <v>3</v>
      </c>
      <c r="G213" s="165">
        <f ca="1">VLOOKUP(B213,'Insumos e Serviços'!$A:$F,6,0)</f>
        <v>11.73</v>
      </c>
      <c r="H213" s="165">
        <f t="shared" si="3"/>
        <v>35.19</v>
      </c>
    </row>
    <row r="214" spans="1:8" ht="15" thickTop="1">
      <c r="A214" s="176"/>
      <c r="B214" s="176"/>
      <c r="C214" s="176"/>
      <c r="D214" s="176"/>
      <c r="E214" s="176"/>
      <c r="F214" s="177"/>
      <c r="G214" s="177"/>
      <c r="H214" s="177"/>
    </row>
    <row r="215" spans="1:8">
      <c r="A215" s="29" t="s">
        <v>250</v>
      </c>
      <c r="B215" s="159"/>
      <c r="C215" s="159"/>
      <c r="D215" s="159" t="str">
        <f ca="1">VLOOKUP(A215,'Orçamento Sintético'!$A:$H,4,0)</f>
        <v>Acabamentos e arremates</v>
      </c>
      <c r="E215" s="159"/>
      <c r="F215" s="173"/>
      <c r="G215" s="174"/>
      <c r="H215" s="175"/>
    </row>
    <row r="216" spans="1:8" ht="22.5">
      <c r="A216" s="31" t="s">
        <v>252</v>
      </c>
      <c r="B216" s="154" t="str">
        <f ca="1">VLOOKUP(A216,'Orçamento Sintético'!$A:$H,2,0)</f>
        <v xml:space="preserve"> MPDFT0930 </v>
      </c>
      <c r="C216" s="154" t="str">
        <f ca="1">VLOOKUP(A216,'Orçamento Sintético'!$A:$H,3,0)</f>
        <v>Próprio</v>
      </c>
      <c r="D216" s="155" t="str">
        <f ca="1">VLOOKUP(A216,'Orçamento Sintético'!$A:$H,4,0)</f>
        <v>Baseado em SINAPI (98685) - Rodapé em granito levigado, Vermelho Brasília, altura 10cm, e = 2cm</v>
      </c>
      <c r="E216" s="154" t="str">
        <f ca="1">VLOOKUP(A216,'Orçamento Sintético'!$A:$H,5,0)</f>
        <v>M</v>
      </c>
      <c r="F216" s="125"/>
      <c r="G216" s="34"/>
      <c r="H216" s="34">
        <f>SUM(H217:H224)</f>
        <v>50.46</v>
      </c>
    </row>
    <row r="217" spans="1:8">
      <c r="A217" s="162" t="str">
        <f ca="1">VLOOKUP(B217,'Insumos e Serviços'!$A:$F,3,0)</f>
        <v>Composição</v>
      </c>
      <c r="B217" s="162" t="s">
        <v>393</v>
      </c>
      <c r="C217" s="10" t="str">
        <f ca="1">VLOOKUP(B217,'Insumos e Serviços'!$A:$F,2,0)</f>
        <v>SINAPI</v>
      </c>
      <c r="D217" s="163" t="str">
        <f ca="1">VLOOKUP(B217,'Insumos e Serviços'!$A:$F,4,0)</f>
        <v>MARMORISTA/GRANITEIRO COM ENCARGOS COMPLEMENTARES</v>
      </c>
      <c r="E217" s="162" t="str">
        <f ca="1">VLOOKUP(B217,'Insumos e Serviços'!$A:$F,5,0)</f>
        <v>H</v>
      </c>
      <c r="F217" s="124">
        <v>0.29899999999999999</v>
      </c>
      <c r="G217" s="165">
        <f ca="1">VLOOKUP(B217,'Insumos e Serviços'!$A:$F,6,0)</f>
        <v>19.39</v>
      </c>
      <c r="H217" s="165">
        <f t="shared" ref="H217:H224" si="4">TRUNC(F217*G217,2)</f>
        <v>5.79</v>
      </c>
    </row>
    <row r="218" spans="1:8">
      <c r="A218" s="162" t="str">
        <f ca="1">VLOOKUP(B218,'Insumos e Serviços'!$A:$F,3,0)</f>
        <v>Composição</v>
      </c>
      <c r="B218" s="162" t="s">
        <v>335</v>
      </c>
      <c r="C218" s="10" t="str">
        <f ca="1">VLOOKUP(B218,'Insumos e Serviços'!$A:$F,2,0)</f>
        <v>SINAPI</v>
      </c>
      <c r="D218" s="163" t="str">
        <f ca="1">VLOOKUP(B218,'Insumos e Serviços'!$A:$F,4,0)</f>
        <v>SERVENTE COM ENCARGOS COMPLEMENTARES</v>
      </c>
      <c r="E218" s="162" t="str">
        <f ca="1">VLOOKUP(B218,'Insumos e Serviços'!$A:$F,5,0)</f>
        <v>H</v>
      </c>
      <c r="F218" s="124">
        <v>0.15</v>
      </c>
      <c r="G218" s="165">
        <f ca="1">VLOOKUP(B218,'Insumos e Serviços'!$A:$F,6,0)</f>
        <v>17.170000000000002</v>
      </c>
      <c r="H218" s="165">
        <f t="shared" si="4"/>
        <v>2.57</v>
      </c>
    </row>
    <row r="219" spans="1:8">
      <c r="A219" s="162" t="str">
        <f ca="1">VLOOKUP(B219,'Insumos e Serviços'!$A:$F,3,0)</f>
        <v>Composição</v>
      </c>
      <c r="B219" s="162" t="s">
        <v>391</v>
      </c>
      <c r="C219" s="10" t="str">
        <f ca="1">VLOOKUP(B219,'Insumos e Serviços'!$A:$F,2,0)</f>
        <v>SINAPI</v>
      </c>
      <c r="D219" s="163" t="str">
        <f ca="1">VLOOKUP(B219,'Insumos e Serviços'!$A:$F,4,0)</f>
        <v>IMPERMEABILIZADOR COM ENCARGOS COMPLEMENTARES</v>
      </c>
      <c r="E219" s="162" t="str">
        <f ca="1">VLOOKUP(B219,'Insumos e Serviços'!$A:$F,5,0)</f>
        <v>H</v>
      </c>
      <c r="F219" s="124">
        <v>0.03</v>
      </c>
      <c r="G219" s="165">
        <f ca="1">VLOOKUP(B219,'Insumos e Serviços'!$A:$F,6,0)</f>
        <v>23.25</v>
      </c>
      <c r="H219" s="165">
        <f t="shared" si="4"/>
        <v>0.69</v>
      </c>
    </row>
    <row r="220" spans="1:8">
      <c r="A220" s="162" t="str">
        <f ca="1">VLOOKUP(B220,'Insumos e Serviços'!$A:$F,3,0)</f>
        <v>Insumo</v>
      </c>
      <c r="B220" s="162" t="s">
        <v>399</v>
      </c>
      <c r="C220" s="10" t="str">
        <f ca="1">VLOOKUP(B220,'Insumos e Serviços'!$A:$F,2,0)</f>
        <v>SINAPI</v>
      </c>
      <c r="D220" s="163" t="str">
        <f ca="1">VLOOKUP(B220,'Insumos e Serviços'!$A:$F,4,0)</f>
        <v>REJUNTE CIMENTICIO, QUALQUER COR</v>
      </c>
      <c r="E220" s="162" t="str">
        <f ca="1">VLOOKUP(B220,'Insumos e Serviços'!$A:$F,5,0)</f>
        <v>KG</v>
      </c>
      <c r="F220" s="124">
        <v>0.12</v>
      </c>
      <c r="G220" s="165">
        <f ca="1">VLOOKUP(B220,'Insumos e Serviços'!$A:$F,6,0)</f>
        <v>2.64</v>
      </c>
      <c r="H220" s="165">
        <f t="shared" si="4"/>
        <v>0.31</v>
      </c>
    </row>
    <row r="221" spans="1:8">
      <c r="A221" s="162" t="str">
        <f ca="1">VLOOKUP(B221,'Insumos e Serviços'!$A:$F,3,0)</f>
        <v>Insumo</v>
      </c>
      <c r="B221" s="162" t="s">
        <v>397</v>
      </c>
      <c r="C221" s="10" t="str">
        <f ca="1">VLOOKUP(B221,'Insumos e Serviços'!$A:$F,2,0)</f>
        <v>SINAPI</v>
      </c>
      <c r="D221" s="163" t="str">
        <f ca="1">VLOOKUP(B221,'Insumos e Serviços'!$A:$F,4,0)</f>
        <v>ARGAMASSA COLANTE TIPO AC III</v>
      </c>
      <c r="E221" s="162" t="str">
        <f ca="1">VLOOKUP(B221,'Insumos e Serviços'!$A:$F,5,0)</f>
        <v>KG</v>
      </c>
      <c r="F221" s="124">
        <v>0.86140000000000005</v>
      </c>
      <c r="G221" s="165">
        <f ca="1">VLOOKUP(B221,'Insumos e Serviços'!$A:$F,6,0)</f>
        <v>1.38</v>
      </c>
      <c r="H221" s="165">
        <f t="shared" si="4"/>
        <v>1.18</v>
      </c>
    </row>
    <row r="222" spans="1:8">
      <c r="A222" s="162" t="str">
        <f ca="1">VLOOKUP(B222,'Insumos e Serviços'!$A:$F,3,0)</f>
        <v>Insumo</v>
      </c>
      <c r="B222" s="162" t="s">
        <v>395</v>
      </c>
      <c r="C222" s="10" t="str">
        <f ca="1">VLOOKUP(B222,'Insumos e Serviços'!$A:$F,2,0)</f>
        <v>Próprio</v>
      </c>
      <c r="D222" s="163" t="str">
        <f ca="1">VLOOKUP(B222,'Insumos e Serviços'!$A:$F,4,0)</f>
        <v>Granito Vermelho Brasília, ou equivalente, e=2cm, acabamento levigado</v>
      </c>
      <c r="E222" s="162" t="str">
        <f ca="1">VLOOKUP(B222,'Insumos e Serviços'!$A:$F,5,0)</f>
        <v>m²</v>
      </c>
      <c r="F222" s="124">
        <v>0.1</v>
      </c>
      <c r="G222" s="165">
        <f ca="1">VLOOKUP(B222,'Insumos e Serviços'!$A:$F,6,0)</f>
        <v>185</v>
      </c>
      <c r="H222" s="165">
        <f t="shared" si="4"/>
        <v>18.5</v>
      </c>
    </row>
    <row r="223" spans="1:8" ht="22.5">
      <c r="A223" s="162" t="str">
        <f ca="1">VLOOKUP(B223,'Insumos e Serviços'!$A:$F,3,0)</f>
        <v>Insumo</v>
      </c>
      <c r="B223" s="162" t="s">
        <v>383</v>
      </c>
      <c r="C223" s="10" t="str">
        <f ca="1">VLOOKUP(B223,'Insumos e Serviços'!$A:$F,2,0)</f>
        <v>Próprio</v>
      </c>
      <c r="D223" s="163" t="str">
        <f ca="1">VLOOKUP(B223,'Insumos e Serviços'!$A:$F,4,0)</f>
        <v>Solução hidrofugante à base de silano-siloxano Nitoprimer 40, fab. Anchortec Quartzolit</v>
      </c>
      <c r="E223" s="162" t="str">
        <f ca="1">VLOOKUP(B223,'Insumos e Serviços'!$A:$F,5,0)</f>
        <v>l</v>
      </c>
      <c r="F223" s="124">
        <v>0.04</v>
      </c>
      <c r="G223" s="165">
        <f ca="1">VLOOKUP(B223,'Insumos e Serviços'!$A:$F,6,0)</f>
        <v>35.74</v>
      </c>
      <c r="H223" s="165">
        <f t="shared" si="4"/>
        <v>1.42</v>
      </c>
    </row>
    <row r="224" spans="1:8" ht="15" thickBot="1">
      <c r="A224" s="162" t="str">
        <f ca="1">VLOOKUP(B224,'Insumos e Serviços'!$A:$F,3,0)</f>
        <v>Insumo</v>
      </c>
      <c r="B224" s="162" t="s">
        <v>387</v>
      </c>
      <c r="C224" s="10" t="str">
        <f ca="1">VLOOKUP(B224,'Insumos e Serviços'!$A:$F,2,0)</f>
        <v>Próprio</v>
      </c>
      <c r="D224" s="163" t="str">
        <f ca="1">VLOOKUP(B224,'Insumos e Serviços'!$A:$F,4,0)</f>
        <v>Acabamento reto (granito)</v>
      </c>
      <c r="E224" s="162" t="str">
        <f ca="1">VLOOKUP(B224,'Insumos e Serviços'!$A:$F,5,0)</f>
        <v>m</v>
      </c>
      <c r="F224" s="124">
        <v>1</v>
      </c>
      <c r="G224" s="165">
        <f ca="1">VLOOKUP(B224,'Insumos e Serviços'!$A:$F,6,0)</f>
        <v>20</v>
      </c>
      <c r="H224" s="165">
        <f t="shared" si="4"/>
        <v>20</v>
      </c>
    </row>
    <row r="225" spans="1:8" ht="15" thickTop="1">
      <c r="A225" s="176"/>
      <c r="B225" s="176"/>
      <c r="C225" s="176"/>
      <c r="D225" s="176"/>
      <c r="E225" s="176"/>
      <c r="F225" s="177"/>
      <c r="G225" s="177"/>
      <c r="H225" s="177"/>
    </row>
    <row r="226" spans="1:8" ht="22.5">
      <c r="A226" s="31" t="s">
        <v>255</v>
      </c>
      <c r="B226" s="154" t="str">
        <f ca="1">VLOOKUP(A226,'Orçamento Sintético'!$A:$H,2,0)</f>
        <v xml:space="preserve"> MPDFT0931 </v>
      </c>
      <c r="C226" s="154" t="str">
        <f ca="1">VLOOKUP(A226,'Orçamento Sintético'!$A:$H,3,0)</f>
        <v>Próprio</v>
      </c>
      <c r="D226" s="155" t="str">
        <f ca="1">VLOOKUP(A226,'Orçamento Sintético'!$A:$H,4,0)</f>
        <v>Baseado em SINAPI (101965) - Peitoril em granito polido Preto São Gabriel, largura 21cm, e= 2cm, com friso pingadeira dos dois lados</v>
      </c>
      <c r="E226" s="154" t="str">
        <f ca="1">VLOOKUP(A226,'Orçamento Sintético'!$A:$H,5,0)</f>
        <v>M</v>
      </c>
      <c r="F226" s="125"/>
      <c r="G226" s="34"/>
      <c r="H226" s="34">
        <f>SUM(H227:H234)</f>
        <v>156.03000000000003</v>
      </c>
    </row>
    <row r="227" spans="1:8">
      <c r="A227" s="162" t="str">
        <f ca="1">VLOOKUP(B227,'Insumos e Serviços'!$A:$F,3,0)</f>
        <v>Composição</v>
      </c>
      <c r="B227" s="162" t="s">
        <v>393</v>
      </c>
      <c r="C227" s="10" t="str">
        <f ca="1">VLOOKUP(B227,'Insumos e Serviços'!$A:$F,2,0)</f>
        <v>SINAPI</v>
      </c>
      <c r="D227" s="163" t="str">
        <f ca="1">VLOOKUP(B227,'Insumos e Serviços'!$A:$F,4,0)</f>
        <v>MARMORISTA/GRANITEIRO COM ENCARGOS COMPLEMENTARES</v>
      </c>
      <c r="E227" s="162" t="str">
        <f ca="1">VLOOKUP(B227,'Insumos e Serviços'!$A:$F,5,0)</f>
        <v>H</v>
      </c>
      <c r="F227" s="124">
        <v>0.41899999999999998</v>
      </c>
      <c r="G227" s="165">
        <f ca="1">VLOOKUP(B227,'Insumos e Serviços'!$A:$F,6,0)</f>
        <v>19.39</v>
      </c>
      <c r="H227" s="165">
        <f t="shared" ref="H227:H234" si="5">TRUNC(F227*G227,2)</f>
        <v>8.1199999999999992</v>
      </c>
    </row>
    <row r="228" spans="1:8">
      <c r="A228" s="162" t="str">
        <f ca="1">VLOOKUP(B228,'Insumos e Serviços'!$A:$F,3,0)</f>
        <v>Composição</v>
      </c>
      <c r="B228" s="162" t="s">
        <v>335</v>
      </c>
      <c r="C228" s="10" t="str">
        <f ca="1">VLOOKUP(B228,'Insumos e Serviços'!$A:$F,2,0)</f>
        <v>SINAPI</v>
      </c>
      <c r="D228" s="163" t="str">
        <f ca="1">VLOOKUP(B228,'Insumos e Serviços'!$A:$F,4,0)</f>
        <v>SERVENTE COM ENCARGOS COMPLEMENTARES</v>
      </c>
      <c r="E228" s="162" t="str">
        <f ca="1">VLOOKUP(B228,'Insumos e Serviços'!$A:$F,5,0)</f>
        <v>H</v>
      </c>
      <c r="F228" s="124">
        <v>0.20899999999999999</v>
      </c>
      <c r="G228" s="165">
        <f ca="1">VLOOKUP(B228,'Insumos e Serviços'!$A:$F,6,0)</f>
        <v>17.170000000000002</v>
      </c>
      <c r="H228" s="165">
        <f t="shared" si="5"/>
        <v>3.58</v>
      </c>
    </row>
    <row r="229" spans="1:8">
      <c r="A229" s="162" t="str">
        <f ca="1">VLOOKUP(B229,'Insumos e Serviços'!$A:$F,3,0)</f>
        <v>Composição</v>
      </c>
      <c r="B229" s="162" t="s">
        <v>391</v>
      </c>
      <c r="C229" s="10" t="str">
        <f ca="1">VLOOKUP(B229,'Insumos e Serviços'!$A:$F,2,0)</f>
        <v>SINAPI</v>
      </c>
      <c r="D229" s="163" t="str">
        <f ca="1">VLOOKUP(B229,'Insumos e Serviços'!$A:$F,4,0)</f>
        <v>IMPERMEABILIZADOR COM ENCARGOS COMPLEMENTARES</v>
      </c>
      <c r="E229" s="162" t="str">
        <f ca="1">VLOOKUP(B229,'Insumos e Serviços'!$A:$F,5,0)</f>
        <v>H</v>
      </c>
      <c r="F229" s="124">
        <v>5.67E-2</v>
      </c>
      <c r="G229" s="165">
        <f ca="1">VLOOKUP(B229,'Insumos e Serviços'!$A:$F,6,0)</f>
        <v>23.25</v>
      </c>
      <c r="H229" s="165">
        <f t="shared" si="5"/>
        <v>1.31</v>
      </c>
    </row>
    <row r="230" spans="1:8" ht="33.75">
      <c r="A230" s="162" t="str">
        <f ca="1">VLOOKUP(B230,'Insumos e Serviços'!$A:$F,3,0)</f>
        <v>Insumo</v>
      </c>
      <c r="B230" s="162" t="s">
        <v>389</v>
      </c>
      <c r="C230" s="10" t="str">
        <f ca="1">VLOOKUP(B230,'Insumos e Serviços'!$A:$F,2,0)</f>
        <v>SINAPI</v>
      </c>
      <c r="D230" s="163" t="str">
        <f ca="1">VLOOKUP(B230,'Insumos e Serviços'!$A:$F,4,0)</f>
        <v>PISO EM GRANITO, POLIDO, TIPO PRETO SAO GABRIEL/ TIJUCA OU OUTROS EQUIVALENTES DA REGIAO, FORMATO MENOR OU IGUAL A 3025 CM2, E=  *2* CM</v>
      </c>
      <c r="E230" s="162" t="str">
        <f ca="1">VLOOKUP(B230,'Insumos e Serviços'!$A:$F,5,0)</f>
        <v>m²</v>
      </c>
      <c r="F230" s="124">
        <v>0.21</v>
      </c>
      <c r="G230" s="165">
        <f ca="1">VLOOKUP(B230,'Insumos e Serviços'!$A:$F,6,0)</f>
        <v>425.15</v>
      </c>
      <c r="H230" s="165">
        <f t="shared" si="5"/>
        <v>89.28</v>
      </c>
    </row>
    <row r="231" spans="1:8">
      <c r="A231" s="162" t="str">
        <f ca="1">VLOOKUP(B231,'Insumos e Serviços'!$A:$F,3,0)</f>
        <v>Insumo</v>
      </c>
      <c r="B231" s="162" t="s">
        <v>387</v>
      </c>
      <c r="C231" s="10" t="str">
        <f ca="1">VLOOKUP(B231,'Insumos e Serviços'!$A:$F,2,0)</f>
        <v>Próprio</v>
      </c>
      <c r="D231" s="163" t="str">
        <f ca="1">VLOOKUP(B231,'Insumos e Serviços'!$A:$F,4,0)</f>
        <v>Acabamento reto (granito)</v>
      </c>
      <c r="E231" s="162" t="str">
        <f ca="1">VLOOKUP(B231,'Insumos e Serviços'!$A:$F,5,0)</f>
        <v>m</v>
      </c>
      <c r="F231" s="124">
        <v>2</v>
      </c>
      <c r="G231" s="165">
        <f ca="1">VLOOKUP(B231,'Insumos e Serviços'!$A:$F,6,0)</f>
        <v>20</v>
      </c>
      <c r="H231" s="165">
        <f t="shared" si="5"/>
        <v>40</v>
      </c>
    </row>
    <row r="232" spans="1:8">
      <c r="A232" s="162" t="str">
        <f ca="1">VLOOKUP(B232,'Insumos e Serviços'!$A:$F,3,0)</f>
        <v>Insumo</v>
      </c>
      <c r="B232" s="162" t="s">
        <v>385</v>
      </c>
      <c r="C232" s="10" t="str">
        <f ca="1">VLOOKUP(B232,'Insumos e Serviços'!$A:$F,2,0)</f>
        <v>Próprio</v>
      </c>
      <c r="D232" s="163" t="str">
        <f ca="1">VLOOKUP(B232,'Insumos e Serviços'!$A:$F,4,0)</f>
        <v>Friso para pingadeira (granito)</v>
      </c>
      <c r="E232" s="162" t="str">
        <f ca="1">VLOOKUP(B232,'Insumos e Serviços'!$A:$F,5,0)</f>
        <v>m</v>
      </c>
      <c r="F232" s="124">
        <v>2</v>
      </c>
      <c r="G232" s="165">
        <f ca="1">VLOOKUP(B232,'Insumos e Serviços'!$A:$F,6,0)</f>
        <v>5</v>
      </c>
      <c r="H232" s="165">
        <f t="shared" si="5"/>
        <v>10</v>
      </c>
    </row>
    <row r="233" spans="1:8" ht="22.5">
      <c r="A233" s="162" t="str">
        <f ca="1">VLOOKUP(B233,'Insumos e Serviços'!$A:$F,3,0)</f>
        <v>Insumo</v>
      </c>
      <c r="B233" s="162" t="s">
        <v>383</v>
      </c>
      <c r="C233" s="10" t="str">
        <f ca="1">VLOOKUP(B233,'Insumos e Serviços'!$A:$F,2,0)</f>
        <v>Próprio</v>
      </c>
      <c r="D233" s="163" t="str">
        <f ca="1">VLOOKUP(B233,'Insumos e Serviços'!$A:$F,4,0)</f>
        <v>Solução hidrofugante à base de silano-siloxano Nitoprimer 40, fab. Anchortec Quartzolit</v>
      </c>
      <c r="E233" s="162" t="str">
        <f ca="1">VLOOKUP(B233,'Insumos e Serviços'!$A:$F,5,0)</f>
        <v>l</v>
      </c>
      <c r="F233" s="124">
        <v>6.3E-2</v>
      </c>
      <c r="G233" s="165">
        <f ca="1">VLOOKUP(B233,'Insumos e Serviços'!$A:$F,6,0)</f>
        <v>35.74</v>
      </c>
      <c r="H233" s="165">
        <f t="shared" si="5"/>
        <v>2.25</v>
      </c>
    </row>
    <row r="234" spans="1:8" ht="15" thickBot="1">
      <c r="A234" s="162" t="str">
        <f ca="1">VLOOKUP(B234,'Insumos e Serviços'!$A:$F,3,0)</f>
        <v>Insumo</v>
      </c>
      <c r="B234" s="162" t="s">
        <v>380</v>
      </c>
      <c r="C234" s="10" t="str">
        <f ca="1">VLOOKUP(B234,'Insumos e Serviços'!$A:$F,2,0)</f>
        <v>SINAPI</v>
      </c>
      <c r="D234" s="163" t="str">
        <f ca="1">VLOOKUP(B234,'Insumos e Serviços'!$A:$F,4,0)</f>
        <v>ARGAMASSA COLANTE AC II</v>
      </c>
      <c r="E234" s="162" t="str">
        <f ca="1">VLOOKUP(B234,'Insumos e Serviços'!$A:$F,5,0)</f>
        <v>KG</v>
      </c>
      <c r="F234" s="124">
        <v>1.806</v>
      </c>
      <c r="G234" s="165">
        <f ca="1">VLOOKUP(B234,'Insumos e Serviços'!$A:$F,6,0)</f>
        <v>0.83</v>
      </c>
      <c r="H234" s="165">
        <f t="shared" si="5"/>
        <v>1.49</v>
      </c>
    </row>
    <row r="235" spans="1:8" ht="15" thickTop="1">
      <c r="A235" s="176"/>
      <c r="B235" s="176"/>
      <c r="C235" s="176"/>
      <c r="D235" s="176"/>
      <c r="E235" s="176"/>
      <c r="F235" s="177"/>
      <c r="G235" s="177"/>
      <c r="H235" s="177"/>
    </row>
    <row r="236" spans="1:8" ht="22.5">
      <c r="A236" s="31" t="s">
        <v>258</v>
      </c>
      <c r="B236" s="154" t="str">
        <f ca="1">VLOOKUP(A236,'Orçamento Sintético'!$A:$H,2,0)</f>
        <v xml:space="preserve"> MPDFT0932 </v>
      </c>
      <c r="C236" s="154" t="str">
        <f ca="1">VLOOKUP(A236,'Orçamento Sintético'!$A:$H,3,0)</f>
        <v>Próprio</v>
      </c>
      <c r="D236" s="155" t="str">
        <f ca="1">VLOOKUP(A236,'Orçamento Sintético'!$A:$H,4,0)</f>
        <v>Baseado em SINAPI (101965) - Peitoril em granito polido Preto São Gabriel, largura 31cm, e= 2cm, com friso pingadeira dos dois lados</v>
      </c>
      <c r="E236" s="154" t="str">
        <f ca="1">VLOOKUP(A236,'Orçamento Sintético'!$A:$H,5,0)</f>
        <v>M</v>
      </c>
      <c r="F236" s="125"/>
      <c r="G236" s="34"/>
      <c r="H236" s="34">
        <f>SUM(H237:H244)</f>
        <v>200.95999999999998</v>
      </c>
    </row>
    <row r="237" spans="1:8">
      <c r="A237" s="162" t="str">
        <f ca="1">VLOOKUP(B237,'Insumos e Serviços'!$A:$F,3,0)</f>
        <v>Composição</v>
      </c>
      <c r="B237" s="162" t="s">
        <v>393</v>
      </c>
      <c r="C237" s="10" t="str">
        <f ca="1">VLOOKUP(B237,'Insumos e Serviços'!$A:$F,2,0)</f>
        <v>SINAPI</v>
      </c>
      <c r="D237" s="163" t="str">
        <f ca="1">VLOOKUP(B237,'Insumos e Serviços'!$A:$F,4,0)</f>
        <v>MARMORISTA/GRANITEIRO COM ENCARGOS COMPLEMENTARES</v>
      </c>
      <c r="E237" s="162" t="str">
        <f ca="1">VLOOKUP(B237,'Insumos e Serviços'!$A:$F,5,0)</f>
        <v>H</v>
      </c>
      <c r="F237" s="124">
        <v>0.41899999999999998</v>
      </c>
      <c r="G237" s="165">
        <f ca="1">VLOOKUP(B237,'Insumos e Serviços'!$A:$F,6,0)</f>
        <v>19.39</v>
      </c>
      <c r="H237" s="165">
        <f t="shared" ref="H237:H244" si="6">TRUNC(F237*G237,2)</f>
        <v>8.1199999999999992</v>
      </c>
    </row>
    <row r="238" spans="1:8">
      <c r="A238" s="162" t="str">
        <f ca="1">VLOOKUP(B238,'Insumos e Serviços'!$A:$F,3,0)</f>
        <v>Composição</v>
      </c>
      <c r="B238" s="162" t="s">
        <v>335</v>
      </c>
      <c r="C238" s="10" t="str">
        <f ca="1">VLOOKUP(B238,'Insumos e Serviços'!$A:$F,2,0)</f>
        <v>SINAPI</v>
      </c>
      <c r="D238" s="163" t="str">
        <f ca="1">VLOOKUP(B238,'Insumos e Serviços'!$A:$F,4,0)</f>
        <v>SERVENTE COM ENCARGOS COMPLEMENTARES</v>
      </c>
      <c r="E238" s="162" t="str">
        <f ca="1">VLOOKUP(B238,'Insumos e Serviços'!$A:$F,5,0)</f>
        <v>H</v>
      </c>
      <c r="F238" s="124">
        <v>0.20899999999999999</v>
      </c>
      <c r="G238" s="165">
        <f ca="1">VLOOKUP(B238,'Insumos e Serviços'!$A:$F,6,0)</f>
        <v>17.170000000000002</v>
      </c>
      <c r="H238" s="165">
        <f t="shared" si="6"/>
        <v>3.58</v>
      </c>
    </row>
    <row r="239" spans="1:8">
      <c r="A239" s="162" t="str">
        <f ca="1">VLOOKUP(B239,'Insumos e Serviços'!$A:$F,3,0)</f>
        <v>Composição</v>
      </c>
      <c r="B239" s="162" t="s">
        <v>391</v>
      </c>
      <c r="C239" s="10" t="str">
        <f ca="1">VLOOKUP(B239,'Insumos e Serviços'!$A:$F,2,0)</f>
        <v>SINAPI</v>
      </c>
      <c r="D239" s="163" t="str">
        <f ca="1">VLOOKUP(B239,'Insumos e Serviços'!$A:$F,4,0)</f>
        <v>IMPERMEABILIZADOR COM ENCARGOS COMPLEMENTARES</v>
      </c>
      <c r="E239" s="162" t="str">
        <f ca="1">VLOOKUP(B239,'Insumos e Serviços'!$A:$F,5,0)</f>
        <v>H</v>
      </c>
      <c r="F239" s="124">
        <v>8.3699999999999997E-2</v>
      </c>
      <c r="G239" s="165">
        <f ca="1">VLOOKUP(B239,'Insumos e Serviços'!$A:$F,6,0)</f>
        <v>23.25</v>
      </c>
      <c r="H239" s="165">
        <f t="shared" si="6"/>
        <v>1.94</v>
      </c>
    </row>
    <row r="240" spans="1:8" ht="33.75">
      <c r="A240" s="162" t="str">
        <f ca="1">VLOOKUP(B240,'Insumos e Serviços'!$A:$F,3,0)</f>
        <v>Insumo</v>
      </c>
      <c r="B240" s="162" t="s">
        <v>389</v>
      </c>
      <c r="C240" s="10" t="str">
        <f ca="1">VLOOKUP(B240,'Insumos e Serviços'!$A:$F,2,0)</f>
        <v>SINAPI</v>
      </c>
      <c r="D240" s="163" t="str">
        <f ca="1">VLOOKUP(B240,'Insumos e Serviços'!$A:$F,4,0)</f>
        <v>PISO EM GRANITO, POLIDO, TIPO PRETO SAO GABRIEL/ TIJUCA OU OUTROS EQUIVALENTES DA REGIAO, FORMATO MENOR OU IGUAL A 3025 CM2, E=  *2* CM</v>
      </c>
      <c r="E240" s="162" t="str">
        <f ca="1">VLOOKUP(B240,'Insumos e Serviços'!$A:$F,5,0)</f>
        <v>m²</v>
      </c>
      <c r="F240" s="124">
        <v>0.31</v>
      </c>
      <c r="G240" s="165">
        <f ca="1">VLOOKUP(B240,'Insumos e Serviços'!$A:$F,6,0)</f>
        <v>425.15</v>
      </c>
      <c r="H240" s="165">
        <f t="shared" si="6"/>
        <v>131.79</v>
      </c>
    </row>
    <row r="241" spans="1:8">
      <c r="A241" s="162" t="str">
        <f ca="1">VLOOKUP(B241,'Insumos e Serviços'!$A:$F,3,0)</f>
        <v>Insumo</v>
      </c>
      <c r="B241" s="162" t="s">
        <v>387</v>
      </c>
      <c r="C241" s="10" t="str">
        <f ca="1">VLOOKUP(B241,'Insumos e Serviços'!$A:$F,2,0)</f>
        <v>Próprio</v>
      </c>
      <c r="D241" s="163" t="str">
        <f ca="1">VLOOKUP(B241,'Insumos e Serviços'!$A:$F,4,0)</f>
        <v>Acabamento reto (granito)</v>
      </c>
      <c r="E241" s="162" t="str">
        <f ca="1">VLOOKUP(B241,'Insumos e Serviços'!$A:$F,5,0)</f>
        <v>m</v>
      </c>
      <c r="F241" s="124">
        <v>2</v>
      </c>
      <c r="G241" s="165">
        <f ca="1">VLOOKUP(B241,'Insumos e Serviços'!$A:$F,6,0)</f>
        <v>20</v>
      </c>
      <c r="H241" s="165">
        <f t="shared" si="6"/>
        <v>40</v>
      </c>
    </row>
    <row r="242" spans="1:8">
      <c r="A242" s="162" t="str">
        <f ca="1">VLOOKUP(B242,'Insumos e Serviços'!$A:$F,3,0)</f>
        <v>Insumo</v>
      </c>
      <c r="B242" s="162" t="s">
        <v>385</v>
      </c>
      <c r="C242" s="10" t="str">
        <f ca="1">VLOOKUP(B242,'Insumos e Serviços'!$A:$F,2,0)</f>
        <v>Próprio</v>
      </c>
      <c r="D242" s="163" t="str">
        <f ca="1">VLOOKUP(B242,'Insumos e Serviços'!$A:$F,4,0)</f>
        <v>Friso para pingadeira (granito)</v>
      </c>
      <c r="E242" s="162" t="str">
        <f ca="1">VLOOKUP(B242,'Insumos e Serviços'!$A:$F,5,0)</f>
        <v>m</v>
      </c>
      <c r="F242" s="124">
        <v>2</v>
      </c>
      <c r="G242" s="165">
        <f ca="1">VLOOKUP(B242,'Insumos e Serviços'!$A:$F,6,0)</f>
        <v>5</v>
      </c>
      <c r="H242" s="165">
        <f t="shared" si="6"/>
        <v>10</v>
      </c>
    </row>
    <row r="243" spans="1:8" ht="22.5">
      <c r="A243" s="162" t="str">
        <f ca="1">VLOOKUP(B243,'Insumos e Serviços'!$A:$F,3,0)</f>
        <v>Insumo</v>
      </c>
      <c r="B243" s="162" t="s">
        <v>383</v>
      </c>
      <c r="C243" s="10" t="str">
        <f ca="1">VLOOKUP(B243,'Insumos e Serviços'!$A:$F,2,0)</f>
        <v>Próprio</v>
      </c>
      <c r="D243" s="163" t="str">
        <f ca="1">VLOOKUP(B243,'Insumos e Serviços'!$A:$F,4,0)</f>
        <v>Solução hidrofugante à base de silano-siloxano Nitoprimer 40, fab. Anchortec Quartzolit</v>
      </c>
      <c r="E243" s="162" t="str">
        <f ca="1">VLOOKUP(B243,'Insumos e Serviços'!$A:$F,5,0)</f>
        <v>l</v>
      </c>
      <c r="F243" s="124">
        <v>9.2999999999999999E-2</v>
      </c>
      <c r="G243" s="165">
        <f ca="1">VLOOKUP(B243,'Insumos e Serviços'!$A:$F,6,0)</f>
        <v>35.74</v>
      </c>
      <c r="H243" s="165">
        <f t="shared" si="6"/>
        <v>3.32</v>
      </c>
    </row>
    <row r="244" spans="1:8" ht="15" thickBot="1">
      <c r="A244" s="162" t="str">
        <f ca="1">VLOOKUP(B244,'Insumos e Serviços'!$A:$F,3,0)</f>
        <v>Insumo</v>
      </c>
      <c r="B244" s="162" t="s">
        <v>380</v>
      </c>
      <c r="C244" s="10" t="str">
        <f ca="1">VLOOKUP(B244,'Insumos e Serviços'!$A:$F,2,0)</f>
        <v>SINAPI</v>
      </c>
      <c r="D244" s="163" t="str">
        <f ca="1">VLOOKUP(B244,'Insumos e Serviços'!$A:$F,4,0)</f>
        <v>ARGAMASSA COLANTE AC II</v>
      </c>
      <c r="E244" s="162" t="str">
        <f ca="1">VLOOKUP(B244,'Insumos e Serviços'!$A:$F,5,0)</f>
        <v>KG</v>
      </c>
      <c r="F244" s="124">
        <v>2.6659999999999999</v>
      </c>
      <c r="G244" s="165">
        <f ca="1">VLOOKUP(B244,'Insumos e Serviços'!$A:$F,6,0)</f>
        <v>0.83</v>
      </c>
      <c r="H244" s="165">
        <f t="shared" si="6"/>
        <v>2.21</v>
      </c>
    </row>
    <row r="245" spans="1:8" ht="15" thickTop="1">
      <c r="A245" s="176"/>
      <c r="B245" s="176"/>
      <c r="C245" s="176"/>
      <c r="D245" s="176"/>
      <c r="E245" s="176"/>
      <c r="F245" s="177"/>
      <c r="G245" s="177"/>
      <c r="H245" s="177"/>
    </row>
    <row r="246" spans="1:8" ht="22.5">
      <c r="A246" s="31" t="s">
        <v>261</v>
      </c>
      <c r="B246" s="154" t="str">
        <f ca="1">VLOOKUP(A246,'Orçamento Sintético'!$A:$H,2,0)</f>
        <v xml:space="preserve"> MPDFT0933 </v>
      </c>
      <c r="C246" s="154" t="str">
        <f ca="1">VLOOKUP(A246,'Orçamento Sintético'!$A:$H,3,0)</f>
        <v>Próprio</v>
      </c>
      <c r="D246" s="155" t="str">
        <f ca="1">VLOOKUP(A246,'Orçamento Sintético'!$A:$H,4,0)</f>
        <v>Baseado em SINAPI (101965) - Peitoril em granito polido Preto São Gabriel, largura 46cm, e= 2cm, com friso pingadeira dos dois lados</v>
      </c>
      <c r="E246" s="154" t="str">
        <f ca="1">VLOOKUP(A246,'Orçamento Sintético'!$A:$H,5,0)</f>
        <v>M</v>
      </c>
      <c r="F246" s="125"/>
      <c r="G246" s="34"/>
      <c r="H246" s="34">
        <f>SUM(H247:H254)</f>
        <v>268.34999999999997</v>
      </c>
    </row>
    <row r="247" spans="1:8">
      <c r="A247" s="162" t="str">
        <f ca="1">VLOOKUP(B247,'Insumos e Serviços'!$A:$F,3,0)</f>
        <v>Composição</v>
      </c>
      <c r="B247" s="162" t="s">
        <v>393</v>
      </c>
      <c r="C247" s="10" t="str">
        <f ca="1">VLOOKUP(B247,'Insumos e Serviços'!$A:$F,2,0)</f>
        <v>SINAPI</v>
      </c>
      <c r="D247" s="163" t="str">
        <f ca="1">VLOOKUP(B247,'Insumos e Serviços'!$A:$F,4,0)</f>
        <v>MARMORISTA/GRANITEIRO COM ENCARGOS COMPLEMENTARES</v>
      </c>
      <c r="E247" s="162" t="str">
        <f ca="1">VLOOKUP(B247,'Insumos e Serviços'!$A:$F,5,0)</f>
        <v>H</v>
      </c>
      <c r="F247" s="124">
        <v>0.41899999999999998</v>
      </c>
      <c r="G247" s="165">
        <f ca="1">VLOOKUP(B247,'Insumos e Serviços'!$A:$F,6,0)</f>
        <v>19.39</v>
      </c>
      <c r="H247" s="165">
        <f t="shared" ref="H247:H254" si="7">TRUNC(F247*G247,2)</f>
        <v>8.1199999999999992</v>
      </c>
    </row>
    <row r="248" spans="1:8">
      <c r="A248" s="162" t="str">
        <f ca="1">VLOOKUP(B248,'Insumos e Serviços'!$A:$F,3,0)</f>
        <v>Composição</v>
      </c>
      <c r="B248" s="162" t="s">
        <v>335</v>
      </c>
      <c r="C248" s="10" t="str">
        <f ca="1">VLOOKUP(B248,'Insumos e Serviços'!$A:$F,2,0)</f>
        <v>SINAPI</v>
      </c>
      <c r="D248" s="163" t="str">
        <f ca="1">VLOOKUP(B248,'Insumos e Serviços'!$A:$F,4,0)</f>
        <v>SERVENTE COM ENCARGOS COMPLEMENTARES</v>
      </c>
      <c r="E248" s="162" t="str">
        <f ca="1">VLOOKUP(B248,'Insumos e Serviços'!$A:$F,5,0)</f>
        <v>H</v>
      </c>
      <c r="F248" s="124">
        <v>0.20899999999999999</v>
      </c>
      <c r="G248" s="165">
        <f ca="1">VLOOKUP(B248,'Insumos e Serviços'!$A:$F,6,0)</f>
        <v>17.170000000000002</v>
      </c>
      <c r="H248" s="165">
        <f t="shared" si="7"/>
        <v>3.58</v>
      </c>
    </row>
    <row r="249" spans="1:8">
      <c r="A249" s="162" t="str">
        <f ca="1">VLOOKUP(B249,'Insumos e Serviços'!$A:$F,3,0)</f>
        <v>Composição</v>
      </c>
      <c r="B249" s="162" t="s">
        <v>391</v>
      </c>
      <c r="C249" s="10" t="str">
        <f ca="1">VLOOKUP(B249,'Insumos e Serviços'!$A:$F,2,0)</f>
        <v>SINAPI</v>
      </c>
      <c r="D249" s="163" t="str">
        <f ca="1">VLOOKUP(B249,'Insumos e Serviços'!$A:$F,4,0)</f>
        <v>IMPERMEABILIZADOR COM ENCARGOS COMPLEMENTARES</v>
      </c>
      <c r="E249" s="162" t="str">
        <f ca="1">VLOOKUP(B249,'Insumos e Serviços'!$A:$F,5,0)</f>
        <v>H</v>
      </c>
      <c r="F249" s="124">
        <v>0.1242</v>
      </c>
      <c r="G249" s="165">
        <f ca="1">VLOOKUP(B249,'Insumos e Serviços'!$A:$F,6,0)</f>
        <v>23.25</v>
      </c>
      <c r="H249" s="165">
        <f t="shared" si="7"/>
        <v>2.88</v>
      </c>
    </row>
    <row r="250" spans="1:8" ht="33.75">
      <c r="A250" s="162" t="str">
        <f ca="1">VLOOKUP(B250,'Insumos e Serviços'!$A:$F,3,0)</f>
        <v>Insumo</v>
      </c>
      <c r="B250" s="162" t="s">
        <v>389</v>
      </c>
      <c r="C250" s="10" t="str">
        <f ca="1">VLOOKUP(B250,'Insumos e Serviços'!$A:$F,2,0)</f>
        <v>SINAPI</v>
      </c>
      <c r="D250" s="163" t="str">
        <f ca="1">VLOOKUP(B250,'Insumos e Serviços'!$A:$F,4,0)</f>
        <v>PISO EM GRANITO, POLIDO, TIPO PRETO SAO GABRIEL/ TIJUCA OU OUTROS EQUIVALENTES DA REGIAO, FORMATO MENOR OU IGUAL A 3025 CM2, E=  *2* CM</v>
      </c>
      <c r="E250" s="162" t="str">
        <f ca="1">VLOOKUP(B250,'Insumos e Serviços'!$A:$F,5,0)</f>
        <v>m²</v>
      </c>
      <c r="F250" s="124">
        <v>0.46</v>
      </c>
      <c r="G250" s="165">
        <f ca="1">VLOOKUP(B250,'Insumos e Serviços'!$A:$F,6,0)</f>
        <v>425.15</v>
      </c>
      <c r="H250" s="165">
        <f t="shared" si="7"/>
        <v>195.56</v>
      </c>
    </row>
    <row r="251" spans="1:8">
      <c r="A251" s="162" t="str">
        <f ca="1">VLOOKUP(B251,'Insumos e Serviços'!$A:$F,3,0)</f>
        <v>Insumo</v>
      </c>
      <c r="B251" s="162" t="s">
        <v>387</v>
      </c>
      <c r="C251" s="10" t="str">
        <f ca="1">VLOOKUP(B251,'Insumos e Serviços'!$A:$F,2,0)</f>
        <v>Próprio</v>
      </c>
      <c r="D251" s="163" t="str">
        <f ca="1">VLOOKUP(B251,'Insumos e Serviços'!$A:$F,4,0)</f>
        <v>Acabamento reto (granito)</v>
      </c>
      <c r="E251" s="162" t="str">
        <f ca="1">VLOOKUP(B251,'Insumos e Serviços'!$A:$F,5,0)</f>
        <v>m</v>
      </c>
      <c r="F251" s="124">
        <v>2</v>
      </c>
      <c r="G251" s="165">
        <f ca="1">VLOOKUP(B251,'Insumos e Serviços'!$A:$F,6,0)</f>
        <v>20</v>
      </c>
      <c r="H251" s="165">
        <f t="shared" si="7"/>
        <v>40</v>
      </c>
    </row>
    <row r="252" spans="1:8">
      <c r="A252" s="162" t="str">
        <f ca="1">VLOOKUP(B252,'Insumos e Serviços'!$A:$F,3,0)</f>
        <v>Insumo</v>
      </c>
      <c r="B252" s="162" t="s">
        <v>385</v>
      </c>
      <c r="C252" s="10" t="str">
        <f ca="1">VLOOKUP(B252,'Insumos e Serviços'!$A:$F,2,0)</f>
        <v>Próprio</v>
      </c>
      <c r="D252" s="163" t="str">
        <f ca="1">VLOOKUP(B252,'Insumos e Serviços'!$A:$F,4,0)</f>
        <v>Friso para pingadeira (granito)</v>
      </c>
      <c r="E252" s="162" t="str">
        <f ca="1">VLOOKUP(B252,'Insumos e Serviços'!$A:$F,5,0)</f>
        <v>m</v>
      </c>
      <c r="F252" s="124">
        <v>2</v>
      </c>
      <c r="G252" s="165">
        <f ca="1">VLOOKUP(B252,'Insumos e Serviços'!$A:$F,6,0)</f>
        <v>5</v>
      </c>
      <c r="H252" s="165">
        <f t="shared" si="7"/>
        <v>10</v>
      </c>
    </row>
    <row r="253" spans="1:8" ht="22.5">
      <c r="A253" s="162" t="str">
        <f ca="1">VLOOKUP(B253,'Insumos e Serviços'!$A:$F,3,0)</f>
        <v>Insumo</v>
      </c>
      <c r="B253" s="162" t="s">
        <v>383</v>
      </c>
      <c r="C253" s="10" t="str">
        <f ca="1">VLOOKUP(B253,'Insumos e Serviços'!$A:$F,2,0)</f>
        <v>Próprio</v>
      </c>
      <c r="D253" s="163" t="str">
        <f ca="1">VLOOKUP(B253,'Insumos e Serviços'!$A:$F,4,0)</f>
        <v>Solução hidrofugante à base de silano-siloxano Nitoprimer 40, fab. Anchortec Quartzolit</v>
      </c>
      <c r="E253" s="162" t="str">
        <f ca="1">VLOOKUP(B253,'Insumos e Serviços'!$A:$F,5,0)</f>
        <v>l</v>
      </c>
      <c r="F253" s="124">
        <v>0.13800000000000001</v>
      </c>
      <c r="G253" s="165">
        <f ca="1">VLOOKUP(B253,'Insumos e Serviços'!$A:$F,6,0)</f>
        <v>35.74</v>
      </c>
      <c r="H253" s="165">
        <f t="shared" si="7"/>
        <v>4.93</v>
      </c>
    </row>
    <row r="254" spans="1:8" ht="15" thickBot="1">
      <c r="A254" s="162" t="str">
        <f ca="1">VLOOKUP(B254,'Insumos e Serviços'!$A:$F,3,0)</f>
        <v>Insumo</v>
      </c>
      <c r="B254" s="162" t="s">
        <v>380</v>
      </c>
      <c r="C254" s="10" t="str">
        <f ca="1">VLOOKUP(B254,'Insumos e Serviços'!$A:$F,2,0)</f>
        <v>SINAPI</v>
      </c>
      <c r="D254" s="163" t="str">
        <f ca="1">VLOOKUP(B254,'Insumos e Serviços'!$A:$F,4,0)</f>
        <v>ARGAMASSA COLANTE AC II</v>
      </c>
      <c r="E254" s="162" t="str">
        <f ca="1">VLOOKUP(B254,'Insumos e Serviços'!$A:$F,5,0)</f>
        <v>KG</v>
      </c>
      <c r="F254" s="124">
        <v>3.956</v>
      </c>
      <c r="G254" s="165">
        <f ca="1">VLOOKUP(B254,'Insumos e Serviços'!$A:$F,6,0)</f>
        <v>0.83</v>
      </c>
      <c r="H254" s="165">
        <f t="shared" si="7"/>
        <v>3.28</v>
      </c>
    </row>
    <row r="255" spans="1:8" ht="15" thickTop="1">
      <c r="A255" s="176"/>
      <c r="B255" s="176"/>
      <c r="C255" s="176"/>
      <c r="D255" s="176"/>
      <c r="E255" s="176"/>
      <c r="F255" s="177"/>
      <c r="G255" s="177"/>
      <c r="H255" s="177"/>
    </row>
    <row r="256" spans="1:8" ht="22.5">
      <c r="A256" s="31" t="s">
        <v>264</v>
      </c>
      <c r="B256" s="154" t="str">
        <f ca="1">VLOOKUP(A256,'Orçamento Sintético'!$A:$H,2,0)</f>
        <v xml:space="preserve"> MPDFT0934 </v>
      </c>
      <c r="C256" s="154" t="str">
        <f ca="1">VLOOKUP(A256,'Orçamento Sintético'!$A:$H,3,0)</f>
        <v>Próprio</v>
      </c>
      <c r="D256" s="155" t="str">
        <f ca="1">VLOOKUP(A256,'Orçamento Sintético'!$A:$H,4,0)</f>
        <v>Baseado em SINAPI (101965) - Peitoril em granito polido Preto São Gabriel, largura 26cm, e= 2cm, com friso pingadeira dos dois lados</v>
      </c>
      <c r="E256" s="154" t="str">
        <f ca="1">VLOOKUP(A256,'Orçamento Sintético'!$A:$H,5,0)</f>
        <v>M</v>
      </c>
      <c r="F256" s="125"/>
      <c r="G256" s="34"/>
      <c r="H256" s="34">
        <f>SUM(H257:H264)</f>
        <v>178.49</v>
      </c>
    </row>
    <row r="257" spans="1:8">
      <c r="A257" s="162" t="str">
        <f ca="1">VLOOKUP(B257,'Insumos e Serviços'!$A:$F,3,0)</f>
        <v>Composição</v>
      </c>
      <c r="B257" s="162" t="s">
        <v>393</v>
      </c>
      <c r="C257" s="10" t="str">
        <f ca="1">VLOOKUP(B257,'Insumos e Serviços'!$A:$F,2,0)</f>
        <v>SINAPI</v>
      </c>
      <c r="D257" s="163" t="str">
        <f ca="1">VLOOKUP(B257,'Insumos e Serviços'!$A:$F,4,0)</f>
        <v>MARMORISTA/GRANITEIRO COM ENCARGOS COMPLEMENTARES</v>
      </c>
      <c r="E257" s="162" t="str">
        <f ca="1">VLOOKUP(B257,'Insumos e Serviços'!$A:$F,5,0)</f>
        <v>H</v>
      </c>
      <c r="F257" s="124">
        <v>0.41899999999999998</v>
      </c>
      <c r="G257" s="165">
        <f ca="1">VLOOKUP(B257,'Insumos e Serviços'!$A:$F,6,0)</f>
        <v>19.39</v>
      </c>
      <c r="H257" s="165">
        <f t="shared" ref="H257:H264" si="8">TRUNC(F257*G257,2)</f>
        <v>8.1199999999999992</v>
      </c>
    </row>
    <row r="258" spans="1:8">
      <c r="A258" s="162" t="str">
        <f ca="1">VLOOKUP(B258,'Insumos e Serviços'!$A:$F,3,0)</f>
        <v>Composição</v>
      </c>
      <c r="B258" s="162" t="s">
        <v>335</v>
      </c>
      <c r="C258" s="10" t="str">
        <f ca="1">VLOOKUP(B258,'Insumos e Serviços'!$A:$F,2,0)</f>
        <v>SINAPI</v>
      </c>
      <c r="D258" s="163" t="str">
        <f ca="1">VLOOKUP(B258,'Insumos e Serviços'!$A:$F,4,0)</f>
        <v>SERVENTE COM ENCARGOS COMPLEMENTARES</v>
      </c>
      <c r="E258" s="162" t="str">
        <f ca="1">VLOOKUP(B258,'Insumos e Serviços'!$A:$F,5,0)</f>
        <v>H</v>
      </c>
      <c r="F258" s="124">
        <v>0.20899999999999999</v>
      </c>
      <c r="G258" s="165">
        <f ca="1">VLOOKUP(B258,'Insumos e Serviços'!$A:$F,6,0)</f>
        <v>17.170000000000002</v>
      </c>
      <c r="H258" s="165">
        <f t="shared" si="8"/>
        <v>3.58</v>
      </c>
    </row>
    <row r="259" spans="1:8">
      <c r="A259" s="162" t="str">
        <f ca="1">VLOOKUP(B259,'Insumos e Serviços'!$A:$F,3,0)</f>
        <v>Composição</v>
      </c>
      <c r="B259" s="162" t="s">
        <v>391</v>
      </c>
      <c r="C259" s="10" t="str">
        <f ca="1">VLOOKUP(B259,'Insumos e Serviços'!$A:$F,2,0)</f>
        <v>SINAPI</v>
      </c>
      <c r="D259" s="163" t="str">
        <f ca="1">VLOOKUP(B259,'Insumos e Serviços'!$A:$F,4,0)</f>
        <v>IMPERMEABILIZADOR COM ENCARGOS COMPLEMENTARES</v>
      </c>
      <c r="E259" s="162" t="str">
        <f ca="1">VLOOKUP(B259,'Insumos e Serviços'!$A:$F,5,0)</f>
        <v>H</v>
      </c>
      <c r="F259" s="124">
        <v>7.0199999999999999E-2</v>
      </c>
      <c r="G259" s="165">
        <f ca="1">VLOOKUP(B259,'Insumos e Serviços'!$A:$F,6,0)</f>
        <v>23.25</v>
      </c>
      <c r="H259" s="165">
        <f t="shared" si="8"/>
        <v>1.63</v>
      </c>
    </row>
    <row r="260" spans="1:8" ht="33.75">
      <c r="A260" s="162" t="str">
        <f ca="1">VLOOKUP(B260,'Insumos e Serviços'!$A:$F,3,0)</f>
        <v>Insumo</v>
      </c>
      <c r="B260" s="162" t="s">
        <v>389</v>
      </c>
      <c r="C260" s="10" t="str">
        <f ca="1">VLOOKUP(B260,'Insumos e Serviços'!$A:$F,2,0)</f>
        <v>SINAPI</v>
      </c>
      <c r="D260" s="163" t="str">
        <f ca="1">VLOOKUP(B260,'Insumos e Serviços'!$A:$F,4,0)</f>
        <v>PISO EM GRANITO, POLIDO, TIPO PRETO SAO GABRIEL/ TIJUCA OU OUTROS EQUIVALENTES DA REGIAO, FORMATO MENOR OU IGUAL A 3025 CM2, E=  *2* CM</v>
      </c>
      <c r="E260" s="162" t="str">
        <f ca="1">VLOOKUP(B260,'Insumos e Serviços'!$A:$F,5,0)</f>
        <v>m²</v>
      </c>
      <c r="F260" s="124">
        <v>0.26</v>
      </c>
      <c r="G260" s="165">
        <f ca="1">VLOOKUP(B260,'Insumos e Serviços'!$A:$F,6,0)</f>
        <v>425.15</v>
      </c>
      <c r="H260" s="165">
        <f t="shared" si="8"/>
        <v>110.53</v>
      </c>
    </row>
    <row r="261" spans="1:8">
      <c r="A261" s="162" t="str">
        <f ca="1">VLOOKUP(B261,'Insumos e Serviços'!$A:$F,3,0)</f>
        <v>Insumo</v>
      </c>
      <c r="B261" s="162" t="s">
        <v>387</v>
      </c>
      <c r="C261" s="10" t="str">
        <f ca="1">VLOOKUP(B261,'Insumos e Serviços'!$A:$F,2,0)</f>
        <v>Próprio</v>
      </c>
      <c r="D261" s="163" t="str">
        <f ca="1">VLOOKUP(B261,'Insumos e Serviços'!$A:$F,4,0)</f>
        <v>Acabamento reto (granito)</v>
      </c>
      <c r="E261" s="162" t="str">
        <f ca="1">VLOOKUP(B261,'Insumos e Serviços'!$A:$F,5,0)</f>
        <v>m</v>
      </c>
      <c r="F261" s="124">
        <v>2</v>
      </c>
      <c r="G261" s="165">
        <f ca="1">VLOOKUP(B261,'Insumos e Serviços'!$A:$F,6,0)</f>
        <v>20</v>
      </c>
      <c r="H261" s="165">
        <f t="shared" si="8"/>
        <v>40</v>
      </c>
    </row>
    <row r="262" spans="1:8">
      <c r="A262" s="162" t="str">
        <f ca="1">VLOOKUP(B262,'Insumos e Serviços'!$A:$F,3,0)</f>
        <v>Insumo</v>
      </c>
      <c r="B262" s="162" t="s">
        <v>385</v>
      </c>
      <c r="C262" s="10" t="str">
        <f ca="1">VLOOKUP(B262,'Insumos e Serviços'!$A:$F,2,0)</f>
        <v>Próprio</v>
      </c>
      <c r="D262" s="163" t="str">
        <f ca="1">VLOOKUP(B262,'Insumos e Serviços'!$A:$F,4,0)</f>
        <v>Friso para pingadeira (granito)</v>
      </c>
      <c r="E262" s="162" t="str">
        <f ca="1">VLOOKUP(B262,'Insumos e Serviços'!$A:$F,5,0)</f>
        <v>m</v>
      </c>
      <c r="F262" s="124">
        <v>2</v>
      </c>
      <c r="G262" s="165">
        <f ca="1">VLOOKUP(B262,'Insumos e Serviços'!$A:$F,6,0)</f>
        <v>5</v>
      </c>
      <c r="H262" s="165">
        <f t="shared" si="8"/>
        <v>10</v>
      </c>
    </row>
    <row r="263" spans="1:8" ht="22.5">
      <c r="A263" s="162" t="str">
        <f ca="1">VLOOKUP(B263,'Insumos e Serviços'!$A:$F,3,0)</f>
        <v>Insumo</v>
      </c>
      <c r="B263" s="162" t="s">
        <v>383</v>
      </c>
      <c r="C263" s="10" t="str">
        <f ca="1">VLOOKUP(B263,'Insumos e Serviços'!$A:$F,2,0)</f>
        <v>Próprio</v>
      </c>
      <c r="D263" s="163" t="str">
        <f ca="1">VLOOKUP(B263,'Insumos e Serviços'!$A:$F,4,0)</f>
        <v>Solução hidrofugante à base de silano-siloxano Nitoprimer 40, fab. Anchortec Quartzolit</v>
      </c>
      <c r="E263" s="162" t="str">
        <f ca="1">VLOOKUP(B263,'Insumos e Serviços'!$A:$F,5,0)</f>
        <v>l</v>
      </c>
      <c r="F263" s="124">
        <v>7.8E-2</v>
      </c>
      <c r="G263" s="165">
        <f ca="1">VLOOKUP(B263,'Insumos e Serviços'!$A:$F,6,0)</f>
        <v>35.74</v>
      </c>
      <c r="H263" s="165">
        <f t="shared" si="8"/>
        <v>2.78</v>
      </c>
    </row>
    <row r="264" spans="1:8" ht="15" thickBot="1">
      <c r="A264" s="162" t="str">
        <f ca="1">VLOOKUP(B264,'Insumos e Serviços'!$A:$F,3,0)</f>
        <v>Insumo</v>
      </c>
      <c r="B264" s="162" t="s">
        <v>380</v>
      </c>
      <c r="C264" s="10" t="str">
        <f ca="1">VLOOKUP(B264,'Insumos e Serviços'!$A:$F,2,0)</f>
        <v>SINAPI</v>
      </c>
      <c r="D264" s="163" t="str">
        <f ca="1">VLOOKUP(B264,'Insumos e Serviços'!$A:$F,4,0)</f>
        <v>ARGAMASSA COLANTE AC II</v>
      </c>
      <c r="E264" s="162" t="str">
        <f ca="1">VLOOKUP(B264,'Insumos e Serviços'!$A:$F,5,0)</f>
        <v>KG</v>
      </c>
      <c r="F264" s="124">
        <v>2.2360000000000002</v>
      </c>
      <c r="G264" s="165">
        <f ca="1">VLOOKUP(B264,'Insumos e Serviços'!$A:$F,6,0)</f>
        <v>0.83</v>
      </c>
      <c r="H264" s="165">
        <f t="shared" si="8"/>
        <v>1.85</v>
      </c>
    </row>
    <row r="265" spans="1:8" ht="15" thickTop="1">
      <c r="A265" s="176"/>
      <c r="B265" s="176"/>
      <c r="C265" s="176"/>
      <c r="D265" s="176"/>
      <c r="E265" s="176"/>
      <c r="F265" s="177"/>
      <c r="G265" s="177"/>
      <c r="H265" s="177"/>
    </row>
    <row r="266" spans="1:8">
      <c r="A266" s="29" t="s">
        <v>267</v>
      </c>
      <c r="B266" s="159"/>
      <c r="C266" s="159"/>
      <c r="D266" s="159" t="str">
        <f ca="1">VLOOKUP(A266,'Orçamento Sintético'!$A:$H,4,0)</f>
        <v>Equipamentos e Acessórios</v>
      </c>
      <c r="E266" s="159"/>
      <c r="F266" s="173"/>
      <c r="G266" s="174"/>
      <c r="H266" s="175"/>
    </row>
    <row r="267" spans="1:8">
      <c r="A267" s="31" t="s">
        <v>269</v>
      </c>
      <c r="B267" s="154" t="str">
        <f ca="1">VLOOKUP(A267,'Orçamento Sintético'!$A:$H,2,0)</f>
        <v xml:space="preserve"> MPDFT0926 </v>
      </c>
      <c r="C267" s="154" t="str">
        <f ca="1">VLOOKUP(A267,'Orçamento Sintético'!$A:$H,3,0)</f>
        <v>Próprio</v>
      </c>
      <c r="D267" s="155" t="str">
        <f ca="1">VLOOKUP(A267,'Orçamento Sintético'!$A:$H,4,0)</f>
        <v>Baseado em SINAPI (99855) - REINSTALAÇÃO DE CORRIMÃO</v>
      </c>
      <c r="E267" s="154" t="str">
        <f ca="1">VLOOKUP(A267,'Orçamento Sintético'!$A:$H,5,0)</f>
        <v>M</v>
      </c>
      <c r="F267" s="125"/>
      <c r="G267" s="34"/>
      <c r="H267" s="34">
        <f>SUM(H268:H270)</f>
        <v>39.770000000000003</v>
      </c>
    </row>
    <row r="268" spans="1:8">
      <c r="A268" s="162" t="str">
        <f ca="1">VLOOKUP(B268,'Insumos e Serviços'!$A:$F,3,0)</f>
        <v>Composição</v>
      </c>
      <c r="B268" s="162" t="s">
        <v>377</v>
      </c>
      <c r="C268" s="10" t="str">
        <f ca="1">VLOOKUP(B268,'Insumos e Serviços'!$A:$F,2,0)</f>
        <v>SINAPI</v>
      </c>
      <c r="D268" s="163" t="str">
        <f ca="1">VLOOKUP(B268,'Insumos e Serviços'!$A:$F,4,0)</f>
        <v>AUXILIAR DE SERRALHEIRO COM ENCARGOS COMPLEMENTARES</v>
      </c>
      <c r="E268" s="162" t="str">
        <f ca="1">VLOOKUP(B268,'Insumos e Serviços'!$A:$F,5,0)</f>
        <v>H</v>
      </c>
      <c r="F268" s="124">
        <v>0.77800000000000002</v>
      </c>
      <c r="G268" s="165">
        <f ca="1">VLOOKUP(B268,'Insumos e Serviços'!$A:$F,6,0)</f>
        <v>18.84</v>
      </c>
      <c r="H268" s="165">
        <f>TRUNC(F268*G268,2)</f>
        <v>14.65</v>
      </c>
    </row>
    <row r="269" spans="1:8">
      <c r="A269" s="162" t="str">
        <f ca="1">VLOOKUP(B269,'Insumos e Serviços'!$A:$F,3,0)</f>
        <v>Composição</v>
      </c>
      <c r="B269" s="162" t="s">
        <v>375</v>
      </c>
      <c r="C269" s="10" t="str">
        <f ca="1">VLOOKUP(B269,'Insumos e Serviços'!$A:$F,2,0)</f>
        <v>SINAPI</v>
      </c>
      <c r="D269" s="163" t="str">
        <f ca="1">VLOOKUP(B269,'Insumos e Serviços'!$A:$F,4,0)</f>
        <v>SERRALHEIRO COM ENCARGOS COMPLEMENTARES</v>
      </c>
      <c r="E269" s="162" t="str">
        <f ca="1">VLOOKUP(B269,'Insumos e Serviços'!$A:$F,5,0)</f>
        <v>H</v>
      </c>
      <c r="F269" s="124">
        <v>0.94799999999999995</v>
      </c>
      <c r="G269" s="165">
        <f ca="1">VLOOKUP(B269,'Insumos e Serviços'!$A:$F,6,0)</f>
        <v>23.13</v>
      </c>
      <c r="H269" s="165">
        <f>TRUNC(F269*G269,2)</f>
        <v>21.92</v>
      </c>
    </row>
    <row r="270" spans="1:8" ht="23.25" thickBot="1">
      <c r="A270" s="162" t="str">
        <f ca="1">VLOOKUP(B270,'Insumos e Serviços'!$A:$F,3,0)</f>
        <v>Insumo</v>
      </c>
      <c r="B270" s="162" t="s">
        <v>373</v>
      </c>
      <c r="C270" s="10" t="str">
        <f ca="1">VLOOKUP(B270,'Insumos e Serviços'!$A:$F,2,0)</f>
        <v>SINAPI</v>
      </c>
      <c r="D270" s="163" t="str">
        <f ca="1">VLOOKUP(B270,'Insumos e Serviços'!$A:$F,4,0)</f>
        <v>BUCHA DE NYLON SEM ABA S10, COM PARAFUSO DE 6,10 X 65 MM EM ACO ZINCADO COM ROSCA SOBERBA, CABECA CHATA E FENDA PHILLIPS</v>
      </c>
      <c r="E270" s="162" t="str">
        <f ca="1">VLOOKUP(B270,'Insumos e Serviços'!$A:$F,5,0)</f>
        <v>UN</v>
      </c>
      <c r="F270" s="124">
        <v>3.2730000000000001</v>
      </c>
      <c r="G270" s="165">
        <f ca="1">VLOOKUP(B270,'Insumos e Serviços'!$A:$F,6,0)</f>
        <v>0.98</v>
      </c>
      <c r="H270" s="165">
        <f>TRUNC(F270*G270,2)</f>
        <v>3.2</v>
      </c>
    </row>
    <row r="271" spans="1:8" ht="15" thickTop="1">
      <c r="A271" s="176"/>
      <c r="B271" s="176"/>
      <c r="C271" s="176"/>
      <c r="D271" s="176"/>
      <c r="E271" s="176"/>
      <c r="F271" s="177"/>
      <c r="G271" s="177"/>
      <c r="H271" s="177"/>
    </row>
    <row r="272" spans="1:8" ht="33.75">
      <c r="A272" s="31" t="s">
        <v>272</v>
      </c>
      <c r="B272" s="154" t="str">
        <f ca="1">VLOOKUP(A272,'Orçamento Sintético'!$A:$H,2,0)</f>
        <v xml:space="preserve"> MPDFT0953 </v>
      </c>
      <c r="C272" s="154" t="str">
        <f ca="1">VLOOKUP(A272,'Orçamento Sintético'!$A:$H,3,0)</f>
        <v>Próprio</v>
      </c>
      <c r="D272" s="155" t="str">
        <f ca="1">VLOOKUP(A272,'Orçamento Sintético'!$A:$H,4,0)</f>
        <v>Guarda-corpo em tubo de aço industrial redondo de Ø80mm e quadrado de 20x20mm e 30x30mm - altura de 1,0m, com corrimão em tubo de aço industrial de Ø45mm, inclusive pintura</v>
      </c>
      <c r="E272" s="154" t="str">
        <f ca="1">VLOOKUP(A272,'Orçamento Sintético'!$A:$H,5,0)</f>
        <v>m</v>
      </c>
      <c r="F272" s="125"/>
      <c r="G272" s="34"/>
      <c r="H272" s="34">
        <f>SUM(H273:H273)</f>
        <v>664.63</v>
      </c>
    </row>
    <row r="273" spans="1:8" ht="34.5" thickBot="1">
      <c r="A273" s="162" t="str">
        <f ca="1">VLOOKUP(B273,'Insumos e Serviços'!$A:$F,3,0)</f>
        <v>Insumo</v>
      </c>
      <c r="B273" s="162" t="s">
        <v>371</v>
      </c>
      <c r="C273" s="10" t="str">
        <f ca="1">VLOOKUP(B273,'Insumos e Serviços'!$A:$F,2,0)</f>
        <v>Próprio</v>
      </c>
      <c r="D273" s="163" t="str">
        <f ca="1">VLOOKUP(B273,'Insumos e Serviços'!$A:$F,4,0)</f>
        <v>Guarda-corpo em tubo de aço industrial redondo de Ø80mm e quadrado de 20x20mm e 30x30mm - altura de 1,0m, com corrimão em tubo de aço industrial de Ø45mm</v>
      </c>
      <c r="E273" s="162" t="str">
        <f ca="1">VLOOKUP(B273,'Insumos e Serviços'!$A:$F,5,0)</f>
        <v>m</v>
      </c>
      <c r="F273" s="124">
        <v>1</v>
      </c>
      <c r="G273" s="165">
        <f ca="1">VLOOKUP(B273,'Insumos e Serviços'!$A:$F,6,0)</f>
        <v>664.63</v>
      </c>
      <c r="H273" s="165">
        <f>TRUNC(F273*G273,2)</f>
        <v>664.63</v>
      </c>
    </row>
    <row r="274" spans="1:8" ht="15" thickTop="1">
      <c r="A274" s="176"/>
      <c r="B274" s="176"/>
      <c r="C274" s="176"/>
      <c r="D274" s="176"/>
      <c r="E274" s="176"/>
      <c r="F274" s="177"/>
      <c r="G274" s="177"/>
      <c r="H274" s="177"/>
    </row>
    <row r="275" spans="1:8">
      <c r="A275" s="28" t="s">
        <v>275</v>
      </c>
      <c r="B275" s="28"/>
      <c r="C275" s="28"/>
      <c r="D275" s="156" t="str">
        <f ca="1">VLOOKUP(A275,'Orçamento Sintético'!$A:$H,4,0)</f>
        <v>INSTALAÇÕES HIDRÁULICAS E SANITÁRIAS</v>
      </c>
      <c r="E275" s="156"/>
      <c r="F275" s="157"/>
      <c r="G275" s="156"/>
      <c r="H275" s="158"/>
    </row>
    <row r="276" spans="1:8">
      <c r="A276" s="29" t="s">
        <v>277</v>
      </c>
      <c r="B276" s="29"/>
      <c r="C276" s="29"/>
      <c r="D276" s="159" t="str">
        <f ca="1">VLOOKUP(A276,'Orçamento Sintético'!$A:$H,4,0)</f>
        <v>DRENAGEM DE ÁGUAS PLUVIAIS</v>
      </c>
      <c r="E276" s="159"/>
      <c r="F276" s="166"/>
      <c r="G276" s="167"/>
      <c r="H276" s="161"/>
    </row>
    <row r="277" spans="1:8">
      <c r="A277" s="31" t="s">
        <v>279</v>
      </c>
      <c r="B277" s="32"/>
      <c r="C277" s="31"/>
      <c r="D277" s="168" t="str">
        <f ca="1">VLOOKUP(A277,'Orçamento Sintético'!$A:$H,4,0)</f>
        <v>Tubulações e Conexões de Ferro Fundido</v>
      </c>
      <c r="E277" s="168"/>
      <c r="F277" s="169"/>
      <c r="G277" s="170"/>
      <c r="H277" s="171"/>
    </row>
    <row r="278" spans="1:8" ht="22.5">
      <c r="A278" s="31" t="s">
        <v>281</v>
      </c>
      <c r="B278" s="154" t="str">
        <f ca="1">VLOOKUP(A278,'Orçamento Sintético'!$A:$H,2,0)</f>
        <v xml:space="preserve"> MPDFT0313 </v>
      </c>
      <c r="C278" s="154" t="str">
        <f ca="1">VLOOKUP(A278,'Orçamento Sintético'!$A:$H,3,0)</f>
        <v>Próprio</v>
      </c>
      <c r="D278" s="155" t="str">
        <f ca="1">VLOOKUP(A278,'Orçamento Sintético'!$A:$H,4,0)</f>
        <v>Copia da ORSE (7752) - Ralo hemisférico tipo abacaxi em ferro fundido, D = 150mm - fornecimento e instalação</v>
      </c>
      <c r="E278" s="154" t="str">
        <f ca="1">VLOOKUP(A278,'Orçamento Sintético'!$A:$H,5,0)</f>
        <v>un</v>
      </c>
      <c r="F278" s="125"/>
      <c r="G278" s="34"/>
      <c r="H278" s="34">
        <f>SUM(H279:H281)</f>
        <v>65.330000000000013</v>
      </c>
    </row>
    <row r="279" spans="1:8" ht="22.5">
      <c r="A279" s="162" t="str">
        <f ca="1">VLOOKUP(B279,'Insumos e Serviços'!$A:$F,3,0)</f>
        <v>Composição</v>
      </c>
      <c r="B279" s="162" t="s">
        <v>369</v>
      </c>
      <c r="C279" s="10" t="str">
        <f ca="1">VLOOKUP(B279,'Insumos e Serviços'!$A:$F,2,0)</f>
        <v>SINAPI</v>
      </c>
      <c r="D279" s="163" t="str">
        <f ca="1">VLOOKUP(B279,'Insumos e Serviços'!$A:$F,4,0)</f>
        <v>ENCANADOR OU BOMBEIRO HIDRÁULICO COM ENCARGOS COMPLEMENTARES</v>
      </c>
      <c r="E279" s="162" t="str">
        <f ca="1">VLOOKUP(B279,'Insumos e Serviços'!$A:$F,5,0)</f>
        <v>H</v>
      </c>
      <c r="F279" s="124">
        <v>0.5</v>
      </c>
      <c r="G279" s="165">
        <f ca="1">VLOOKUP(B279,'Insumos e Serviços'!$A:$F,6,0)</f>
        <v>22.76</v>
      </c>
      <c r="H279" s="165">
        <f>TRUNC(F279*G279,2)</f>
        <v>11.38</v>
      </c>
    </row>
    <row r="280" spans="1:8" ht="22.5">
      <c r="A280" s="162" t="str">
        <f ca="1">VLOOKUP(B280,'Insumos e Serviços'!$A:$F,3,0)</f>
        <v>Composição</v>
      </c>
      <c r="B280" s="162" t="s">
        <v>367</v>
      </c>
      <c r="C280" s="10" t="str">
        <f ca="1">VLOOKUP(B280,'Insumos e Serviços'!$A:$F,2,0)</f>
        <v>SINAPI</v>
      </c>
      <c r="D280" s="163" t="str">
        <f ca="1">VLOOKUP(B280,'Insumos e Serviços'!$A:$F,4,0)</f>
        <v>AUXILIAR DE ENCANADOR OU BOMBEIRO HIDRÁULICO COM ENCARGOS COMPLEMENTARES</v>
      </c>
      <c r="E280" s="162" t="str">
        <f ca="1">VLOOKUP(B280,'Insumos e Serviços'!$A:$F,5,0)</f>
        <v>H</v>
      </c>
      <c r="F280" s="124">
        <v>0.5</v>
      </c>
      <c r="G280" s="165">
        <f ca="1">VLOOKUP(B280,'Insumos e Serviços'!$A:$F,6,0)</f>
        <v>17.78</v>
      </c>
      <c r="H280" s="165">
        <f>TRUNC(F280*G280,2)</f>
        <v>8.89</v>
      </c>
    </row>
    <row r="281" spans="1:8" ht="15" thickBot="1">
      <c r="A281" s="162" t="str">
        <f ca="1">VLOOKUP(B281,'Insumos e Serviços'!$A:$F,3,0)</f>
        <v>Insumo</v>
      </c>
      <c r="B281" s="162" t="s">
        <v>365</v>
      </c>
      <c r="C281" s="10" t="str">
        <f ca="1">VLOOKUP(B281,'Insumos e Serviços'!$A:$F,2,0)</f>
        <v>SINAPI</v>
      </c>
      <c r="D281" s="163" t="str">
        <f ca="1">VLOOKUP(B281,'Insumos e Serviços'!$A:$F,4,0)</f>
        <v>RALO FOFO SEMIESFERICO, 150 MM, PARA LAJES/ CALHAS</v>
      </c>
      <c r="E281" s="162" t="str">
        <f ca="1">VLOOKUP(B281,'Insumos e Serviços'!$A:$F,5,0)</f>
        <v>UN</v>
      </c>
      <c r="F281" s="124">
        <v>1</v>
      </c>
      <c r="G281" s="165">
        <f ca="1">VLOOKUP(B281,'Insumos e Serviços'!$A:$F,6,0)</f>
        <v>45.06</v>
      </c>
      <c r="H281" s="165">
        <f>TRUNC(F281*G281,2)</f>
        <v>45.06</v>
      </c>
    </row>
    <row r="282" spans="1:8" ht="15" thickTop="1">
      <c r="A282" s="176"/>
      <c r="B282" s="176"/>
      <c r="C282" s="176"/>
      <c r="D282" s="176"/>
      <c r="E282" s="176"/>
      <c r="F282" s="177"/>
      <c r="G282" s="177"/>
      <c r="H282" s="177"/>
    </row>
    <row r="283" spans="1:8">
      <c r="A283" s="28" t="s">
        <v>284</v>
      </c>
      <c r="B283" s="28"/>
      <c r="C283" s="28"/>
      <c r="D283" s="156" t="str">
        <f ca="1">VLOOKUP(A283,'Orçamento Sintético'!$A:$H,4,0)</f>
        <v>INSTALAÇÕES ELÉTRICAS E ELETRÔNICAS</v>
      </c>
      <c r="E283" s="156"/>
      <c r="F283" s="157"/>
      <c r="G283" s="156"/>
      <c r="H283" s="158"/>
    </row>
    <row r="284" spans="1:8">
      <c r="A284" s="29" t="s">
        <v>286</v>
      </c>
      <c r="B284" s="29"/>
      <c r="C284" s="29"/>
      <c r="D284" s="159" t="str">
        <f ca="1">VLOOKUP(A284,'Orçamento Sintético'!$A:$H,4,0)</f>
        <v>INSTALAÇÕES ELÉTRICAS</v>
      </c>
      <c r="E284" s="159"/>
      <c r="F284" s="166"/>
      <c r="G284" s="167"/>
      <c r="H284" s="161"/>
    </row>
    <row r="285" spans="1:8">
      <c r="A285" s="33" t="s">
        <v>288</v>
      </c>
      <c r="B285" s="32"/>
      <c r="C285" s="31"/>
      <c r="D285" s="168" t="str">
        <f ca="1">VLOOKUP(A285,'Orçamento Sintético'!$A:$H,4,0)</f>
        <v>Rede Elétrica Secundária</v>
      </c>
      <c r="E285" s="168"/>
      <c r="F285" s="169"/>
      <c r="G285" s="170"/>
      <c r="H285" s="171"/>
    </row>
    <row r="286" spans="1:8" ht="56.25">
      <c r="A286" s="31" t="s">
        <v>290</v>
      </c>
      <c r="B286" s="154" t="str">
        <f ca="1">VLOOKUP(A286,'Orçamento Sintético'!$A:$H,2,0)</f>
        <v xml:space="preserve"> MPDFT0336 </v>
      </c>
      <c r="C286" s="154" t="str">
        <f ca="1">VLOOKUP(A286,'Orçamento Sintético'!$A:$H,3,0)</f>
        <v>Próprio</v>
      </c>
      <c r="D286" s="155" t="str">
        <f ca="1">VLOOKUP(A286,'Orçamento Sintético'!$A:$H,4,0)</f>
        <v>Copia da SINAPI (97587) - TIPO C: luminária retangular de sobrepor para 2 lâmpadas fluorescentes T8 de 32W, corpo em chapa de aço fosfatizada e pintada elostraticamente, refletor facetado em alumínio anodizado de alta pureza e reflectância. Fabricação Lumicenter CAN03-S232</v>
      </c>
      <c r="E286" s="154" t="str">
        <f ca="1">VLOOKUP(A286,'Orçamento Sintético'!$A:$H,5,0)</f>
        <v>un</v>
      </c>
      <c r="F286" s="125"/>
      <c r="G286" s="34"/>
      <c r="H286" s="34">
        <f>SUM(H287:H294)</f>
        <v>263.04999999999995</v>
      </c>
    </row>
    <row r="287" spans="1:8">
      <c r="A287" s="162" t="str">
        <f ca="1">VLOOKUP(B287,'Insumos e Serviços'!$A:$F,3,0)</f>
        <v>Composição</v>
      </c>
      <c r="B287" s="162" t="s">
        <v>340</v>
      </c>
      <c r="C287" s="10" t="str">
        <f ca="1">VLOOKUP(B287,'Insumos e Serviços'!$A:$F,2,0)</f>
        <v>SINAPI</v>
      </c>
      <c r="D287" s="163" t="str">
        <f ca="1">VLOOKUP(B287,'Insumos e Serviços'!$A:$F,4,0)</f>
        <v>AUXILIAR DE ELETRICISTA COM ENCARGOS COMPLEMENTARES</v>
      </c>
      <c r="E287" s="162" t="str">
        <f ca="1">VLOOKUP(B287,'Insumos e Serviços'!$A:$F,5,0)</f>
        <v>H</v>
      </c>
      <c r="F287" s="124">
        <v>0.52</v>
      </c>
      <c r="G287" s="165">
        <f ca="1">VLOOKUP(B287,'Insumos e Serviços'!$A:$F,6,0)</f>
        <v>18.28</v>
      </c>
      <c r="H287" s="165">
        <f t="shared" ref="H287:H294" si="9">TRUNC(F287*G287,2)</f>
        <v>9.5</v>
      </c>
    </row>
    <row r="288" spans="1:8">
      <c r="A288" s="162" t="str">
        <f ca="1">VLOOKUP(B288,'Insumos e Serviços'!$A:$F,3,0)</f>
        <v>Composição</v>
      </c>
      <c r="B288" s="162" t="s">
        <v>338</v>
      </c>
      <c r="C288" s="10" t="str">
        <f ca="1">VLOOKUP(B288,'Insumos e Serviços'!$A:$F,2,0)</f>
        <v>SINAPI</v>
      </c>
      <c r="D288" s="163" t="str">
        <f ca="1">VLOOKUP(B288,'Insumos e Serviços'!$A:$F,4,0)</f>
        <v>ELETRICISTA COM ENCARGOS COMPLEMENTARES</v>
      </c>
      <c r="E288" s="162" t="str">
        <f ca="1">VLOOKUP(B288,'Insumos e Serviços'!$A:$F,5,0)</f>
        <v>H</v>
      </c>
      <c r="F288" s="124">
        <v>0.7</v>
      </c>
      <c r="G288" s="165">
        <f ca="1">VLOOKUP(B288,'Insumos e Serviços'!$A:$F,6,0)</f>
        <v>23.44</v>
      </c>
      <c r="H288" s="165">
        <f t="shared" si="9"/>
        <v>16.399999999999999</v>
      </c>
    </row>
    <row r="289" spans="1:8" ht="22.5">
      <c r="A289" s="162" t="str">
        <f ca="1">VLOOKUP(B289,'Insumos e Serviços'!$A:$F,3,0)</f>
        <v>Composição</v>
      </c>
      <c r="B289" s="162" t="s">
        <v>363</v>
      </c>
      <c r="C289" s="10" t="str">
        <f ca="1">VLOOKUP(B289,'Insumos e Serviços'!$A:$F,2,0)</f>
        <v>SINAPI</v>
      </c>
      <c r="D289" s="163" t="str">
        <f ca="1">VLOOKUP(B289,'Insumos e Serviços'!$A:$F,4,0)</f>
        <v>CONDULETE DE PVC, TIPO LL, PARA ELETRODUTO DE PVC SOLDÁVEL DN 20 MM (1/2''), APARENTE - FORNECIMENTO E INSTALAÇÃO. AF_11/2016</v>
      </c>
      <c r="E289" s="162" t="str">
        <f ca="1">VLOOKUP(B289,'Insumos e Serviços'!$A:$F,5,0)</f>
        <v>UN</v>
      </c>
      <c r="F289" s="124">
        <v>1</v>
      </c>
      <c r="G289" s="165">
        <f ca="1">VLOOKUP(B289,'Insumos e Serviços'!$A:$F,6,0)</f>
        <v>24.15</v>
      </c>
      <c r="H289" s="165">
        <f t="shared" si="9"/>
        <v>24.15</v>
      </c>
    </row>
    <row r="290" spans="1:8" ht="22.5">
      <c r="A290" s="162" t="str">
        <f ca="1">VLOOKUP(B290,'Insumos e Serviços'!$A:$F,3,0)</f>
        <v>Composição</v>
      </c>
      <c r="B290" s="162" t="s">
        <v>361</v>
      </c>
      <c r="C290" s="10" t="str">
        <f ca="1">VLOOKUP(B290,'Insumos e Serviços'!$A:$F,2,0)</f>
        <v>SINAPI</v>
      </c>
      <c r="D290" s="163" t="str">
        <f ca="1">VLOOKUP(B290,'Insumos e Serviços'!$A:$F,4,0)</f>
        <v>TOMADA ALTA DE EMBUTIR (1 MÓDULO), 2P+T 10 A, INCLUINDO SUPORTE E PLACA - FORNECIMENTO E INSTALAÇÃO. AF_12/2015</v>
      </c>
      <c r="E290" s="162" t="str">
        <f ca="1">VLOOKUP(B290,'Insumos e Serviços'!$A:$F,5,0)</f>
        <v>UN</v>
      </c>
      <c r="F290" s="124">
        <v>1</v>
      </c>
      <c r="G290" s="165">
        <f ca="1">VLOOKUP(B290,'Insumos e Serviços'!$A:$F,6,0)</f>
        <v>35.4</v>
      </c>
      <c r="H290" s="165">
        <f t="shared" si="9"/>
        <v>35.4</v>
      </c>
    </row>
    <row r="291" spans="1:8">
      <c r="A291" s="162" t="str">
        <f ca="1">VLOOKUP(B291,'Insumos e Serviços'!$A:$F,3,0)</f>
        <v>Insumo</v>
      </c>
      <c r="B291" s="162" t="s">
        <v>359</v>
      </c>
      <c r="C291" s="10" t="str">
        <f ca="1">VLOOKUP(B291,'Insumos e Serviços'!$A:$F,2,0)</f>
        <v>SINAPI</v>
      </c>
      <c r="D291" s="163" t="str">
        <f ca="1">VLOOKUP(B291,'Insumos e Serviços'!$A:$F,4,0)</f>
        <v>CABO FLEXIVEL PVC 750 V, 3 CONDUTORES DE 1,5 MM2</v>
      </c>
      <c r="E291" s="162" t="str">
        <f ca="1">VLOOKUP(B291,'Insumos e Serviços'!$A:$F,5,0)</f>
        <v>M</v>
      </c>
      <c r="F291" s="124">
        <v>1.5</v>
      </c>
      <c r="G291" s="165">
        <f ca="1">VLOOKUP(B291,'Insumos e Serviços'!$A:$F,6,0)</f>
        <v>3.7</v>
      </c>
      <c r="H291" s="165">
        <f t="shared" si="9"/>
        <v>5.55</v>
      </c>
    </row>
    <row r="292" spans="1:8">
      <c r="A292" s="162" t="str">
        <f ca="1">VLOOKUP(B292,'Insumos e Serviços'!$A:$F,3,0)</f>
        <v>Insumo</v>
      </c>
      <c r="B292" s="162" t="s">
        <v>357</v>
      </c>
      <c r="C292" s="10" t="str">
        <f ca="1">VLOOKUP(B292,'Insumos e Serviços'!$A:$F,2,0)</f>
        <v>Próprio</v>
      </c>
      <c r="D292" s="163" t="str">
        <f ca="1">VLOOKUP(B292,'Insumos e Serviços'!$A:$F,4,0)</f>
        <v>Plug macho 2P+T para tomada</v>
      </c>
      <c r="E292" s="162" t="str">
        <f ca="1">VLOOKUP(B292,'Insumos e Serviços'!$A:$F,5,0)</f>
        <v>un</v>
      </c>
      <c r="F292" s="124">
        <v>1</v>
      </c>
      <c r="G292" s="165">
        <f ca="1">VLOOKUP(B292,'Insumos e Serviços'!$A:$F,6,0)</f>
        <v>2.65</v>
      </c>
      <c r="H292" s="165">
        <f t="shared" si="9"/>
        <v>2.65</v>
      </c>
    </row>
    <row r="293" spans="1:8" ht="45">
      <c r="A293" s="162" t="str">
        <f ca="1">VLOOKUP(B293,'Insumos e Serviços'!$A:$F,3,0)</f>
        <v>Insumo</v>
      </c>
      <c r="B293" s="162" t="s">
        <v>355</v>
      </c>
      <c r="C293" s="10" t="str">
        <f ca="1">VLOOKUP(B293,'Insumos e Serviços'!$A:$F,2,0)</f>
        <v>Próprio</v>
      </c>
      <c r="D293" s="163" t="str">
        <f ca="1">VLOOKUP(B293,'Insumos e Serviços'!$A:$F,4,0)</f>
        <v>Luminária retangular de sobrepor para 2 lâmpadas fluorescentes T8 de 32W, corpo em chapa de aço fosfatizada e pintada elostraticamente, refletor facetado em alumínio anodizado de alta pureza e reflectância. Fabricação Lumicenter CAN03-S232</v>
      </c>
      <c r="E293" s="162" t="str">
        <f ca="1">VLOOKUP(B293,'Insumos e Serviços'!$A:$F,5,0)</f>
        <v>un</v>
      </c>
      <c r="F293" s="124">
        <v>1</v>
      </c>
      <c r="G293" s="165">
        <f ca="1">VLOOKUP(B293,'Insumos e Serviços'!$A:$F,6,0)</f>
        <v>92</v>
      </c>
      <c r="H293" s="165">
        <f t="shared" si="9"/>
        <v>92</v>
      </c>
    </row>
    <row r="294" spans="1:8" ht="79.5" thickBot="1">
      <c r="A294" s="162" t="str">
        <f ca="1">VLOOKUP(B294,'Insumos e Serviços'!$A:$F,3,0)</f>
        <v>Insumo</v>
      </c>
      <c r="B294" s="162" t="s">
        <v>353</v>
      </c>
      <c r="C294" s="10" t="str">
        <f ca="1">VLOOKUP(B294,'Insumos e Serviços'!$A:$F,2,0)</f>
        <v>Próprio</v>
      </c>
      <c r="D294" s="163" t="str">
        <f ca="1">VLOOKUP(B294,'Insumos e Serviços'!$A:$F,4,0)</f>
        <v>Tuboled 18 a 20 W - Lâmpada tubular de LED; com base/conector G13 (2 pinos) eficiência energética maior ou igual 100 lm/W;  fluxo luminoso maior ou igual a 2000 lumens; potência menor ou igual a 20 W; vida útil mínima da lâmpada de 25.000 horas; ângulo de abertura (facho) maior ou igual a 150°; temperatura de cor de 3800 a 4200 K; índice geral de reprodução de cor (IRC) maior ou igual a 80; fator de potência 0,92 (mín.); frequência nominal de 60 Hz; comprimento de 1200 mm. Fabricação Philips Master LEDTube 1200 mm 18W 840 T8 I W</v>
      </c>
      <c r="E294" s="162" t="str">
        <f ca="1">VLOOKUP(B294,'Insumos e Serviços'!$A:$F,5,0)</f>
        <v>un</v>
      </c>
      <c r="F294" s="124">
        <v>2</v>
      </c>
      <c r="G294" s="165">
        <f ca="1">VLOOKUP(B294,'Insumos e Serviços'!$A:$F,6,0)</f>
        <v>38.700000000000003</v>
      </c>
      <c r="H294" s="165">
        <f t="shared" si="9"/>
        <v>77.400000000000006</v>
      </c>
    </row>
    <row r="295" spans="1:8" ht="15" thickTop="1">
      <c r="A295" s="176"/>
      <c r="B295" s="176"/>
      <c r="C295" s="176"/>
      <c r="D295" s="176"/>
      <c r="E295" s="176"/>
      <c r="F295" s="177"/>
      <c r="G295" s="177"/>
      <c r="H295" s="177"/>
    </row>
    <row r="296" spans="1:8" ht="22.5">
      <c r="A296" s="31" t="s">
        <v>293</v>
      </c>
      <c r="B296" s="154" t="str">
        <f ca="1">VLOOKUP(A296,'Orçamento Sintético'!$A:$H,2,0)</f>
        <v xml:space="preserve"> MPDFT0410 </v>
      </c>
      <c r="C296" s="154" t="str">
        <f ca="1">VLOOKUP(A296,'Orçamento Sintético'!$A:$H,3,0)</f>
        <v>Próprio</v>
      </c>
      <c r="D296" s="155" t="str">
        <f ca="1">VLOOKUP(A296,'Orçamento Sintético'!$A:$H,4,0)</f>
        <v>Pintura esmalte sobre tubulação de ferro, intervalo de Ø 25mm - 100mm, 2 demãos, inclusive fundo anticorrosivo</v>
      </c>
      <c r="E296" s="154" t="str">
        <f ca="1">VLOOKUP(A296,'Orçamento Sintético'!$A:$H,5,0)</f>
        <v>m</v>
      </c>
      <c r="F296" s="125"/>
      <c r="G296" s="34"/>
      <c r="H296" s="34">
        <f>SUM(H297:H302)</f>
        <v>9.07</v>
      </c>
    </row>
    <row r="297" spans="1:8">
      <c r="A297" s="162" t="str">
        <f ca="1">VLOOKUP(B297,'Insumos e Serviços'!$A:$F,3,0)</f>
        <v>Composição</v>
      </c>
      <c r="B297" s="162" t="s">
        <v>351</v>
      </c>
      <c r="C297" s="10" t="str">
        <f ca="1">VLOOKUP(B297,'Insumos e Serviços'!$A:$F,2,0)</f>
        <v>SINAPI</v>
      </c>
      <c r="D297" s="163" t="str">
        <f ca="1">VLOOKUP(B297,'Insumos e Serviços'!$A:$F,4,0)</f>
        <v>PINTOR COM ENCARGOS COMPLEMENTARES</v>
      </c>
      <c r="E297" s="162" t="str">
        <f ca="1">VLOOKUP(B297,'Insumos e Serviços'!$A:$F,5,0)</f>
        <v>H</v>
      </c>
      <c r="F297" s="124">
        <v>0.153</v>
      </c>
      <c r="G297" s="165">
        <f ca="1">VLOOKUP(B297,'Insumos e Serviços'!$A:$F,6,0)</f>
        <v>24.24</v>
      </c>
      <c r="H297" s="165">
        <f t="shared" ref="H297:H302" si="10">TRUNC(F297*G297,2)</f>
        <v>3.7</v>
      </c>
    </row>
    <row r="298" spans="1:8">
      <c r="A298" s="162" t="str">
        <f ca="1">VLOOKUP(B298,'Insumos e Serviços'!$A:$F,3,0)</f>
        <v>Composição</v>
      </c>
      <c r="B298" s="162" t="s">
        <v>335</v>
      </c>
      <c r="C298" s="10" t="str">
        <f ca="1">VLOOKUP(B298,'Insumos e Serviços'!$A:$F,2,0)</f>
        <v>SINAPI</v>
      </c>
      <c r="D298" s="163" t="str">
        <f ca="1">VLOOKUP(B298,'Insumos e Serviços'!$A:$F,4,0)</f>
        <v>SERVENTE COM ENCARGOS COMPLEMENTARES</v>
      </c>
      <c r="E298" s="162" t="str">
        <f ca="1">VLOOKUP(B298,'Insumos e Serviços'!$A:$F,5,0)</f>
        <v>H</v>
      </c>
      <c r="F298" s="124">
        <v>0.153</v>
      </c>
      <c r="G298" s="165">
        <f ca="1">VLOOKUP(B298,'Insumos e Serviços'!$A:$F,6,0)</f>
        <v>17.170000000000002</v>
      </c>
      <c r="H298" s="165">
        <f t="shared" si="10"/>
        <v>2.62</v>
      </c>
    </row>
    <row r="299" spans="1:8" ht="33.75">
      <c r="A299" s="162" t="str">
        <f ca="1">VLOOKUP(B299,'Insumos e Serviços'!$A:$F,3,0)</f>
        <v>Composição</v>
      </c>
      <c r="B299" s="162" t="s">
        <v>349</v>
      </c>
      <c r="C299" s="10" t="str">
        <f ca="1">VLOOKUP(B299,'Insumos e Serviços'!$A:$F,2,0)</f>
        <v>SINAPI</v>
      </c>
      <c r="D299" s="163" t="str">
        <f ca="1">VLOOKUP(B299,'Insumos e Serviços'!$A:$F,4,0)</f>
        <v>PINTURA COM TINTA ACRÍLICA DE FUNDO APLICADA A ROLO OU PINCEL SOBRE SUPERFÍCIES METÁLICAS (EXCETO PERFIL) EXECUTADO EM OBRA (POR DEMÃO). AF_01/2020</v>
      </c>
      <c r="E299" s="162" t="str">
        <f ca="1">VLOOKUP(B299,'Insumos e Serviços'!$A:$F,5,0)</f>
        <v>m²</v>
      </c>
      <c r="F299" s="124">
        <v>2.3E-2</v>
      </c>
      <c r="G299" s="165">
        <f ca="1">VLOOKUP(B299,'Insumos e Serviços'!$A:$F,6,0)</f>
        <v>13.17</v>
      </c>
      <c r="H299" s="165">
        <f t="shared" si="10"/>
        <v>0.3</v>
      </c>
    </row>
    <row r="300" spans="1:8">
      <c r="A300" s="162" t="str">
        <f ca="1">VLOOKUP(B300,'Insumos e Serviços'!$A:$F,3,0)</f>
        <v>Insumo</v>
      </c>
      <c r="B300" s="162" t="s">
        <v>347</v>
      </c>
      <c r="C300" s="10" t="str">
        <f ca="1">VLOOKUP(B300,'Insumos e Serviços'!$A:$F,2,0)</f>
        <v>SINAPI</v>
      </c>
      <c r="D300" s="163" t="str">
        <f ca="1">VLOOKUP(B300,'Insumos e Serviços'!$A:$F,4,0)</f>
        <v>LIXA EM FOLHA PARA FERRO, NUMERO 150</v>
      </c>
      <c r="E300" s="162" t="str">
        <f ca="1">VLOOKUP(B300,'Insumos e Serviços'!$A:$F,5,0)</f>
        <v>UN</v>
      </c>
      <c r="F300" s="124">
        <v>0.56999999999999995</v>
      </c>
      <c r="G300" s="165">
        <f ca="1">VLOOKUP(B300,'Insumos e Serviços'!$A:$F,6,0)</f>
        <v>2.95</v>
      </c>
      <c r="H300" s="165">
        <f t="shared" si="10"/>
        <v>1.68</v>
      </c>
    </row>
    <row r="301" spans="1:8">
      <c r="A301" s="162" t="str">
        <f ca="1">VLOOKUP(B301,'Insumos e Serviços'!$A:$F,3,0)</f>
        <v>Insumo</v>
      </c>
      <c r="B301" s="162" t="s">
        <v>345</v>
      </c>
      <c r="C301" s="10" t="str">
        <f ca="1">VLOOKUP(B301,'Insumos e Serviços'!$A:$F,2,0)</f>
        <v>SINAPI</v>
      </c>
      <c r="D301" s="163" t="str">
        <f ca="1">VLOOKUP(B301,'Insumos e Serviços'!$A:$F,4,0)</f>
        <v>SOLVENTE DILUENTE A BASE DE AGUARRAS</v>
      </c>
      <c r="E301" s="162" t="str">
        <f ca="1">VLOOKUP(B301,'Insumos e Serviços'!$A:$F,5,0)</f>
        <v>L</v>
      </c>
      <c r="F301" s="124">
        <v>0.01</v>
      </c>
      <c r="G301" s="165">
        <f ca="1">VLOOKUP(B301,'Insumos e Serviços'!$A:$F,6,0)</f>
        <v>11.53</v>
      </c>
      <c r="H301" s="165">
        <f t="shared" si="10"/>
        <v>0.11</v>
      </c>
    </row>
    <row r="302" spans="1:8" ht="23.25" thickBot="1">
      <c r="A302" s="162" t="str">
        <f ca="1">VLOOKUP(B302,'Insumos e Serviços'!$A:$F,3,0)</f>
        <v>Insumo</v>
      </c>
      <c r="B302" s="162" t="s">
        <v>343</v>
      </c>
      <c r="C302" s="10" t="str">
        <f ca="1">VLOOKUP(B302,'Insumos e Serviços'!$A:$F,2,0)</f>
        <v>SINAPI</v>
      </c>
      <c r="D302" s="163" t="str">
        <f ca="1">VLOOKUP(B302,'Insumos e Serviços'!$A:$F,4,0)</f>
        <v>TINTA ESMALTE SINTETICO PREMIUM DE DUPLA ACAO GRAFITE FOSCO PARA SUPERFICIES METALICAS FERROSAS</v>
      </c>
      <c r="E302" s="162" t="str">
        <f ca="1">VLOOKUP(B302,'Insumos e Serviços'!$A:$F,5,0)</f>
        <v>L</v>
      </c>
      <c r="F302" s="124">
        <v>2.3E-2</v>
      </c>
      <c r="G302" s="165">
        <f ca="1">VLOOKUP(B302,'Insumos e Serviços'!$A:$F,6,0)</f>
        <v>28.97</v>
      </c>
      <c r="H302" s="165">
        <f t="shared" si="10"/>
        <v>0.66</v>
      </c>
    </row>
    <row r="303" spans="1:8" ht="15" thickTop="1">
      <c r="A303" s="176"/>
      <c r="B303" s="176"/>
      <c r="C303" s="176"/>
      <c r="D303" s="176"/>
      <c r="E303" s="176"/>
      <c r="F303" s="177"/>
      <c r="G303" s="177"/>
      <c r="H303" s="177"/>
    </row>
    <row r="304" spans="1:8">
      <c r="A304" s="33" t="s">
        <v>296</v>
      </c>
      <c r="B304" s="32"/>
      <c r="C304" s="31"/>
      <c r="D304" s="168" t="str">
        <f ca="1">VLOOKUP(A304,'Orçamento Sintético'!$A:$H,4,0)</f>
        <v>Aterramento e Proteção Contra Descargas Atmosféricas</v>
      </c>
      <c r="E304" s="168"/>
      <c r="F304" s="169"/>
      <c r="G304" s="170"/>
      <c r="H304" s="171"/>
    </row>
    <row r="305" spans="1:8" ht="22.5">
      <c r="A305" s="31" t="s">
        <v>298</v>
      </c>
      <c r="B305" s="154" t="str">
        <f ca="1">VLOOKUP(A305,'Orçamento Sintético'!$A:$H,2,0)</f>
        <v xml:space="preserve"> MPDFT0946 </v>
      </c>
      <c r="C305" s="154" t="str">
        <f ca="1">VLOOKUP(A305,'Orçamento Sintético'!$A:$H,3,0)</f>
        <v>Próprio</v>
      </c>
      <c r="D305" s="155" t="str">
        <f ca="1">VLOOKUP(A305,'Orçamento Sintético'!$A:$H,4,0)</f>
        <v>Copia da SETOP (SPDA-CAB-025) - Reinstalação de cordoalha do SPDA, utilizando as mesmas fixações e isoladores</v>
      </c>
      <c r="E305" s="154" t="str">
        <f ca="1">VLOOKUP(A305,'Orçamento Sintético'!$A:$H,5,0)</f>
        <v>M</v>
      </c>
      <c r="F305" s="125"/>
      <c r="G305" s="34"/>
      <c r="H305" s="34">
        <f>SUM(H306:H307)</f>
        <v>29.61</v>
      </c>
    </row>
    <row r="306" spans="1:8">
      <c r="A306" s="162" t="str">
        <f ca="1">VLOOKUP(B306,'Insumos e Serviços'!$A:$F,3,0)</f>
        <v>Composição</v>
      </c>
      <c r="B306" s="162" t="s">
        <v>340</v>
      </c>
      <c r="C306" s="10" t="str">
        <f ca="1">VLOOKUP(B306,'Insumos e Serviços'!$A:$F,2,0)</f>
        <v>SINAPI</v>
      </c>
      <c r="D306" s="163" t="str">
        <f ca="1">VLOOKUP(B306,'Insumos e Serviços'!$A:$F,4,0)</f>
        <v>AUXILIAR DE ELETRICISTA COM ENCARGOS COMPLEMENTARES</v>
      </c>
      <c r="E306" s="162" t="str">
        <f ca="1">VLOOKUP(B306,'Insumos e Serviços'!$A:$F,5,0)</f>
        <v>H</v>
      </c>
      <c r="F306" s="124">
        <v>0.71</v>
      </c>
      <c r="G306" s="165">
        <f ca="1">VLOOKUP(B306,'Insumos e Serviços'!$A:$F,6,0)</f>
        <v>18.28</v>
      </c>
      <c r="H306" s="165">
        <f>TRUNC(F306*G306,2)</f>
        <v>12.97</v>
      </c>
    </row>
    <row r="307" spans="1:8">
      <c r="A307" s="162" t="str">
        <f ca="1">VLOOKUP(B307,'Insumos e Serviços'!$A:$F,3,0)</f>
        <v>Composição</v>
      </c>
      <c r="B307" s="162" t="s">
        <v>338</v>
      </c>
      <c r="C307" s="10" t="str">
        <f ca="1">VLOOKUP(B307,'Insumos e Serviços'!$A:$F,2,0)</f>
        <v>SINAPI</v>
      </c>
      <c r="D307" s="163" t="str">
        <f ca="1">VLOOKUP(B307,'Insumos e Serviços'!$A:$F,4,0)</f>
        <v>ELETRICISTA COM ENCARGOS COMPLEMENTARES</v>
      </c>
      <c r="E307" s="162" t="str">
        <f ca="1">VLOOKUP(B307,'Insumos e Serviços'!$A:$F,5,0)</f>
        <v>H</v>
      </c>
      <c r="F307" s="124">
        <v>0.71</v>
      </c>
      <c r="G307" s="165">
        <f ca="1">VLOOKUP(B307,'Insumos e Serviços'!$A:$F,6,0)</f>
        <v>23.44</v>
      </c>
      <c r="H307" s="165">
        <f>TRUNC(F307*G307,2)</f>
        <v>16.64</v>
      </c>
    </row>
  </sheetData>
  <sheetCalcPr fullCalcOnLoad="1"/>
  <mergeCells count="13">
    <mergeCell ref="A7:H7"/>
    <mergeCell ref="A6:B6"/>
    <mergeCell ref="C6:D6"/>
    <mergeCell ref="E6:F6"/>
    <mergeCell ref="G6:H6"/>
    <mergeCell ref="A4:B4"/>
    <mergeCell ref="C4:D4"/>
    <mergeCell ref="E4:F4"/>
    <mergeCell ref="G4:H4"/>
    <mergeCell ref="G1:H1"/>
    <mergeCell ref="A2:B2"/>
    <mergeCell ref="E2:F2"/>
    <mergeCell ref="G2:H2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7" fitToHeight="0" orientation="portrait" r:id="rId1"/>
  <headerFooter>
    <oddHeader>&amp;L &amp;C &amp;R</oddHeader>
    <oddFooter>&amp;L &amp;C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showGridLines="0" showOutlineSymbols="0" showWhiteSpace="0" zoomScaleNormal="100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I9" sqref="I9"/>
    </sheetView>
  </sheetViews>
  <sheetFormatPr defaultRowHeight="14.25"/>
  <cols>
    <col min="1" max="1" width="9.625" customWidth="1"/>
    <col min="2" max="2" width="7.625" customWidth="1"/>
    <col min="3" max="3" width="9.625" customWidth="1"/>
    <col min="4" max="4" width="45.625" customWidth="1"/>
    <col min="5" max="5" width="7.625" customWidth="1"/>
    <col min="6" max="6" width="12.625" customWidth="1"/>
    <col min="7" max="8" width="9.625" customWidth="1"/>
    <col min="9" max="9" width="11.125" bestFit="1" customWidth="1"/>
  </cols>
  <sheetData>
    <row r="1" spans="1:9" ht="14.25" customHeight="1">
      <c r="A1" s="100" t="str">
        <f ca="1">'Orçamento Sintético'!A1</f>
        <v>P. Execução:</v>
      </c>
      <c r="B1" s="115"/>
      <c r="C1" s="100" t="str">
        <f ca="1">'Orçamento Sintético'!C1</f>
        <v>Licitação:</v>
      </c>
      <c r="D1" s="101" t="str">
        <f ca="1">'Orçamento Sintético'!D1</f>
        <v>Objeto: Recuperação de juntas estruturais e impermeabilização das jardineiras no edifício-sede</v>
      </c>
      <c r="E1" s="100" t="str">
        <f ca="1">'Orçamento Sintético'!E1</f>
        <v>Data:</v>
      </c>
      <c r="F1" s="113"/>
      <c r="G1" s="206"/>
      <c r="H1" s="196"/>
    </row>
    <row r="2" spans="1:9" ht="14.25" customHeight="1">
      <c r="A2" s="188" t="str">
        <f ca="1">'Orçamento Sintético'!A2:B2</f>
        <v>A</v>
      </c>
      <c r="B2" s="190"/>
      <c r="C2" s="105" t="str">
        <f ca="1">'Orçamento Sintético'!C2</f>
        <v>B</v>
      </c>
      <c r="D2" s="104" t="str">
        <f ca="1">'Orçamento Sintético'!D2</f>
        <v>Local: Praça do Buriti Bloco A, Lote 2 - Zona Cívico-Administrativa - Brasília / DF</v>
      </c>
      <c r="E2" s="207">
        <f ca="1">'Orçamento Sintético'!E2:F2</f>
        <v>1</v>
      </c>
      <c r="F2" s="208"/>
      <c r="G2" s="191"/>
      <c r="H2" s="192"/>
    </row>
    <row r="3" spans="1:9">
      <c r="A3" s="106" t="str">
        <f ca="1">'Orçamento Sintético'!A3</f>
        <v>P. Validade:</v>
      </c>
      <c r="B3" s="121"/>
      <c r="C3" s="106" t="str">
        <f ca="1">'Orçamento Sintético'!C3</f>
        <v>Razão Social:</v>
      </c>
      <c r="D3" s="113"/>
      <c r="E3" s="100" t="str">
        <f ca="1">'Orçamento Sintético'!E3</f>
        <v>Telefone:</v>
      </c>
      <c r="F3" s="113"/>
      <c r="G3" s="116"/>
      <c r="H3" s="117"/>
    </row>
    <row r="4" spans="1:9">
      <c r="A4" s="188" t="str">
        <f ca="1">'Orçamento Sintético'!A4:B4</f>
        <v>C</v>
      </c>
      <c r="B4" s="190"/>
      <c r="C4" s="188" t="str">
        <f ca="1">'Orçamento Sintético'!C4:D4</f>
        <v>D</v>
      </c>
      <c r="D4" s="189"/>
      <c r="E4" s="188" t="str">
        <f ca="1">'Orçamento Sintético'!E4:F4</f>
        <v>E</v>
      </c>
      <c r="F4" s="189"/>
      <c r="G4" s="191"/>
      <c r="H4" s="192"/>
    </row>
    <row r="5" spans="1:9">
      <c r="A5" s="100" t="str">
        <f ca="1">'Orçamento Sintético'!A5</f>
        <v>P. Garantia:</v>
      </c>
      <c r="B5" s="115"/>
      <c r="C5" s="100" t="str">
        <f ca="1">'Orçamento Sintético'!C5</f>
        <v>CNPJ:</v>
      </c>
      <c r="D5" s="113"/>
      <c r="E5" s="100" t="str">
        <f ca="1">'Orçamento Sintético'!E5</f>
        <v>E-mail:</v>
      </c>
      <c r="F5" s="113"/>
      <c r="G5" s="116"/>
      <c r="H5" s="117"/>
    </row>
    <row r="6" spans="1:9">
      <c r="A6" s="188" t="str">
        <f ca="1">'Orçamento Sintético'!A6:B6</f>
        <v>F</v>
      </c>
      <c r="B6" s="190"/>
      <c r="C6" s="188" t="str">
        <f ca="1">'Orçamento Sintético'!C6:D6</f>
        <v>G</v>
      </c>
      <c r="D6" s="189"/>
      <c r="E6" s="188" t="str">
        <f ca="1">'Orçamento Sintético'!E6:F6</f>
        <v>H</v>
      </c>
      <c r="F6" s="189"/>
      <c r="G6" s="193"/>
      <c r="H6" s="194"/>
    </row>
    <row r="7" spans="1:9" ht="15">
      <c r="A7" s="209" t="s">
        <v>664</v>
      </c>
      <c r="B7" s="209"/>
      <c r="C7" s="209"/>
      <c r="D7" s="209"/>
      <c r="E7" s="209"/>
      <c r="F7" s="209"/>
      <c r="G7" s="209"/>
      <c r="H7" s="209"/>
    </row>
    <row r="8" spans="1:9" ht="25.5">
      <c r="A8" s="151" t="s">
        <v>2</v>
      </c>
      <c r="B8" s="151" t="s">
        <v>3</v>
      </c>
      <c r="C8" s="151" t="s">
        <v>607</v>
      </c>
      <c r="D8" s="151" t="s">
        <v>4</v>
      </c>
      <c r="E8" s="151" t="s">
        <v>5</v>
      </c>
      <c r="F8" s="151" t="s">
        <v>7</v>
      </c>
      <c r="G8" s="151" t="s">
        <v>660</v>
      </c>
      <c r="H8" s="151" t="s">
        <v>661</v>
      </c>
      <c r="I8" s="179"/>
    </row>
    <row r="9" spans="1:9" ht="22.5">
      <c r="A9" s="10" t="s">
        <v>430</v>
      </c>
      <c r="B9" s="10" t="s">
        <v>26</v>
      </c>
      <c r="C9" s="10" t="s">
        <v>332</v>
      </c>
      <c r="D9" s="13" t="s">
        <v>429</v>
      </c>
      <c r="E9" s="10" t="s">
        <v>428</v>
      </c>
      <c r="F9" s="12">
        <v>26.81</v>
      </c>
      <c r="G9" s="122"/>
      <c r="H9" s="122"/>
    </row>
    <row r="10" spans="1:9" ht="22.5">
      <c r="A10" s="10" t="s">
        <v>455</v>
      </c>
      <c r="B10" s="10" t="s">
        <v>26</v>
      </c>
      <c r="C10" s="10" t="s">
        <v>332</v>
      </c>
      <c r="D10" s="13" t="s">
        <v>454</v>
      </c>
      <c r="E10" s="10" t="s">
        <v>378</v>
      </c>
      <c r="F10" s="12">
        <v>13.17</v>
      </c>
      <c r="G10" s="122"/>
      <c r="H10" s="122"/>
    </row>
    <row r="11" spans="1:9" ht="22.5">
      <c r="A11" s="10" t="s">
        <v>403</v>
      </c>
      <c r="B11" s="10" t="s">
        <v>26</v>
      </c>
      <c r="C11" s="10" t="s">
        <v>332</v>
      </c>
      <c r="D11" s="13" t="s">
        <v>402</v>
      </c>
      <c r="E11" s="10" t="s">
        <v>341</v>
      </c>
      <c r="F11" s="12">
        <v>14.5</v>
      </c>
      <c r="G11" s="122"/>
      <c r="H11" s="122"/>
    </row>
    <row r="12" spans="1:9" ht="22.5">
      <c r="A12" s="10" t="s">
        <v>401</v>
      </c>
      <c r="B12" s="10" t="s">
        <v>26</v>
      </c>
      <c r="C12" s="10" t="s">
        <v>332</v>
      </c>
      <c r="D12" s="13" t="s">
        <v>400</v>
      </c>
      <c r="E12" s="10" t="s">
        <v>378</v>
      </c>
      <c r="F12" s="12">
        <v>11.73</v>
      </c>
      <c r="G12" s="122"/>
      <c r="H12" s="122"/>
    </row>
    <row r="13" spans="1:9">
      <c r="A13" s="10" t="s">
        <v>473</v>
      </c>
      <c r="B13" s="10" t="s">
        <v>26</v>
      </c>
      <c r="C13" s="10" t="s">
        <v>332</v>
      </c>
      <c r="D13" s="13" t="s">
        <v>472</v>
      </c>
      <c r="E13" s="10" t="s">
        <v>28</v>
      </c>
      <c r="F13" s="12">
        <v>18.22</v>
      </c>
      <c r="G13" s="122" t="s">
        <v>662</v>
      </c>
      <c r="H13" s="122" t="s">
        <v>663</v>
      </c>
    </row>
    <row r="14" spans="1:9" ht="22.5">
      <c r="A14" s="10" t="s">
        <v>465</v>
      </c>
      <c r="B14" s="10" t="s">
        <v>26</v>
      </c>
      <c r="C14" s="10" t="s">
        <v>332</v>
      </c>
      <c r="D14" s="13" t="s">
        <v>464</v>
      </c>
      <c r="E14" s="10" t="s">
        <v>108</v>
      </c>
      <c r="F14" s="12">
        <v>0.7</v>
      </c>
      <c r="G14" s="122" t="s">
        <v>662</v>
      </c>
      <c r="H14" s="122" t="s">
        <v>663</v>
      </c>
    </row>
    <row r="15" spans="1:9">
      <c r="A15" s="10" t="s">
        <v>347</v>
      </c>
      <c r="B15" s="10" t="s">
        <v>26</v>
      </c>
      <c r="C15" s="10" t="s">
        <v>332</v>
      </c>
      <c r="D15" s="13" t="s">
        <v>346</v>
      </c>
      <c r="E15" s="10" t="s">
        <v>108</v>
      </c>
      <c r="F15" s="12">
        <v>2.95</v>
      </c>
      <c r="G15" s="122" t="s">
        <v>662</v>
      </c>
      <c r="H15" s="122" t="s">
        <v>663</v>
      </c>
    </row>
    <row r="16" spans="1:9" ht="22.5">
      <c r="A16" s="10" t="s">
        <v>407</v>
      </c>
      <c r="B16" s="10" t="s">
        <v>26</v>
      </c>
      <c r="C16" s="10" t="s">
        <v>332</v>
      </c>
      <c r="D16" s="13" t="s">
        <v>406</v>
      </c>
      <c r="E16" s="10" t="s">
        <v>43</v>
      </c>
      <c r="F16" s="12">
        <v>42.71</v>
      </c>
      <c r="G16" s="122"/>
      <c r="H16" s="122"/>
    </row>
    <row r="17" spans="1:8" ht="22.5">
      <c r="A17" s="10" t="s">
        <v>457</v>
      </c>
      <c r="B17" s="10" t="s">
        <v>26</v>
      </c>
      <c r="C17" s="10" t="s">
        <v>332</v>
      </c>
      <c r="D17" s="13" t="s">
        <v>456</v>
      </c>
      <c r="E17" s="10" t="s">
        <v>43</v>
      </c>
      <c r="F17" s="12">
        <v>6.12</v>
      </c>
      <c r="G17" s="122"/>
      <c r="H17" s="122"/>
    </row>
    <row r="18" spans="1:8">
      <c r="A18" s="10" t="s">
        <v>405</v>
      </c>
      <c r="B18" s="10" t="s">
        <v>26</v>
      </c>
      <c r="C18" s="10" t="s">
        <v>332</v>
      </c>
      <c r="D18" s="13" t="s">
        <v>404</v>
      </c>
      <c r="E18" s="10" t="s">
        <v>378</v>
      </c>
      <c r="F18" s="12">
        <v>5.93</v>
      </c>
      <c r="G18" s="122" t="s">
        <v>662</v>
      </c>
      <c r="H18" s="122" t="s">
        <v>663</v>
      </c>
    </row>
    <row r="19" spans="1:8">
      <c r="A19" s="10" t="s">
        <v>345</v>
      </c>
      <c r="B19" s="10" t="s">
        <v>26</v>
      </c>
      <c r="C19" s="10" t="s">
        <v>332</v>
      </c>
      <c r="D19" s="13" t="s">
        <v>344</v>
      </c>
      <c r="E19" s="10" t="s">
        <v>341</v>
      </c>
      <c r="F19" s="12">
        <v>11.53</v>
      </c>
      <c r="G19" s="122"/>
      <c r="H19" s="122"/>
    </row>
    <row r="20" spans="1:8" ht="22.5">
      <c r="A20" s="10" t="s">
        <v>500</v>
      </c>
      <c r="B20" s="10" t="s">
        <v>26</v>
      </c>
      <c r="C20" s="10" t="s">
        <v>333</v>
      </c>
      <c r="D20" s="13" t="s">
        <v>499</v>
      </c>
      <c r="E20" s="10" t="s">
        <v>336</v>
      </c>
      <c r="F20" s="12">
        <v>21.22</v>
      </c>
      <c r="G20" s="122" t="s">
        <v>662</v>
      </c>
      <c r="H20" s="122" t="s">
        <v>663</v>
      </c>
    </row>
    <row r="21" spans="1:8" ht="22.5">
      <c r="A21" s="10" t="s">
        <v>498</v>
      </c>
      <c r="B21" s="10" t="s">
        <v>26</v>
      </c>
      <c r="C21" s="10" t="s">
        <v>333</v>
      </c>
      <c r="D21" s="13" t="s">
        <v>497</v>
      </c>
      <c r="E21" s="10" t="s">
        <v>491</v>
      </c>
      <c r="F21" s="12">
        <v>19.77</v>
      </c>
      <c r="G21" s="122" t="s">
        <v>662</v>
      </c>
      <c r="H21" s="122" t="s">
        <v>663</v>
      </c>
    </row>
    <row r="22" spans="1:8" ht="22.5">
      <c r="A22" s="10" t="s">
        <v>212</v>
      </c>
      <c r="B22" s="10" t="s">
        <v>26</v>
      </c>
      <c r="C22" s="10" t="s">
        <v>333</v>
      </c>
      <c r="D22" s="13" t="s">
        <v>213</v>
      </c>
      <c r="E22" s="10" t="s">
        <v>43</v>
      </c>
      <c r="F22" s="12">
        <v>44.45</v>
      </c>
      <c r="G22" s="122"/>
      <c r="H22" s="122"/>
    </row>
    <row r="23" spans="1:8" ht="33.75">
      <c r="A23" s="10" t="s">
        <v>485</v>
      </c>
      <c r="B23" s="10" t="s">
        <v>26</v>
      </c>
      <c r="C23" s="10" t="s">
        <v>332</v>
      </c>
      <c r="D23" s="13" t="s">
        <v>484</v>
      </c>
      <c r="E23" s="10" t="s">
        <v>43</v>
      </c>
      <c r="F23" s="12">
        <v>23.5</v>
      </c>
      <c r="G23" s="122" t="s">
        <v>662</v>
      </c>
      <c r="H23" s="122" t="s">
        <v>663</v>
      </c>
    </row>
    <row r="24" spans="1:8" ht="22.5">
      <c r="A24" s="10" t="s">
        <v>343</v>
      </c>
      <c r="B24" s="10" t="s">
        <v>26</v>
      </c>
      <c r="C24" s="10" t="s">
        <v>332</v>
      </c>
      <c r="D24" s="13" t="s">
        <v>342</v>
      </c>
      <c r="E24" s="10" t="s">
        <v>341</v>
      </c>
      <c r="F24" s="12">
        <v>28.97</v>
      </c>
      <c r="G24" s="122" t="s">
        <v>662</v>
      </c>
      <c r="H24" s="122" t="s">
        <v>663</v>
      </c>
    </row>
    <row r="25" spans="1:8" ht="22.5">
      <c r="A25" s="10" t="s">
        <v>411</v>
      </c>
      <c r="B25" s="10" t="s">
        <v>26</v>
      </c>
      <c r="C25" s="10" t="s">
        <v>332</v>
      </c>
      <c r="D25" s="13" t="s">
        <v>410</v>
      </c>
      <c r="E25" s="10" t="s">
        <v>341</v>
      </c>
      <c r="F25" s="12">
        <v>11.39</v>
      </c>
      <c r="G25" s="122"/>
      <c r="H25" s="122"/>
    </row>
    <row r="26" spans="1:8" ht="33.75">
      <c r="A26" s="10" t="s">
        <v>373</v>
      </c>
      <c r="B26" s="10" t="s">
        <v>26</v>
      </c>
      <c r="C26" s="10" t="s">
        <v>332</v>
      </c>
      <c r="D26" s="13" t="s">
        <v>372</v>
      </c>
      <c r="E26" s="10" t="s">
        <v>108</v>
      </c>
      <c r="F26" s="12">
        <v>0.98</v>
      </c>
      <c r="G26" s="122" t="s">
        <v>662</v>
      </c>
      <c r="H26" s="122" t="s">
        <v>663</v>
      </c>
    </row>
    <row r="27" spans="1:8" ht="33.75">
      <c r="A27" s="10" t="s">
        <v>33</v>
      </c>
      <c r="B27" s="10" t="s">
        <v>26</v>
      </c>
      <c r="C27" s="10" t="s">
        <v>332</v>
      </c>
      <c r="D27" s="13" t="s">
        <v>34</v>
      </c>
      <c r="E27" s="10" t="s">
        <v>35</v>
      </c>
      <c r="F27" s="12">
        <v>12</v>
      </c>
      <c r="G27" s="122" t="s">
        <v>662</v>
      </c>
      <c r="H27" s="122" t="s">
        <v>663</v>
      </c>
    </row>
    <row r="28" spans="1:8" ht="33.75">
      <c r="A28" s="10" t="s">
        <v>389</v>
      </c>
      <c r="B28" s="10" t="s">
        <v>26</v>
      </c>
      <c r="C28" s="10" t="s">
        <v>332</v>
      </c>
      <c r="D28" s="13" t="s">
        <v>388</v>
      </c>
      <c r="E28" s="10" t="s">
        <v>43</v>
      </c>
      <c r="F28" s="12">
        <v>425.15</v>
      </c>
      <c r="G28" s="122" t="s">
        <v>662</v>
      </c>
      <c r="H28" s="122" t="s">
        <v>663</v>
      </c>
    </row>
    <row r="29" spans="1:8">
      <c r="A29" s="10" t="s">
        <v>365</v>
      </c>
      <c r="B29" s="10" t="s">
        <v>26</v>
      </c>
      <c r="C29" s="10" t="s">
        <v>332</v>
      </c>
      <c r="D29" s="13" t="s">
        <v>364</v>
      </c>
      <c r="E29" s="10" t="s">
        <v>108</v>
      </c>
      <c r="F29" s="12">
        <v>45.06</v>
      </c>
      <c r="G29" s="122" t="s">
        <v>662</v>
      </c>
      <c r="H29" s="122" t="s">
        <v>663</v>
      </c>
    </row>
    <row r="30" spans="1:8">
      <c r="A30" s="10" t="s">
        <v>447</v>
      </c>
      <c r="B30" s="10" t="s">
        <v>26</v>
      </c>
      <c r="C30" s="10" t="s">
        <v>332</v>
      </c>
      <c r="D30" s="13" t="s">
        <v>446</v>
      </c>
      <c r="E30" s="10" t="s">
        <v>108</v>
      </c>
      <c r="F30" s="12">
        <v>7.84</v>
      </c>
      <c r="G30" s="122" t="s">
        <v>662</v>
      </c>
      <c r="H30" s="122" t="s">
        <v>663</v>
      </c>
    </row>
    <row r="31" spans="1:8">
      <c r="A31" s="10" t="s">
        <v>380</v>
      </c>
      <c r="B31" s="10" t="s">
        <v>26</v>
      </c>
      <c r="C31" s="10" t="s">
        <v>332</v>
      </c>
      <c r="D31" s="13" t="s">
        <v>379</v>
      </c>
      <c r="E31" s="10" t="s">
        <v>378</v>
      </c>
      <c r="F31" s="12">
        <v>0.83</v>
      </c>
      <c r="G31" s="122"/>
      <c r="H31" s="122"/>
    </row>
    <row r="32" spans="1:8">
      <c r="A32" s="10" t="s">
        <v>399</v>
      </c>
      <c r="B32" s="10" t="s">
        <v>26</v>
      </c>
      <c r="C32" s="10" t="s">
        <v>332</v>
      </c>
      <c r="D32" s="13" t="s">
        <v>398</v>
      </c>
      <c r="E32" s="10" t="s">
        <v>378</v>
      </c>
      <c r="F32" s="12">
        <v>2.64</v>
      </c>
      <c r="G32" s="122"/>
      <c r="H32" s="122"/>
    </row>
    <row r="33" spans="1:8">
      <c r="A33" s="10" t="s">
        <v>359</v>
      </c>
      <c r="B33" s="10" t="s">
        <v>26</v>
      </c>
      <c r="C33" s="10" t="s">
        <v>332</v>
      </c>
      <c r="D33" s="13" t="s">
        <v>358</v>
      </c>
      <c r="E33" s="10" t="s">
        <v>28</v>
      </c>
      <c r="F33" s="12">
        <v>3.7</v>
      </c>
      <c r="G33" s="122"/>
      <c r="H33" s="122"/>
    </row>
    <row r="34" spans="1:8" ht="22.5">
      <c r="A34" s="10" t="s">
        <v>481</v>
      </c>
      <c r="B34" s="10" t="s">
        <v>26</v>
      </c>
      <c r="C34" s="10" t="s">
        <v>332</v>
      </c>
      <c r="D34" s="13" t="s">
        <v>480</v>
      </c>
      <c r="E34" s="10" t="s">
        <v>43</v>
      </c>
      <c r="F34" s="12">
        <v>136.11000000000001</v>
      </c>
      <c r="G34" s="122"/>
      <c r="H34" s="122"/>
    </row>
    <row r="35" spans="1:8">
      <c r="A35" s="10" t="s">
        <v>397</v>
      </c>
      <c r="B35" s="10" t="s">
        <v>26</v>
      </c>
      <c r="C35" s="10" t="s">
        <v>332</v>
      </c>
      <c r="D35" s="13" t="s">
        <v>396</v>
      </c>
      <c r="E35" s="10" t="s">
        <v>378</v>
      </c>
      <c r="F35" s="12">
        <v>1.38</v>
      </c>
      <c r="G35" s="122"/>
      <c r="H35" s="122"/>
    </row>
    <row r="36" spans="1:8">
      <c r="A36" s="10" t="s">
        <v>479</v>
      </c>
      <c r="B36" s="10" t="s">
        <v>26</v>
      </c>
      <c r="C36" s="10" t="s">
        <v>332</v>
      </c>
      <c r="D36" s="13" t="s">
        <v>478</v>
      </c>
      <c r="E36" s="10" t="s">
        <v>378</v>
      </c>
      <c r="F36" s="12">
        <v>1.58</v>
      </c>
      <c r="G36" s="122"/>
      <c r="H36" s="122"/>
    </row>
    <row r="37" spans="1:8" ht="22.5">
      <c r="A37" s="10" t="s">
        <v>471</v>
      </c>
      <c r="B37" s="10" t="s">
        <v>26</v>
      </c>
      <c r="C37" s="10" t="s">
        <v>332</v>
      </c>
      <c r="D37" s="13" t="s">
        <v>470</v>
      </c>
      <c r="E37" s="10" t="s">
        <v>43</v>
      </c>
      <c r="F37" s="12">
        <v>12.62</v>
      </c>
      <c r="G37" s="122"/>
      <c r="H37" s="122"/>
    </row>
    <row r="38" spans="1:8" ht="22.5">
      <c r="A38" s="10" t="s">
        <v>467</v>
      </c>
      <c r="B38" s="10" t="s">
        <v>26</v>
      </c>
      <c r="C38" s="10" t="s">
        <v>332</v>
      </c>
      <c r="D38" s="13" t="s">
        <v>466</v>
      </c>
      <c r="E38" s="10" t="s">
        <v>28</v>
      </c>
      <c r="F38" s="12">
        <v>0.14000000000000001</v>
      </c>
      <c r="G38" s="122"/>
      <c r="H38" s="122"/>
    </row>
    <row r="39" spans="1:8" ht="33.75">
      <c r="A39" s="10" t="s">
        <v>469</v>
      </c>
      <c r="B39" s="10" t="s">
        <v>26</v>
      </c>
      <c r="C39" s="10" t="s">
        <v>332</v>
      </c>
      <c r="D39" s="13" t="s">
        <v>468</v>
      </c>
      <c r="E39" s="10" t="s">
        <v>378</v>
      </c>
      <c r="F39" s="12">
        <v>2.48</v>
      </c>
      <c r="G39" s="122"/>
      <c r="H39" s="122"/>
    </row>
    <row r="40" spans="1:8">
      <c r="A40" s="10" t="s">
        <v>493</v>
      </c>
      <c r="B40" s="10" t="s">
        <v>26</v>
      </c>
      <c r="C40" s="10" t="s">
        <v>333</v>
      </c>
      <c r="D40" s="13" t="s">
        <v>492</v>
      </c>
      <c r="E40" s="10" t="s">
        <v>47</v>
      </c>
      <c r="F40" s="12">
        <v>21.5</v>
      </c>
      <c r="G40" s="122" t="s">
        <v>662</v>
      </c>
      <c r="H40" s="122" t="s">
        <v>663</v>
      </c>
    </row>
    <row r="41" spans="1:8" ht="33.75">
      <c r="A41" s="10" t="s">
        <v>463</v>
      </c>
      <c r="B41" s="10" t="s">
        <v>26</v>
      </c>
      <c r="C41" s="10" t="s">
        <v>333</v>
      </c>
      <c r="D41" s="13" t="s">
        <v>462</v>
      </c>
      <c r="E41" s="10" t="s">
        <v>47</v>
      </c>
      <c r="F41" s="12">
        <v>469.31</v>
      </c>
      <c r="G41" s="122" t="s">
        <v>662</v>
      </c>
      <c r="H41" s="122" t="s">
        <v>663</v>
      </c>
    </row>
    <row r="42" spans="1:8" ht="33.75">
      <c r="A42" s="10" t="s">
        <v>459</v>
      </c>
      <c r="B42" s="10" t="s">
        <v>26</v>
      </c>
      <c r="C42" s="10" t="s">
        <v>333</v>
      </c>
      <c r="D42" s="13" t="s">
        <v>458</v>
      </c>
      <c r="E42" s="10" t="s">
        <v>47</v>
      </c>
      <c r="F42" s="12">
        <v>432.1</v>
      </c>
      <c r="G42" s="122" t="s">
        <v>662</v>
      </c>
      <c r="H42" s="122" t="s">
        <v>663</v>
      </c>
    </row>
    <row r="43" spans="1:8" ht="33.75">
      <c r="A43" s="10" t="s">
        <v>141</v>
      </c>
      <c r="B43" s="10" t="s">
        <v>26</v>
      </c>
      <c r="C43" s="10" t="s">
        <v>333</v>
      </c>
      <c r="D43" s="13" t="s">
        <v>142</v>
      </c>
      <c r="E43" s="10" t="s">
        <v>43</v>
      </c>
      <c r="F43" s="12">
        <v>27.79</v>
      </c>
      <c r="G43" s="122" t="s">
        <v>662</v>
      </c>
      <c r="H43" s="122" t="s">
        <v>663</v>
      </c>
    </row>
    <row r="44" spans="1:8" ht="45">
      <c r="A44" s="10" t="s">
        <v>149</v>
      </c>
      <c r="B44" s="10" t="s">
        <v>26</v>
      </c>
      <c r="C44" s="10" t="s">
        <v>333</v>
      </c>
      <c r="D44" s="13" t="s">
        <v>150</v>
      </c>
      <c r="E44" s="10" t="s">
        <v>43</v>
      </c>
      <c r="F44" s="12">
        <v>40.119999999999997</v>
      </c>
      <c r="G44" s="122" t="s">
        <v>662</v>
      </c>
      <c r="H44" s="122" t="s">
        <v>663</v>
      </c>
    </row>
    <row r="45" spans="1:8" ht="45">
      <c r="A45" s="10" t="s">
        <v>146</v>
      </c>
      <c r="B45" s="10" t="s">
        <v>26</v>
      </c>
      <c r="C45" s="10" t="s">
        <v>333</v>
      </c>
      <c r="D45" s="13" t="s">
        <v>147</v>
      </c>
      <c r="E45" s="10" t="s">
        <v>43</v>
      </c>
      <c r="F45" s="12">
        <v>5.61</v>
      </c>
      <c r="G45" s="122" t="s">
        <v>662</v>
      </c>
      <c r="H45" s="122" t="s">
        <v>663</v>
      </c>
    </row>
    <row r="46" spans="1:8" ht="45">
      <c r="A46" s="10" t="s">
        <v>419</v>
      </c>
      <c r="B46" s="10" t="s">
        <v>26</v>
      </c>
      <c r="C46" s="10" t="s">
        <v>333</v>
      </c>
      <c r="D46" s="13" t="s">
        <v>418</v>
      </c>
      <c r="E46" s="10" t="s">
        <v>43</v>
      </c>
      <c r="F46" s="12">
        <v>7.48</v>
      </c>
      <c r="G46" s="122" t="s">
        <v>662</v>
      </c>
      <c r="H46" s="122" t="s">
        <v>663</v>
      </c>
    </row>
    <row r="47" spans="1:8">
      <c r="A47" s="10" t="s">
        <v>477</v>
      </c>
      <c r="B47" s="10" t="s">
        <v>26</v>
      </c>
      <c r="C47" s="10" t="s">
        <v>333</v>
      </c>
      <c r="D47" s="13" t="s">
        <v>476</v>
      </c>
      <c r="E47" s="10" t="s">
        <v>323</v>
      </c>
      <c r="F47" s="12">
        <v>17.170000000000002</v>
      </c>
      <c r="G47" s="122" t="s">
        <v>662</v>
      </c>
      <c r="H47" s="122" t="s">
        <v>663</v>
      </c>
    </row>
    <row r="48" spans="1:8">
      <c r="A48" s="10" t="s">
        <v>409</v>
      </c>
      <c r="B48" s="10" t="s">
        <v>26</v>
      </c>
      <c r="C48" s="10" t="s">
        <v>333</v>
      </c>
      <c r="D48" s="13" t="s">
        <v>408</v>
      </c>
      <c r="E48" s="10" t="s">
        <v>323</v>
      </c>
      <c r="F48" s="12">
        <v>20.39</v>
      </c>
      <c r="G48" s="122" t="s">
        <v>662</v>
      </c>
      <c r="H48" s="122" t="s">
        <v>663</v>
      </c>
    </row>
    <row r="49" spans="1:8">
      <c r="A49" s="10" t="s">
        <v>487</v>
      </c>
      <c r="B49" s="10" t="s">
        <v>26</v>
      </c>
      <c r="C49" s="10" t="s">
        <v>333</v>
      </c>
      <c r="D49" s="13" t="s">
        <v>486</v>
      </c>
      <c r="E49" s="10" t="s">
        <v>323</v>
      </c>
      <c r="F49" s="12">
        <v>23.13</v>
      </c>
      <c r="G49" s="122" t="s">
        <v>662</v>
      </c>
      <c r="H49" s="122" t="s">
        <v>663</v>
      </c>
    </row>
    <row r="50" spans="1:8">
      <c r="A50" s="10" t="s">
        <v>340</v>
      </c>
      <c r="B50" s="10" t="s">
        <v>26</v>
      </c>
      <c r="C50" s="10" t="s">
        <v>333</v>
      </c>
      <c r="D50" s="13" t="s">
        <v>339</v>
      </c>
      <c r="E50" s="10" t="s">
        <v>323</v>
      </c>
      <c r="F50" s="12">
        <v>18.28</v>
      </c>
      <c r="G50" s="122" t="s">
        <v>662</v>
      </c>
      <c r="H50" s="122" t="s">
        <v>663</v>
      </c>
    </row>
    <row r="51" spans="1:8" ht="22.5">
      <c r="A51" s="10" t="s">
        <v>367</v>
      </c>
      <c r="B51" s="10" t="s">
        <v>26</v>
      </c>
      <c r="C51" s="10" t="s">
        <v>333</v>
      </c>
      <c r="D51" s="13" t="s">
        <v>366</v>
      </c>
      <c r="E51" s="10" t="s">
        <v>323</v>
      </c>
      <c r="F51" s="12">
        <v>17.78</v>
      </c>
      <c r="G51" s="122" t="s">
        <v>662</v>
      </c>
      <c r="H51" s="122" t="s">
        <v>663</v>
      </c>
    </row>
    <row r="52" spans="1:8">
      <c r="A52" s="10" t="s">
        <v>377</v>
      </c>
      <c r="B52" s="10" t="s">
        <v>26</v>
      </c>
      <c r="C52" s="10" t="s">
        <v>333</v>
      </c>
      <c r="D52" s="13" t="s">
        <v>376</v>
      </c>
      <c r="E52" s="10" t="s">
        <v>323</v>
      </c>
      <c r="F52" s="12">
        <v>18.84</v>
      </c>
      <c r="G52" s="122" t="s">
        <v>662</v>
      </c>
      <c r="H52" s="122" t="s">
        <v>663</v>
      </c>
    </row>
    <row r="53" spans="1:8">
      <c r="A53" s="10" t="s">
        <v>483</v>
      </c>
      <c r="B53" s="10" t="s">
        <v>26</v>
      </c>
      <c r="C53" s="10" t="s">
        <v>333</v>
      </c>
      <c r="D53" s="13" t="s">
        <v>482</v>
      </c>
      <c r="E53" s="10" t="s">
        <v>323</v>
      </c>
      <c r="F53" s="12">
        <v>23.17</v>
      </c>
      <c r="G53" s="122" t="s">
        <v>662</v>
      </c>
      <c r="H53" s="122" t="s">
        <v>663</v>
      </c>
    </row>
    <row r="54" spans="1:8">
      <c r="A54" s="10" t="s">
        <v>338</v>
      </c>
      <c r="B54" s="10" t="s">
        <v>26</v>
      </c>
      <c r="C54" s="10" t="s">
        <v>333</v>
      </c>
      <c r="D54" s="13" t="s">
        <v>337</v>
      </c>
      <c r="E54" s="10" t="s">
        <v>323</v>
      </c>
      <c r="F54" s="12">
        <v>23.44</v>
      </c>
      <c r="G54" s="122" t="s">
        <v>662</v>
      </c>
      <c r="H54" s="122" t="s">
        <v>663</v>
      </c>
    </row>
    <row r="55" spans="1:8" ht="22.5">
      <c r="A55" s="10" t="s">
        <v>369</v>
      </c>
      <c r="B55" s="10" t="s">
        <v>26</v>
      </c>
      <c r="C55" s="10" t="s">
        <v>333</v>
      </c>
      <c r="D55" s="13" t="s">
        <v>368</v>
      </c>
      <c r="E55" s="10" t="s">
        <v>323</v>
      </c>
      <c r="F55" s="12">
        <v>22.76</v>
      </c>
      <c r="G55" s="122" t="s">
        <v>662</v>
      </c>
      <c r="H55" s="122" t="s">
        <v>663</v>
      </c>
    </row>
    <row r="56" spans="1:8">
      <c r="A56" s="10" t="s">
        <v>475</v>
      </c>
      <c r="B56" s="10" t="s">
        <v>26</v>
      </c>
      <c r="C56" s="10" t="s">
        <v>333</v>
      </c>
      <c r="D56" s="13" t="s">
        <v>474</v>
      </c>
      <c r="E56" s="10" t="s">
        <v>323</v>
      </c>
      <c r="F56" s="12">
        <v>23.13</v>
      </c>
      <c r="G56" s="122" t="s">
        <v>662</v>
      </c>
      <c r="H56" s="122" t="s">
        <v>663</v>
      </c>
    </row>
    <row r="57" spans="1:8">
      <c r="A57" s="10" t="s">
        <v>391</v>
      </c>
      <c r="B57" s="10" t="s">
        <v>26</v>
      </c>
      <c r="C57" s="10" t="s">
        <v>333</v>
      </c>
      <c r="D57" s="13" t="s">
        <v>390</v>
      </c>
      <c r="E57" s="10" t="s">
        <v>323</v>
      </c>
      <c r="F57" s="12">
        <v>23.25</v>
      </c>
      <c r="G57" s="122" t="s">
        <v>662</v>
      </c>
      <c r="H57" s="122" t="s">
        <v>663</v>
      </c>
    </row>
    <row r="58" spans="1:8">
      <c r="A58" s="10" t="s">
        <v>393</v>
      </c>
      <c r="B58" s="10" t="s">
        <v>26</v>
      </c>
      <c r="C58" s="10" t="s">
        <v>333</v>
      </c>
      <c r="D58" s="13" t="s">
        <v>392</v>
      </c>
      <c r="E58" s="10" t="s">
        <v>323</v>
      </c>
      <c r="F58" s="12">
        <v>19.39</v>
      </c>
      <c r="G58" s="122" t="s">
        <v>662</v>
      </c>
      <c r="H58" s="122" t="s">
        <v>663</v>
      </c>
    </row>
    <row r="59" spans="1:8">
      <c r="A59" s="10" t="s">
        <v>413</v>
      </c>
      <c r="B59" s="10" t="s">
        <v>26</v>
      </c>
      <c r="C59" s="10" t="s">
        <v>333</v>
      </c>
      <c r="D59" s="13" t="s">
        <v>412</v>
      </c>
      <c r="E59" s="10" t="s">
        <v>323</v>
      </c>
      <c r="F59" s="12">
        <v>23.25</v>
      </c>
      <c r="G59" s="122" t="s">
        <v>662</v>
      </c>
      <c r="H59" s="122" t="s">
        <v>663</v>
      </c>
    </row>
    <row r="60" spans="1:8">
      <c r="A60" s="10" t="s">
        <v>351</v>
      </c>
      <c r="B60" s="10" t="s">
        <v>26</v>
      </c>
      <c r="C60" s="10" t="s">
        <v>333</v>
      </c>
      <c r="D60" s="13" t="s">
        <v>350</v>
      </c>
      <c r="E60" s="10" t="s">
        <v>323</v>
      </c>
      <c r="F60" s="12">
        <v>24.24</v>
      </c>
      <c r="G60" s="122" t="s">
        <v>662</v>
      </c>
      <c r="H60" s="122" t="s">
        <v>663</v>
      </c>
    </row>
    <row r="61" spans="1:8">
      <c r="A61" s="10" t="s">
        <v>375</v>
      </c>
      <c r="B61" s="10" t="s">
        <v>26</v>
      </c>
      <c r="C61" s="10" t="s">
        <v>333</v>
      </c>
      <c r="D61" s="13" t="s">
        <v>374</v>
      </c>
      <c r="E61" s="10" t="s">
        <v>323</v>
      </c>
      <c r="F61" s="12">
        <v>23.13</v>
      </c>
      <c r="G61" s="122" t="s">
        <v>662</v>
      </c>
      <c r="H61" s="122" t="s">
        <v>663</v>
      </c>
    </row>
    <row r="62" spans="1:8">
      <c r="A62" s="10" t="s">
        <v>335</v>
      </c>
      <c r="B62" s="10" t="s">
        <v>26</v>
      </c>
      <c r="C62" s="10" t="s">
        <v>333</v>
      </c>
      <c r="D62" s="13" t="s">
        <v>334</v>
      </c>
      <c r="E62" s="10" t="s">
        <v>323</v>
      </c>
      <c r="F62" s="12">
        <v>17.170000000000002</v>
      </c>
      <c r="G62" s="122" t="s">
        <v>662</v>
      </c>
      <c r="H62" s="122" t="s">
        <v>663</v>
      </c>
    </row>
    <row r="63" spans="1:8" ht="22.5">
      <c r="A63" s="10" t="s">
        <v>180</v>
      </c>
      <c r="B63" s="10" t="s">
        <v>26</v>
      </c>
      <c r="C63" s="10" t="s">
        <v>333</v>
      </c>
      <c r="D63" s="13" t="s">
        <v>181</v>
      </c>
      <c r="E63" s="10" t="s">
        <v>43</v>
      </c>
      <c r="F63" s="12">
        <v>2.87</v>
      </c>
      <c r="G63" s="122"/>
      <c r="H63" s="122"/>
    </row>
    <row r="64" spans="1:8" ht="22.5">
      <c r="A64" s="10" t="s">
        <v>183</v>
      </c>
      <c r="B64" s="10" t="s">
        <v>26</v>
      </c>
      <c r="C64" s="10" t="s">
        <v>333</v>
      </c>
      <c r="D64" s="13" t="s">
        <v>184</v>
      </c>
      <c r="E64" s="10" t="s">
        <v>43</v>
      </c>
      <c r="F64" s="12">
        <v>2.5</v>
      </c>
      <c r="G64" s="122"/>
      <c r="H64" s="122"/>
    </row>
    <row r="65" spans="1:8" ht="22.5">
      <c r="A65" s="10" t="s">
        <v>177</v>
      </c>
      <c r="B65" s="10" t="s">
        <v>26</v>
      </c>
      <c r="C65" s="10" t="s">
        <v>333</v>
      </c>
      <c r="D65" s="13" t="s">
        <v>178</v>
      </c>
      <c r="E65" s="10" t="s">
        <v>43</v>
      </c>
      <c r="F65" s="12">
        <v>11.59</v>
      </c>
      <c r="G65" s="122"/>
      <c r="H65" s="122"/>
    </row>
    <row r="66" spans="1:8" ht="22.5">
      <c r="A66" s="10" t="s">
        <v>186</v>
      </c>
      <c r="B66" s="10" t="s">
        <v>26</v>
      </c>
      <c r="C66" s="10" t="s">
        <v>333</v>
      </c>
      <c r="D66" s="13" t="s">
        <v>187</v>
      </c>
      <c r="E66" s="10" t="s">
        <v>43</v>
      </c>
      <c r="F66" s="12">
        <v>12.12</v>
      </c>
      <c r="G66" s="122"/>
      <c r="H66" s="122"/>
    </row>
    <row r="67" spans="1:8" ht="22.5">
      <c r="A67" s="10" t="s">
        <v>174</v>
      </c>
      <c r="B67" s="10" t="s">
        <v>26</v>
      </c>
      <c r="C67" s="10" t="s">
        <v>333</v>
      </c>
      <c r="D67" s="13" t="s">
        <v>175</v>
      </c>
      <c r="E67" s="10" t="s">
        <v>43</v>
      </c>
      <c r="F67" s="12">
        <v>18.05</v>
      </c>
      <c r="G67" s="122"/>
      <c r="H67" s="122"/>
    </row>
    <row r="68" spans="1:8" ht="22.5">
      <c r="A68" s="10" t="s">
        <v>415</v>
      </c>
      <c r="B68" s="10" t="s">
        <v>26</v>
      </c>
      <c r="C68" s="10" t="s">
        <v>333</v>
      </c>
      <c r="D68" s="13" t="s">
        <v>414</v>
      </c>
      <c r="E68" s="10" t="s">
        <v>47</v>
      </c>
      <c r="F68" s="12">
        <v>343.82</v>
      </c>
      <c r="G68" s="122" t="s">
        <v>662</v>
      </c>
      <c r="H68" s="122" t="s">
        <v>663</v>
      </c>
    </row>
    <row r="69" spans="1:8" ht="22.5">
      <c r="A69" s="10" t="s">
        <v>321</v>
      </c>
      <c r="B69" s="10" t="s">
        <v>26</v>
      </c>
      <c r="C69" s="10" t="s">
        <v>333</v>
      </c>
      <c r="D69" s="13" t="s">
        <v>322</v>
      </c>
      <c r="E69" s="10" t="s">
        <v>323</v>
      </c>
      <c r="F69" s="12">
        <v>105.61</v>
      </c>
      <c r="G69" s="122" t="s">
        <v>662</v>
      </c>
      <c r="H69" s="122" t="s">
        <v>663</v>
      </c>
    </row>
    <row r="70" spans="1:8" ht="22.5">
      <c r="A70" s="10" t="s">
        <v>361</v>
      </c>
      <c r="B70" s="10" t="s">
        <v>26</v>
      </c>
      <c r="C70" s="10" t="s">
        <v>333</v>
      </c>
      <c r="D70" s="13" t="s">
        <v>360</v>
      </c>
      <c r="E70" s="10" t="s">
        <v>108</v>
      </c>
      <c r="F70" s="12">
        <v>35.4</v>
      </c>
      <c r="G70" s="122" t="s">
        <v>662</v>
      </c>
      <c r="H70" s="122" t="s">
        <v>663</v>
      </c>
    </row>
    <row r="71" spans="1:8" ht="22.5">
      <c r="A71" s="10" t="s">
        <v>117</v>
      </c>
      <c r="B71" s="10" t="s">
        <v>26</v>
      </c>
      <c r="C71" s="10" t="s">
        <v>333</v>
      </c>
      <c r="D71" s="13" t="s">
        <v>118</v>
      </c>
      <c r="E71" s="10" t="s">
        <v>47</v>
      </c>
      <c r="F71" s="12">
        <v>24.27</v>
      </c>
      <c r="G71" s="122" t="s">
        <v>662</v>
      </c>
      <c r="H71" s="122" t="s">
        <v>663</v>
      </c>
    </row>
    <row r="72" spans="1:8" ht="22.5">
      <c r="A72" s="10" t="s">
        <v>317</v>
      </c>
      <c r="B72" s="10" t="s">
        <v>26</v>
      </c>
      <c r="C72" s="10" t="s">
        <v>333</v>
      </c>
      <c r="D72" s="13" t="s">
        <v>318</v>
      </c>
      <c r="E72" s="10" t="s">
        <v>319</v>
      </c>
      <c r="F72" s="12">
        <v>3349.71</v>
      </c>
      <c r="G72" s="122" t="s">
        <v>662</v>
      </c>
      <c r="H72" s="122" t="s">
        <v>663</v>
      </c>
    </row>
    <row r="73" spans="1:8" ht="22.5">
      <c r="A73" s="10" t="s">
        <v>114</v>
      </c>
      <c r="B73" s="10" t="s">
        <v>26</v>
      </c>
      <c r="C73" s="10" t="s">
        <v>333</v>
      </c>
      <c r="D73" s="13" t="s">
        <v>115</v>
      </c>
      <c r="E73" s="10" t="s">
        <v>47</v>
      </c>
      <c r="F73" s="12">
        <v>36.57</v>
      </c>
      <c r="G73" s="122" t="s">
        <v>662</v>
      </c>
      <c r="H73" s="122" t="s">
        <v>663</v>
      </c>
    </row>
    <row r="74" spans="1:8" ht="22.5">
      <c r="A74" s="10" t="s">
        <v>489</v>
      </c>
      <c r="B74" s="10" t="s">
        <v>26</v>
      </c>
      <c r="C74" s="10" t="s">
        <v>333</v>
      </c>
      <c r="D74" s="13" t="s">
        <v>488</v>
      </c>
      <c r="E74" s="10" t="s">
        <v>47</v>
      </c>
      <c r="F74" s="12">
        <v>368.82</v>
      </c>
      <c r="G74" s="122" t="s">
        <v>662</v>
      </c>
      <c r="H74" s="122" t="s">
        <v>663</v>
      </c>
    </row>
    <row r="75" spans="1:8" ht="33.75">
      <c r="A75" s="10" t="s">
        <v>363</v>
      </c>
      <c r="B75" s="10" t="s">
        <v>26</v>
      </c>
      <c r="C75" s="10" t="s">
        <v>333</v>
      </c>
      <c r="D75" s="13" t="s">
        <v>362</v>
      </c>
      <c r="E75" s="10" t="s">
        <v>108</v>
      </c>
      <c r="F75" s="12">
        <v>24.15</v>
      </c>
      <c r="G75" s="122"/>
      <c r="H75" s="122"/>
    </row>
    <row r="76" spans="1:8" ht="22.5">
      <c r="A76" s="10" t="s">
        <v>160</v>
      </c>
      <c r="B76" s="10" t="s">
        <v>26</v>
      </c>
      <c r="C76" s="10" t="s">
        <v>333</v>
      </c>
      <c r="D76" s="13" t="s">
        <v>161</v>
      </c>
      <c r="E76" s="10" t="s">
        <v>43</v>
      </c>
      <c r="F76" s="12">
        <v>50.79</v>
      </c>
      <c r="G76" s="122"/>
      <c r="H76" s="122"/>
    </row>
    <row r="77" spans="1:8" ht="22.5">
      <c r="A77" s="10" t="s">
        <v>25</v>
      </c>
      <c r="B77" s="10" t="s">
        <v>26</v>
      </c>
      <c r="C77" s="10" t="s">
        <v>333</v>
      </c>
      <c r="D77" s="13" t="s">
        <v>27</v>
      </c>
      <c r="E77" s="10" t="s">
        <v>28</v>
      </c>
      <c r="F77" s="12">
        <v>11.23</v>
      </c>
      <c r="G77" s="122" t="s">
        <v>662</v>
      </c>
      <c r="H77" s="122" t="s">
        <v>663</v>
      </c>
    </row>
    <row r="78" spans="1:8" ht="22.5">
      <c r="A78" s="10" t="s">
        <v>30</v>
      </c>
      <c r="B78" s="10" t="s">
        <v>26</v>
      </c>
      <c r="C78" s="10" t="s">
        <v>333</v>
      </c>
      <c r="D78" s="13" t="s">
        <v>31</v>
      </c>
      <c r="E78" s="10" t="s">
        <v>28</v>
      </c>
      <c r="F78" s="12">
        <v>14.8</v>
      </c>
      <c r="G78" s="122" t="s">
        <v>662</v>
      </c>
      <c r="H78" s="122" t="s">
        <v>663</v>
      </c>
    </row>
    <row r="79" spans="1:8" ht="22.5">
      <c r="A79" s="10" t="s">
        <v>94</v>
      </c>
      <c r="B79" s="10" t="s">
        <v>26</v>
      </c>
      <c r="C79" s="10" t="s">
        <v>333</v>
      </c>
      <c r="D79" s="13" t="s">
        <v>95</v>
      </c>
      <c r="E79" s="10" t="s">
        <v>43</v>
      </c>
      <c r="F79" s="12">
        <v>1.32</v>
      </c>
      <c r="G79" s="122" t="s">
        <v>662</v>
      </c>
      <c r="H79" s="122" t="s">
        <v>663</v>
      </c>
    </row>
    <row r="80" spans="1:8" ht="22.5">
      <c r="A80" s="10" t="s">
        <v>106</v>
      </c>
      <c r="B80" s="10" t="s">
        <v>26</v>
      </c>
      <c r="C80" s="10" t="s">
        <v>333</v>
      </c>
      <c r="D80" s="13" t="s">
        <v>107</v>
      </c>
      <c r="E80" s="10" t="s">
        <v>108</v>
      </c>
      <c r="F80" s="12">
        <v>1.03</v>
      </c>
      <c r="G80" s="122" t="s">
        <v>662</v>
      </c>
      <c r="H80" s="122" t="s">
        <v>663</v>
      </c>
    </row>
    <row r="81" spans="1:8" ht="33.75">
      <c r="A81" s="10" t="s">
        <v>496</v>
      </c>
      <c r="B81" s="10" t="s">
        <v>26</v>
      </c>
      <c r="C81" s="10" t="s">
        <v>333</v>
      </c>
      <c r="D81" s="13" t="s">
        <v>495</v>
      </c>
      <c r="E81" s="10" t="s">
        <v>494</v>
      </c>
      <c r="F81" s="12">
        <v>0.75</v>
      </c>
      <c r="G81" s="122" t="s">
        <v>662</v>
      </c>
      <c r="H81" s="122" t="s">
        <v>663</v>
      </c>
    </row>
    <row r="82" spans="1:8" ht="22.5">
      <c r="A82" s="10" t="s">
        <v>85</v>
      </c>
      <c r="B82" s="10" t="s">
        <v>26</v>
      </c>
      <c r="C82" s="10" t="s">
        <v>333</v>
      </c>
      <c r="D82" s="13" t="s">
        <v>86</v>
      </c>
      <c r="E82" s="10" t="s">
        <v>43</v>
      </c>
      <c r="F82" s="12">
        <v>2.84</v>
      </c>
      <c r="G82" s="122" t="s">
        <v>662</v>
      </c>
      <c r="H82" s="122" t="s">
        <v>663</v>
      </c>
    </row>
    <row r="83" spans="1:8" ht="22.5">
      <c r="A83" s="10" t="s">
        <v>197</v>
      </c>
      <c r="B83" s="10" t="s">
        <v>26</v>
      </c>
      <c r="C83" s="10" t="s">
        <v>333</v>
      </c>
      <c r="D83" s="13" t="s">
        <v>198</v>
      </c>
      <c r="E83" s="10" t="s">
        <v>43</v>
      </c>
      <c r="F83" s="12">
        <v>8.66</v>
      </c>
      <c r="G83" s="122" t="s">
        <v>662</v>
      </c>
      <c r="H83" s="122" t="s">
        <v>663</v>
      </c>
    </row>
    <row r="84" spans="1:8" ht="22.5">
      <c r="A84" s="10" t="s">
        <v>306</v>
      </c>
      <c r="B84" s="10" t="s">
        <v>26</v>
      </c>
      <c r="C84" s="10" t="s">
        <v>333</v>
      </c>
      <c r="D84" s="13" t="s">
        <v>307</v>
      </c>
      <c r="E84" s="10" t="s">
        <v>43</v>
      </c>
      <c r="F84" s="12">
        <v>0.68</v>
      </c>
      <c r="G84" s="122" t="s">
        <v>662</v>
      </c>
      <c r="H84" s="122" t="s">
        <v>663</v>
      </c>
    </row>
    <row r="85" spans="1:8">
      <c r="A85" s="10" t="s">
        <v>310</v>
      </c>
      <c r="B85" s="10" t="s">
        <v>26</v>
      </c>
      <c r="C85" s="10" t="s">
        <v>333</v>
      </c>
      <c r="D85" s="13" t="s">
        <v>311</v>
      </c>
      <c r="E85" s="10" t="s">
        <v>43</v>
      </c>
      <c r="F85" s="12">
        <v>2.83</v>
      </c>
      <c r="G85" s="122" t="s">
        <v>662</v>
      </c>
      <c r="H85" s="122" t="s">
        <v>663</v>
      </c>
    </row>
    <row r="86" spans="1:8">
      <c r="A86" s="10" t="s">
        <v>194</v>
      </c>
      <c r="B86" s="10" t="s">
        <v>26</v>
      </c>
      <c r="C86" s="10" t="s">
        <v>333</v>
      </c>
      <c r="D86" s="13" t="s">
        <v>195</v>
      </c>
      <c r="E86" s="10" t="s">
        <v>43</v>
      </c>
      <c r="F86" s="12">
        <v>1.53</v>
      </c>
      <c r="G86" s="122" t="s">
        <v>662</v>
      </c>
      <c r="H86" s="122" t="s">
        <v>663</v>
      </c>
    </row>
    <row r="87" spans="1:8" ht="22.5">
      <c r="A87" s="10" t="s">
        <v>67</v>
      </c>
      <c r="B87" s="10" t="s">
        <v>26</v>
      </c>
      <c r="C87" s="10" t="s">
        <v>333</v>
      </c>
      <c r="D87" s="13" t="s">
        <v>68</v>
      </c>
      <c r="E87" s="10" t="s">
        <v>43</v>
      </c>
      <c r="F87" s="12">
        <v>8.11</v>
      </c>
      <c r="G87" s="122" t="s">
        <v>662</v>
      </c>
      <c r="H87" s="122" t="s">
        <v>663</v>
      </c>
    </row>
    <row r="88" spans="1:8" ht="33.75">
      <c r="A88" s="10" t="s">
        <v>349</v>
      </c>
      <c r="B88" s="10" t="s">
        <v>26</v>
      </c>
      <c r="C88" s="10" t="s">
        <v>333</v>
      </c>
      <c r="D88" s="13" t="s">
        <v>348</v>
      </c>
      <c r="E88" s="10" t="s">
        <v>43</v>
      </c>
      <c r="F88" s="12">
        <v>13.17</v>
      </c>
      <c r="G88" s="122"/>
      <c r="H88" s="122"/>
    </row>
    <row r="89" spans="1:8" ht="45">
      <c r="A89" s="10" t="s">
        <v>171</v>
      </c>
      <c r="B89" s="10" t="s">
        <v>26</v>
      </c>
      <c r="C89" s="10" t="s">
        <v>333</v>
      </c>
      <c r="D89" s="13" t="s">
        <v>172</v>
      </c>
      <c r="E89" s="10" t="s">
        <v>43</v>
      </c>
      <c r="F89" s="12">
        <v>19.95</v>
      </c>
      <c r="G89" s="122"/>
      <c r="H89" s="122"/>
    </row>
    <row r="90" spans="1:8" ht="45">
      <c r="A90" s="10" t="s">
        <v>189</v>
      </c>
      <c r="B90" s="10" t="s">
        <v>26</v>
      </c>
      <c r="C90" s="10" t="s">
        <v>333</v>
      </c>
      <c r="D90" s="13" t="s">
        <v>190</v>
      </c>
      <c r="E90" s="10" t="s">
        <v>43</v>
      </c>
      <c r="F90" s="12">
        <v>39.909999999999997</v>
      </c>
      <c r="G90" s="122"/>
      <c r="H90" s="122"/>
    </row>
    <row r="91" spans="1:8">
      <c r="A91" s="10" t="s">
        <v>209</v>
      </c>
      <c r="B91" s="10" t="s">
        <v>26</v>
      </c>
      <c r="C91" s="10" t="s">
        <v>333</v>
      </c>
      <c r="D91" s="13" t="s">
        <v>210</v>
      </c>
      <c r="E91" s="10" t="s">
        <v>43</v>
      </c>
      <c r="F91" s="12">
        <v>5.49</v>
      </c>
      <c r="G91" s="122"/>
      <c r="H91" s="122"/>
    </row>
    <row r="92" spans="1:8">
      <c r="A92" s="10" t="s">
        <v>135</v>
      </c>
      <c r="B92" s="10" t="s">
        <v>26</v>
      </c>
      <c r="C92" s="10" t="s">
        <v>333</v>
      </c>
      <c r="D92" s="13" t="s">
        <v>136</v>
      </c>
      <c r="E92" s="10" t="s">
        <v>43</v>
      </c>
      <c r="F92" s="12">
        <v>14.97</v>
      </c>
      <c r="G92" s="122"/>
      <c r="H92" s="122"/>
    </row>
    <row r="93" spans="1:8">
      <c r="A93" s="10" t="s">
        <v>387</v>
      </c>
      <c r="B93" s="10" t="s">
        <v>15</v>
      </c>
      <c r="C93" s="10" t="s">
        <v>332</v>
      </c>
      <c r="D93" s="13" t="s">
        <v>386</v>
      </c>
      <c r="E93" s="10" t="s">
        <v>59</v>
      </c>
      <c r="F93" s="12">
        <v>20</v>
      </c>
      <c r="G93" s="122" t="s">
        <v>662</v>
      </c>
      <c r="H93" s="122" t="s">
        <v>663</v>
      </c>
    </row>
    <row r="94" spans="1:8" ht="90">
      <c r="A94" s="10" t="s">
        <v>353</v>
      </c>
      <c r="B94" s="10" t="s">
        <v>15</v>
      </c>
      <c r="C94" s="10" t="s">
        <v>332</v>
      </c>
      <c r="D94" s="13" t="s">
        <v>352</v>
      </c>
      <c r="E94" s="10" t="s">
        <v>128</v>
      </c>
      <c r="F94" s="12">
        <v>38.700000000000003</v>
      </c>
      <c r="G94" s="122"/>
      <c r="H94" s="122"/>
    </row>
    <row r="95" spans="1:8">
      <c r="A95" s="10" t="s">
        <v>395</v>
      </c>
      <c r="B95" s="10" t="s">
        <v>15</v>
      </c>
      <c r="C95" s="10" t="s">
        <v>332</v>
      </c>
      <c r="D95" s="13" t="s">
        <v>394</v>
      </c>
      <c r="E95" s="10" t="s">
        <v>43</v>
      </c>
      <c r="F95" s="12">
        <v>185</v>
      </c>
      <c r="G95" s="122" t="s">
        <v>662</v>
      </c>
      <c r="H95" s="122" t="s">
        <v>663</v>
      </c>
    </row>
    <row r="96" spans="1:8" ht="22.5">
      <c r="A96" s="10" t="s">
        <v>383</v>
      </c>
      <c r="B96" s="10" t="s">
        <v>15</v>
      </c>
      <c r="C96" s="10" t="s">
        <v>332</v>
      </c>
      <c r="D96" s="13" t="s">
        <v>382</v>
      </c>
      <c r="E96" s="10" t="s">
        <v>381</v>
      </c>
      <c r="F96" s="12">
        <v>35.74</v>
      </c>
      <c r="G96" s="122"/>
      <c r="H96" s="122"/>
    </row>
    <row r="97" spans="1:8">
      <c r="A97" s="10" t="s">
        <v>357</v>
      </c>
      <c r="B97" s="10" t="s">
        <v>15</v>
      </c>
      <c r="C97" s="10" t="s">
        <v>332</v>
      </c>
      <c r="D97" s="13" t="s">
        <v>356</v>
      </c>
      <c r="E97" s="10" t="s">
        <v>128</v>
      </c>
      <c r="F97" s="12">
        <v>2.65</v>
      </c>
      <c r="G97" s="122" t="s">
        <v>662</v>
      </c>
      <c r="H97" s="122" t="s">
        <v>663</v>
      </c>
    </row>
    <row r="98" spans="1:8">
      <c r="A98" s="10" t="s">
        <v>502</v>
      </c>
      <c r="B98" s="10" t="s">
        <v>15</v>
      </c>
      <c r="C98" s="10" t="s">
        <v>332</v>
      </c>
      <c r="D98" s="13" t="s">
        <v>501</v>
      </c>
      <c r="E98" s="10" t="s">
        <v>17</v>
      </c>
      <c r="F98" s="12">
        <v>233.94</v>
      </c>
      <c r="G98" s="122" t="s">
        <v>662</v>
      </c>
      <c r="H98" s="122" t="s">
        <v>663</v>
      </c>
    </row>
    <row r="99" spans="1:8">
      <c r="A99" s="10" t="s">
        <v>385</v>
      </c>
      <c r="B99" s="10" t="s">
        <v>15</v>
      </c>
      <c r="C99" s="10" t="s">
        <v>332</v>
      </c>
      <c r="D99" s="13" t="s">
        <v>384</v>
      </c>
      <c r="E99" s="10" t="s">
        <v>59</v>
      </c>
      <c r="F99" s="12">
        <v>5</v>
      </c>
      <c r="G99" s="122" t="s">
        <v>662</v>
      </c>
      <c r="H99" s="122" t="s">
        <v>663</v>
      </c>
    </row>
    <row r="100" spans="1:8" ht="22.5">
      <c r="A100" s="10" t="s">
        <v>439</v>
      </c>
      <c r="B100" s="10" t="s">
        <v>15</v>
      </c>
      <c r="C100" s="10" t="s">
        <v>332</v>
      </c>
      <c r="D100" s="13" t="s">
        <v>438</v>
      </c>
      <c r="E100" s="10" t="s">
        <v>431</v>
      </c>
      <c r="F100" s="12">
        <v>31.91</v>
      </c>
      <c r="G100" s="122"/>
      <c r="H100" s="122"/>
    </row>
    <row r="101" spans="1:8" ht="33.75">
      <c r="A101" s="10" t="s">
        <v>371</v>
      </c>
      <c r="B101" s="10" t="s">
        <v>15</v>
      </c>
      <c r="C101" s="10" t="s">
        <v>332</v>
      </c>
      <c r="D101" s="13" t="s">
        <v>370</v>
      </c>
      <c r="E101" s="10" t="s">
        <v>59</v>
      </c>
      <c r="F101" s="12">
        <v>664.63</v>
      </c>
      <c r="G101" s="122" t="s">
        <v>662</v>
      </c>
      <c r="H101" s="122" t="s">
        <v>663</v>
      </c>
    </row>
    <row r="102" spans="1:8" ht="45">
      <c r="A102" s="10" t="s">
        <v>355</v>
      </c>
      <c r="B102" s="10" t="s">
        <v>15</v>
      </c>
      <c r="C102" s="10" t="s">
        <v>332</v>
      </c>
      <c r="D102" s="13" t="s">
        <v>354</v>
      </c>
      <c r="E102" s="10" t="s">
        <v>128</v>
      </c>
      <c r="F102" s="12">
        <v>92</v>
      </c>
      <c r="G102" s="122"/>
      <c r="H102" s="122"/>
    </row>
    <row r="103" spans="1:8">
      <c r="A103" s="10" t="s">
        <v>451</v>
      </c>
      <c r="B103" s="10" t="s">
        <v>15</v>
      </c>
      <c r="C103" s="10" t="s">
        <v>332</v>
      </c>
      <c r="D103" s="13" t="s">
        <v>450</v>
      </c>
      <c r="E103" s="10" t="s">
        <v>381</v>
      </c>
      <c r="F103" s="12">
        <v>7.13</v>
      </c>
      <c r="G103" s="122"/>
      <c r="H103" s="122"/>
    </row>
    <row r="104" spans="1:8" ht="22.5">
      <c r="A104" s="10" t="s">
        <v>449</v>
      </c>
      <c r="B104" s="10" t="s">
        <v>15</v>
      </c>
      <c r="C104" s="10" t="s">
        <v>332</v>
      </c>
      <c r="D104" s="13" t="s">
        <v>448</v>
      </c>
      <c r="E104" s="10" t="s">
        <v>128</v>
      </c>
      <c r="F104" s="12">
        <v>16.850000000000001</v>
      </c>
      <c r="G104" s="122"/>
      <c r="H104" s="122"/>
    </row>
    <row r="105" spans="1:8">
      <c r="A105" s="10" t="s">
        <v>443</v>
      </c>
      <c r="B105" s="10" t="s">
        <v>15</v>
      </c>
      <c r="C105" s="10" t="s">
        <v>332</v>
      </c>
      <c r="D105" s="13" t="s">
        <v>442</v>
      </c>
      <c r="E105" s="10" t="s">
        <v>43</v>
      </c>
      <c r="F105" s="12">
        <v>5</v>
      </c>
      <c r="G105" s="122" t="s">
        <v>662</v>
      </c>
      <c r="H105" s="122" t="s">
        <v>663</v>
      </c>
    </row>
    <row r="106" spans="1:8">
      <c r="A106" s="10" t="s">
        <v>461</v>
      </c>
      <c r="B106" s="10" t="s">
        <v>15</v>
      </c>
      <c r="C106" s="10" t="s">
        <v>332</v>
      </c>
      <c r="D106" s="13" t="s">
        <v>460</v>
      </c>
      <c r="E106" s="10" t="s">
        <v>43</v>
      </c>
      <c r="F106" s="12">
        <v>58.48</v>
      </c>
      <c r="G106" s="122"/>
      <c r="H106" s="122"/>
    </row>
    <row r="107" spans="1:8" ht="22.5">
      <c r="A107" s="10" t="s">
        <v>445</v>
      </c>
      <c r="B107" s="10" t="s">
        <v>15</v>
      </c>
      <c r="C107" s="10" t="s">
        <v>332</v>
      </c>
      <c r="D107" s="13" t="s">
        <v>444</v>
      </c>
      <c r="E107" s="10" t="s">
        <v>431</v>
      </c>
      <c r="F107" s="12">
        <v>2.5</v>
      </c>
      <c r="G107" s="122"/>
      <c r="H107" s="122"/>
    </row>
    <row r="108" spans="1:8" ht="33.75">
      <c r="A108" s="10" t="s">
        <v>441</v>
      </c>
      <c r="B108" s="10" t="s">
        <v>15</v>
      </c>
      <c r="C108" s="10" t="s">
        <v>332</v>
      </c>
      <c r="D108" s="13" t="s">
        <v>440</v>
      </c>
      <c r="E108" s="10" t="s">
        <v>431</v>
      </c>
      <c r="F108" s="12">
        <v>4.45</v>
      </c>
      <c r="G108" s="122"/>
      <c r="H108" s="122"/>
    </row>
    <row r="109" spans="1:8" ht="22.5">
      <c r="A109" s="10" t="s">
        <v>437</v>
      </c>
      <c r="B109" s="10" t="s">
        <v>15</v>
      </c>
      <c r="C109" s="10" t="s">
        <v>332</v>
      </c>
      <c r="D109" s="13" t="s">
        <v>436</v>
      </c>
      <c r="E109" s="10" t="s">
        <v>431</v>
      </c>
      <c r="F109" s="12">
        <v>50</v>
      </c>
      <c r="G109" s="122"/>
      <c r="H109" s="122"/>
    </row>
    <row r="110" spans="1:8" ht="22.5">
      <c r="A110" s="10" t="s">
        <v>435</v>
      </c>
      <c r="B110" s="10" t="s">
        <v>15</v>
      </c>
      <c r="C110" s="10" t="s">
        <v>332</v>
      </c>
      <c r="D110" s="13" t="s">
        <v>434</v>
      </c>
      <c r="E110" s="10" t="s">
        <v>431</v>
      </c>
      <c r="F110" s="12">
        <v>2.74</v>
      </c>
      <c r="G110" s="122"/>
      <c r="H110" s="122"/>
    </row>
    <row r="111" spans="1:8">
      <c r="A111" s="10" t="s">
        <v>433</v>
      </c>
      <c r="B111" s="10" t="s">
        <v>15</v>
      </c>
      <c r="C111" s="10" t="s">
        <v>332</v>
      </c>
      <c r="D111" s="13" t="s">
        <v>432</v>
      </c>
      <c r="E111" s="10" t="s">
        <v>431</v>
      </c>
      <c r="F111" s="12">
        <v>63.12</v>
      </c>
      <c r="G111" s="122"/>
      <c r="H111" s="122"/>
    </row>
    <row r="112" spans="1:8" ht="33.75">
      <c r="A112" s="10" t="s">
        <v>426</v>
      </c>
      <c r="B112" s="10" t="s">
        <v>15</v>
      </c>
      <c r="C112" s="10" t="s">
        <v>332</v>
      </c>
      <c r="D112" s="13" t="s">
        <v>425</v>
      </c>
      <c r="E112" s="10" t="s">
        <v>59</v>
      </c>
      <c r="F112" s="12">
        <v>56.24</v>
      </c>
      <c r="G112" s="122" t="s">
        <v>662</v>
      </c>
      <c r="H112" s="122" t="s">
        <v>663</v>
      </c>
    </row>
    <row r="113" spans="1:9" ht="33.75">
      <c r="A113" s="10" t="s">
        <v>427</v>
      </c>
      <c r="B113" s="10" t="s">
        <v>15</v>
      </c>
      <c r="C113" s="10" t="s">
        <v>332</v>
      </c>
      <c r="D113" s="13" t="s">
        <v>228</v>
      </c>
      <c r="E113" s="10" t="s">
        <v>59</v>
      </c>
      <c r="F113" s="12">
        <v>129.77000000000001</v>
      </c>
      <c r="G113" s="122"/>
      <c r="H113" s="122"/>
    </row>
    <row r="114" spans="1:9" ht="33.75">
      <c r="A114" s="10" t="s">
        <v>424</v>
      </c>
      <c r="B114" s="10" t="s">
        <v>15</v>
      </c>
      <c r="C114" s="10" t="s">
        <v>332</v>
      </c>
      <c r="D114" s="13" t="s">
        <v>234</v>
      </c>
      <c r="E114" s="10" t="s">
        <v>59</v>
      </c>
      <c r="F114" s="12">
        <v>194.66</v>
      </c>
      <c r="G114" s="122"/>
      <c r="H114" s="122"/>
    </row>
    <row r="115" spans="1:9">
      <c r="A115" s="10" t="s">
        <v>490</v>
      </c>
      <c r="B115" s="10" t="s">
        <v>15</v>
      </c>
      <c r="C115" s="10" t="s">
        <v>332</v>
      </c>
      <c r="D115" s="13" t="s">
        <v>127</v>
      </c>
      <c r="E115" s="10" t="s">
        <v>128</v>
      </c>
      <c r="F115" s="12">
        <v>4200</v>
      </c>
      <c r="G115" s="122" t="s">
        <v>662</v>
      </c>
      <c r="H115" s="122" t="s">
        <v>663</v>
      </c>
    </row>
    <row r="116" spans="1:9" ht="22.5">
      <c r="A116" s="10" t="s">
        <v>423</v>
      </c>
      <c r="B116" s="10" t="s">
        <v>15</v>
      </c>
      <c r="C116" s="10" t="s">
        <v>332</v>
      </c>
      <c r="D116" s="13" t="s">
        <v>422</v>
      </c>
      <c r="E116" s="10" t="s">
        <v>128</v>
      </c>
      <c r="F116" s="12">
        <v>62.5</v>
      </c>
      <c r="G116" s="122"/>
      <c r="H116" s="122"/>
    </row>
    <row r="117" spans="1:9">
      <c r="A117" s="10" t="s">
        <v>421</v>
      </c>
      <c r="B117" s="10" t="s">
        <v>15</v>
      </c>
      <c r="C117" s="10" t="s">
        <v>332</v>
      </c>
      <c r="D117" s="13" t="s">
        <v>420</v>
      </c>
      <c r="E117" s="10" t="s">
        <v>59</v>
      </c>
      <c r="F117" s="12">
        <v>0.45</v>
      </c>
      <c r="G117" s="122" t="s">
        <v>662</v>
      </c>
      <c r="H117" s="122" t="s">
        <v>663</v>
      </c>
    </row>
    <row r="118" spans="1:9" ht="45">
      <c r="A118" s="10" t="s">
        <v>417</v>
      </c>
      <c r="B118" s="10" t="s">
        <v>15</v>
      </c>
      <c r="C118" s="10" t="s">
        <v>333</v>
      </c>
      <c r="D118" s="13" t="s">
        <v>416</v>
      </c>
      <c r="E118" s="10" t="s">
        <v>43</v>
      </c>
      <c r="F118" s="12">
        <v>45.99</v>
      </c>
      <c r="G118" s="122" t="s">
        <v>662</v>
      </c>
      <c r="H118" s="122" t="s">
        <v>663</v>
      </c>
    </row>
    <row r="119" spans="1:9" ht="22.5">
      <c r="A119" s="10" t="s">
        <v>453</v>
      </c>
      <c r="B119" s="10" t="s">
        <v>15</v>
      </c>
      <c r="C119" s="10" t="s">
        <v>333</v>
      </c>
      <c r="D119" s="13" t="s">
        <v>452</v>
      </c>
      <c r="E119" s="10" t="s">
        <v>43</v>
      </c>
      <c r="F119" s="12">
        <v>10.050000000000001</v>
      </c>
      <c r="G119" s="122" t="s">
        <v>662</v>
      </c>
      <c r="H119" s="122" t="s">
        <v>663</v>
      </c>
    </row>
    <row r="120" spans="1:9">
      <c r="F120" s="180"/>
    </row>
    <row r="123" spans="1:9">
      <c r="D123" s="35"/>
      <c r="E123" s="35"/>
      <c r="F123" s="36"/>
      <c r="G123" s="36"/>
      <c r="H123" s="35"/>
      <c r="I123" s="36"/>
    </row>
    <row r="124" spans="1:9">
      <c r="D124" s="37"/>
      <c r="E124" s="37"/>
      <c r="F124" s="37"/>
      <c r="G124" s="38"/>
      <c r="H124" s="37"/>
      <c r="I124" s="39"/>
    </row>
  </sheetData>
  <mergeCells count="13">
    <mergeCell ref="C4:D4"/>
    <mergeCell ref="E4:F4"/>
    <mergeCell ref="G4:H4"/>
    <mergeCell ref="C6:D6"/>
    <mergeCell ref="A6:B6"/>
    <mergeCell ref="E6:F6"/>
    <mergeCell ref="G6:H6"/>
    <mergeCell ref="A7:H7"/>
    <mergeCell ref="G1:H1"/>
    <mergeCell ref="A2:B2"/>
    <mergeCell ref="E2:F2"/>
    <mergeCell ref="G2:H2"/>
    <mergeCell ref="A4:B4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74" fitToHeight="0" orientation="portrait" r:id="rId1"/>
  <headerFooter>
    <oddHeader>&amp;L &amp;C &amp;R</oddHeader>
    <oddFooter>&amp;L &amp;C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zoomScaleSheetLayoutView="100" workbookViewId="0"/>
  </sheetViews>
  <sheetFormatPr defaultRowHeight="14.25"/>
  <cols>
    <col min="1" max="2" width="10.625" customWidth="1"/>
    <col min="3" max="3" width="58.625" customWidth="1"/>
    <col min="4" max="4" width="18.625" customWidth="1"/>
  </cols>
  <sheetData>
    <row r="1" spans="1:4" ht="15" customHeight="1">
      <c r="A1" s="100" t="str">
        <f ca="1">'Orçamento Sintético'!A1</f>
        <v>P. Execução:</v>
      </c>
      <c r="B1" s="113"/>
      <c r="C1" s="101" t="str">
        <f ca="1">'Orçamento Sintético'!D1</f>
        <v>Objeto: Recuperação de juntas estruturais e impermeabilização das jardineiras no edifício-sede</v>
      </c>
      <c r="D1" s="102" t="str">
        <f ca="1">'Orçamento Sintético'!C1</f>
        <v>Licitação:</v>
      </c>
    </row>
    <row r="2" spans="1:4" ht="15" customHeight="1">
      <c r="A2" s="188" t="str">
        <f ca="1">'Orçamento Sintético'!A2:B2</f>
        <v>A</v>
      </c>
      <c r="B2" s="189"/>
      <c r="C2" s="104" t="str">
        <f ca="1">'Orçamento Sintético'!D2</f>
        <v>Local: Praça do Buriti Bloco A, Lote 2 - Zona Cívico-Administrativa - Brasília / DF</v>
      </c>
      <c r="D2" s="105" t="str">
        <f ca="1">'Orçamento Sintético'!C2</f>
        <v>B</v>
      </c>
    </row>
    <row r="3" spans="1:4" ht="15" customHeight="1">
      <c r="A3" s="106" t="str">
        <f ca="1">'Orçamento Sintético'!A3</f>
        <v>P. Validade:</v>
      </c>
      <c r="B3" s="113"/>
      <c r="C3" s="106" t="str">
        <f ca="1">'Orçamento Sintético'!C3</f>
        <v>Razão Social:</v>
      </c>
      <c r="D3" s="102" t="str">
        <f ca="1">'Orçamento Sintético'!E1</f>
        <v>Data:</v>
      </c>
    </row>
    <row r="4" spans="1:4" ht="15" customHeight="1">
      <c r="A4" s="188" t="str">
        <f ca="1">'Orçamento Sintético'!A4:B4</f>
        <v>C</v>
      </c>
      <c r="B4" s="189"/>
      <c r="C4" s="103" t="str">
        <f ca="1">'Orçamento Sintético'!C4</f>
        <v>D</v>
      </c>
      <c r="D4" s="123">
        <f ca="1">'Orçamento Sintético'!E2</f>
        <v>1</v>
      </c>
    </row>
    <row r="5" spans="1:4" ht="15" customHeight="1">
      <c r="A5" s="100" t="str">
        <f ca="1">'Orçamento Sintético'!A5</f>
        <v>P. Garantia:</v>
      </c>
      <c r="B5" s="113"/>
      <c r="C5" s="106" t="str">
        <f ca="1">'Orçamento Sintético'!C5</f>
        <v>CNPJ:</v>
      </c>
      <c r="D5" s="102" t="str">
        <f ca="1">'Orçamento Sintético'!E3</f>
        <v>Telefone:</v>
      </c>
    </row>
    <row r="6" spans="1:4" ht="15" customHeight="1">
      <c r="A6" s="188" t="str">
        <f ca="1">'Orçamento Sintético'!A6:B6</f>
        <v>F</v>
      </c>
      <c r="B6" s="189"/>
      <c r="C6" s="103" t="str">
        <f ca="1">'Orçamento Sintético'!C6</f>
        <v>G</v>
      </c>
      <c r="D6" s="123" t="str">
        <f ca="1">'Orçamento Sintético'!E4</f>
        <v>E</v>
      </c>
    </row>
    <row r="7" spans="1:4" s="40" customFormat="1" ht="15" customHeight="1">
      <c r="A7" s="210" t="s">
        <v>504</v>
      </c>
      <c r="B7" s="210"/>
      <c r="C7" s="210"/>
      <c r="D7" s="210"/>
    </row>
    <row r="8" spans="1:4" ht="14.25" customHeight="1">
      <c r="A8" s="2" t="s">
        <v>505</v>
      </c>
      <c r="B8" s="211" t="s">
        <v>506</v>
      </c>
      <c r="C8" s="212"/>
      <c r="D8" s="2" t="s">
        <v>507</v>
      </c>
    </row>
    <row r="9" spans="1:4">
      <c r="A9" s="41"/>
      <c r="B9" s="42"/>
      <c r="C9" s="43"/>
      <c r="D9" s="44"/>
    </row>
    <row r="10" spans="1:4">
      <c r="A10" s="45" t="s">
        <v>508</v>
      </c>
      <c r="B10" s="46" t="s">
        <v>509</v>
      </c>
      <c r="C10" s="43"/>
      <c r="D10" s="47"/>
    </row>
    <row r="11" spans="1:4">
      <c r="A11" s="41"/>
      <c r="B11" s="42"/>
      <c r="C11" s="43"/>
      <c r="D11" s="44"/>
    </row>
    <row r="12" spans="1:4">
      <c r="A12" s="45" t="s">
        <v>510</v>
      </c>
      <c r="B12" s="46" t="s">
        <v>511</v>
      </c>
      <c r="C12" s="43"/>
      <c r="D12" s="47">
        <f>ROUND(SUM(D14:D18),4)</f>
        <v>0.15740000000000001</v>
      </c>
    </row>
    <row r="13" spans="1:4">
      <c r="A13" s="48"/>
      <c r="B13" s="42"/>
      <c r="C13" s="43"/>
      <c r="D13" s="44"/>
    </row>
    <row r="14" spans="1:4">
      <c r="A14" s="41" t="s">
        <v>512</v>
      </c>
      <c r="B14" s="42" t="s">
        <v>513</v>
      </c>
      <c r="C14" s="43"/>
      <c r="D14" s="44">
        <v>0.04</v>
      </c>
    </row>
    <row r="15" spans="1:4">
      <c r="A15" s="41" t="s">
        <v>514</v>
      </c>
      <c r="B15" s="42" t="s">
        <v>515</v>
      </c>
      <c r="C15" s="43"/>
      <c r="D15" s="44">
        <v>8.0000000000000002E-3</v>
      </c>
    </row>
    <row r="16" spans="1:4">
      <c r="A16" s="41" t="s">
        <v>516</v>
      </c>
      <c r="B16" s="42" t="s">
        <v>517</v>
      </c>
      <c r="C16" s="43"/>
      <c r="D16" s="44">
        <v>1.2699999999999999E-2</v>
      </c>
    </row>
    <row r="17" spans="1:4">
      <c r="A17" s="41" t="s">
        <v>518</v>
      </c>
      <c r="B17" s="42" t="s">
        <v>519</v>
      </c>
      <c r="C17" s="43"/>
      <c r="D17" s="44">
        <v>1.23E-2</v>
      </c>
    </row>
    <row r="18" spans="1:4">
      <c r="A18" s="41" t="s">
        <v>520</v>
      </c>
      <c r="B18" s="42" t="s">
        <v>521</v>
      </c>
      <c r="C18" s="43"/>
      <c r="D18" s="44">
        <v>8.4400000000000003E-2</v>
      </c>
    </row>
    <row r="19" spans="1:4">
      <c r="A19" s="48"/>
      <c r="B19" s="42"/>
      <c r="C19" s="43"/>
      <c r="D19" s="44"/>
    </row>
    <row r="20" spans="1:4">
      <c r="A20" s="45" t="s">
        <v>522</v>
      </c>
      <c r="B20" s="46" t="s">
        <v>523</v>
      </c>
      <c r="C20" s="43"/>
      <c r="D20" s="47"/>
    </row>
    <row r="21" spans="1:4">
      <c r="A21" s="48"/>
      <c r="B21" s="42"/>
      <c r="C21" s="43"/>
      <c r="D21" s="44"/>
    </row>
    <row r="22" spans="1:4">
      <c r="A22" s="45" t="s">
        <v>524</v>
      </c>
      <c r="B22" s="46" t="s">
        <v>525</v>
      </c>
      <c r="C22" s="43"/>
      <c r="D22" s="47">
        <f>D24+D25+D26</f>
        <v>4.65E-2</v>
      </c>
    </row>
    <row r="23" spans="1:4">
      <c r="A23" s="41"/>
      <c r="B23" s="42"/>
      <c r="C23" s="43"/>
      <c r="D23" s="44"/>
    </row>
    <row r="24" spans="1:4">
      <c r="A24" s="41"/>
      <c r="B24" s="42" t="s">
        <v>526</v>
      </c>
      <c r="C24" s="43"/>
      <c r="D24" s="44">
        <v>6.5000000000000006E-3</v>
      </c>
    </row>
    <row r="25" spans="1:4">
      <c r="A25" s="41"/>
      <c r="B25" s="42" t="s">
        <v>527</v>
      </c>
      <c r="C25" s="43"/>
      <c r="D25" s="44">
        <v>0.03</v>
      </c>
    </row>
    <row r="26" spans="1:4">
      <c r="A26" s="41"/>
      <c r="B26" s="42" t="s">
        <v>528</v>
      </c>
      <c r="C26" s="43"/>
      <c r="D26" s="44">
        <f ca="1">2%*'Orçamento Sintético'!B123</f>
        <v>0.01</v>
      </c>
    </row>
    <row r="27" spans="1:4">
      <c r="A27" s="41"/>
      <c r="B27" s="42"/>
      <c r="C27" s="43"/>
      <c r="D27" s="44"/>
    </row>
    <row r="28" spans="1:4">
      <c r="A28" s="45" t="s">
        <v>529</v>
      </c>
      <c r="B28" s="46" t="s">
        <v>530</v>
      </c>
      <c r="C28" s="43"/>
      <c r="D28" s="47">
        <f>ROUND((((1+(D14+D15+D16))*(1+D17)*(1+D18))/(1-D22)-1),4)</f>
        <v>0.22120000000000001</v>
      </c>
    </row>
    <row r="29" spans="1:4">
      <c r="A29" s="48"/>
      <c r="B29" s="42"/>
      <c r="C29" s="43"/>
      <c r="D29" s="44"/>
    </row>
  </sheetData>
  <mergeCells count="5">
    <mergeCell ref="A6:B6"/>
    <mergeCell ref="A7:D7"/>
    <mergeCell ref="B8:C8"/>
    <mergeCell ref="A2:B2"/>
    <mergeCell ref="A4:B4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tToHeight="0" orientation="portrait" r:id="rId1"/>
  <headerFooter>
    <oddHeader>&amp;L &amp;C &amp;R</oddHeader>
    <oddFooter>&amp;L &amp;C 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44"/>
  <sheetViews>
    <sheetView showGridLines="0" zoomScaleSheetLayoutView="100" workbookViewId="0"/>
  </sheetViews>
  <sheetFormatPr defaultRowHeight="14.25"/>
  <cols>
    <col min="1" max="1" width="10.625" style="70" customWidth="1"/>
    <col min="2" max="2" width="10.625" style="71" customWidth="1"/>
    <col min="3" max="3" width="58.625" style="71" customWidth="1"/>
    <col min="4" max="4" width="18.625" style="72" customWidth="1"/>
    <col min="5" max="16384" width="9" style="73"/>
  </cols>
  <sheetData>
    <row r="1" spans="1:4" s="49" customFormat="1" ht="15" customHeight="1">
      <c r="A1" s="100" t="str">
        <f ca="1">'Orçamento Sintético'!A1</f>
        <v>P. Execução:</v>
      </c>
      <c r="B1" s="113"/>
      <c r="C1" s="101" t="str">
        <f ca="1">'Orçamento Sintético'!D1</f>
        <v>Objeto: Recuperação de juntas estruturais e impermeabilização das jardineiras no edifício-sede</v>
      </c>
      <c r="D1" s="102" t="str">
        <f ca="1">'Orçamento Sintético'!C1</f>
        <v>Licitação:</v>
      </c>
    </row>
    <row r="2" spans="1:4" s="49" customFormat="1" ht="15" customHeight="1">
      <c r="A2" s="188" t="str">
        <f ca="1">'Orçamento Sintético'!A2:B2</f>
        <v>A</v>
      </c>
      <c r="B2" s="189"/>
      <c r="C2" s="104" t="str">
        <f ca="1">'Orçamento Sintético'!D2</f>
        <v>Local: Praça do Buriti Bloco A, Lote 2 - Zona Cívico-Administrativa - Brasília / DF</v>
      </c>
      <c r="D2" s="105" t="str">
        <f ca="1">'Orçamento Sintético'!C2</f>
        <v>B</v>
      </c>
    </row>
    <row r="3" spans="1:4" s="49" customFormat="1" ht="15" customHeight="1">
      <c r="A3" s="106" t="str">
        <f ca="1">'Orçamento Sintético'!A3</f>
        <v>P. Validade:</v>
      </c>
      <c r="B3" s="113"/>
      <c r="C3" s="106" t="str">
        <f ca="1">'Orçamento Sintético'!C3</f>
        <v>Razão Social:</v>
      </c>
      <c r="D3" s="102" t="str">
        <f ca="1">'Orçamento Sintético'!E1</f>
        <v>Data:</v>
      </c>
    </row>
    <row r="4" spans="1:4" s="49" customFormat="1" ht="15" customHeight="1">
      <c r="A4" s="188" t="str">
        <f ca="1">'Orçamento Sintético'!A4:B4</f>
        <v>C</v>
      </c>
      <c r="B4" s="189"/>
      <c r="C4" s="103" t="str">
        <f ca="1">'Orçamento Sintético'!C4</f>
        <v>D</v>
      </c>
      <c r="D4" s="123">
        <f ca="1">'Orçamento Sintético'!E2</f>
        <v>1</v>
      </c>
    </row>
    <row r="5" spans="1:4" s="49" customFormat="1" ht="15" customHeight="1">
      <c r="A5" s="100" t="str">
        <f ca="1">'Orçamento Sintético'!A5</f>
        <v>P. Garantia:</v>
      </c>
      <c r="B5" s="113"/>
      <c r="C5" s="106" t="str">
        <f ca="1">'Orçamento Sintético'!C5</f>
        <v>CNPJ:</v>
      </c>
      <c r="D5" s="102" t="str">
        <f ca="1">'Orçamento Sintético'!E3</f>
        <v>Telefone:</v>
      </c>
    </row>
    <row r="6" spans="1:4" s="50" customFormat="1" ht="15" customHeight="1">
      <c r="A6" s="188" t="str">
        <f ca="1">'Orçamento Sintético'!A6:B6</f>
        <v>F</v>
      </c>
      <c r="B6" s="189"/>
      <c r="C6" s="103" t="str">
        <f ca="1">'Orçamento Sintético'!C6</f>
        <v>G</v>
      </c>
      <c r="D6" s="123" t="str">
        <f ca="1">'Orçamento Sintético'!E4</f>
        <v>E</v>
      </c>
    </row>
    <row r="7" spans="1:4" s="51" customFormat="1" ht="15" customHeight="1">
      <c r="A7" s="216" t="s">
        <v>531</v>
      </c>
      <c r="B7" s="216"/>
      <c r="C7" s="216"/>
      <c r="D7" s="216"/>
    </row>
    <row r="8" spans="1:4" s="52" customFormat="1" ht="12.75">
      <c r="A8" s="2" t="s">
        <v>532</v>
      </c>
      <c r="B8" s="211" t="s">
        <v>533</v>
      </c>
      <c r="C8" s="212"/>
      <c r="D8" s="2" t="s">
        <v>507</v>
      </c>
    </row>
    <row r="9" spans="1:4" s="52" customFormat="1" ht="13.15" customHeight="1">
      <c r="A9" s="217" t="s">
        <v>534</v>
      </c>
      <c r="B9" s="218"/>
      <c r="C9" s="218"/>
      <c r="D9" s="219"/>
    </row>
    <row r="10" spans="1:4" s="52" customFormat="1" ht="12.75">
      <c r="A10" s="53" t="s">
        <v>510</v>
      </c>
      <c r="B10" s="54" t="s">
        <v>535</v>
      </c>
      <c r="C10" s="55"/>
      <c r="D10" s="56">
        <v>0.2</v>
      </c>
    </row>
    <row r="11" spans="1:4" s="52" customFormat="1" ht="12.75">
      <c r="A11" s="53" t="s">
        <v>536</v>
      </c>
      <c r="B11" s="54" t="s">
        <v>537</v>
      </c>
      <c r="C11" s="55"/>
      <c r="D11" s="56">
        <v>1.4999999999999999E-2</v>
      </c>
    </row>
    <row r="12" spans="1:4" s="52" customFormat="1" ht="12.75">
      <c r="A12" s="53" t="s">
        <v>538</v>
      </c>
      <c r="B12" s="54" t="s">
        <v>539</v>
      </c>
      <c r="C12" s="55"/>
      <c r="D12" s="56">
        <v>0.01</v>
      </c>
    </row>
    <row r="13" spans="1:4" s="52" customFormat="1" ht="12.75">
      <c r="A13" s="53" t="s">
        <v>540</v>
      </c>
      <c r="B13" s="54" t="s">
        <v>541</v>
      </c>
      <c r="C13" s="55"/>
      <c r="D13" s="56">
        <v>2E-3</v>
      </c>
    </row>
    <row r="14" spans="1:4" s="52" customFormat="1" ht="12.75">
      <c r="A14" s="53" t="s">
        <v>542</v>
      </c>
      <c r="B14" s="54" t="s">
        <v>543</v>
      </c>
      <c r="C14" s="55"/>
      <c r="D14" s="56">
        <v>6.0000000000000001E-3</v>
      </c>
    </row>
    <row r="15" spans="1:4" s="52" customFormat="1" ht="12.75">
      <c r="A15" s="53" t="s">
        <v>544</v>
      </c>
      <c r="B15" s="54" t="s">
        <v>545</v>
      </c>
      <c r="C15" s="55"/>
      <c r="D15" s="56">
        <v>2.5000000000000001E-2</v>
      </c>
    </row>
    <row r="16" spans="1:4" s="52" customFormat="1" ht="12.75">
      <c r="A16" s="53" t="s">
        <v>546</v>
      </c>
      <c r="B16" s="54" t="s">
        <v>547</v>
      </c>
      <c r="C16" s="55"/>
      <c r="D16" s="56">
        <v>0.03</v>
      </c>
    </row>
    <row r="17" spans="1:4" s="52" customFormat="1" ht="12.75">
      <c r="A17" s="53" t="s">
        <v>548</v>
      </c>
      <c r="B17" s="54" t="s">
        <v>549</v>
      </c>
      <c r="C17" s="55"/>
      <c r="D17" s="56">
        <v>0.08</v>
      </c>
    </row>
    <row r="18" spans="1:4" s="52" customFormat="1" ht="12.75">
      <c r="A18" s="53" t="s">
        <v>550</v>
      </c>
      <c r="B18" s="54" t="s">
        <v>551</v>
      </c>
      <c r="C18" s="55"/>
      <c r="D18" s="56">
        <v>0.01</v>
      </c>
    </row>
    <row r="19" spans="1:4" s="52" customFormat="1" ht="12.75">
      <c r="A19" s="57" t="s">
        <v>552</v>
      </c>
      <c r="B19" s="58" t="s">
        <v>553</v>
      </c>
      <c r="C19" s="59"/>
      <c r="D19" s="60">
        <f>SUM(D10:D18)</f>
        <v>0.37800000000000006</v>
      </c>
    </row>
    <row r="20" spans="1:4" s="52" customFormat="1" ht="13.15" customHeight="1">
      <c r="A20" s="217" t="s">
        <v>554</v>
      </c>
      <c r="B20" s="218"/>
      <c r="C20" s="218"/>
      <c r="D20" s="219"/>
    </row>
    <row r="21" spans="1:4" s="52" customFormat="1" ht="12.75">
      <c r="A21" s="53" t="s">
        <v>524</v>
      </c>
      <c r="B21" s="54" t="s">
        <v>555</v>
      </c>
      <c r="C21" s="55"/>
      <c r="D21" s="56">
        <v>0.17749999999999999</v>
      </c>
    </row>
    <row r="22" spans="1:4" s="52" customFormat="1" ht="12.75">
      <c r="A22" s="53" t="s">
        <v>556</v>
      </c>
      <c r="B22" s="54" t="s">
        <v>557</v>
      </c>
      <c r="C22" s="55"/>
      <c r="D22" s="56">
        <v>3.4099999999999998E-2</v>
      </c>
    </row>
    <row r="23" spans="1:4" s="52" customFormat="1" ht="12.75">
      <c r="A23" s="53" t="s">
        <v>558</v>
      </c>
      <c r="B23" s="54" t="s">
        <v>559</v>
      </c>
      <c r="C23" s="55"/>
      <c r="D23" s="56">
        <v>8.6E-3</v>
      </c>
    </row>
    <row r="24" spans="1:4" s="52" customFormat="1" ht="12.75">
      <c r="A24" s="53" t="s">
        <v>560</v>
      </c>
      <c r="B24" s="54" t="s">
        <v>561</v>
      </c>
      <c r="C24" s="55"/>
      <c r="D24" s="56">
        <v>0.1062</v>
      </c>
    </row>
    <row r="25" spans="1:4" s="52" customFormat="1" ht="12.75">
      <c r="A25" s="53" t="s">
        <v>562</v>
      </c>
      <c r="B25" s="54" t="s">
        <v>563</v>
      </c>
      <c r="C25" s="55"/>
      <c r="D25" s="56">
        <v>6.9999999999999999E-4</v>
      </c>
    </row>
    <row r="26" spans="1:4" s="52" customFormat="1" ht="12.75">
      <c r="A26" s="53" t="s">
        <v>564</v>
      </c>
      <c r="B26" s="54" t="s">
        <v>565</v>
      </c>
      <c r="C26" s="55"/>
      <c r="D26" s="56">
        <v>7.1000000000000004E-3</v>
      </c>
    </row>
    <row r="27" spans="1:4" s="52" customFormat="1" ht="12.75">
      <c r="A27" s="53" t="s">
        <v>566</v>
      </c>
      <c r="B27" s="54" t="s">
        <v>567</v>
      </c>
      <c r="C27" s="55"/>
      <c r="D27" s="56">
        <v>1.3100000000000001E-2</v>
      </c>
    </row>
    <row r="28" spans="1:4" s="52" customFormat="1" ht="12.75">
      <c r="A28" s="53" t="s">
        <v>568</v>
      </c>
      <c r="B28" s="54" t="s">
        <v>569</v>
      </c>
      <c r="C28" s="55"/>
      <c r="D28" s="56">
        <v>1.1000000000000001E-3</v>
      </c>
    </row>
    <row r="29" spans="1:4" s="52" customFormat="1" ht="12.75">
      <c r="A29" s="53" t="s">
        <v>570</v>
      </c>
      <c r="B29" s="54" t="s">
        <v>571</v>
      </c>
      <c r="C29" s="55"/>
      <c r="D29" s="56">
        <v>0.13550000000000001</v>
      </c>
    </row>
    <row r="30" spans="1:4" s="52" customFormat="1" ht="12.75">
      <c r="A30" s="53" t="s">
        <v>572</v>
      </c>
      <c r="B30" s="54" t="s">
        <v>573</v>
      </c>
      <c r="C30" s="55"/>
      <c r="D30" s="56">
        <v>2.9999999999999997E-4</v>
      </c>
    </row>
    <row r="31" spans="1:4" s="52" customFormat="1" ht="12.75">
      <c r="A31" s="57" t="s">
        <v>574</v>
      </c>
      <c r="B31" s="58" t="s">
        <v>575</v>
      </c>
      <c r="C31" s="59"/>
      <c r="D31" s="60">
        <f>SUM(D21:D30)</f>
        <v>0.48419999999999996</v>
      </c>
    </row>
    <row r="32" spans="1:4" s="52" customFormat="1" ht="13.15" customHeight="1">
      <c r="A32" s="213" t="s">
        <v>576</v>
      </c>
      <c r="B32" s="214"/>
      <c r="C32" s="214"/>
      <c r="D32" s="215"/>
    </row>
    <row r="33" spans="1:4" s="52" customFormat="1" ht="12.75">
      <c r="A33" s="61" t="s">
        <v>577</v>
      </c>
      <c r="B33" s="62" t="s">
        <v>578</v>
      </c>
      <c r="C33" s="63"/>
      <c r="D33" s="56">
        <v>4.1200000000000001E-2</v>
      </c>
    </row>
    <row r="34" spans="1:4" s="52" customFormat="1" ht="12.75">
      <c r="A34" s="61" t="s">
        <v>579</v>
      </c>
      <c r="B34" s="62" t="s">
        <v>580</v>
      </c>
      <c r="C34" s="63"/>
      <c r="D34" s="56">
        <v>1E-3</v>
      </c>
    </row>
    <row r="35" spans="1:4" s="52" customFormat="1" ht="12.75">
      <c r="A35" s="61" t="s">
        <v>581</v>
      </c>
      <c r="B35" s="62" t="s">
        <v>582</v>
      </c>
      <c r="C35" s="63"/>
      <c r="D35" s="56">
        <v>4.5999999999999999E-3</v>
      </c>
    </row>
    <row r="36" spans="1:4" s="52" customFormat="1" ht="12.75">
      <c r="A36" s="61" t="s">
        <v>583</v>
      </c>
      <c r="B36" s="62" t="s">
        <v>584</v>
      </c>
      <c r="C36" s="63"/>
      <c r="D36" s="56">
        <v>3.7699999999999997E-2</v>
      </c>
    </row>
    <row r="37" spans="1:4" s="52" customFormat="1" ht="12.75">
      <c r="A37" s="61" t="s">
        <v>585</v>
      </c>
      <c r="B37" s="62" t="s">
        <v>586</v>
      </c>
      <c r="C37" s="63"/>
      <c r="D37" s="56">
        <v>3.5000000000000001E-3</v>
      </c>
    </row>
    <row r="38" spans="1:4" s="52" customFormat="1" ht="12.75">
      <c r="A38" s="64" t="s">
        <v>587</v>
      </c>
      <c r="B38" s="65" t="s">
        <v>575</v>
      </c>
      <c r="C38" s="66"/>
      <c r="D38" s="60">
        <f>SUM(D33:D37)</f>
        <v>8.7999999999999995E-2</v>
      </c>
    </row>
    <row r="39" spans="1:4" s="52" customFormat="1" ht="13.15" customHeight="1">
      <c r="A39" s="213" t="s">
        <v>588</v>
      </c>
      <c r="B39" s="214"/>
      <c r="C39" s="214"/>
      <c r="D39" s="215"/>
    </row>
    <row r="40" spans="1:4" s="52" customFormat="1" ht="12.75">
      <c r="A40" s="61" t="s">
        <v>589</v>
      </c>
      <c r="B40" s="62" t="s">
        <v>590</v>
      </c>
      <c r="C40" s="63"/>
      <c r="D40" s="67">
        <f>ROUND(D19*D31,4)</f>
        <v>0.183</v>
      </c>
    </row>
    <row r="41" spans="1:4" s="52" customFormat="1" ht="12.75">
      <c r="A41" s="61" t="s">
        <v>591</v>
      </c>
      <c r="B41" s="62" t="s">
        <v>592</v>
      </c>
      <c r="C41" s="63"/>
      <c r="D41" s="67">
        <f>ROUND(D17*D33+D19*D34,4)</f>
        <v>3.7000000000000002E-3</v>
      </c>
    </row>
    <row r="42" spans="1:4" s="52" customFormat="1" ht="12.75">
      <c r="A42" s="64" t="s">
        <v>593</v>
      </c>
      <c r="B42" s="65" t="s">
        <v>594</v>
      </c>
      <c r="C42" s="66"/>
      <c r="D42" s="68">
        <f>SUM(D40:D41)</f>
        <v>0.1867</v>
      </c>
    </row>
    <row r="43" spans="1:4" s="52" customFormat="1" ht="12.75">
      <c r="A43" s="61"/>
      <c r="B43" s="62"/>
      <c r="C43" s="63"/>
      <c r="D43" s="67"/>
    </row>
    <row r="44" spans="1:4" s="52" customFormat="1" ht="13.15" customHeight="1">
      <c r="A44" s="213" t="s">
        <v>595</v>
      </c>
      <c r="B44" s="214"/>
      <c r="C44" s="214"/>
      <c r="D44" s="69">
        <f>D19+D31+D38+D42</f>
        <v>1.1369</v>
      </c>
    </row>
  </sheetData>
  <sheetProtection selectLockedCells="1" selectUnlockedCells="1"/>
  <mergeCells count="10">
    <mergeCell ref="A2:B2"/>
    <mergeCell ref="A4:B4"/>
    <mergeCell ref="A20:D20"/>
    <mergeCell ref="A32:D32"/>
    <mergeCell ref="A39:D39"/>
    <mergeCell ref="A44:C44"/>
    <mergeCell ref="A6:B6"/>
    <mergeCell ref="A7:D7"/>
    <mergeCell ref="B8:C8"/>
    <mergeCell ref="A9:D9"/>
  </mergeCells>
  <phoneticPr fontId="10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r:id="rId1"/>
  <headerFooter>
    <oddHeader>&amp;L &amp;C &amp;R</oddHeader>
    <oddFooter>&amp;L &amp;C 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showOutlineSymbols="0" showWhiteSpace="0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9" sqref="G9"/>
    </sheetView>
  </sheetViews>
  <sheetFormatPr defaultRowHeight="14.25"/>
  <cols>
    <col min="1" max="1" width="13.625" customWidth="1"/>
    <col min="2" max="2" width="26.625" customWidth="1"/>
    <col min="3" max="3" width="13.625" customWidth="1"/>
    <col min="4" max="6" width="9.375" customWidth="1"/>
    <col min="7" max="27" width="12" bestFit="1" customWidth="1"/>
  </cols>
  <sheetData>
    <row r="1" spans="1:6">
      <c r="A1" s="100" t="str">
        <f ca="1">'Orçamento Sintético'!A1</f>
        <v>P. Execução:</v>
      </c>
      <c r="B1" s="101" t="str">
        <f ca="1">'Orçamento Sintético'!D1</f>
        <v>Objeto: Recuperação de juntas estruturais e impermeabilização das jardineiras no edifício-sede</v>
      </c>
      <c r="C1" s="102" t="str">
        <f ca="1">'Orçamento Sintético'!C1</f>
        <v>Licitação:</v>
      </c>
      <c r="D1" s="77"/>
      <c r="E1" s="25"/>
      <c r="F1" s="26"/>
    </row>
    <row r="2" spans="1:6">
      <c r="A2" s="103" t="str">
        <f ca="1">'Orçamento Sintético'!A2</f>
        <v>A</v>
      </c>
      <c r="B2" s="104" t="str">
        <f ca="1">'Orçamento Sintético'!D2</f>
        <v>Local: Praça do Buriti Bloco A, Lote 2 - Zona Cívico-Administrativa - Brasília / DF</v>
      </c>
      <c r="C2" s="105" t="str">
        <f ca="1">'Orçamento Sintético'!C2</f>
        <v>B</v>
      </c>
      <c r="D2" s="78"/>
      <c r="E2" s="128"/>
      <c r="F2" s="27"/>
    </row>
    <row r="3" spans="1:6">
      <c r="A3" s="106" t="str">
        <f ca="1">'Orçamento Sintético'!A3</f>
        <v>P. Validade:</v>
      </c>
      <c r="B3" s="106" t="str">
        <f ca="1">'Orçamento Sintético'!C3</f>
        <v>Razão Social:</v>
      </c>
      <c r="C3" s="100" t="str">
        <f ca="1">'Orçamento Sintético'!E1</f>
        <v>Data:</v>
      </c>
      <c r="D3" s="78"/>
      <c r="E3" s="128"/>
      <c r="F3" s="27"/>
    </row>
    <row r="4" spans="1:6">
      <c r="A4" s="103" t="str">
        <f ca="1">'Orçamento Sintético'!A4</f>
        <v>C</v>
      </c>
      <c r="B4" s="127" t="str">
        <f ca="1">'Orçamento Sintético'!C4</f>
        <v>D</v>
      </c>
      <c r="C4" s="107">
        <f ca="1">'Orçamento Sintético'!E2</f>
        <v>1</v>
      </c>
      <c r="D4" s="78"/>
      <c r="E4" s="128"/>
      <c r="F4" s="27"/>
    </row>
    <row r="5" spans="1:6" ht="15">
      <c r="A5" s="100" t="str">
        <f ca="1">'Orçamento Sintético'!A5</f>
        <v>P. Garantia:</v>
      </c>
      <c r="B5" s="106" t="str">
        <f ca="1">'Orçamento Sintético'!C5</f>
        <v>CNPJ:</v>
      </c>
      <c r="C5" s="100" t="str">
        <f ca="1">'Orçamento Sintético'!E3</f>
        <v>Telefone:</v>
      </c>
      <c r="D5" s="79"/>
      <c r="E5" s="129"/>
      <c r="F5" s="75"/>
    </row>
    <row r="6" spans="1:6">
      <c r="A6" s="103" t="str">
        <f ca="1">'Orçamento Sintético'!A6</f>
        <v>F</v>
      </c>
      <c r="B6" s="127" t="str">
        <f ca="1">'Orçamento Sintético'!C6</f>
        <v>G</v>
      </c>
      <c r="C6" s="107" t="str">
        <f ca="1">'Orçamento Sintético'!E4</f>
        <v>E</v>
      </c>
      <c r="D6" s="80"/>
      <c r="E6" s="74"/>
      <c r="F6" s="76"/>
    </row>
    <row r="7" spans="1:6" ht="15">
      <c r="A7" s="183" t="s">
        <v>605</v>
      </c>
      <c r="B7" s="184"/>
      <c r="C7" s="184"/>
      <c r="D7" s="184"/>
      <c r="E7" s="184"/>
      <c r="F7" s="184"/>
    </row>
    <row r="8" spans="1:6">
      <c r="A8" s="151" t="s">
        <v>1</v>
      </c>
      <c r="B8" s="151" t="s">
        <v>4</v>
      </c>
      <c r="C8" s="151" t="s">
        <v>604</v>
      </c>
      <c r="D8" s="151" t="s">
        <v>603</v>
      </c>
      <c r="E8" s="151" t="s">
        <v>602</v>
      </c>
      <c r="F8" s="151" t="s">
        <v>601</v>
      </c>
    </row>
    <row r="9" spans="1:6">
      <c r="A9" s="229" t="s">
        <v>9</v>
      </c>
      <c r="B9" s="225" t="str">
        <f ca="1">VLOOKUP($A9,'Orçamento Sintético'!$A:$H,4,0)</f>
        <v>SERVIÇOS TÉCNICO - PROFISSIONAIS</v>
      </c>
      <c r="C9" s="130">
        <f ca="1">ROUND(C10/$C$76,4)</f>
        <v>4.0000000000000002E-4</v>
      </c>
      <c r="D9" s="131">
        <f>ROUND(D10/$C10,4)</f>
        <v>1</v>
      </c>
      <c r="E9" s="131">
        <f>ROUND(E10/$C10,4)</f>
        <v>0</v>
      </c>
      <c r="F9" s="131">
        <f>ROUND(F10/$C10,4)</f>
        <v>0</v>
      </c>
    </row>
    <row r="10" spans="1:6">
      <c r="A10" s="230"/>
      <c r="B10" s="226"/>
      <c r="C10" s="132">
        <f ca="1">VLOOKUP($A9,'Orçamento Sintético'!$A:$H,8,0)</f>
        <v>233.94</v>
      </c>
      <c r="D10" s="133">
        <f>D12</f>
        <v>233.94</v>
      </c>
      <c r="E10" s="133">
        <f>E12</f>
        <v>0</v>
      </c>
      <c r="F10" s="133">
        <f>F12</f>
        <v>0</v>
      </c>
    </row>
    <row r="11" spans="1:6">
      <c r="A11" s="223" t="s">
        <v>11</v>
      </c>
      <c r="B11" s="223" t="str">
        <f ca="1">VLOOKUP($A11,'Orçamento Sintético'!$A:$H,4,0)</f>
        <v>TAXAS E EMOLUMENTOS</v>
      </c>
      <c r="C11" s="134">
        <f ca="1">ROUND(C12/$C$76,4)</f>
        <v>4.0000000000000002E-4</v>
      </c>
      <c r="D11" s="135">
        <v>1</v>
      </c>
      <c r="E11" s="136"/>
      <c r="F11" s="135">
        <f>ROUND(F12/$C12,4)</f>
        <v>0</v>
      </c>
    </row>
    <row r="12" spans="1:6">
      <c r="A12" s="224"/>
      <c r="B12" s="224"/>
      <c r="C12" s="137">
        <f ca="1">VLOOKUP($A11,'Orçamento Sintético'!$A:$H,8,0)</f>
        <v>233.94</v>
      </c>
      <c r="D12" s="138">
        <f>ROUND($C12*D11,2)</f>
        <v>233.94</v>
      </c>
      <c r="E12" s="138">
        <f>ROUND($C12*E11,2)</f>
        <v>0</v>
      </c>
      <c r="F12" s="138">
        <f>$C12-SUM(D12:E12)</f>
        <v>0</v>
      </c>
    </row>
    <row r="13" spans="1:6">
      <c r="A13" s="229" t="s">
        <v>18</v>
      </c>
      <c r="B13" s="225" t="str">
        <f ca="1">VLOOKUP($A13,'Orçamento Sintético'!$A:$H,4,0)</f>
        <v>SERVIÇOS PRELIMINARES</v>
      </c>
      <c r="C13" s="130">
        <f ca="1">ROUND(C14/$C$76,4)</f>
        <v>6.3100000000000003E-2</v>
      </c>
      <c r="D13" s="131">
        <f>ROUND(D14/$C14,4)</f>
        <v>0.77959999999999996</v>
      </c>
      <c r="E13" s="131">
        <f>ROUND(E14/$C14,4)</f>
        <v>0.17380000000000001</v>
      </c>
      <c r="F13" s="131">
        <f>ROUND(F14/$C14,4)</f>
        <v>4.6600000000000003E-2</v>
      </c>
    </row>
    <row r="14" spans="1:6">
      <c r="A14" s="230"/>
      <c r="B14" s="226"/>
      <c r="C14" s="132">
        <f ca="1">VLOOKUP($A13,'Orçamento Sintético'!$A:$H,8,0)</f>
        <v>33366.17</v>
      </c>
      <c r="D14" s="133">
        <f>D16+D20+D26</f>
        <v>26012.989999999998</v>
      </c>
      <c r="E14" s="133">
        <f>E16+E20+E26</f>
        <v>5798.92</v>
      </c>
      <c r="F14" s="133">
        <f>F16+F20+F26</f>
        <v>1554.2599999999989</v>
      </c>
    </row>
    <row r="15" spans="1:6">
      <c r="A15" s="227" t="s">
        <v>20</v>
      </c>
      <c r="B15" s="221" t="str">
        <f ca="1">VLOOKUP($A15,'Orçamento Sintético'!$A:$H,4,0)</f>
        <v>CANTEIRO DE OBRAS</v>
      </c>
      <c r="C15" s="139">
        <f ca="1">ROUND(C16/$C$68,4)</f>
        <v>0.1273</v>
      </c>
      <c r="D15" s="140">
        <f>ROUND(D16/$C16,4)</f>
        <v>0.28920000000000001</v>
      </c>
      <c r="E15" s="140">
        <f>ROUND(E16/$C16,4)</f>
        <v>0.71079999999999999</v>
      </c>
      <c r="F15" s="140">
        <f>ROUND(F16/$C16,4)</f>
        <v>0</v>
      </c>
    </row>
    <row r="16" spans="1:6">
      <c r="A16" s="228"/>
      <c r="B16" s="222"/>
      <c r="C16" s="141">
        <f ca="1">VLOOKUP($A15,'Orçamento Sintético'!$A:$H,8,0)</f>
        <v>2368.46</v>
      </c>
      <c r="D16" s="142">
        <f>D18</f>
        <v>684.96</v>
      </c>
      <c r="E16" s="142">
        <f>E18</f>
        <v>1683.5</v>
      </c>
      <c r="F16" s="142">
        <f>F18</f>
        <v>0</v>
      </c>
    </row>
    <row r="17" spans="1:6">
      <c r="A17" s="223" t="s">
        <v>22</v>
      </c>
      <c r="B17" s="223" t="str">
        <f ca="1">VLOOKUP($A17,'Orçamento Sintético'!$A:$H,4,0)</f>
        <v>Proteção e Sinalização</v>
      </c>
      <c r="C17" s="134">
        <f ca="1">ROUND(C18/$C$76,4)</f>
        <v>4.4999999999999997E-3</v>
      </c>
      <c r="D17" s="135">
        <v>0.28920000000000001</v>
      </c>
      <c r="E17" s="135">
        <v>0.71079999999999999</v>
      </c>
      <c r="F17" s="135">
        <f>ROUND(F18/$C18,4)</f>
        <v>0</v>
      </c>
    </row>
    <row r="18" spans="1:6">
      <c r="A18" s="224"/>
      <c r="B18" s="224"/>
      <c r="C18" s="137">
        <f ca="1">VLOOKUP($A17,'Orçamento Sintético'!$A:$H,8,0)</f>
        <v>2368.46</v>
      </c>
      <c r="D18" s="138">
        <f>ROUND($C18*D17,2)</f>
        <v>684.96</v>
      </c>
      <c r="E18" s="138">
        <f>ROUND($C18*E17,2)</f>
        <v>1683.5</v>
      </c>
      <c r="F18" s="138">
        <f>$C18-SUM(D18:E18)</f>
        <v>0</v>
      </c>
    </row>
    <row r="19" spans="1:6">
      <c r="A19" s="227" t="s">
        <v>36</v>
      </c>
      <c r="B19" s="221" t="str">
        <f ca="1">VLOOKUP($A19,'Orçamento Sintético'!$A:$H,4,0)</f>
        <v>DEMOLIÇÃO</v>
      </c>
      <c r="C19" s="139">
        <f ca="1">ROUND(C20/$C$68,4)</f>
        <v>1.5812999999999999</v>
      </c>
      <c r="D19" s="140">
        <f>ROUND(D20/$C20,4)</f>
        <v>0.86099999999999999</v>
      </c>
      <c r="E19" s="140">
        <f>ROUND(E20/$C20,4)</f>
        <v>0.11749999999999999</v>
      </c>
      <c r="F19" s="140">
        <f>ROUND(F20/$C20,4)</f>
        <v>2.1499999999999998E-2</v>
      </c>
    </row>
    <row r="20" spans="1:6">
      <c r="A20" s="228"/>
      <c r="B20" s="222"/>
      <c r="C20" s="141">
        <f ca="1">VLOOKUP($A19,'Orçamento Sintético'!$A:$H,8,0)</f>
        <v>29417.19</v>
      </c>
      <c r="D20" s="142">
        <f>D22+D24</f>
        <v>25328.03</v>
      </c>
      <c r="E20" s="142">
        <f>E22+E24</f>
        <v>3457.13</v>
      </c>
      <c r="F20" s="142">
        <f>F22+F24</f>
        <v>632.02999999999884</v>
      </c>
    </row>
    <row r="21" spans="1:6">
      <c r="A21" s="223" t="s">
        <v>38</v>
      </c>
      <c r="B21" s="223" t="str">
        <f ca="1">VLOOKUP($A21,'Orçamento Sintético'!$A:$H,4,0)</f>
        <v>Demolição Convencional</v>
      </c>
      <c r="C21" s="134">
        <f ca="1">ROUND(C22/$C$76,4)</f>
        <v>7.6E-3</v>
      </c>
      <c r="D21" s="135">
        <v>1</v>
      </c>
      <c r="E21" s="135"/>
      <c r="F21" s="135">
        <f>ROUND(F22/$C22,4)</f>
        <v>0</v>
      </c>
    </row>
    <row r="22" spans="1:6">
      <c r="A22" s="224"/>
      <c r="B22" s="224"/>
      <c r="C22" s="137">
        <f ca="1">VLOOKUP($A21,'Orçamento Sintético'!$A:$H,8,0)</f>
        <v>4034.46</v>
      </c>
      <c r="D22" s="138">
        <f>ROUND($C22*D21,2)</f>
        <v>4034.46</v>
      </c>
      <c r="E22" s="138">
        <f>ROUND($C22*E21,2)</f>
        <v>0</v>
      </c>
      <c r="F22" s="138">
        <f>$C22-SUM(D22:E22)</f>
        <v>0</v>
      </c>
    </row>
    <row r="23" spans="1:6">
      <c r="A23" s="223" t="s">
        <v>54</v>
      </c>
      <c r="B23" s="223" t="str">
        <f ca="1">VLOOKUP($A23,'Orçamento Sintético'!$A:$H,4,0)</f>
        <v>Remoções</v>
      </c>
      <c r="C23" s="134">
        <f ca="1">ROUND(C24/$C$76,4)</f>
        <v>4.8000000000000001E-2</v>
      </c>
      <c r="D23" s="135">
        <v>0.83889999999999998</v>
      </c>
      <c r="E23" s="135">
        <v>0.13619999999999999</v>
      </c>
      <c r="F23" s="135">
        <f>ROUND(F24/$C24,4)</f>
        <v>2.4899999999999999E-2</v>
      </c>
    </row>
    <row r="24" spans="1:6">
      <c r="A24" s="224"/>
      <c r="B24" s="224"/>
      <c r="C24" s="137">
        <f ca="1">VLOOKUP($A23,'Orçamento Sintético'!$A:$H,8,0)</f>
        <v>25382.73</v>
      </c>
      <c r="D24" s="138">
        <f>ROUND($C24*D23,2)</f>
        <v>21293.57</v>
      </c>
      <c r="E24" s="138">
        <f>ROUND($C24*E23,2)</f>
        <v>3457.13</v>
      </c>
      <c r="F24" s="138">
        <f>$C24-SUM(D24:E24)</f>
        <v>632.02999999999884</v>
      </c>
    </row>
    <row r="25" spans="1:6">
      <c r="A25" s="227" t="s">
        <v>109</v>
      </c>
      <c r="B25" s="221" t="str">
        <f ca="1">VLOOKUP($A25,'Orçamento Sintético'!$A:$H,4,0)</f>
        <v>TERRAPLENAGEM</v>
      </c>
      <c r="C25" s="139">
        <f ca="1">ROUND(C26/$C$68,4)</f>
        <v>8.5000000000000006E-2</v>
      </c>
      <c r="D25" s="140">
        <f>ROUND(D26/$C26,4)</f>
        <v>0</v>
      </c>
      <c r="E25" s="140">
        <f>ROUND(E26/$C26,4)</f>
        <v>0.41649999999999998</v>
      </c>
      <c r="F25" s="140">
        <f>ROUND(F26/$C26,4)</f>
        <v>0.58350000000000002</v>
      </c>
    </row>
    <row r="26" spans="1:6">
      <c r="A26" s="228"/>
      <c r="B26" s="222"/>
      <c r="C26" s="141">
        <f ca="1">VLOOKUP($A25,'Orçamento Sintético'!$A:$H,8,0)</f>
        <v>1580.52</v>
      </c>
      <c r="D26" s="142">
        <f>D28</f>
        <v>0</v>
      </c>
      <c r="E26" s="142">
        <f>E28</f>
        <v>658.29</v>
      </c>
      <c r="F26" s="142">
        <f>F28</f>
        <v>922.23</v>
      </c>
    </row>
    <row r="27" spans="1:6">
      <c r="A27" s="223" t="s">
        <v>111</v>
      </c>
      <c r="B27" s="223" t="str">
        <f ca="1">VLOOKUP($A27,'Orçamento Sintético'!$A:$H,4,0)</f>
        <v>Aterro Compactado</v>
      </c>
      <c r="C27" s="134">
        <f ca="1">ROUND(C28/$C$76,4)</f>
        <v>3.0000000000000001E-3</v>
      </c>
      <c r="D27" s="135"/>
      <c r="E27" s="135">
        <v>0.41649999999999998</v>
      </c>
      <c r="F27" s="135">
        <f>ROUND(F28/$C28,4)</f>
        <v>0.58350000000000002</v>
      </c>
    </row>
    <row r="28" spans="1:6">
      <c r="A28" s="224"/>
      <c r="B28" s="224"/>
      <c r="C28" s="137">
        <f ca="1">VLOOKUP($A27,'Orçamento Sintético'!$A:$H,8,0)</f>
        <v>1580.52</v>
      </c>
      <c r="D28" s="138">
        <f>ROUND($C28*D27,2)</f>
        <v>0</v>
      </c>
      <c r="E28" s="138">
        <f>ROUND($C28*E27,2)</f>
        <v>658.29</v>
      </c>
      <c r="F28" s="138">
        <f>$C28-SUM(D28:E28)</f>
        <v>922.23</v>
      </c>
    </row>
    <row r="29" spans="1:6">
      <c r="A29" s="229" t="s">
        <v>119</v>
      </c>
      <c r="B29" s="225" t="str">
        <f ca="1">VLOOKUP($A29,'Orçamento Sintético'!$A:$H,4,0)</f>
        <v>ARQUITETURA E ELEMENTOS DE URBANISMO</v>
      </c>
      <c r="C29" s="130">
        <f ca="1">ROUND(C30/$C$76,4)</f>
        <v>0.89019999999999999</v>
      </c>
      <c r="D29" s="131">
        <f>ROUND(D30/$C30,4)</f>
        <v>2.58E-2</v>
      </c>
      <c r="E29" s="131">
        <f>ROUND(E30/$C30,4)</f>
        <v>0.5716</v>
      </c>
      <c r="F29" s="131">
        <f>ROUND(F30/$C30,4)</f>
        <v>0.40260000000000001</v>
      </c>
    </row>
    <row r="30" spans="1:6">
      <c r="A30" s="230"/>
      <c r="B30" s="226"/>
      <c r="C30" s="132">
        <f ca="1">VLOOKUP($A29,'Orçamento Sintético'!$A:$H,8,0)</f>
        <v>471020.13999999996</v>
      </c>
      <c r="D30" s="133">
        <f>D32</f>
        <v>12148.439999999999</v>
      </c>
      <c r="E30" s="133">
        <f>E32</f>
        <v>269218.15000000002</v>
      </c>
      <c r="F30" s="133">
        <f>F32</f>
        <v>189653.55000000002</v>
      </c>
    </row>
    <row r="31" spans="1:6">
      <c r="A31" s="227" t="s">
        <v>121</v>
      </c>
      <c r="B31" s="221" t="str">
        <f ca="1">VLOOKUP($A31,'Orçamento Sintético'!$A:$H,4,0)</f>
        <v>ARQUITETURA</v>
      </c>
      <c r="C31" s="139">
        <f ca="1">ROUND(C32/$C$68,4)</f>
        <v>25.3188</v>
      </c>
      <c r="D31" s="140">
        <f>ROUND(D32/$C32,4)</f>
        <v>2.58E-2</v>
      </c>
      <c r="E31" s="140">
        <f>ROUND(E32/$C32,4)</f>
        <v>0.5716</v>
      </c>
      <c r="F31" s="140">
        <f>ROUND(F32/$C32,4)</f>
        <v>0.40260000000000001</v>
      </c>
    </row>
    <row r="32" spans="1:6">
      <c r="A32" s="228"/>
      <c r="B32" s="222"/>
      <c r="C32" s="141">
        <f ca="1">VLOOKUP($A31,'Orçamento Sintético'!$A:$H,8,0)</f>
        <v>471020.13999999996</v>
      </c>
      <c r="D32" s="142">
        <f>D34+D36+D38+D40+D42+D44+D46+D48</f>
        <v>12148.439999999999</v>
      </c>
      <c r="E32" s="142">
        <f>E34+E36+E38+E40+E42+E44+E46+E48</f>
        <v>269218.15000000002</v>
      </c>
      <c r="F32" s="142">
        <f>F34+F36+F38+F40+F42+F44+F46+F48</f>
        <v>189653.55000000002</v>
      </c>
    </row>
    <row r="33" spans="1:6">
      <c r="A33" s="223" t="s">
        <v>123</v>
      </c>
      <c r="B33" s="223" t="str">
        <f ca="1">VLOOKUP($A33,'Orçamento Sintético'!$A:$H,4,0)</f>
        <v>Cobertura e fechamento lateral</v>
      </c>
      <c r="C33" s="134">
        <f ca="1">ROUND(C34/$C$76,4)</f>
        <v>7.9000000000000008E-3</v>
      </c>
      <c r="D33" s="135"/>
      <c r="E33" s="135"/>
      <c r="F33" s="135">
        <f>ROUND(F34/$C34,4)</f>
        <v>1</v>
      </c>
    </row>
    <row r="34" spans="1:6">
      <c r="A34" s="224"/>
      <c r="B34" s="224"/>
      <c r="C34" s="137">
        <f ca="1">VLOOKUP($A33,'Orçamento Sintético'!$A:$H,8,0)</f>
        <v>4200</v>
      </c>
      <c r="D34" s="138">
        <f>ROUND($C34*D33,2)</f>
        <v>0</v>
      </c>
      <c r="E34" s="138">
        <f>ROUND($C34*E33,2)</f>
        <v>0</v>
      </c>
      <c r="F34" s="138">
        <f>$C34-SUM(D34:E34)</f>
        <v>4200</v>
      </c>
    </row>
    <row r="35" spans="1:6">
      <c r="A35" s="223" t="s">
        <v>129</v>
      </c>
      <c r="B35" s="223" t="str">
        <f ca="1">VLOOKUP($A35,'Orçamento Sintético'!$A:$H,4,0)</f>
        <v>Revestimentos de pisos</v>
      </c>
      <c r="C35" s="134">
        <f ca="1">ROUND(C36/$C$76,4)</f>
        <v>4.5699999999999998E-2</v>
      </c>
      <c r="D35" s="135"/>
      <c r="E35" s="135">
        <v>0.50260000000000005</v>
      </c>
      <c r="F35" s="135">
        <f>ROUND(F36/$C36,4)</f>
        <v>0.49740000000000001</v>
      </c>
    </row>
    <row r="36" spans="1:6">
      <c r="A36" s="224"/>
      <c r="B36" s="224"/>
      <c r="C36" s="137">
        <f ca="1">VLOOKUP($A35,'Orçamento Sintético'!$A:$H,8,0)</f>
        <v>24165.309999999998</v>
      </c>
      <c r="D36" s="138">
        <f>ROUND($C36*D35,2)</f>
        <v>0</v>
      </c>
      <c r="E36" s="138">
        <f>ROUND($C36*E35,2)</f>
        <v>12145.48</v>
      </c>
      <c r="F36" s="138">
        <f>$C36-SUM(D36:E36)</f>
        <v>12019.829999999998</v>
      </c>
    </row>
    <row r="37" spans="1:6">
      <c r="A37" s="223" t="s">
        <v>143</v>
      </c>
      <c r="B37" s="223" t="str">
        <f ca="1">VLOOKUP($A37,'Orçamento Sintético'!$A:$H,4,0)</f>
        <v>Revestimentos de paredes</v>
      </c>
      <c r="C37" s="134">
        <f ca="1">ROUND(C38/$C$76,4)</f>
        <v>0.16830000000000001</v>
      </c>
      <c r="D37" s="135">
        <v>4.6399999999999997E-2</v>
      </c>
      <c r="E37" s="135">
        <v>0.5</v>
      </c>
      <c r="F37" s="135">
        <f>ROUND(F38/$C38,4)</f>
        <v>0.4536</v>
      </c>
    </row>
    <row r="38" spans="1:6">
      <c r="A38" s="224"/>
      <c r="B38" s="224"/>
      <c r="C38" s="137">
        <f ca="1">VLOOKUP($A37,'Orçamento Sintético'!$A:$H,8,0)</f>
        <v>89072.359999999986</v>
      </c>
      <c r="D38" s="138">
        <f>ROUND($C38*D37,2)</f>
        <v>4132.96</v>
      </c>
      <c r="E38" s="138">
        <f>ROUND($C38*E37,2)</f>
        <v>44536.18</v>
      </c>
      <c r="F38" s="138">
        <f>$C38-SUM(D38:E38)</f>
        <v>40403.219999999987</v>
      </c>
    </row>
    <row r="39" spans="1:6">
      <c r="A39" s="223" t="s">
        <v>157</v>
      </c>
      <c r="B39" s="223" t="str">
        <f ca="1">VLOOKUP($A39,'Orçamento Sintético'!$A:$H,4,0)</f>
        <v>Revestimentos de forro</v>
      </c>
      <c r="C39" s="134">
        <f ca="1">ROUND(C40/$C$76,4)</f>
        <v>1.44E-2</v>
      </c>
      <c r="D39" s="135"/>
      <c r="E39" s="135">
        <v>0.5</v>
      </c>
      <c r="F39" s="135">
        <f>ROUND(F40/$C40,4)</f>
        <v>0.5</v>
      </c>
    </row>
    <row r="40" spans="1:6">
      <c r="A40" s="224"/>
      <c r="B40" s="224"/>
      <c r="C40" s="137">
        <f ca="1">VLOOKUP($A39,'Orçamento Sintético'!$A:$H,8,0)</f>
        <v>7608.09</v>
      </c>
      <c r="D40" s="138">
        <f>ROUND($C40*D39,2)</f>
        <v>0</v>
      </c>
      <c r="E40" s="138">
        <f>ROUND($C40*E39,2)</f>
        <v>3804.05</v>
      </c>
      <c r="F40" s="138">
        <f>$C40-SUM(D40:E40)</f>
        <v>3804.04</v>
      </c>
    </row>
    <row r="41" spans="1:6">
      <c r="A41" s="223" t="s">
        <v>168</v>
      </c>
      <c r="B41" s="223" t="str">
        <f ca="1">VLOOKUP($A41,'Orçamento Sintético'!$A:$H,4,0)</f>
        <v>Pinturas</v>
      </c>
      <c r="C41" s="134">
        <f ca="1">ROUND(C42/$C$76,4)</f>
        <v>5.0999999999999997E-2</v>
      </c>
      <c r="D41" s="135"/>
      <c r="E41" s="135">
        <v>1.7399999999999999E-2</v>
      </c>
      <c r="F41" s="135">
        <f>ROUND(F42/$C42,4)</f>
        <v>0.98260000000000003</v>
      </c>
    </row>
    <row r="42" spans="1:6">
      <c r="A42" s="224"/>
      <c r="B42" s="224"/>
      <c r="C42" s="137">
        <f ca="1">VLOOKUP($A41,'Orçamento Sintético'!$A:$H,8,0)</f>
        <v>27006.400000000001</v>
      </c>
      <c r="D42" s="138">
        <f>ROUND($C42*D41,2)</f>
        <v>0</v>
      </c>
      <c r="E42" s="138">
        <f>ROUND($C42*E41,2)</f>
        <v>469.91</v>
      </c>
      <c r="F42" s="138">
        <f>$C42-SUM(D42:E42)</f>
        <v>26536.49</v>
      </c>
    </row>
    <row r="43" spans="1:6">
      <c r="A43" s="223" t="s">
        <v>191</v>
      </c>
      <c r="B43" s="223" t="str">
        <f ca="1">VLOOKUP($A43,'Orçamento Sintético'!$A:$H,4,0)</f>
        <v>Impermeabilizações</v>
      </c>
      <c r="C43" s="134">
        <f ca="1">ROUND(C44/$C$76,4)</f>
        <v>0.47339999999999999</v>
      </c>
      <c r="D43" s="135">
        <v>3.2000000000000001E-2</v>
      </c>
      <c r="E43" s="135">
        <v>0.70120000000000005</v>
      </c>
      <c r="F43" s="135">
        <f>ROUND(F44/$C44,4)</f>
        <v>0.26679999999999998</v>
      </c>
    </row>
    <row r="44" spans="1:6">
      <c r="A44" s="224"/>
      <c r="B44" s="224"/>
      <c r="C44" s="137">
        <f ca="1">VLOOKUP($A43,'Orçamento Sintético'!$A:$H,8,0)</f>
        <v>250483.60000000003</v>
      </c>
      <c r="D44" s="138">
        <f>ROUND($C44*D43,2)</f>
        <v>8015.48</v>
      </c>
      <c r="E44" s="138">
        <f>ROUND($C44*E43,2)</f>
        <v>175639.1</v>
      </c>
      <c r="F44" s="138">
        <f>$C44-SUM(D44:E44)</f>
        <v>66829.020000000019</v>
      </c>
    </row>
    <row r="45" spans="1:6">
      <c r="A45" s="223" t="s">
        <v>250</v>
      </c>
      <c r="B45" s="223" t="str">
        <f ca="1">VLOOKUP($A45,'Orçamento Sintético'!$A:$H,4,0)</f>
        <v>Acabamentos e arremates</v>
      </c>
      <c r="C45" s="134">
        <f ca="1">ROUND(C46/$C$76,4)</f>
        <v>9.6100000000000005E-2</v>
      </c>
      <c r="D45" s="135"/>
      <c r="E45" s="135">
        <v>0.41959999999999997</v>
      </c>
      <c r="F45" s="135">
        <f>ROUND(F46/$C46,4)</f>
        <v>0.58040000000000003</v>
      </c>
    </row>
    <row r="46" spans="1:6">
      <c r="A46" s="224"/>
      <c r="B46" s="224"/>
      <c r="C46" s="137">
        <f ca="1">VLOOKUP($A45,'Orçamento Sintético'!$A:$H,8,0)</f>
        <v>50822.47</v>
      </c>
      <c r="D46" s="138">
        <f>ROUND($C46*D45,2)</f>
        <v>0</v>
      </c>
      <c r="E46" s="138">
        <f>ROUND($C46*E45,2)</f>
        <v>21325.11</v>
      </c>
      <c r="F46" s="138">
        <f>$C46-SUM(D46:E46)</f>
        <v>29497.360000000001</v>
      </c>
    </row>
    <row r="47" spans="1:6">
      <c r="A47" s="223" t="s">
        <v>267</v>
      </c>
      <c r="B47" s="223" t="str">
        <f ca="1">VLOOKUP($A47,'Orçamento Sintético'!$A:$H,4,0)</f>
        <v>Equipamentos e Acessórios</v>
      </c>
      <c r="C47" s="134">
        <f ca="1">ROUND(C48/$C$76,4)</f>
        <v>3.3399999999999999E-2</v>
      </c>
      <c r="D47" s="135"/>
      <c r="E47" s="135">
        <v>0.63970000000000005</v>
      </c>
      <c r="F47" s="135">
        <f>ROUND(F48/$C48,4)</f>
        <v>0.36030000000000001</v>
      </c>
    </row>
    <row r="48" spans="1:6">
      <c r="A48" s="224"/>
      <c r="B48" s="224"/>
      <c r="C48" s="137">
        <f ca="1">VLOOKUP($A47,'Orçamento Sintético'!$A:$H,8,0)</f>
        <v>17661.91</v>
      </c>
      <c r="D48" s="138">
        <f>ROUND($C48*D47,2)</f>
        <v>0</v>
      </c>
      <c r="E48" s="138">
        <f>ROUND($C48*E47,2)</f>
        <v>11298.32</v>
      </c>
      <c r="F48" s="138">
        <f>$C48-SUM(D48:E48)</f>
        <v>6363.59</v>
      </c>
    </row>
    <row r="49" spans="1:6" ht="14.25" customHeight="1">
      <c r="A49" s="229" t="s">
        <v>275</v>
      </c>
      <c r="B49" s="225" t="str">
        <f ca="1">VLOOKUP($A49,'Orçamento Sintético'!$A:$H,4,0)</f>
        <v>INSTALAÇÕES HIDRÁULICAS E SANITÁRIAS</v>
      </c>
      <c r="C49" s="130">
        <f ca="1">ROUND(C50/$C$76,4)</f>
        <v>5.0000000000000001E-4</v>
      </c>
      <c r="D49" s="131">
        <f>ROUND(D50/$C50,4)</f>
        <v>0</v>
      </c>
      <c r="E49" s="131">
        <f>ROUND(E50/$C50,4)</f>
        <v>1</v>
      </c>
      <c r="F49" s="131">
        <f>ROUND(F50/$C50,4)</f>
        <v>0</v>
      </c>
    </row>
    <row r="50" spans="1:6">
      <c r="A50" s="230"/>
      <c r="B50" s="226"/>
      <c r="C50" s="132">
        <f ca="1">VLOOKUP($A49,'Orçamento Sintético'!$A:$H,8,0)</f>
        <v>261.32</v>
      </c>
      <c r="D50" s="133">
        <f>D52</f>
        <v>0</v>
      </c>
      <c r="E50" s="133">
        <f>E52</f>
        <v>261.32</v>
      </c>
      <c r="F50" s="133">
        <f>F52</f>
        <v>0</v>
      </c>
    </row>
    <row r="51" spans="1:6">
      <c r="A51" s="227" t="s">
        <v>277</v>
      </c>
      <c r="B51" s="221" t="str">
        <f ca="1">VLOOKUP($A51,'Orçamento Sintético'!$A:$H,4,0)</f>
        <v>DRENAGEM DE ÁGUAS PLUVIAIS</v>
      </c>
      <c r="C51" s="139">
        <f ca="1">ROUND(C52/$C$68,4)</f>
        <v>1.4E-2</v>
      </c>
      <c r="D51" s="140">
        <f>ROUND(D52/$C52,4)</f>
        <v>0</v>
      </c>
      <c r="E51" s="140">
        <f>ROUND(E52/$C52,4)</f>
        <v>1</v>
      </c>
      <c r="F51" s="140">
        <f>ROUND(F52/$C52,4)</f>
        <v>0</v>
      </c>
    </row>
    <row r="52" spans="1:6">
      <c r="A52" s="228"/>
      <c r="B52" s="222"/>
      <c r="C52" s="141">
        <f ca="1">VLOOKUP($A51,'Orçamento Sintético'!$A:$H,8,0)</f>
        <v>261.32</v>
      </c>
      <c r="D52" s="142">
        <f>D54</f>
        <v>0</v>
      </c>
      <c r="E52" s="142">
        <f>E54</f>
        <v>261.32</v>
      </c>
      <c r="F52" s="142">
        <f>F54</f>
        <v>0</v>
      </c>
    </row>
    <row r="53" spans="1:6">
      <c r="A53" s="223" t="s">
        <v>279</v>
      </c>
      <c r="B53" s="223" t="str">
        <f ca="1">VLOOKUP($A53,'Orçamento Sintético'!$A:$H,4,0)</f>
        <v>Tubulações e Conexões de Ferro Fundido</v>
      </c>
      <c r="C53" s="134">
        <f ca="1">ROUND(C54/$C$76,4)</f>
        <v>5.0000000000000001E-4</v>
      </c>
      <c r="D53" s="135"/>
      <c r="E53" s="135">
        <v>1</v>
      </c>
      <c r="F53" s="135">
        <f>ROUND(F54/$C54,4)</f>
        <v>0</v>
      </c>
    </row>
    <row r="54" spans="1:6">
      <c r="A54" s="224"/>
      <c r="B54" s="224"/>
      <c r="C54" s="137">
        <f ca="1">VLOOKUP($A53,'Orçamento Sintético'!$A:$H,8,0)</f>
        <v>261.32</v>
      </c>
      <c r="D54" s="138">
        <f>ROUND($C54*D53,2)</f>
        <v>0</v>
      </c>
      <c r="E54" s="138">
        <f>ROUND($C54*E53,2)</f>
        <v>261.32</v>
      </c>
      <c r="F54" s="138">
        <f>$C54-SUM(D54:E54)</f>
        <v>0</v>
      </c>
    </row>
    <row r="55" spans="1:6" ht="14.25" customHeight="1">
      <c r="A55" s="229" t="s">
        <v>284</v>
      </c>
      <c r="B55" s="225" t="str">
        <f ca="1">VLOOKUP($A55,'Orçamento Sintético'!$A:$H,4,0)</f>
        <v>INSTALAÇÕES ELÉTRICAS E ELETRÔNICAS</v>
      </c>
      <c r="C55" s="130">
        <f ca="1">ROUND(C56/$C$76,4)</f>
        <v>5.7999999999999996E-3</v>
      </c>
      <c r="D55" s="131">
        <f>ROUND(D56/$C56,4)</f>
        <v>0</v>
      </c>
      <c r="E55" s="131">
        <f>ROUND(E56/$C56,4)</f>
        <v>0</v>
      </c>
      <c r="F55" s="131">
        <f>ROUND(F56/$C56,4)</f>
        <v>1</v>
      </c>
    </row>
    <row r="56" spans="1:6">
      <c r="A56" s="230"/>
      <c r="B56" s="226"/>
      <c r="C56" s="132">
        <f ca="1">VLOOKUP($A55,'Orçamento Sintético'!$A:$H,8,0)</f>
        <v>3076.6000000000004</v>
      </c>
      <c r="D56" s="133">
        <f>D58</f>
        <v>0</v>
      </c>
      <c r="E56" s="133">
        <f>E58</f>
        <v>0</v>
      </c>
      <c r="F56" s="133">
        <f>F58</f>
        <v>3076.6000000000004</v>
      </c>
    </row>
    <row r="57" spans="1:6">
      <c r="A57" s="227" t="s">
        <v>286</v>
      </c>
      <c r="B57" s="221" t="str">
        <f ca="1">VLOOKUP($A57,'Orçamento Sintético'!$A:$H,4,0)</f>
        <v>INSTALAÇÕES ELÉTRICAS</v>
      </c>
      <c r="C57" s="139">
        <f ca="1">ROUND(C58/$C$68,4)</f>
        <v>0.16539999999999999</v>
      </c>
      <c r="D57" s="140">
        <f>ROUND(D58/$C58,4)</f>
        <v>0</v>
      </c>
      <c r="E57" s="140">
        <f>ROUND(E58/$C58,4)</f>
        <v>0</v>
      </c>
      <c r="F57" s="140">
        <f>ROUND(F58/$C58,4)</f>
        <v>1</v>
      </c>
    </row>
    <row r="58" spans="1:6">
      <c r="A58" s="228"/>
      <c r="B58" s="222"/>
      <c r="C58" s="141">
        <f ca="1">VLOOKUP($A57,'Orçamento Sintético'!$A:$H,8,0)</f>
        <v>3076.6000000000004</v>
      </c>
      <c r="D58" s="142">
        <f>D60+D62</f>
        <v>0</v>
      </c>
      <c r="E58" s="142">
        <f>E60+E62</f>
        <v>0</v>
      </c>
      <c r="F58" s="142">
        <f>F60+F62</f>
        <v>3076.6000000000004</v>
      </c>
    </row>
    <row r="59" spans="1:6">
      <c r="A59" s="223" t="s">
        <v>288</v>
      </c>
      <c r="B59" s="223" t="str">
        <f ca="1">VLOOKUP($A59,'Orçamento Sintético'!$A:$H,4,0)</f>
        <v>Rede Elétrica Secundária</v>
      </c>
      <c r="C59" s="134">
        <f ca="1">ROUND(C60/$C$76,4)</f>
        <v>2.2000000000000001E-3</v>
      </c>
      <c r="D59" s="135"/>
      <c r="E59" s="135"/>
      <c r="F59" s="135">
        <f>ROUND(F60/$C60,4)</f>
        <v>1</v>
      </c>
    </row>
    <row r="60" spans="1:6">
      <c r="A60" s="224"/>
      <c r="B60" s="224"/>
      <c r="C60" s="137">
        <f ca="1">VLOOKUP($A59,'Orçamento Sintético'!$A:$H,8,0)</f>
        <v>1151.95</v>
      </c>
      <c r="D60" s="138">
        <f>ROUND($C60*D59,2)</f>
        <v>0</v>
      </c>
      <c r="E60" s="138">
        <f>ROUND($C60*E59,2)</f>
        <v>0</v>
      </c>
      <c r="F60" s="138">
        <f>$C60-SUM(D60:E60)</f>
        <v>1151.95</v>
      </c>
    </row>
    <row r="61" spans="1:6">
      <c r="A61" s="223" t="s">
        <v>296</v>
      </c>
      <c r="B61" s="223" t="str">
        <f ca="1">VLOOKUP($A61,'Orçamento Sintético'!$A:$H,4,0)</f>
        <v>Aterramento e Proteção Contra Descargas Atmosféricas</v>
      </c>
      <c r="C61" s="134">
        <f ca="1">ROUND(C62/$C$76,4)</f>
        <v>3.5999999999999999E-3</v>
      </c>
      <c r="D61" s="135"/>
      <c r="E61" s="135"/>
      <c r="F61" s="135">
        <f>ROUND(F62/$C62,4)</f>
        <v>1</v>
      </c>
    </row>
    <row r="62" spans="1:6">
      <c r="A62" s="224"/>
      <c r="B62" s="224"/>
      <c r="C62" s="137">
        <f ca="1">VLOOKUP($A61,'Orçamento Sintético'!$A:$H,8,0)</f>
        <v>1924.65</v>
      </c>
      <c r="D62" s="138">
        <f>ROUND($C62*D61,2)</f>
        <v>0</v>
      </c>
      <c r="E62" s="138">
        <f>ROUND($C62*E61,2)</f>
        <v>0</v>
      </c>
      <c r="F62" s="138">
        <f>$C62-SUM(D62:E62)</f>
        <v>1924.65</v>
      </c>
    </row>
    <row r="63" spans="1:6">
      <c r="A63" s="229" t="s">
        <v>301</v>
      </c>
      <c r="B63" s="225" t="str">
        <f ca="1">VLOOKUP($A63,'Orçamento Sintético'!$A:$H,4,0)</f>
        <v>SERVIÇOS COMPLEMENTARES</v>
      </c>
      <c r="C63" s="130">
        <f ca="1">ROUND(C64/$C$76,4)</f>
        <v>4.7999999999999996E-3</v>
      </c>
      <c r="D63" s="131">
        <f>ROUND(D64/$C64,4)</f>
        <v>0</v>
      </c>
      <c r="E63" s="131">
        <f>ROUND(E64/$C64,4)</f>
        <v>0</v>
      </c>
      <c r="F63" s="131">
        <f>ROUND(F64/$C64,4)</f>
        <v>1</v>
      </c>
    </row>
    <row r="64" spans="1:6">
      <c r="A64" s="230"/>
      <c r="B64" s="226"/>
      <c r="C64" s="132">
        <f ca="1">VLOOKUP($A63,'Orçamento Sintético'!$A:$H,8,0)</f>
        <v>2549.63</v>
      </c>
      <c r="D64" s="133">
        <f>D66</f>
        <v>0</v>
      </c>
      <c r="E64" s="133">
        <f>E66</f>
        <v>0</v>
      </c>
      <c r="F64" s="133">
        <f>F66</f>
        <v>2549.63</v>
      </c>
    </row>
    <row r="65" spans="1:6">
      <c r="A65" s="223" t="s">
        <v>303</v>
      </c>
      <c r="B65" s="223" t="str">
        <f ca="1">VLOOKUP($A65,'Orçamento Sintético'!$A:$H,4,0)</f>
        <v>LIMPEZA DE OBRAS</v>
      </c>
      <c r="C65" s="134">
        <f ca="1">ROUND(C66/$C$76,4)</f>
        <v>4.7999999999999996E-3</v>
      </c>
      <c r="D65" s="135"/>
      <c r="E65" s="135"/>
      <c r="F65" s="135">
        <f>ROUND(F66/$C66,4)</f>
        <v>1</v>
      </c>
    </row>
    <row r="66" spans="1:6">
      <c r="A66" s="224"/>
      <c r="B66" s="224"/>
      <c r="C66" s="137">
        <f ca="1">VLOOKUP($A65,'Orçamento Sintético'!$A:$H,8,0)</f>
        <v>2549.63</v>
      </c>
      <c r="D66" s="138">
        <f>ROUND($C66*D65,2)</f>
        <v>0</v>
      </c>
      <c r="E66" s="138">
        <f>ROUND($C66*E65,2)</f>
        <v>0</v>
      </c>
      <c r="F66" s="138">
        <f>$C66-SUM(D66:E66)</f>
        <v>2549.63</v>
      </c>
    </row>
    <row r="67" spans="1:6" ht="14.25" customHeight="1">
      <c r="A67" s="229" t="s">
        <v>312</v>
      </c>
      <c r="B67" s="225" t="str">
        <f ca="1">VLOOKUP($A67,'Orçamento Sintético'!$A:$H,4,0)</f>
        <v>SERVIÇOS AUXILIARES E ADMINISTRATIVOS</v>
      </c>
      <c r="C67" s="130">
        <f ca="1">ROUND(C68/$C$76,4)</f>
        <v>3.5200000000000002E-2</v>
      </c>
      <c r="D67" s="131">
        <f>ROUND(D68/$C68,4)</f>
        <v>7.5200000000000003E-2</v>
      </c>
      <c r="E67" s="131">
        <f>ROUND(E68/$C68,4)</f>
        <v>0.53920000000000001</v>
      </c>
      <c r="F67" s="131">
        <f>ROUND(F68/$C68,4)</f>
        <v>0.3856</v>
      </c>
    </row>
    <row r="68" spans="1:6">
      <c r="A68" s="230"/>
      <c r="B68" s="226"/>
      <c r="C68" s="132">
        <f ca="1">VLOOKUP($A67,'Orçamento Sintético'!$A:$H,8,0)</f>
        <v>18603.54</v>
      </c>
      <c r="D68" s="133">
        <f>D70</f>
        <v>1398.99</v>
      </c>
      <c r="E68" s="133">
        <f>E70</f>
        <v>10031.030000000001</v>
      </c>
      <c r="F68" s="133">
        <f>F70</f>
        <v>7173.52</v>
      </c>
    </row>
    <row r="69" spans="1:6">
      <c r="A69" s="223" t="s">
        <v>314</v>
      </c>
      <c r="B69" s="223" t="str">
        <f ca="1">VLOOKUP($A69,'Orçamento Sintético'!$A:$H,4,0)</f>
        <v>PESSOAL</v>
      </c>
      <c r="C69" s="134">
        <f ca="1">ROUND(C70/$C$76,4)</f>
        <v>3.5200000000000002E-2</v>
      </c>
      <c r="D69" s="135">
        <f>TRUNC(D80/$C80,4)</f>
        <v>7.5200000000000003E-2</v>
      </c>
      <c r="E69" s="135">
        <f>TRUNC(E80/$C80,4)</f>
        <v>0.53920000000000001</v>
      </c>
      <c r="F69" s="135">
        <f>TRUNC(F80/$C80,4)</f>
        <v>0.38550000000000001</v>
      </c>
    </row>
    <row r="70" spans="1:6">
      <c r="A70" s="224"/>
      <c r="B70" s="224"/>
      <c r="C70" s="137">
        <f ca="1">VLOOKUP($A69,'Orçamento Sintético'!$A:$H,8,0)</f>
        <v>18603.54</v>
      </c>
      <c r="D70" s="138">
        <f>ROUND($C70*D69,2)</f>
        <v>1398.99</v>
      </c>
      <c r="E70" s="138">
        <f>ROUND($C70*E69,2)</f>
        <v>10031.030000000001</v>
      </c>
      <c r="F70" s="138">
        <f>$C70-SUM(D70:E70)</f>
        <v>7173.52</v>
      </c>
    </row>
    <row r="71" spans="1:6">
      <c r="A71" s="232" t="s">
        <v>600</v>
      </c>
      <c r="B71" s="232"/>
      <c r="C71" s="23"/>
      <c r="D71" s="148">
        <f>ROUND(D72/$C76,4)</f>
        <v>7.5200000000000003E-2</v>
      </c>
      <c r="E71" s="148">
        <f>ROUND(E72/$C76,4)</f>
        <v>0.53920000000000001</v>
      </c>
      <c r="F71" s="148">
        <f>ROUND(F72/$C76,4)</f>
        <v>0.3856</v>
      </c>
    </row>
    <row r="72" spans="1:6">
      <c r="A72" s="231" t="s">
        <v>599</v>
      </c>
      <c r="B72" s="231"/>
      <c r="C72" s="23"/>
      <c r="D72" s="147">
        <f>D10+D14+D30+D50+D56+D64+D68</f>
        <v>39794.359999999993</v>
      </c>
      <c r="E72" s="147">
        <f>E10+E14+E30+E50+E56+E64+E68</f>
        <v>285309.42000000004</v>
      </c>
      <c r="F72" s="147">
        <f>F10+F14+F30+F50+F56+F64+F68</f>
        <v>204007.56000000003</v>
      </c>
    </row>
    <row r="73" spans="1:6">
      <c r="A73" s="231" t="s">
        <v>529</v>
      </c>
      <c r="B73" s="231"/>
      <c r="C73" s="23"/>
      <c r="D73" s="149">
        <f ca="1">TRUNC(D72*'Composição de BDI'!$D$28,2)</f>
        <v>8802.51</v>
      </c>
      <c r="E73" s="149">
        <f ca="1">TRUNC(E72*'Composição de BDI'!$D$28,2)</f>
        <v>63110.44</v>
      </c>
      <c r="F73" s="149">
        <f ca="1">TRUNC(F72*'Composição de BDI'!$D$28,2)</f>
        <v>45126.47</v>
      </c>
    </row>
    <row r="74" spans="1:6">
      <c r="A74" s="29"/>
      <c r="B74" s="30" t="s">
        <v>606</v>
      </c>
      <c r="C74" s="30"/>
      <c r="D74" s="81">
        <f>TRUNC(SUM(D72:D73),2)</f>
        <v>48596.87</v>
      </c>
      <c r="E74" s="81">
        <f>TRUNC(SUM(E72:E73),2)</f>
        <v>348419.86</v>
      </c>
      <c r="F74" s="81">
        <f>TRUNC(SUM(F72:F73),2)</f>
        <v>249134.03</v>
      </c>
    </row>
    <row r="75" spans="1:6">
      <c r="A75" s="231" t="s">
        <v>598</v>
      </c>
      <c r="B75" s="231"/>
      <c r="C75" s="23"/>
      <c r="D75" s="148">
        <f>ROUND(D76/$C76,4)</f>
        <v>7.5200000000000003E-2</v>
      </c>
      <c r="E75" s="148">
        <f>ROUND(E76/$C76,4)</f>
        <v>0.61439999999999995</v>
      </c>
      <c r="F75" s="148">
        <f>ROUND(F76/$C76,4)</f>
        <v>1</v>
      </c>
    </row>
    <row r="76" spans="1:6">
      <c r="A76" s="231" t="s">
        <v>597</v>
      </c>
      <c r="B76" s="231"/>
      <c r="C76" s="143">
        <f>SUM(D72:F72)</f>
        <v>529111.34000000008</v>
      </c>
      <c r="D76" s="150">
        <f>D72</f>
        <v>39794.359999999993</v>
      </c>
      <c r="E76" s="150">
        <f>D76+E72</f>
        <v>325103.78000000003</v>
      </c>
      <c r="F76" s="150">
        <f>E76+F72</f>
        <v>529111.34000000008</v>
      </c>
    </row>
    <row r="77" spans="1:6">
      <c r="A77" s="29"/>
      <c r="B77" s="30" t="s">
        <v>596</v>
      </c>
      <c r="C77" s="30"/>
      <c r="D77" s="81">
        <f>D74</f>
        <v>48596.87</v>
      </c>
      <c r="E77" s="81">
        <f>D77+E74</f>
        <v>397016.73</v>
      </c>
      <c r="F77" s="81">
        <f>E77+F74</f>
        <v>646150.76</v>
      </c>
    </row>
    <row r="78" spans="1:6">
      <c r="A78" s="144"/>
      <c r="B78" s="144"/>
      <c r="C78" s="145"/>
      <c r="D78" s="145"/>
      <c r="E78" s="145"/>
      <c r="F78" s="145"/>
    </row>
    <row r="79" spans="1:6">
      <c r="A79" s="220" t="s">
        <v>668</v>
      </c>
      <c r="B79" s="220"/>
      <c r="C79" s="145"/>
      <c r="D79" s="145"/>
      <c r="E79" s="145"/>
      <c r="F79" s="145"/>
    </row>
    <row r="80" spans="1:6">
      <c r="A80" s="220" t="s">
        <v>669</v>
      </c>
      <c r="B80" s="220"/>
      <c r="C80" s="146">
        <f>SUM(D80:F80)</f>
        <v>510507.80000000005</v>
      </c>
      <c r="D80" s="147">
        <f>D10+D14+D30+D50+D56+D64</f>
        <v>38395.369999999995</v>
      </c>
      <c r="E80" s="147">
        <f>E10+E14+E30+E50+E56+E64</f>
        <v>275278.39</v>
      </c>
      <c r="F80" s="147">
        <f>F10+F14+F30+F50+F56+F64</f>
        <v>196834.04000000004</v>
      </c>
    </row>
  </sheetData>
  <sheetCalcPr fullCalcOnLoad="1"/>
  <mergeCells count="70">
    <mergeCell ref="A7:F7"/>
    <mergeCell ref="A73:B73"/>
    <mergeCell ref="A71:B71"/>
    <mergeCell ref="A72:B72"/>
    <mergeCell ref="A21:A22"/>
    <mergeCell ref="A23:A24"/>
    <mergeCell ref="B25:B26"/>
    <mergeCell ref="B27:B28"/>
    <mergeCell ref="A25:A26"/>
    <mergeCell ref="A15:A16"/>
    <mergeCell ref="A75:B75"/>
    <mergeCell ref="A76:B76"/>
    <mergeCell ref="B9:B10"/>
    <mergeCell ref="A9:A10"/>
    <mergeCell ref="B11:B12"/>
    <mergeCell ref="A11:A12"/>
    <mergeCell ref="B13:B14"/>
    <mergeCell ref="A13:A14"/>
    <mergeCell ref="B15:B16"/>
    <mergeCell ref="B17:B18"/>
    <mergeCell ref="A33:A34"/>
    <mergeCell ref="A17:A18"/>
    <mergeCell ref="B19:B20"/>
    <mergeCell ref="B21:B22"/>
    <mergeCell ref="B23:B24"/>
    <mergeCell ref="A19:A20"/>
    <mergeCell ref="A35:A36"/>
    <mergeCell ref="A37:A38"/>
    <mergeCell ref="A39:A40"/>
    <mergeCell ref="A41:A42"/>
    <mergeCell ref="A27:A28"/>
    <mergeCell ref="B29:B30"/>
    <mergeCell ref="B31:B32"/>
    <mergeCell ref="B33:B34"/>
    <mergeCell ref="A29:A30"/>
    <mergeCell ref="A31:A32"/>
    <mergeCell ref="A69:A70"/>
    <mergeCell ref="A67:A68"/>
    <mergeCell ref="A43:A44"/>
    <mergeCell ref="A45:A46"/>
    <mergeCell ref="A47:A48"/>
    <mergeCell ref="A53:A54"/>
    <mergeCell ref="A49:A50"/>
    <mergeCell ref="B49:B50"/>
    <mergeCell ref="A55:A56"/>
    <mergeCell ref="B55:B56"/>
    <mergeCell ref="A63:A64"/>
    <mergeCell ref="B63:B64"/>
    <mergeCell ref="A59:A60"/>
    <mergeCell ref="A61:A62"/>
    <mergeCell ref="B67:B68"/>
    <mergeCell ref="A51:A52"/>
    <mergeCell ref="A57:A58"/>
    <mergeCell ref="A79:B79"/>
    <mergeCell ref="B53:B54"/>
    <mergeCell ref="B59:B60"/>
    <mergeCell ref="B61:B62"/>
    <mergeCell ref="B65:B66"/>
    <mergeCell ref="B69:B70"/>
    <mergeCell ref="A65:A66"/>
    <mergeCell ref="A80:B80"/>
    <mergeCell ref="B51:B52"/>
    <mergeCell ref="B57:B58"/>
    <mergeCell ref="B35:B36"/>
    <mergeCell ref="B37:B38"/>
    <mergeCell ref="B39:B40"/>
    <mergeCell ref="B41:B42"/>
    <mergeCell ref="B43:B44"/>
    <mergeCell ref="B45:B46"/>
    <mergeCell ref="B47:B48"/>
  </mergeCells>
  <phoneticPr fontId="10" type="noConversion"/>
  <conditionalFormatting sqref="D29:D30">
    <cfRule type="cellIs" dxfId="520" priority="428" operator="equal">
      <formula>0</formula>
    </cfRule>
  </conditionalFormatting>
  <conditionalFormatting sqref="E29">
    <cfRule type="cellIs" dxfId="519" priority="427" operator="equal">
      <formula>0</formula>
    </cfRule>
  </conditionalFormatting>
  <conditionalFormatting sqref="F29">
    <cfRule type="cellIs" dxfId="518" priority="426" operator="equal">
      <formula>0</formula>
    </cfRule>
  </conditionalFormatting>
  <conditionalFormatting sqref="E30">
    <cfRule type="cellIs" dxfId="517" priority="424" operator="equal">
      <formula>0</formula>
    </cfRule>
  </conditionalFormatting>
  <conditionalFormatting sqref="F30">
    <cfRule type="cellIs" dxfId="516" priority="423" operator="equal">
      <formula>0</formula>
    </cfRule>
  </conditionalFormatting>
  <conditionalFormatting sqref="D9:D10">
    <cfRule type="cellIs" dxfId="515" priority="610" operator="equal">
      <formula>0</formula>
    </cfRule>
  </conditionalFormatting>
  <conditionalFormatting sqref="E9">
    <cfRule type="cellIs" dxfId="514" priority="609" operator="equal">
      <formula>0</formula>
    </cfRule>
  </conditionalFormatting>
  <conditionalFormatting sqref="F9">
    <cfRule type="cellIs" dxfId="513" priority="608" operator="equal">
      <formula>0</formula>
    </cfRule>
  </conditionalFormatting>
  <conditionalFormatting sqref="E20">
    <cfRule type="cellIs" dxfId="512" priority="42" operator="equal">
      <formula>0</formula>
    </cfRule>
  </conditionalFormatting>
  <conditionalFormatting sqref="D11:D12">
    <cfRule type="cellIs" dxfId="511" priority="587" operator="equal">
      <formula>0</formula>
    </cfRule>
  </conditionalFormatting>
  <conditionalFormatting sqref="D11:D12">
    <cfRule type="cellIs" dxfId="510" priority="586" operator="equal">
      <formula>0</formula>
    </cfRule>
  </conditionalFormatting>
  <conditionalFormatting sqref="D11:D12">
    <cfRule type="cellIs" dxfId="509" priority="584" operator="notEqual">
      <formula>0</formula>
    </cfRule>
    <cfRule type="cellIs" dxfId="508" priority="585" operator="equal">
      <formula>0</formula>
    </cfRule>
  </conditionalFormatting>
  <conditionalFormatting sqref="D11:D12">
    <cfRule type="cellIs" dxfId="507" priority="582" operator="notEqual">
      <formula>0</formula>
    </cfRule>
    <cfRule type="cellIs" dxfId="506" priority="583" operator="equal">
      <formula>0</formula>
    </cfRule>
  </conditionalFormatting>
  <conditionalFormatting sqref="E11:E12">
    <cfRule type="cellIs" dxfId="505" priority="581" operator="equal">
      <formula>0</formula>
    </cfRule>
  </conditionalFormatting>
  <conditionalFormatting sqref="E11:E12">
    <cfRule type="cellIs" dxfId="504" priority="580" operator="equal">
      <formula>0</formula>
    </cfRule>
  </conditionalFormatting>
  <conditionalFormatting sqref="E11:E12">
    <cfRule type="cellIs" dxfId="503" priority="578" operator="notEqual">
      <formula>0</formula>
    </cfRule>
    <cfRule type="cellIs" dxfId="502" priority="579" operator="equal">
      <formula>0</formula>
    </cfRule>
  </conditionalFormatting>
  <conditionalFormatting sqref="E11:E12">
    <cfRule type="cellIs" dxfId="501" priority="576" operator="notEqual">
      <formula>0</formula>
    </cfRule>
    <cfRule type="cellIs" dxfId="500" priority="577" operator="equal">
      <formula>0</formula>
    </cfRule>
  </conditionalFormatting>
  <conditionalFormatting sqref="F11:F12">
    <cfRule type="cellIs" dxfId="499" priority="569" operator="equal">
      <formula>0</formula>
    </cfRule>
  </conditionalFormatting>
  <conditionalFormatting sqref="F11:F12">
    <cfRule type="cellIs" dxfId="498" priority="568" operator="equal">
      <formula>0</formula>
    </cfRule>
  </conditionalFormatting>
  <conditionalFormatting sqref="F11:F12">
    <cfRule type="cellIs" dxfId="497" priority="566" operator="notEqual">
      <formula>0</formula>
    </cfRule>
    <cfRule type="cellIs" dxfId="496" priority="567" operator="equal">
      <formula>0</formula>
    </cfRule>
  </conditionalFormatting>
  <conditionalFormatting sqref="F11:F12">
    <cfRule type="cellIs" dxfId="495" priority="564" operator="notEqual">
      <formula>0</formula>
    </cfRule>
    <cfRule type="cellIs" dxfId="494" priority="565" operator="equal">
      <formula>0</formula>
    </cfRule>
  </conditionalFormatting>
  <conditionalFormatting sqref="E10">
    <cfRule type="cellIs" dxfId="493" priority="563" operator="equal">
      <formula>0</formula>
    </cfRule>
  </conditionalFormatting>
  <conditionalFormatting sqref="F10">
    <cfRule type="cellIs" dxfId="492" priority="562" operator="equal">
      <formula>0</formula>
    </cfRule>
  </conditionalFormatting>
  <conditionalFormatting sqref="D13:D14">
    <cfRule type="cellIs" dxfId="491" priority="556" operator="equal">
      <formula>0</formula>
    </cfRule>
  </conditionalFormatting>
  <conditionalFormatting sqref="E13">
    <cfRule type="cellIs" dxfId="490" priority="555" operator="equal">
      <formula>0</formula>
    </cfRule>
  </conditionalFormatting>
  <conditionalFormatting sqref="F13">
    <cfRule type="cellIs" dxfId="489" priority="554" operator="equal">
      <formula>0</formula>
    </cfRule>
  </conditionalFormatting>
  <conditionalFormatting sqref="D17:D18">
    <cfRule type="cellIs" dxfId="488" priority="551" operator="equal">
      <formula>0</formula>
    </cfRule>
  </conditionalFormatting>
  <conditionalFormatting sqref="D17:D18">
    <cfRule type="cellIs" dxfId="487" priority="550" operator="equal">
      <formula>0</formula>
    </cfRule>
  </conditionalFormatting>
  <conditionalFormatting sqref="D17:D18">
    <cfRule type="cellIs" dxfId="486" priority="548" operator="notEqual">
      <formula>0</formula>
    </cfRule>
    <cfRule type="cellIs" dxfId="485" priority="549" operator="equal">
      <formula>0</formula>
    </cfRule>
  </conditionalFormatting>
  <conditionalFormatting sqref="D17:D18">
    <cfRule type="cellIs" dxfId="484" priority="546" operator="notEqual">
      <formula>0</formula>
    </cfRule>
    <cfRule type="cellIs" dxfId="483" priority="547" operator="equal">
      <formula>0</formula>
    </cfRule>
  </conditionalFormatting>
  <conditionalFormatting sqref="D15:D16">
    <cfRule type="cellIs" dxfId="482" priority="545" operator="equal">
      <formula>0</formula>
    </cfRule>
  </conditionalFormatting>
  <conditionalFormatting sqref="E15">
    <cfRule type="cellIs" dxfId="481" priority="544" operator="equal">
      <formula>0</formula>
    </cfRule>
  </conditionalFormatting>
  <conditionalFormatting sqref="F15">
    <cfRule type="cellIs" dxfId="480" priority="543" operator="equal">
      <formula>0</formula>
    </cfRule>
  </conditionalFormatting>
  <conditionalFormatting sqref="E17">
    <cfRule type="cellIs" dxfId="479" priority="542" operator="equal">
      <formula>0</formula>
    </cfRule>
  </conditionalFormatting>
  <conditionalFormatting sqref="E17">
    <cfRule type="cellIs" dxfId="478" priority="541" operator="equal">
      <formula>0</formula>
    </cfRule>
  </conditionalFormatting>
  <conditionalFormatting sqref="E17">
    <cfRule type="cellIs" dxfId="477" priority="539" operator="notEqual">
      <formula>0</formula>
    </cfRule>
    <cfRule type="cellIs" dxfId="476" priority="540" operator="equal">
      <formula>0</formula>
    </cfRule>
  </conditionalFormatting>
  <conditionalFormatting sqref="E17">
    <cfRule type="cellIs" dxfId="475" priority="537" operator="notEqual">
      <formula>0</formula>
    </cfRule>
    <cfRule type="cellIs" dxfId="474" priority="538" operator="equal">
      <formula>0</formula>
    </cfRule>
  </conditionalFormatting>
  <conditionalFormatting sqref="E70">
    <cfRule type="cellIs" dxfId="473" priority="56" operator="equal">
      <formula>0</formula>
    </cfRule>
  </conditionalFormatting>
  <conditionalFormatting sqref="E70">
    <cfRule type="cellIs" dxfId="472" priority="55" operator="equal">
      <formula>0</formula>
    </cfRule>
  </conditionalFormatting>
  <conditionalFormatting sqref="E70">
    <cfRule type="cellIs" dxfId="471" priority="53" operator="notEqual">
      <formula>0</formula>
    </cfRule>
    <cfRule type="cellIs" dxfId="470" priority="54" operator="equal">
      <formula>0</formula>
    </cfRule>
  </conditionalFormatting>
  <conditionalFormatting sqref="E70">
    <cfRule type="cellIs" dxfId="469" priority="51" operator="notEqual">
      <formula>0</formula>
    </cfRule>
    <cfRule type="cellIs" dxfId="468" priority="52" operator="equal">
      <formula>0</formula>
    </cfRule>
  </conditionalFormatting>
  <conditionalFormatting sqref="E18">
    <cfRule type="cellIs" dxfId="467" priority="530" operator="equal">
      <formula>0</formula>
    </cfRule>
  </conditionalFormatting>
  <conditionalFormatting sqref="E18">
    <cfRule type="cellIs" dxfId="466" priority="529" operator="equal">
      <formula>0</formula>
    </cfRule>
  </conditionalFormatting>
  <conditionalFormatting sqref="E18">
    <cfRule type="cellIs" dxfId="465" priority="527" operator="notEqual">
      <formula>0</formula>
    </cfRule>
    <cfRule type="cellIs" dxfId="464" priority="528" operator="equal">
      <formula>0</formula>
    </cfRule>
  </conditionalFormatting>
  <conditionalFormatting sqref="E18">
    <cfRule type="cellIs" dxfId="463" priority="525" operator="notEqual">
      <formula>0</formula>
    </cfRule>
    <cfRule type="cellIs" dxfId="462" priority="526" operator="equal">
      <formula>0</formula>
    </cfRule>
  </conditionalFormatting>
  <conditionalFormatting sqref="E16">
    <cfRule type="cellIs" dxfId="461" priority="518" operator="equal">
      <formula>0</formula>
    </cfRule>
  </conditionalFormatting>
  <conditionalFormatting sqref="F16">
    <cfRule type="cellIs" dxfId="460" priority="517" operator="equal">
      <formula>0</formula>
    </cfRule>
  </conditionalFormatting>
  <conditionalFormatting sqref="F17:F18">
    <cfRule type="cellIs" dxfId="459" priority="516" operator="equal">
      <formula>0</formula>
    </cfRule>
  </conditionalFormatting>
  <conditionalFormatting sqref="F17:F18">
    <cfRule type="cellIs" dxfId="458" priority="515" operator="equal">
      <formula>0</formula>
    </cfRule>
  </conditionalFormatting>
  <conditionalFormatting sqref="F17:F18">
    <cfRule type="cellIs" dxfId="457" priority="513" operator="notEqual">
      <formula>0</formula>
    </cfRule>
    <cfRule type="cellIs" dxfId="456" priority="514" operator="equal">
      <formula>0</formula>
    </cfRule>
  </conditionalFormatting>
  <conditionalFormatting sqref="F17:F18">
    <cfRule type="cellIs" dxfId="455" priority="511" operator="notEqual">
      <formula>0</formula>
    </cfRule>
    <cfRule type="cellIs" dxfId="454" priority="512" operator="equal">
      <formula>0</formula>
    </cfRule>
  </conditionalFormatting>
  <conditionalFormatting sqref="D21:D22">
    <cfRule type="cellIs" dxfId="453" priority="510" operator="equal">
      <formula>0</formula>
    </cfRule>
  </conditionalFormatting>
  <conditionalFormatting sqref="D21:D22">
    <cfRule type="cellIs" dxfId="452" priority="509" operator="equal">
      <formula>0</formula>
    </cfRule>
  </conditionalFormatting>
  <conditionalFormatting sqref="D21:D22">
    <cfRule type="cellIs" dxfId="451" priority="507" operator="notEqual">
      <formula>0</formula>
    </cfRule>
    <cfRule type="cellIs" dxfId="450" priority="508" operator="equal">
      <formula>0</formula>
    </cfRule>
  </conditionalFormatting>
  <conditionalFormatting sqref="D21:D22">
    <cfRule type="cellIs" dxfId="449" priority="505" operator="notEqual">
      <formula>0</formula>
    </cfRule>
    <cfRule type="cellIs" dxfId="448" priority="506" operator="equal">
      <formula>0</formula>
    </cfRule>
  </conditionalFormatting>
  <conditionalFormatting sqref="D19:D20">
    <cfRule type="cellIs" dxfId="447" priority="504" operator="equal">
      <formula>0</formula>
    </cfRule>
  </conditionalFormatting>
  <conditionalFormatting sqref="E19">
    <cfRule type="cellIs" dxfId="446" priority="503" operator="equal">
      <formula>0</formula>
    </cfRule>
  </conditionalFormatting>
  <conditionalFormatting sqref="F19">
    <cfRule type="cellIs" dxfId="445" priority="502" operator="equal">
      <formula>0</formula>
    </cfRule>
  </conditionalFormatting>
  <conditionalFormatting sqref="E21">
    <cfRule type="cellIs" dxfId="444" priority="501" operator="equal">
      <formula>0</formula>
    </cfRule>
  </conditionalFormatting>
  <conditionalFormatting sqref="E21">
    <cfRule type="cellIs" dxfId="443" priority="500" operator="equal">
      <formula>0</formula>
    </cfRule>
  </conditionalFormatting>
  <conditionalFormatting sqref="E21">
    <cfRule type="cellIs" dxfId="442" priority="498" operator="notEqual">
      <formula>0</formula>
    </cfRule>
    <cfRule type="cellIs" dxfId="441" priority="499" operator="equal">
      <formula>0</formula>
    </cfRule>
  </conditionalFormatting>
  <conditionalFormatting sqref="E21">
    <cfRule type="cellIs" dxfId="440" priority="496" operator="notEqual">
      <formula>0</formula>
    </cfRule>
    <cfRule type="cellIs" dxfId="439" priority="497" operator="equal">
      <formula>0</formula>
    </cfRule>
  </conditionalFormatting>
  <conditionalFormatting sqref="E22">
    <cfRule type="cellIs" dxfId="438" priority="495" operator="equal">
      <formula>0</formula>
    </cfRule>
  </conditionalFormatting>
  <conditionalFormatting sqref="E22">
    <cfRule type="cellIs" dxfId="437" priority="494" operator="equal">
      <formula>0</formula>
    </cfRule>
  </conditionalFormatting>
  <conditionalFormatting sqref="E22">
    <cfRule type="cellIs" dxfId="436" priority="492" operator="notEqual">
      <formula>0</formula>
    </cfRule>
    <cfRule type="cellIs" dxfId="435" priority="493" operator="equal">
      <formula>0</formula>
    </cfRule>
  </conditionalFormatting>
  <conditionalFormatting sqref="E22">
    <cfRule type="cellIs" dxfId="434" priority="490" operator="notEqual">
      <formula>0</formula>
    </cfRule>
    <cfRule type="cellIs" dxfId="433" priority="491" operator="equal">
      <formula>0</formula>
    </cfRule>
  </conditionalFormatting>
  <conditionalFormatting sqref="F21:F22">
    <cfRule type="cellIs" dxfId="432" priority="487" operator="equal">
      <formula>0</formula>
    </cfRule>
  </conditionalFormatting>
  <conditionalFormatting sqref="F21:F22">
    <cfRule type="cellIs" dxfId="431" priority="486" operator="equal">
      <formula>0</formula>
    </cfRule>
  </conditionalFormatting>
  <conditionalFormatting sqref="F21:F22">
    <cfRule type="cellIs" dxfId="430" priority="484" operator="notEqual">
      <formula>0</formula>
    </cfRule>
    <cfRule type="cellIs" dxfId="429" priority="485" operator="equal">
      <formula>0</formula>
    </cfRule>
  </conditionalFormatting>
  <conditionalFormatting sqref="F21:F22">
    <cfRule type="cellIs" dxfId="428" priority="482" operator="notEqual">
      <formula>0</formula>
    </cfRule>
    <cfRule type="cellIs" dxfId="427" priority="483" operator="equal">
      <formula>0</formula>
    </cfRule>
  </conditionalFormatting>
  <conditionalFormatting sqref="D23:D24">
    <cfRule type="cellIs" dxfId="426" priority="481" operator="equal">
      <formula>0</formula>
    </cfRule>
  </conditionalFormatting>
  <conditionalFormatting sqref="D23:D24">
    <cfRule type="cellIs" dxfId="425" priority="480" operator="equal">
      <formula>0</formula>
    </cfRule>
  </conditionalFormatting>
  <conditionalFormatting sqref="D23:D24">
    <cfRule type="cellIs" dxfId="424" priority="478" operator="notEqual">
      <formula>0</formula>
    </cfRule>
    <cfRule type="cellIs" dxfId="423" priority="479" operator="equal">
      <formula>0</formula>
    </cfRule>
  </conditionalFormatting>
  <conditionalFormatting sqref="D23:D24">
    <cfRule type="cellIs" dxfId="422" priority="476" operator="notEqual">
      <formula>0</formula>
    </cfRule>
    <cfRule type="cellIs" dxfId="421" priority="477" operator="equal">
      <formula>0</formula>
    </cfRule>
  </conditionalFormatting>
  <conditionalFormatting sqref="E23">
    <cfRule type="cellIs" dxfId="420" priority="475" operator="equal">
      <formula>0</formula>
    </cfRule>
  </conditionalFormatting>
  <conditionalFormatting sqref="E23">
    <cfRule type="cellIs" dxfId="419" priority="474" operator="equal">
      <formula>0</formula>
    </cfRule>
  </conditionalFormatting>
  <conditionalFormatting sqref="E23">
    <cfRule type="cellIs" dxfId="418" priority="472" operator="notEqual">
      <formula>0</formula>
    </cfRule>
    <cfRule type="cellIs" dxfId="417" priority="473" operator="equal">
      <formula>0</formula>
    </cfRule>
  </conditionalFormatting>
  <conditionalFormatting sqref="E23">
    <cfRule type="cellIs" dxfId="416" priority="470" operator="notEqual">
      <formula>0</formula>
    </cfRule>
    <cfRule type="cellIs" dxfId="415" priority="471" operator="equal">
      <formula>0</formula>
    </cfRule>
  </conditionalFormatting>
  <conditionalFormatting sqref="E24">
    <cfRule type="cellIs" dxfId="414" priority="469" operator="equal">
      <formula>0</formula>
    </cfRule>
  </conditionalFormatting>
  <conditionalFormatting sqref="E24">
    <cfRule type="cellIs" dxfId="413" priority="468" operator="equal">
      <formula>0</formula>
    </cfRule>
  </conditionalFormatting>
  <conditionalFormatting sqref="E24">
    <cfRule type="cellIs" dxfId="412" priority="466" operator="notEqual">
      <formula>0</formula>
    </cfRule>
    <cfRule type="cellIs" dxfId="411" priority="467" operator="equal">
      <formula>0</formula>
    </cfRule>
  </conditionalFormatting>
  <conditionalFormatting sqref="E24">
    <cfRule type="cellIs" dxfId="410" priority="464" operator="notEqual">
      <formula>0</formula>
    </cfRule>
    <cfRule type="cellIs" dxfId="409" priority="465" operator="equal">
      <formula>0</formula>
    </cfRule>
  </conditionalFormatting>
  <conditionalFormatting sqref="F23:F24">
    <cfRule type="cellIs" dxfId="408" priority="463" operator="equal">
      <formula>0</formula>
    </cfRule>
  </conditionalFormatting>
  <conditionalFormatting sqref="F23:F24">
    <cfRule type="cellIs" dxfId="407" priority="462" operator="equal">
      <formula>0</formula>
    </cfRule>
  </conditionalFormatting>
  <conditionalFormatting sqref="F23:F24">
    <cfRule type="cellIs" dxfId="406" priority="460" operator="notEqual">
      <formula>0</formula>
    </cfRule>
    <cfRule type="cellIs" dxfId="405" priority="461" operator="equal">
      <formula>0</formula>
    </cfRule>
  </conditionalFormatting>
  <conditionalFormatting sqref="F23:F24">
    <cfRule type="cellIs" dxfId="404" priority="458" operator="notEqual">
      <formula>0</formula>
    </cfRule>
    <cfRule type="cellIs" dxfId="403" priority="459" operator="equal">
      <formula>0</formula>
    </cfRule>
  </conditionalFormatting>
  <conditionalFormatting sqref="D27:D28">
    <cfRule type="cellIs" dxfId="402" priority="457" operator="equal">
      <formula>0</formula>
    </cfRule>
  </conditionalFormatting>
  <conditionalFormatting sqref="D27:D28">
    <cfRule type="cellIs" dxfId="401" priority="456" operator="equal">
      <formula>0</formula>
    </cfRule>
  </conditionalFormatting>
  <conditionalFormatting sqref="D27:D28">
    <cfRule type="cellIs" dxfId="400" priority="454" operator="notEqual">
      <formula>0</formula>
    </cfRule>
    <cfRule type="cellIs" dxfId="399" priority="455" operator="equal">
      <formula>0</formula>
    </cfRule>
  </conditionalFormatting>
  <conditionalFormatting sqref="D27:D28">
    <cfRule type="cellIs" dxfId="398" priority="452" operator="notEqual">
      <formula>0</formula>
    </cfRule>
    <cfRule type="cellIs" dxfId="397" priority="453" operator="equal">
      <formula>0</formula>
    </cfRule>
  </conditionalFormatting>
  <conditionalFormatting sqref="D25:D26">
    <cfRule type="cellIs" dxfId="396" priority="451" operator="equal">
      <formula>0</formula>
    </cfRule>
  </conditionalFormatting>
  <conditionalFormatting sqref="E25">
    <cfRule type="cellIs" dxfId="395" priority="450" operator="equal">
      <formula>0</formula>
    </cfRule>
  </conditionalFormatting>
  <conditionalFormatting sqref="F25">
    <cfRule type="cellIs" dxfId="394" priority="449" operator="equal">
      <formula>0</formula>
    </cfRule>
  </conditionalFormatting>
  <conditionalFormatting sqref="E27">
    <cfRule type="cellIs" dxfId="393" priority="448" operator="equal">
      <formula>0</formula>
    </cfRule>
  </conditionalFormatting>
  <conditionalFormatting sqref="E27">
    <cfRule type="cellIs" dxfId="392" priority="447" operator="equal">
      <formula>0</formula>
    </cfRule>
  </conditionalFormatting>
  <conditionalFormatting sqref="E27">
    <cfRule type="cellIs" dxfId="391" priority="445" operator="notEqual">
      <formula>0</formula>
    </cfRule>
    <cfRule type="cellIs" dxfId="390" priority="446" operator="equal">
      <formula>0</formula>
    </cfRule>
  </conditionalFormatting>
  <conditionalFormatting sqref="E27">
    <cfRule type="cellIs" dxfId="389" priority="443" operator="notEqual">
      <formula>0</formula>
    </cfRule>
    <cfRule type="cellIs" dxfId="388" priority="444" operator="equal">
      <formula>0</formula>
    </cfRule>
  </conditionalFormatting>
  <conditionalFormatting sqref="E28">
    <cfRule type="cellIs" dxfId="387" priority="442" operator="equal">
      <formula>0</formula>
    </cfRule>
  </conditionalFormatting>
  <conditionalFormatting sqref="E28">
    <cfRule type="cellIs" dxfId="386" priority="441" operator="equal">
      <formula>0</formula>
    </cfRule>
  </conditionalFormatting>
  <conditionalFormatting sqref="E28">
    <cfRule type="cellIs" dxfId="385" priority="439" operator="notEqual">
      <formula>0</formula>
    </cfRule>
    <cfRule type="cellIs" dxfId="384" priority="440" operator="equal">
      <formula>0</formula>
    </cfRule>
  </conditionalFormatting>
  <conditionalFormatting sqref="E28">
    <cfRule type="cellIs" dxfId="383" priority="437" operator="notEqual">
      <formula>0</formula>
    </cfRule>
    <cfRule type="cellIs" dxfId="382" priority="438" operator="equal">
      <formula>0</formula>
    </cfRule>
  </conditionalFormatting>
  <conditionalFormatting sqref="E26">
    <cfRule type="cellIs" dxfId="381" priority="436" operator="equal">
      <formula>0</formula>
    </cfRule>
  </conditionalFormatting>
  <conditionalFormatting sqref="F26">
    <cfRule type="cellIs" dxfId="380" priority="435" operator="equal">
      <formula>0</formula>
    </cfRule>
  </conditionalFormatting>
  <conditionalFormatting sqref="F27:F28">
    <cfRule type="cellIs" dxfId="379" priority="434" operator="equal">
      <formula>0</formula>
    </cfRule>
  </conditionalFormatting>
  <conditionalFormatting sqref="F27:F28">
    <cfRule type="cellIs" dxfId="378" priority="433" operator="equal">
      <formula>0</formula>
    </cfRule>
  </conditionalFormatting>
  <conditionalFormatting sqref="F27:F28">
    <cfRule type="cellIs" dxfId="377" priority="431" operator="notEqual">
      <formula>0</formula>
    </cfRule>
    <cfRule type="cellIs" dxfId="376" priority="432" operator="equal">
      <formula>0</formula>
    </cfRule>
  </conditionalFormatting>
  <conditionalFormatting sqref="F27:F28">
    <cfRule type="cellIs" dxfId="375" priority="429" operator="notEqual">
      <formula>0</formula>
    </cfRule>
    <cfRule type="cellIs" dxfId="374" priority="430" operator="equal">
      <formula>0</formula>
    </cfRule>
  </conditionalFormatting>
  <conditionalFormatting sqref="F14">
    <cfRule type="cellIs" dxfId="373" priority="43" operator="equal">
      <formula>0</formula>
    </cfRule>
  </conditionalFormatting>
  <conditionalFormatting sqref="F20">
    <cfRule type="cellIs" dxfId="372" priority="41" operator="equal">
      <formula>0</formula>
    </cfRule>
  </conditionalFormatting>
  <conditionalFormatting sqref="E32">
    <cfRule type="cellIs" dxfId="371" priority="40" operator="equal">
      <formula>0</formula>
    </cfRule>
  </conditionalFormatting>
  <conditionalFormatting sqref="F32">
    <cfRule type="cellIs" dxfId="370" priority="39" operator="equal">
      <formula>0</formula>
    </cfRule>
  </conditionalFormatting>
  <conditionalFormatting sqref="E58">
    <cfRule type="cellIs" dxfId="369" priority="38" operator="equal">
      <formula>0</formula>
    </cfRule>
  </conditionalFormatting>
  <conditionalFormatting sqref="F58">
    <cfRule type="cellIs" dxfId="368" priority="37" operator="equal">
      <formula>0</formula>
    </cfRule>
  </conditionalFormatting>
  <conditionalFormatting sqref="D33:D34">
    <cfRule type="cellIs" dxfId="367" priority="416" operator="equal">
      <formula>0</formula>
    </cfRule>
  </conditionalFormatting>
  <conditionalFormatting sqref="D33:D34">
    <cfRule type="cellIs" dxfId="366" priority="415" operator="equal">
      <formula>0</formula>
    </cfRule>
  </conditionalFormatting>
  <conditionalFormatting sqref="D33:D34">
    <cfRule type="cellIs" dxfId="365" priority="413" operator="notEqual">
      <formula>0</formula>
    </cfRule>
    <cfRule type="cellIs" dxfId="364" priority="414" operator="equal">
      <formula>0</formula>
    </cfRule>
  </conditionalFormatting>
  <conditionalFormatting sqref="D33:D34">
    <cfRule type="cellIs" dxfId="363" priority="411" operator="notEqual">
      <formula>0</formula>
    </cfRule>
    <cfRule type="cellIs" dxfId="362" priority="412" operator="equal">
      <formula>0</formula>
    </cfRule>
  </conditionalFormatting>
  <conditionalFormatting sqref="F61:F62">
    <cfRule type="cellIs" dxfId="361" priority="98" operator="equal">
      <formula>0</formula>
    </cfRule>
  </conditionalFormatting>
  <conditionalFormatting sqref="E33">
    <cfRule type="cellIs" dxfId="360" priority="407" operator="equal">
      <formula>0</formula>
    </cfRule>
  </conditionalFormatting>
  <conditionalFormatting sqref="E33">
    <cfRule type="cellIs" dxfId="359" priority="406" operator="equal">
      <formula>0</formula>
    </cfRule>
  </conditionalFormatting>
  <conditionalFormatting sqref="E33">
    <cfRule type="cellIs" dxfId="358" priority="404" operator="notEqual">
      <formula>0</formula>
    </cfRule>
    <cfRule type="cellIs" dxfId="357" priority="405" operator="equal">
      <formula>0</formula>
    </cfRule>
  </conditionalFormatting>
  <conditionalFormatting sqref="E33">
    <cfRule type="cellIs" dxfId="356" priority="402" operator="notEqual">
      <formula>0</formula>
    </cfRule>
    <cfRule type="cellIs" dxfId="355" priority="403" operator="equal">
      <formula>0</formula>
    </cfRule>
  </conditionalFormatting>
  <conditionalFormatting sqref="E34">
    <cfRule type="cellIs" dxfId="354" priority="401" operator="equal">
      <formula>0</formula>
    </cfRule>
  </conditionalFormatting>
  <conditionalFormatting sqref="E34">
    <cfRule type="cellIs" dxfId="353" priority="400" operator="equal">
      <formula>0</formula>
    </cfRule>
  </conditionalFormatting>
  <conditionalFormatting sqref="E34">
    <cfRule type="cellIs" dxfId="352" priority="398" operator="notEqual">
      <formula>0</formula>
    </cfRule>
    <cfRule type="cellIs" dxfId="351" priority="399" operator="equal">
      <formula>0</formula>
    </cfRule>
  </conditionalFormatting>
  <conditionalFormatting sqref="E34">
    <cfRule type="cellIs" dxfId="350" priority="396" operator="notEqual">
      <formula>0</formula>
    </cfRule>
    <cfRule type="cellIs" dxfId="349" priority="397" operator="equal">
      <formula>0</formula>
    </cfRule>
  </conditionalFormatting>
  <conditionalFormatting sqref="F33:F34">
    <cfRule type="cellIs" dxfId="348" priority="393" operator="equal">
      <formula>0</formula>
    </cfRule>
  </conditionalFormatting>
  <conditionalFormatting sqref="F33:F34">
    <cfRule type="cellIs" dxfId="347" priority="392" operator="equal">
      <formula>0</formula>
    </cfRule>
  </conditionalFormatting>
  <conditionalFormatting sqref="F33:F34">
    <cfRule type="cellIs" dxfId="346" priority="390" operator="notEqual">
      <formula>0</formula>
    </cfRule>
    <cfRule type="cellIs" dxfId="345" priority="391" operator="equal">
      <formula>0</formula>
    </cfRule>
  </conditionalFormatting>
  <conditionalFormatting sqref="F33:F34">
    <cfRule type="cellIs" dxfId="344" priority="388" operator="notEqual">
      <formula>0</formula>
    </cfRule>
    <cfRule type="cellIs" dxfId="343" priority="389" operator="equal">
      <formula>0</formula>
    </cfRule>
  </conditionalFormatting>
  <conditionalFormatting sqref="D49:D50">
    <cfRule type="cellIs" dxfId="342" priority="367" operator="equal">
      <formula>0</formula>
    </cfRule>
  </conditionalFormatting>
  <conditionalFormatting sqref="E49">
    <cfRule type="cellIs" dxfId="341" priority="366" operator="equal">
      <formula>0</formula>
    </cfRule>
  </conditionalFormatting>
  <conditionalFormatting sqref="F49">
    <cfRule type="cellIs" dxfId="340" priority="365" operator="equal">
      <formula>0</formula>
    </cfRule>
  </conditionalFormatting>
  <conditionalFormatting sqref="E50">
    <cfRule type="cellIs" dxfId="339" priority="364" operator="equal">
      <formula>0</formula>
    </cfRule>
  </conditionalFormatting>
  <conditionalFormatting sqref="F50">
    <cfRule type="cellIs" dxfId="338" priority="363" operator="equal">
      <formula>0</formula>
    </cfRule>
  </conditionalFormatting>
  <conditionalFormatting sqref="D55:D56">
    <cfRule type="cellIs" dxfId="337" priority="362" operator="equal">
      <formula>0</formula>
    </cfRule>
  </conditionalFormatting>
  <conditionalFormatting sqref="E55">
    <cfRule type="cellIs" dxfId="336" priority="361" operator="equal">
      <formula>0</formula>
    </cfRule>
  </conditionalFormatting>
  <conditionalFormatting sqref="F55">
    <cfRule type="cellIs" dxfId="335" priority="360" operator="equal">
      <formula>0</formula>
    </cfRule>
  </conditionalFormatting>
  <conditionalFormatting sqref="E56">
    <cfRule type="cellIs" dxfId="334" priority="359" operator="equal">
      <formula>0</formula>
    </cfRule>
  </conditionalFormatting>
  <conditionalFormatting sqref="F56">
    <cfRule type="cellIs" dxfId="333" priority="358" operator="equal">
      <formula>0</formula>
    </cfRule>
  </conditionalFormatting>
  <conditionalFormatting sqref="D63:D64">
    <cfRule type="cellIs" dxfId="332" priority="357" operator="equal">
      <formula>0</formula>
    </cfRule>
  </conditionalFormatting>
  <conditionalFormatting sqref="E63">
    <cfRule type="cellIs" dxfId="331" priority="356" operator="equal">
      <formula>0</formula>
    </cfRule>
  </conditionalFormatting>
  <conditionalFormatting sqref="F63">
    <cfRule type="cellIs" dxfId="330" priority="355" operator="equal">
      <formula>0</formula>
    </cfRule>
  </conditionalFormatting>
  <conditionalFormatting sqref="E64">
    <cfRule type="cellIs" dxfId="329" priority="354" operator="equal">
      <formula>0</formula>
    </cfRule>
  </conditionalFormatting>
  <conditionalFormatting sqref="F64">
    <cfRule type="cellIs" dxfId="328" priority="353" operator="equal">
      <formula>0</formula>
    </cfRule>
  </conditionalFormatting>
  <conditionalFormatting sqref="D67:D68">
    <cfRule type="cellIs" dxfId="327" priority="352" operator="equal">
      <formula>0</formula>
    </cfRule>
  </conditionalFormatting>
  <conditionalFormatting sqref="E67">
    <cfRule type="cellIs" dxfId="326" priority="351" operator="equal">
      <formula>0</formula>
    </cfRule>
  </conditionalFormatting>
  <conditionalFormatting sqref="F67">
    <cfRule type="cellIs" dxfId="325" priority="350" operator="equal">
      <formula>0</formula>
    </cfRule>
  </conditionalFormatting>
  <conditionalFormatting sqref="E68">
    <cfRule type="cellIs" dxfId="324" priority="349" operator="equal">
      <formula>0</formula>
    </cfRule>
  </conditionalFormatting>
  <conditionalFormatting sqref="F68">
    <cfRule type="cellIs" dxfId="323" priority="348" operator="equal">
      <formula>0</formula>
    </cfRule>
  </conditionalFormatting>
  <conditionalFormatting sqref="D31:D32">
    <cfRule type="cellIs" dxfId="322" priority="347" operator="equal">
      <formula>0</formula>
    </cfRule>
  </conditionalFormatting>
  <conditionalFormatting sqref="E31">
    <cfRule type="cellIs" dxfId="321" priority="346" operator="equal">
      <formula>0</formula>
    </cfRule>
  </conditionalFormatting>
  <conditionalFormatting sqref="F31">
    <cfRule type="cellIs" dxfId="320" priority="345" operator="equal">
      <formula>0</formula>
    </cfRule>
  </conditionalFormatting>
  <conditionalFormatting sqref="F51">
    <cfRule type="cellIs" dxfId="319" priority="340" operator="equal">
      <formula>0</formula>
    </cfRule>
  </conditionalFormatting>
  <conditionalFormatting sqref="D51:D52">
    <cfRule type="cellIs" dxfId="318" priority="342" operator="equal">
      <formula>0</formula>
    </cfRule>
  </conditionalFormatting>
  <conditionalFormatting sqref="E51">
    <cfRule type="cellIs" dxfId="317" priority="341" operator="equal">
      <formula>0</formula>
    </cfRule>
  </conditionalFormatting>
  <conditionalFormatting sqref="E52">
    <cfRule type="cellIs" dxfId="316" priority="339" operator="equal">
      <formula>0</formula>
    </cfRule>
  </conditionalFormatting>
  <conditionalFormatting sqref="F52">
    <cfRule type="cellIs" dxfId="315" priority="338" operator="equal">
      <formula>0</formula>
    </cfRule>
  </conditionalFormatting>
  <conditionalFormatting sqref="D57:D58">
    <cfRule type="cellIs" dxfId="314" priority="337" operator="equal">
      <formula>0</formula>
    </cfRule>
  </conditionalFormatting>
  <conditionalFormatting sqref="E57">
    <cfRule type="cellIs" dxfId="313" priority="336" operator="equal">
      <formula>0</formula>
    </cfRule>
  </conditionalFormatting>
  <conditionalFormatting sqref="F57">
    <cfRule type="cellIs" dxfId="312" priority="335" operator="equal">
      <formula>0</formula>
    </cfRule>
  </conditionalFormatting>
  <conditionalFormatting sqref="D35:D36">
    <cfRule type="cellIs" dxfId="311" priority="332" operator="equal">
      <formula>0</formula>
    </cfRule>
  </conditionalFormatting>
  <conditionalFormatting sqref="D35:D36">
    <cfRule type="cellIs" dxfId="310" priority="331" operator="equal">
      <formula>0</formula>
    </cfRule>
  </conditionalFormatting>
  <conditionalFormatting sqref="D35:D36">
    <cfRule type="cellIs" dxfId="309" priority="329" operator="notEqual">
      <formula>0</formula>
    </cfRule>
    <cfRule type="cellIs" dxfId="308" priority="330" operator="equal">
      <formula>0</formula>
    </cfRule>
  </conditionalFormatting>
  <conditionalFormatting sqref="D35:D36">
    <cfRule type="cellIs" dxfId="307" priority="327" operator="notEqual">
      <formula>0</formula>
    </cfRule>
    <cfRule type="cellIs" dxfId="306" priority="328" operator="equal">
      <formula>0</formula>
    </cfRule>
  </conditionalFormatting>
  <conditionalFormatting sqref="E35">
    <cfRule type="cellIs" dxfId="305" priority="326" operator="equal">
      <formula>0</formula>
    </cfRule>
  </conditionalFormatting>
  <conditionalFormatting sqref="E35">
    <cfRule type="cellIs" dxfId="304" priority="325" operator="equal">
      <formula>0</formula>
    </cfRule>
  </conditionalFormatting>
  <conditionalFormatting sqref="E35">
    <cfRule type="cellIs" dxfId="303" priority="323" operator="notEqual">
      <formula>0</formula>
    </cfRule>
    <cfRule type="cellIs" dxfId="302" priority="324" operator="equal">
      <formula>0</formula>
    </cfRule>
  </conditionalFormatting>
  <conditionalFormatting sqref="E35">
    <cfRule type="cellIs" dxfId="301" priority="321" operator="notEqual">
      <formula>0</formula>
    </cfRule>
    <cfRule type="cellIs" dxfId="300" priority="322" operator="equal">
      <formula>0</formula>
    </cfRule>
  </conditionalFormatting>
  <conditionalFormatting sqref="E36">
    <cfRule type="cellIs" dxfId="299" priority="320" operator="equal">
      <formula>0</formula>
    </cfRule>
  </conditionalFormatting>
  <conditionalFormatting sqref="E36">
    <cfRule type="cellIs" dxfId="298" priority="319" operator="equal">
      <formula>0</formula>
    </cfRule>
  </conditionalFormatting>
  <conditionalFormatting sqref="E36">
    <cfRule type="cellIs" dxfId="297" priority="317" operator="notEqual">
      <formula>0</formula>
    </cfRule>
    <cfRule type="cellIs" dxfId="296" priority="318" operator="equal">
      <formula>0</formula>
    </cfRule>
  </conditionalFormatting>
  <conditionalFormatting sqref="E36">
    <cfRule type="cellIs" dxfId="295" priority="315" operator="notEqual">
      <formula>0</formula>
    </cfRule>
    <cfRule type="cellIs" dxfId="294" priority="316" operator="equal">
      <formula>0</formula>
    </cfRule>
  </conditionalFormatting>
  <conditionalFormatting sqref="F35:F36">
    <cfRule type="cellIs" dxfId="293" priority="314" operator="equal">
      <formula>0</formula>
    </cfRule>
  </conditionalFormatting>
  <conditionalFormatting sqref="F35:F36">
    <cfRule type="cellIs" dxfId="292" priority="313" operator="equal">
      <formula>0</formula>
    </cfRule>
  </conditionalFormatting>
  <conditionalFormatting sqref="F35:F36">
    <cfRule type="cellIs" dxfId="291" priority="311" operator="notEqual">
      <formula>0</formula>
    </cfRule>
    <cfRule type="cellIs" dxfId="290" priority="312" operator="equal">
      <formula>0</formula>
    </cfRule>
  </conditionalFormatting>
  <conditionalFormatting sqref="F35:F36">
    <cfRule type="cellIs" dxfId="289" priority="309" operator="notEqual">
      <formula>0</formula>
    </cfRule>
    <cfRule type="cellIs" dxfId="288" priority="310" operator="equal">
      <formula>0</formula>
    </cfRule>
  </conditionalFormatting>
  <conditionalFormatting sqref="D37:D38">
    <cfRule type="cellIs" dxfId="287" priority="308" operator="equal">
      <formula>0</formula>
    </cfRule>
  </conditionalFormatting>
  <conditionalFormatting sqref="D37:D38">
    <cfRule type="cellIs" dxfId="286" priority="307" operator="equal">
      <formula>0</formula>
    </cfRule>
  </conditionalFormatting>
  <conditionalFormatting sqref="D37:D38">
    <cfRule type="cellIs" dxfId="285" priority="305" operator="notEqual">
      <formula>0</formula>
    </cfRule>
    <cfRule type="cellIs" dxfId="284" priority="306" operator="equal">
      <formula>0</formula>
    </cfRule>
  </conditionalFormatting>
  <conditionalFormatting sqref="D37:D38">
    <cfRule type="cellIs" dxfId="283" priority="303" operator="notEqual">
      <formula>0</formula>
    </cfRule>
    <cfRule type="cellIs" dxfId="282" priority="304" operator="equal">
      <formula>0</formula>
    </cfRule>
  </conditionalFormatting>
  <conditionalFormatting sqref="E37">
    <cfRule type="cellIs" dxfId="281" priority="302" operator="equal">
      <formula>0</formula>
    </cfRule>
  </conditionalFormatting>
  <conditionalFormatting sqref="E37">
    <cfRule type="cellIs" dxfId="280" priority="301" operator="equal">
      <formula>0</formula>
    </cfRule>
  </conditionalFormatting>
  <conditionalFormatting sqref="E37">
    <cfRule type="cellIs" dxfId="279" priority="299" operator="notEqual">
      <formula>0</formula>
    </cfRule>
    <cfRule type="cellIs" dxfId="278" priority="300" operator="equal">
      <formula>0</formula>
    </cfRule>
  </conditionalFormatting>
  <conditionalFormatting sqref="E37">
    <cfRule type="cellIs" dxfId="277" priority="297" operator="notEqual">
      <formula>0</formula>
    </cfRule>
    <cfRule type="cellIs" dxfId="276" priority="298" operator="equal">
      <formula>0</formula>
    </cfRule>
  </conditionalFormatting>
  <conditionalFormatting sqref="E38">
    <cfRule type="cellIs" dxfId="275" priority="296" operator="equal">
      <formula>0</formula>
    </cfRule>
  </conditionalFormatting>
  <conditionalFormatting sqref="E38">
    <cfRule type="cellIs" dxfId="274" priority="295" operator="equal">
      <formula>0</formula>
    </cfRule>
  </conditionalFormatting>
  <conditionalFormatting sqref="E38">
    <cfRule type="cellIs" dxfId="273" priority="293" operator="notEqual">
      <formula>0</formula>
    </cfRule>
    <cfRule type="cellIs" dxfId="272" priority="294" operator="equal">
      <formula>0</formula>
    </cfRule>
  </conditionalFormatting>
  <conditionalFormatting sqref="E38">
    <cfRule type="cellIs" dxfId="271" priority="291" operator="notEqual">
      <formula>0</formula>
    </cfRule>
    <cfRule type="cellIs" dxfId="270" priority="292" operator="equal">
      <formula>0</formula>
    </cfRule>
  </conditionalFormatting>
  <conditionalFormatting sqref="F37:F38">
    <cfRule type="cellIs" dxfId="269" priority="290" operator="equal">
      <formula>0</formula>
    </cfRule>
  </conditionalFormatting>
  <conditionalFormatting sqref="F37:F38">
    <cfRule type="cellIs" dxfId="268" priority="289" operator="equal">
      <formula>0</formula>
    </cfRule>
  </conditionalFormatting>
  <conditionalFormatting sqref="F37:F38">
    <cfRule type="cellIs" dxfId="267" priority="287" operator="notEqual">
      <formula>0</formula>
    </cfRule>
    <cfRule type="cellIs" dxfId="266" priority="288" operator="equal">
      <formula>0</formula>
    </cfRule>
  </conditionalFormatting>
  <conditionalFormatting sqref="F37:F38">
    <cfRule type="cellIs" dxfId="265" priority="285" operator="notEqual">
      <formula>0</formula>
    </cfRule>
    <cfRule type="cellIs" dxfId="264" priority="286" operator="equal">
      <formula>0</formula>
    </cfRule>
  </conditionalFormatting>
  <conditionalFormatting sqref="D39:D40">
    <cfRule type="cellIs" dxfId="263" priority="284" operator="equal">
      <formula>0</formula>
    </cfRule>
  </conditionalFormatting>
  <conditionalFormatting sqref="D39:D40">
    <cfRule type="cellIs" dxfId="262" priority="283" operator="equal">
      <formula>0</formula>
    </cfRule>
  </conditionalFormatting>
  <conditionalFormatting sqref="D39:D40">
    <cfRule type="cellIs" dxfId="261" priority="281" operator="notEqual">
      <formula>0</formula>
    </cfRule>
    <cfRule type="cellIs" dxfId="260" priority="282" operator="equal">
      <formula>0</formula>
    </cfRule>
  </conditionalFormatting>
  <conditionalFormatting sqref="D39:D40">
    <cfRule type="cellIs" dxfId="259" priority="279" operator="notEqual">
      <formula>0</formula>
    </cfRule>
    <cfRule type="cellIs" dxfId="258" priority="280" operator="equal">
      <formula>0</formula>
    </cfRule>
  </conditionalFormatting>
  <conditionalFormatting sqref="E39">
    <cfRule type="cellIs" dxfId="257" priority="278" operator="equal">
      <formula>0</formula>
    </cfRule>
  </conditionalFormatting>
  <conditionalFormatting sqref="E39">
    <cfRule type="cellIs" dxfId="256" priority="277" operator="equal">
      <formula>0</formula>
    </cfRule>
  </conditionalFormatting>
  <conditionalFormatting sqref="E39">
    <cfRule type="cellIs" dxfId="255" priority="275" operator="notEqual">
      <formula>0</formula>
    </cfRule>
    <cfRule type="cellIs" dxfId="254" priority="276" operator="equal">
      <formula>0</formula>
    </cfRule>
  </conditionalFormatting>
  <conditionalFormatting sqref="E39">
    <cfRule type="cellIs" dxfId="253" priority="273" operator="notEqual">
      <formula>0</formula>
    </cfRule>
    <cfRule type="cellIs" dxfId="252" priority="274" operator="equal">
      <formula>0</formula>
    </cfRule>
  </conditionalFormatting>
  <conditionalFormatting sqref="E40">
    <cfRule type="cellIs" dxfId="251" priority="272" operator="equal">
      <formula>0</formula>
    </cfRule>
  </conditionalFormatting>
  <conditionalFormatting sqref="E40">
    <cfRule type="cellIs" dxfId="250" priority="271" operator="equal">
      <formula>0</formula>
    </cfRule>
  </conditionalFormatting>
  <conditionalFormatting sqref="E40">
    <cfRule type="cellIs" dxfId="249" priority="269" operator="notEqual">
      <formula>0</formula>
    </cfRule>
    <cfRule type="cellIs" dxfId="248" priority="270" operator="equal">
      <formula>0</formula>
    </cfRule>
  </conditionalFormatting>
  <conditionalFormatting sqref="E40">
    <cfRule type="cellIs" dxfId="247" priority="267" operator="notEqual">
      <formula>0</formula>
    </cfRule>
    <cfRule type="cellIs" dxfId="246" priority="268" operator="equal">
      <formula>0</formula>
    </cfRule>
  </conditionalFormatting>
  <conditionalFormatting sqref="F39:F40">
    <cfRule type="cellIs" dxfId="245" priority="266" operator="equal">
      <formula>0</formula>
    </cfRule>
  </conditionalFormatting>
  <conditionalFormatting sqref="F39:F40">
    <cfRule type="cellIs" dxfId="244" priority="265" operator="equal">
      <formula>0</formula>
    </cfRule>
  </conditionalFormatting>
  <conditionalFormatting sqref="F39:F40">
    <cfRule type="cellIs" dxfId="243" priority="263" operator="notEqual">
      <formula>0</formula>
    </cfRule>
    <cfRule type="cellIs" dxfId="242" priority="264" operator="equal">
      <formula>0</formula>
    </cfRule>
  </conditionalFormatting>
  <conditionalFormatting sqref="F39:F40">
    <cfRule type="cellIs" dxfId="241" priority="261" operator="notEqual">
      <formula>0</formula>
    </cfRule>
    <cfRule type="cellIs" dxfId="240" priority="262" operator="equal">
      <formula>0</formula>
    </cfRule>
  </conditionalFormatting>
  <conditionalFormatting sqref="D41:D42">
    <cfRule type="cellIs" dxfId="239" priority="260" operator="equal">
      <formula>0</formula>
    </cfRule>
  </conditionalFormatting>
  <conditionalFormatting sqref="D41:D42">
    <cfRule type="cellIs" dxfId="238" priority="259" operator="equal">
      <formula>0</formula>
    </cfRule>
  </conditionalFormatting>
  <conditionalFormatting sqref="D41:D42">
    <cfRule type="cellIs" dxfId="237" priority="257" operator="notEqual">
      <formula>0</formula>
    </cfRule>
    <cfRule type="cellIs" dxfId="236" priority="258" operator="equal">
      <formula>0</formula>
    </cfRule>
  </conditionalFormatting>
  <conditionalFormatting sqref="D41:D42">
    <cfRule type="cellIs" dxfId="235" priority="255" operator="notEqual">
      <formula>0</formula>
    </cfRule>
    <cfRule type="cellIs" dxfId="234" priority="256" operator="equal">
      <formula>0</formula>
    </cfRule>
  </conditionalFormatting>
  <conditionalFormatting sqref="E41">
    <cfRule type="cellIs" dxfId="233" priority="254" operator="equal">
      <formula>0</formula>
    </cfRule>
  </conditionalFormatting>
  <conditionalFormatting sqref="E41">
    <cfRule type="cellIs" dxfId="232" priority="253" operator="equal">
      <formula>0</formula>
    </cfRule>
  </conditionalFormatting>
  <conditionalFormatting sqref="E41">
    <cfRule type="cellIs" dxfId="231" priority="251" operator="notEqual">
      <formula>0</formula>
    </cfRule>
    <cfRule type="cellIs" dxfId="230" priority="252" operator="equal">
      <formula>0</formula>
    </cfRule>
  </conditionalFormatting>
  <conditionalFormatting sqref="E41">
    <cfRule type="cellIs" dxfId="229" priority="249" operator="notEqual">
      <formula>0</formula>
    </cfRule>
    <cfRule type="cellIs" dxfId="228" priority="250" operator="equal">
      <formula>0</formula>
    </cfRule>
  </conditionalFormatting>
  <conditionalFormatting sqref="E42">
    <cfRule type="cellIs" dxfId="227" priority="248" operator="equal">
      <formula>0</formula>
    </cfRule>
  </conditionalFormatting>
  <conditionalFormatting sqref="E42">
    <cfRule type="cellIs" dxfId="226" priority="247" operator="equal">
      <formula>0</formula>
    </cfRule>
  </conditionalFormatting>
  <conditionalFormatting sqref="E42">
    <cfRule type="cellIs" dxfId="225" priority="245" operator="notEqual">
      <formula>0</formula>
    </cfRule>
    <cfRule type="cellIs" dxfId="224" priority="246" operator="equal">
      <formula>0</formula>
    </cfRule>
  </conditionalFormatting>
  <conditionalFormatting sqref="E42">
    <cfRule type="cellIs" dxfId="223" priority="243" operator="notEqual">
      <formula>0</formula>
    </cfRule>
    <cfRule type="cellIs" dxfId="222" priority="244" operator="equal">
      <formula>0</formula>
    </cfRule>
  </conditionalFormatting>
  <conditionalFormatting sqref="F41:F42">
    <cfRule type="cellIs" dxfId="221" priority="242" operator="equal">
      <formula>0</formula>
    </cfRule>
  </conditionalFormatting>
  <conditionalFormatting sqref="F41:F42">
    <cfRule type="cellIs" dxfId="220" priority="241" operator="equal">
      <formula>0</formula>
    </cfRule>
  </conditionalFormatting>
  <conditionalFormatting sqref="F41:F42">
    <cfRule type="cellIs" dxfId="219" priority="239" operator="notEqual">
      <formula>0</formula>
    </cfRule>
    <cfRule type="cellIs" dxfId="218" priority="240" operator="equal">
      <formula>0</formula>
    </cfRule>
  </conditionalFormatting>
  <conditionalFormatting sqref="F41:F42">
    <cfRule type="cellIs" dxfId="217" priority="237" operator="notEqual">
      <formula>0</formula>
    </cfRule>
    <cfRule type="cellIs" dxfId="216" priority="238" operator="equal">
      <formula>0</formula>
    </cfRule>
  </conditionalFormatting>
  <conditionalFormatting sqref="D43:D44">
    <cfRule type="cellIs" dxfId="215" priority="236" operator="equal">
      <formula>0</formula>
    </cfRule>
  </conditionalFormatting>
  <conditionalFormatting sqref="D43:D44">
    <cfRule type="cellIs" dxfId="214" priority="235" operator="equal">
      <formula>0</formula>
    </cfRule>
  </conditionalFormatting>
  <conditionalFormatting sqref="D43:D44">
    <cfRule type="cellIs" dxfId="213" priority="233" operator="notEqual">
      <formula>0</formula>
    </cfRule>
    <cfRule type="cellIs" dxfId="212" priority="234" operator="equal">
      <formula>0</formula>
    </cfRule>
  </conditionalFormatting>
  <conditionalFormatting sqref="D43:D44">
    <cfRule type="cellIs" dxfId="211" priority="231" operator="notEqual">
      <formula>0</formula>
    </cfRule>
    <cfRule type="cellIs" dxfId="210" priority="232" operator="equal">
      <formula>0</formula>
    </cfRule>
  </conditionalFormatting>
  <conditionalFormatting sqref="E43">
    <cfRule type="cellIs" dxfId="209" priority="230" operator="equal">
      <formula>0</formula>
    </cfRule>
  </conditionalFormatting>
  <conditionalFormatting sqref="E43">
    <cfRule type="cellIs" dxfId="208" priority="229" operator="equal">
      <formula>0</formula>
    </cfRule>
  </conditionalFormatting>
  <conditionalFormatting sqref="E43">
    <cfRule type="cellIs" dxfId="207" priority="227" operator="notEqual">
      <formula>0</formula>
    </cfRule>
    <cfRule type="cellIs" dxfId="206" priority="228" operator="equal">
      <formula>0</formula>
    </cfRule>
  </conditionalFormatting>
  <conditionalFormatting sqref="E43">
    <cfRule type="cellIs" dxfId="205" priority="225" operator="notEqual">
      <formula>0</formula>
    </cfRule>
    <cfRule type="cellIs" dxfId="204" priority="226" operator="equal">
      <formula>0</formula>
    </cfRule>
  </conditionalFormatting>
  <conditionalFormatting sqref="E44">
    <cfRule type="cellIs" dxfId="203" priority="224" operator="equal">
      <formula>0</formula>
    </cfRule>
  </conditionalFormatting>
  <conditionalFormatting sqref="E44">
    <cfRule type="cellIs" dxfId="202" priority="223" operator="equal">
      <formula>0</formula>
    </cfRule>
  </conditionalFormatting>
  <conditionalFormatting sqref="E44">
    <cfRule type="cellIs" dxfId="201" priority="221" operator="notEqual">
      <formula>0</formula>
    </cfRule>
    <cfRule type="cellIs" dxfId="200" priority="222" operator="equal">
      <formula>0</formula>
    </cfRule>
  </conditionalFormatting>
  <conditionalFormatting sqref="E44">
    <cfRule type="cellIs" dxfId="199" priority="219" operator="notEqual">
      <formula>0</formula>
    </cfRule>
    <cfRule type="cellIs" dxfId="198" priority="220" operator="equal">
      <formula>0</formula>
    </cfRule>
  </conditionalFormatting>
  <conditionalFormatting sqref="F43:F44">
    <cfRule type="cellIs" dxfId="197" priority="218" operator="equal">
      <formula>0</formula>
    </cfRule>
  </conditionalFormatting>
  <conditionalFormatting sqref="F43:F44">
    <cfRule type="cellIs" dxfId="196" priority="217" operator="equal">
      <formula>0</formula>
    </cfRule>
  </conditionalFormatting>
  <conditionalFormatting sqref="F43:F44">
    <cfRule type="cellIs" dxfId="195" priority="215" operator="notEqual">
      <formula>0</formula>
    </cfRule>
    <cfRule type="cellIs" dxfId="194" priority="216" operator="equal">
      <formula>0</formula>
    </cfRule>
  </conditionalFormatting>
  <conditionalFormatting sqref="F43:F44">
    <cfRule type="cellIs" dxfId="193" priority="213" operator="notEqual">
      <formula>0</formula>
    </cfRule>
    <cfRule type="cellIs" dxfId="192" priority="214" operator="equal">
      <formula>0</formula>
    </cfRule>
  </conditionalFormatting>
  <conditionalFormatting sqref="D45:D46">
    <cfRule type="cellIs" dxfId="191" priority="212" operator="equal">
      <formula>0</formula>
    </cfRule>
  </conditionalFormatting>
  <conditionalFormatting sqref="D45:D46">
    <cfRule type="cellIs" dxfId="190" priority="211" operator="equal">
      <formula>0</formula>
    </cfRule>
  </conditionalFormatting>
  <conditionalFormatting sqref="D45:D46">
    <cfRule type="cellIs" dxfId="189" priority="209" operator="notEqual">
      <formula>0</formula>
    </cfRule>
    <cfRule type="cellIs" dxfId="188" priority="210" operator="equal">
      <formula>0</formula>
    </cfRule>
  </conditionalFormatting>
  <conditionalFormatting sqref="D45:D46">
    <cfRule type="cellIs" dxfId="187" priority="207" operator="notEqual">
      <formula>0</formula>
    </cfRule>
    <cfRule type="cellIs" dxfId="186" priority="208" operator="equal">
      <formula>0</formula>
    </cfRule>
  </conditionalFormatting>
  <conditionalFormatting sqref="E45">
    <cfRule type="cellIs" dxfId="185" priority="206" operator="equal">
      <formula>0</formula>
    </cfRule>
  </conditionalFormatting>
  <conditionalFormatting sqref="E45">
    <cfRule type="cellIs" dxfId="184" priority="205" operator="equal">
      <formula>0</formula>
    </cfRule>
  </conditionalFormatting>
  <conditionalFormatting sqref="E45">
    <cfRule type="cellIs" dxfId="183" priority="203" operator="notEqual">
      <formula>0</formula>
    </cfRule>
    <cfRule type="cellIs" dxfId="182" priority="204" operator="equal">
      <formula>0</formula>
    </cfRule>
  </conditionalFormatting>
  <conditionalFormatting sqref="E45">
    <cfRule type="cellIs" dxfId="181" priority="201" operator="notEqual">
      <formula>0</formula>
    </cfRule>
    <cfRule type="cellIs" dxfId="180" priority="202" operator="equal">
      <formula>0</formula>
    </cfRule>
  </conditionalFormatting>
  <conditionalFormatting sqref="E46">
    <cfRule type="cellIs" dxfId="179" priority="200" operator="equal">
      <formula>0</formula>
    </cfRule>
  </conditionalFormatting>
  <conditionalFormatting sqref="E46">
    <cfRule type="cellIs" dxfId="178" priority="199" operator="equal">
      <formula>0</formula>
    </cfRule>
  </conditionalFormatting>
  <conditionalFormatting sqref="E46">
    <cfRule type="cellIs" dxfId="177" priority="197" operator="notEqual">
      <formula>0</formula>
    </cfRule>
    <cfRule type="cellIs" dxfId="176" priority="198" operator="equal">
      <formula>0</formula>
    </cfRule>
  </conditionalFormatting>
  <conditionalFormatting sqref="E46">
    <cfRule type="cellIs" dxfId="175" priority="195" operator="notEqual">
      <formula>0</formula>
    </cfRule>
    <cfRule type="cellIs" dxfId="174" priority="196" operator="equal">
      <formula>0</formula>
    </cfRule>
  </conditionalFormatting>
  <conditionalFormatting sqref="F45:F46">
    <cfRule type="cellIs" dxfId="173" priority="194" operator="equal">
      <formula>0</formula>
    </cfRule>
  </conditionalFormatting>
  <conditionalFormatting sqref="F45:F46">
    <cfRule type="cellIs" dxfId="172" priority="193" operator="equal">
      <formula>0</formula>
    </cfRule>
  </conditionalFormatting>
  <conditionalFormatting sqref="F45:F46">
    <cfRule type="cellIs" dxfId="171" priority="191" operator="notEqual">
      <formula>0</formula>
    </cfRule>
    <cfRule type="cellIs" dxfId="170" priority="192" operator="equal">
      <formula>0</formula>
    </cfRule>
  </conditionalFormatting>
  <conditionalFormatting sqref="F45:F46">
    <cfRule type="cellIs" dxfId="169" priority="189" operator="notEqual">
      <formula>0</formula>
    </cfRule>
    <cfRule type="cellIs" dxfId="168" priority="190" operator="equal">
      <formula>0</formula>
    </cfRule>
  </conditionalFormatting>
  <conditionalFormatting sqref="D47:D48">
    <cfRule type="cellIs" dxfId="167" priority="188" operator="equal">
      <formula>0</formula>
    </cfRule>
  </conditionalFormatting>
  <conditionalFormatting sqref="D47:D48">
    <cfRule type="cellIs" dxfId="166" priority="187" operator="equal">
      <formula>0</formula>
    </cfRule>
  </conditionalFormatting>
  <conditionalFormatting sqref="D47:D48">
    <cfRule type="cellIs" dxfId="165" priority="185" operator="notEqual">
      <formula>0</formula>
    </cfRule>
    <cfRule type="cellIs" dxfId="164" priority="186" operator="equal">
      <formula>0</formula>
    </cfRule>
  </conditionalFormatting>
  <conditionalFormatting sqref="D47:D48">
    <cfRule type="cellIs" dxfId="163" priority="183" operator="notEqual">
      <formula>0</formula>
    </cfRule>
    <cfRule type="cellIs" dxfId="162" priority="184" operator="equal">
      <formula>0</formula>
    </cfRule>
  </conditionalFormatting>
  <conditionalFormatting sqref="E47">
    <cfRule type="cellIs" dxfId="161" priority="182" operator="equal">
      <formula>0</formula>
    </cfRule>
  </conditionalFormatting>
  <conditionalFormatting sqref="E47">
    <cfRule type="cellIs" dxfId="160" priority="181" operator="equal">
      <formula>0</formula>
    </cfRule>
  </conditionalFormatting>
  <conditionalFormatting sqref="E47">
    <cfRule type="cellIs" dxfId="159" priority="179" operator="notEqual">
      <formula>0</formula>
    </cfRule>
    <cfRule type="cellIs" dxfId="158" priority="180" operator="equal">
      <formula>0</formula>
    </cfRule>
  </conditionalFormatting>
  <conditionalFormatting sqref="E47">
    <cfRule type="cellIs" dxfId="157" priority="177" operator="notEqual">
      <formula>0</formula>
    </cfRule>
    <cfRule type="cellIs" dxfId="156" priority="178" operator="equal">
      <formula>0</formula>
    </cfRule>
  </conditionalFormatting>
  <conditionalFormatting sqref="E48">
    <cfRule type="cellIs" dxfId="155" priority="176" operator="equal">
      <formula>0</formula>
    </cfRule>
  </conditionalFormatting>
  <conditionalFormatting sqref="E48">
    <cfRule type="cellIs" dxfId="154" priority="175" operator="equal">
      <formula>0</formula>
    </cfRule>
  </conditionalFormatting>
  <conditionalFormatting sqref="E48">
    <cfRule type="cellIs" dxfId="153" priority="173" operator="notEqual">
      <formula>0</formula>
    </cfRule>
    <cfRule type="cellIs" dxfId="152" priority="174" operator="equal">
      <formula>0</formula>
    </cfRule>
  </conditionalFormatting>
  <conditionalFormatting sqref="E48">
    <cfRule type="cellIs" dxfId="151" priority="171" operator="notEqual">
      <formula>0</formula>
    </cfRule>
    <cfRule type="cellIs" dxfId="150" priority="172" operator="equal">
      <formula>0</formula>
    </cfRule>
  </conditionalFormatting>
  <conditionalFormatting sqref="F47:F48">
    <cfRule type="cellIs" dxfId="149" priority="170" operator="equal">
      <formula>0</formula>
    </cfRule>
  </conditionalFormatting>
  <conditionalFormatting sqref="F47:F48">
    <cfRule type="cellIs" dxfId="148" priority="169" operator="equal">
      <formula>0</formula>
    </cfRule>
  </conditionalFormatting>
  <conditionalFormatting sqref="F47:F48">
    <cfRule type="cellIs" dxfId="147" priority="167" operator="notEqual">
      <formula>0</formula>
    </cfRule>
    <cfRule type="cellIs" dxfId="146" priority="168" operator="equal">
      <formula>0</formula>
    </cfRule>
  </conditionalFormatting>
  <conditionalFormatting sqref="F47:F48">
    <cfRule type="cellIs" dxfId="145" priority="165" operator="notEqual">
      <formula>0</formula>
    </cfRule>
    <cfRule type="cellIs" dxfId="144" priority="166" operator="equal">
      <formula>0</formula>
    </cfRule>
  </conditionalFormatting>
  <conditionalFormatting sqref="D53:D54">
    <cfRule type="cellIs" dxfId="143" priority="164" operator="equal">
      <formula>0</formula>
    </cfRule>
  </conditionalFormatting>
  <conditionalFormatting sqref="D53:D54">
    <cfRule type="cellIs" dxfId="142" priority="163" operator="equal">
      <formula>0</formula>
    </cfRule>
  </conditionalFormatting>
  <conditionalFormatting sqref="D53:D54">
    <cfRule type="cellIs" dxfId="141" priority="161" operator="notEqual">
      <formula>0</formula>
    </cfRule>
    <cfRule type="cellIs" dxfId="140" priority="162" operator="equal">
      <formula>0</formula>
    </cfRule>
  </conditionalFormatting>
  <conditionalFormatting sqref="D53:D54">
    <cfRule type="cellIs" dxfId="139" priority="159" operator="notEqual">
      <formula>0</formula>
    </cfRule>
    <cfRule type="cellIs" dxfId="138" priority="160" operator="equal">
      <formula>0</formula>
    </cfRule>
  </conditionalFormatting>
  <conditionalFormatting sqref="E53">
    <cfRule type="cellIs" dxfId="137" priority="158" operator="equal">
      <formula>0</formula>
    </cfRule>
  </conditionalFormatting>
  <conditionalFormatting sqref="E53">
    <cfRule type="cellIs" dxfId="136" priority="157" operator="equal">
      <formula>0</formula>
    </cfRule>
  </conditionalFormatting>
  <conditionalFormatting sqref="E53">
    <cfRule type="cellIs" dxfId="135" priority="155" operator="notEqual">
      <formula>0</formula>
    </cfRule>
    <cfRule type="cellIs" dxfId="134" priority="156" operator="equal">
      <formula>0</formula>
    </cfRule>
  </conditionalFormatting>
  <conditionalFormatting sqref="E53">
    <cfRule type="cellIs" dxfId="133" priority="153" operator="notEqual">
      <formula>0</formula>
    </cfRule>
    <cfRule type="cellIs" dxfId="132" priority="154" operator="equal">
      <formula>0</formula>
    </cfRule>
  </conditionalFormatting>
  <conditionalFormatting sqref="E54">
    <cfRule type="cellIs" dxfId="131" priority="152" operator="equal">
      <formula>0</formula>
    </cfRule>
  </conditionalFormatting>
  <conditionalFormatting sqref="E54">
    <cfRule type="cellIs" dxfId="130" priority="151" operator="equal">
      <formula>0</formula>
    </cfRule>
  </conditionalFormatting>
  <conditionalFormatting sqref="E54">
    <cfRule type="cellIs" dxfId="129" priority="149" operator="notEqual">
      <formula>0</formula>
    </cfRule>
    <cfRule type="cellIs" dxfId="128" priority="150" operator="equal">
      <formula>0</formula>
    </cfRule>
  </conditionalFormatting>
  <conditionalFormatting sqref="E54">
    <cfRule type="cellIs" dxfId="127" priority="147" operator="notEqual">
      <formula>0</formula>
    </cfRule>
    <cfRule type="cellIs" dxfId="126" priority="148" operator="equal">
      <formula>0</formula>
    </cfRule>
  </conditionalFormatting>
  <conditionalFormatting sqref="F53:F54">
    <cfRule type="cellIs" dxfId="125" priority="146" operator="equal">
      <formula>0</formula>
    </cfRule>
  </conditionalFormatting>
  <conditionalFormatting sqref="F53:F54">
    <cfRule type="cellIs" dxfId="124" priority="145" operator="equal">
      <formula>0</formula>
    </cfRule>
  </conditionalFormatting>
  <conditionalFormatting sqref="F53:F54">
    <cfRule type="cellIs" dxfId="123" priority="143" operator="notEqual">
      <formula>0</formula>
    </cfRule>
    <cfRule type="cellIs" dxfId="122" priority="144" operator="equal">
      <formula>0</formula>
    </cfRule>
  </conditionalFormatting>
  <conditionalFormatting sqref="F53:F54">
    <cfRule type="cellIs" dxfId="121" priority="141" operator="notEqual">
      <formula>0</formula>
    </cfRule>
    <cfRule type="cellIs" dxfId="120" priority="142" operator="equal">
      <formula>0</formula>
    </cfRule>
  </conditionalFormatting>
  <conditionalFormatting sqref="D59:D60">
    <cfRule type="cellIs" dxfId="119" priority="140" operator="equal">
      <formula>0</formula>
    </cfRule>
  </conditionalFormatting>
  <conditionalFormatting sqref="D59:D60">
    <cfRule type="cellIs" dxfId="118" priority="139" operator="equal">
      <formula>0</formula>
    </cfRule>
  </conditionalFormatting>
  <conditionalFormatting sqref="D59:D60">
    <cfRule type="cellIs" dxfId="117" priority="137" operator="notEqual">
      <formula>0</formula>
    </cfRule>
    <cfRule type="cellIs" dxfId="116" priority="138" operator="equal">
      <formula>0</formula>
    </cfRule>
  </conditionalFormatting>
  <conditionalFormatting sqref="D59:D60">
    <cfRule type="cellIs" dxfId="115" priority="135" operator="notEqual">
      <formula>0</formula>
    </cfRule>
    <cfRule type="cellIs" dxfId="114" priority="136" operator="equal">
      <formula>0</formula>
    </cfRule>
  </conditionalFormatting>
  <conditionalFormatting sqref="E59">
    <cfRule type="cellIs" dxfId="113" priority="134" operator="equal">
      <formula>0</formula>
    </cfRule>
  </conditionalFormatting>
  <conditionalFormatting sqref="E59">
    <cfRule type="cellIs" dxfId="112" priority="133" operator="equal">
      <formula>0</formula>
    </cfRule>
  </conditionalFormatting>
  <conditionalFormatting sqref="E59">
    <cfRule type="cellIs" dxfId="111" priority="131" operator="notEqual">
      <formula>0</formula>
    </cfRule>
    <cfRule type="cellIs" dxfId="110" priority="132" operator="equal">
      <formula>0</formula>
    </cfRule>
  </conditionalFormatting>
  <conditionalFormatting sqref="E59">
    <cfRule type="cellIs" dxfId="109" priority="129" operator="notEqual">
      <formula>0</formula>
    </cfRule>
    <cfRule type="cellIs" dxfId="108" priority="130" operator="equal">
      <formula>0</formula>
    </cfRule>
  </conditionalFormatting>
  <conditionalFormatting sqref="E60">
    <cfRule type="cellIs" dxfId="107" priority="128" operator="equal">
      <formula>0</formula>
    </cfRule>
  </conditionalFormatting>
  <conditionalFormatting sqref="E60">
    <cfRule type="cellIs" dxfId="106" priority="127" operator="equal">
      <formula>0</formula>
    </cfRule>
  </conditionalFormatting>
  <conditionalFormatting sqref="E60">
    <cfRule type="cellIs" dxfId="105" priority="125" operator="notEqual">
      <formula>0</formula>
    </cfRule>
    <cfRule type="cellIs" dxfId="104" priority="126" operator="equal">
      <formula>0</formula>
    </cfRule>
  </conditionalFormatting>
  <conditionalFormatting sqref="E60">
    <cfRule type="cellIs" dxfId="103" priority="123" operator="notEqual">
      <formula>0</formula>
    </cfRule>
    <cfRule type="cellIs" dxfId="102" priority="124" operator="equal">
      <formula>0</formula>
    </cfRule>
  </conditionalFormatting>
  <conditionalFormatting sqref="F59:F60">
    <cfRule type="cellIs" dxfId="101" priority="122" operator="equal">
      <formula>0</formula>
    </cfRule>
  </conditionalFormatting>
  <conditionalFormatting sqref="F59:F60">
    <cfRule type="cellIs" dxfId="100" priority="121" operator="equal">
      <formula>0</formula>
    </cfRule>
  </conditionalFormatting>
  <conditionalFormatting sqref="F59:F60">
    <cfRule type="cellIs" dxfId="99" priority="119" operator="notEqual">
      <formula>0</formula>
    </cfRule>
    <cfRule type="cellIs" dxfId="98" priority="120" operator="equal">
      <formula>0</formula>
    </cfRule>
  </conditionalFormatting>
  <conditionalFormatting sqref="F59:F60">
    <cfRule type="cellIs" dxfId="97" priority="117" operator="notEqual">
      <formula>0</formula>
    </cfRule>
    <cfRule type="cellIs" dxfId="96" priority="118" operator="equal">
      <formula>0</formula>
    </cfRule>
  </conditionalFormatting>
  <conditionalFormatting sqref="D61:D62">
    <cfRule type="cellIs" dxfId="95" priority="116" operator="equal">
      <formula>0</formula>
    </cfRule>
  </conditionalFormatting>
  <conditionalFormatting sqref="D61:D62">
    <cfRule type="cellIs" dxfId="94" priority="115" operator="equal">
      <formula>0</formula>
    </cfRule>
  </conditionalFormatting>
  <conditionalFormatting sqref="D61:D62">
    <cfRule type="cellIs" dxfId="93" priority="113" operator="notEqual">
      <formula>0</formula>
    </cfRule>
    <cfRule type="cellIs" dxfId="92" priority="114" operator="equal">
      <formula>0</formula>
    </cfRule>
  </conditionalFormatting>
  <conditionalFormatting sqref="D61:D62">
    <cfRule type="cellIs" dxfId="91" priority="111" operator="notEqual">
      <formula>0</formula>
    </cfRule>
    <cfRule type="cellIs" dxfId="90" priority="112" operator="equal">
      <formula>0</formula>
    </cfRule>
  </conditionalFormatting>
  <conditionalFormatting sqref="E61">
    <cfRule type="cellIs" dxfId="89" priority="110" operator="equal">
      <formula>0</formula>
    </cfRule>
  </conditionalFormatting>
  <conditionalFormatting sqref="E61">
    <cfRule type="cellIs" dxfId="88" priority="109" operator="equal">
      <formula>0</formula>
    </cfRule>
  </conditionalFormatting>
  <conditionalFormatting sqref="E61">
    <cfRule type="cellIs" dxfId="87" priority="107" operator="notEqual">
      <formula>0</formula>
    </cfRule>
    <cfRule type="cellIs" dxfId="86" priority="108" operator="equal">
      <formula>0</formula>
    </cfRule>
  </conditionalFormatting>
  <conditionalFormatting sqref="E61">
    <cfRule type="cellIs" dxfId="85" priority="105" operator="notEqual">
      <formula>0</formula>
    </cfRule>
    <cfRule type="cellIs" dxfId="84" priority="106" operator="equal">
      <formula>0</formula>
    </cfRule>
  </conditionalFormatting>
  <conditionalFormatting sqref="E62">
    <cfRule type="cellIs" dxfId="83" priority="104" operator="equal">
      <formula>0</formula>
    </cfRule>
  </conditionalFormatting>
  <conditionalFormatting sqref="E62">
    <cfRule type="cellIs" dxfId="82" priority="103" operator="equal">
      <formula>0</formula>
    </cfRule>
  </conditionalFormatting>
  <conditionalFormatting sqref="E62">
    <cfRule type="cellIs" dxfId="81" priority="101" operator="notEqual">
      <formula>0</formula>
    </cfRule>
    <cfRule type="cellIs" dxfId="80" priority="102" operator="equal">
      <formula>0</formula>
    </cfRule>
  </conditionalFormatting>
  <conditionalFormatting sqref="E62">
    <cfRule type="cellIs" dxfId="79" priority="99" operator="notEqual">
      <formula>0</formula>
    </cfRule>
    <cfRule type="cellIs" dxfId="78" priority="100" operator="equal">
      <formula>0</formula>
    </cfRule>
  </conditionalFormatting>
  <conditionalFormatting sqref="F61:F62">
    <cfRule type="cellIs" dxfId="77" priority="97" operator="equal">
      <formula>0</formula>
    </cfRule>
  </conditionalFormatting>
  <conditionalFormatting sqref="F61:F62">
    <cfRule type="cellIs" dxfId="76" priority="95" operator="notEqual">
      <formula>0</formula>
    </cfRule>
    <cfRule type="cellIs" dxfId="75" priority="96" operator="equal">
      <formula>0</formula>
    </cfRule>
  </conditionalFormatting>
  <conditionalFormatting sqref="F61:F62">
    <cfRule type="cellIs" dxfId="74" priority="93" operator="notEqual">
      <formula>0</formula>
    </cfRule>
    <cfRule type="cellIs" dxfId="73" priority="94" operator="equal">
      <formula>0</formula>
    </cfRule>
  </conditionalFormatting>
  <conditionalFormatting sqref="D65:D66">
    <cfRule type="cellIs" dxfId="72" priority="92" operator="equal">
      <formula>0</formula>
    </cfRule>
  </conditionalFormatting>
  <conditionalFormatting sqref="D65:D66">
    <cfRule type="cellIs" dxfId="71" priority="91" operator="equal">
      <formula>0</formula>
    </cfRule>
  </conditionalFormatting>
  <conditionalFormatting sqref="D65:D66">
    <cfRule type="cellIs" dxfId="70" priority="89" operator="notEqual">
      <formula>0</formula>
    </cfRule>
    <cfRule type="cellIs" dxfId="69" priority="90" operator="equal">
      <formula>0</formula>
    </cfRule>
  </conditionalFormatting>
  <conditionalFormatting sqref="D65:D66">
    <cfRule type="cellIs" dxfId="68" priority="87" operator="notEqual">
      <formula>0</formula>
    </cfRule>
    <cfRule type="cellIs" dxfId="67" priority="88" operator="equal">
      <formula>0</formula>
    </cfRule>
  </conditionalFormatting>
  <conditionalFormatting sqref="E65">
    <cfRule type="cellIs" dxfId="66" priority="86" operator="equal">
      <formula>0</formula>
    </cfRule>
  </conditionalFormatting>
  <conditionalFormatting sqref="E65">
    <cfRule type="cellIs" dxfId="65" priority="85" operator="equal">
      <formula>0</formula>
    </cfRule>
  </conditionalFormatting>
  <conditionalFormatting sqref="E65">
    <cfRule type="cellIs" dxfId="64" priority="83" operator="notEqual">
      <formula>0</formula>
    </cfRule>
    <cfRule type="cellIs" dxfId="63" priority="84" operator="equal">
      <formula>0</formula>
    </cfRule>
  </conditionalFormatting>
  <conditionalFormatting sqref="E65">
    <cfRule type="cellIs" dxfId="62" priority="81" operator="notEqual">
      <formula>0</formula>
    </cfRule>
    <cfRule type="cellIs" dxfId="61" priority="82" operator="equal">
      <formula>0</formula>
    </cfRule>
  </conditionalFormatting>
  <conditionalFormatting sqref="E66">
    <cfRule type="cellIs" dxfId="60" priority="80" operator="equal">
      <formula>0</formula>
    </cfRule>
  </conditionalFormatting>
  <conditionalFormatting sqref="E66">
    <cfRule type="cellIs" dxfId="59" priority="79" operator="equal">
      <formula>0</formula>
    </cfRule>
  </conditionalFormatting>
  <conditionalFormatting sqref="E66">
    <cfRule type="cellIs" dxfId="58" priority="77" operator="notEqual">
      <formula>0</formula>
    </cfRule>
    <cfRule type="cellIs" dxfId="57" priority="78" operator="equal">
      <formula>0</formula>
    </cfRule>
  </conditionalFormatting>
  <conditionalFormatting sqref="E66">
    <cfRule type="cellIs" dxfId="56" priority="75" operator="notEqual">
      <formula>0</formula>
    </cfRule>
    <cfRule type="cellIs" dxfId="55" priority="76" operator="equal">
      <formula>0</formula>
    </cfRule>
  </conditionalFormatting>
  <conditionalFormatting sqref="F65:F66">
    <cfRule type="cellIs" dxfId="54" priority="74" operator="equal">
      <formula>0</formula>
    </cfRule>
  </conditionalFormatting>
  <conditionalFormatting sqref="F65:F66">
    <cfRule type="cellIs" dxfId="53" priority="73" operator="equal">
      <formula>0</formula>
    </cfRule>
  </conditionalFormatting>
  <conditionalFormatting sqref="F65:F66">
    <cfRule type="cellIs" dxfId="52" priority="71" operator="notEqual">
      <formula>0</formula>
    </cfRule>
    <cfRule type="cellIs" dxfId="51" priority="72" operator="equal">
      <formula>0</formula>
    </cfRule>
  </conditionalFormatting>
  <conditionalFormatting sqref="F65:F66">
    <cfRule type="cellIs" dxfId="50" priority="69" operator="notEqual">
      <formula>0</formula>
    </cfRule>
    <cfRule type="cellIs" dxfId="49" priority="70" operator="equal">
      <formula>0</formula>
    </cfRule>
  </conditionalFormatting>
  <conditionalFormatting sqref="D70">
    <cfRule type="cellIs" dxfId="48" priority="68" operator="equal">
      <formula>0</formula>
    </cfRule>
  </conditionalFormatting>
  <conditionalFormatting sqref="D70">
    <cfRule type="cellIs" dxfId="47" priority="67" operator="equal">
      <formula>0</formula>
    </cfRule>
  </conditionalFormatting>
  <conditionalFormatting sqref="D70">
    <cfRule type="cellIs" dxfId="46" priority="65" operator="notEqual">
      <formula>0</formula>
    </cfRule>
    <cfRule type="cellIs" dxfId="45" priority="66" operator="equal">
      <formula>0</formula>
    </cfRule>
  </conditionalFormatting>
  <conditionalFormatting sqref="D70">
    <cfRule type="cellIs" dxfId="44" priority="63" operator="notEqual">
      <formula>0</formula>
    </cfRule>
    <cfRule type="cellIs" dxfId="43" priority="64" operator="equal">
      <formula>0</formula>
    </cfRule>
  </conditionalFormatting>
  <conditionalFormatting sqref="F70">
    <cfRule type="cellIs" dxfId="42" priority="50" operator="equal">
      <formula>0</formula>
    </cfRule>
  </conditionalFormatting>
  <conditionalFormatting sqref="F70">
    <cfRule type="cellIs" dxfId="41" priority="49" operator="equal">
      <formula>0</formula>
    </cfRule>
  </conditionalFormatting>
  <conditionalFormatting sqref="F70">
    <cfRule type="cellIs" dxfId="40" priority="47" operator="notEqual">
      <formula>0</formula>
    </cfRule>
    <cfRule type="cellIs" dxfId="39" priority="48" operator="equal">
      <formula>0</formula>
    </cfRule>
  </conditionalFormatting>
  <conditionalFormatting sqref="F70">
    <cfRule type="cellIs" dxfId="38" priority="45" operator="notEqual">
      <formula>0</formula>
    </cfRule>
    <cfRule type="cellIs" dxfId="37" priority="46" operator="equal">
      <formula>0</formula>
    </cfRule>
  </conditionalFormatting>
  <conditionalFormatting sqref="E14">
    <cfRule type="cellIs" dxfId="36" priority="44" operator="equal">
      <formula>0</formula>
    </cfRule>
  </conditionalFormatting>
  <conditionalFormatting sqref="D69">
    <cfRule type="cellIs" dxfId="35" priority="36" operator="equal">
      <formula>0</formula>
    </cfRule>
  </conditionalFormatting>
  <conditionalFormatting sqref="D69">
    <cfRule type="cellIs" dxfId="34" priority="35" operator="equal">
      <formula>0</formula>
    </cfRule>
  </conditionalFormatting>
  <conditionalFormatting sqref="D69">
    <cfRule type="cellIs" dxfId="33" priority="33" operator="notEqual">
      <formula>0</formula>
    </cfRule>
    <cfRule type="cellIs" dxfId="32" priority="34" operator="equal">
      <formula>0</formula>
    </cfRule>
  </conditionalFormatting>
  <conditionalFormatting sqref="D69">
    <cfRule type="cellIs" dxfId="31" priority="31" operator="notEqual">
      <formula>0</formula>
    </cfRule>
    <cfRule type="cellIs" dxfId="30" priority="32" operator="equal">
      <formula>0</formula>
    </cfRule>
  </conditionalFormatting>
  <conditionalFormatting sqref="D69">
    <cfRule type="cellIs" dxfId="29" priority="30" operator="equal">
      <formula>0</formula>
    </cfRule>
  </conditionalFormatting>
  <conditionalFormatting sqref="D69">
    <cfRule type="cellIs" dxfId="28" priority="29" operator="equal">
      <formula>0</formula>
    </cfRule>
  </conditionalFormatting>
  <conditionalFormatting sqref="D69">
    <cfRule type="cellIs" dxfId="27" priority="27" operator="notEqual">
      <formula>0</formula>
    </cfRule>
    <cfRule type="cellIs" dxfId="26" priority="28" operator="equal">
      <formula>0</formula>
    </cfRule>
  </conditionalFormatting>
  <conditionalFormatting sqref="D69">
    <cfRule type="cellIs" dxfId="25" priority="25" operator="notEqual">
      <formula>0</formula>
    </cfRule>
    <cfRule type="cellIs" dxfId="24" priority="26" operator="equal">
      <formula>0</formula>
    </cfRule>
  </conditionalFormatting>
  <conditionalFormatting sqref="F69">
    <cfRule type="cellIs" dxfId="23" priority="6" operator="equal">
      <formula>0</formula>
    </cfRule>
  </conditionalFormatting>
  <conditionalFormatting sqref="F69">
    <cfRule type="cellIs" dxfId="22" priority="5" operator="equal">
      <formula>0</formula>
    </cfRule>
  </conditionalFormatting>
  <conditionalFormatting sqref="F69">
    <cfRule type="cellIs" dxfId="21" priority="3" operator="notEqual">
      <formula>0</formula>
    </cfRule>
    <cfRule type="cellIs" dxfId="20" priority="4" operator="equal">
      <formula>0</formula>
    </cfRule>
  </conditionalFormatting>
  <conditionalFormatting sqref="F69">
    <cfRule type="cellIs" dxfId="19" priority="1" operator="notEqual">
      <formula>0</formula>
    </cfRule>
    <cfRule type="cellIs" dxfId="18" priority="2" operator="equal">
      <formula>0</formula>
    </cfRule>
  </conditionalFormatting>
  <conditionalFormatting sqref="E69">
    <cfRule type="cellIs" dxfId="17" priority="24" operator="equal">
      <formula>0</formula>
    </cfRule>
  </conditionalFormatting>
  <conditionalFormatting sqref="E69">
    <cfRule type="cellIs" dxfId="16" priority="23" operator="equal">
      <formula>0</formula>
    </cfRule>
  </conditionalFormatting>
  <conditionalFormatting sqref="E69">
    <cfRule type="cellIs" dxfId="15" priority="21" operator="notEqual">
      <formula>0</formula>
    </cfRule>
    <cfRule type="cellIs" dxfId="14" priority="22" operator="equal">
      <formula>0</formula>
    </cfRule>
  </conditionalFormatting>
  <conditionalFormatting sqref="E69">
    <cfRule type="cellIs" dxfId="13" priority="19" operator="notEqual">
      <formula>0</formula>
    </cfRule>
    <cfRule type="cellIs" dxfId="12" priority="20" operator="equal">
      <formula>0</formula>
    </cfRule>
  </conditionalFormatting>
  <conditionalFormatting sqref="E69">
    <cfRule type="cellIs" dxfId="11" priority="18" operator="equal">
      <formula>0</formula>
    </cfRule>
  </conditionalFormatting>
  <conditionalFormatting sqref="E69">
    <cfRule type="cellIs" dxfId="10" priority="17" operator="equal">
      <formula>0</formula>
    </cfRule>
  </conditionalFormatting>
  <conditionalFormatting sqref="E69">
    <cfRule type="cellIs" dxfId="9" priority="15" operator="notEqual">
      <formula>0</formula>
    </cfRule>
    <cfRule type="cellIs" dxfId="8" priority="16" operator="equal">
      <formula>0</formula>
    </cfRule>
  </conditionalFormatting>
  <conditionalFormatting sqref="E69">
    <cfRule type="cellIs" dxfId="7" priority="13" operator="notEqual">
      <formula>0</formula>
    </cfRule>
    <cfRule type="cellIs" dxfId="6" priority="14" operator="equal">
      <formula>0</formula>
    </cfRule>
  </conditionalFormatting>
  <conditionalFormatting sqref="F69">
    <cfRule type="cellIs" dxfId="5" priority="12" operator="equal">
      <formula>0</formula>
    </cfRule>
  </conditionalFormatting>
  <conditionalFormatting sqref="F69">
    <cfRule type="cellIs" dxfId="4" priority="11" operator="equal">
      <formula>0</formula>
    </cfRule>
  </conditionalFormatting>
  <conditionalFormatting sqref="F69">
    <cfRule type="cellIs" dxfId="3" priority="9" operator="notEqual">
      <formula>0</formula>
    </cfRule>
    <cfRule type="cellIs" dxfId="2" priority="10" operator="equal">
      <formula>0</formula>
    </cfRule>
  </conditionalFormatting>
  <conditionalFormatting sqref="F69">
    <cfRule type="cellIs" dxfId="1" priority="7" operator="notEqual">
      <formula>0</formula>
    </cfRule>
    <cfRule type="cellIs" dxfId="0" priority="8" operator="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Cronograma</vt:lpstr>
      <vt:lpstr>'Composição de BDI'!Area_de_impressao</vt:lpstr>
      <vt:lpstr>'Composição de Encargos Sociais'!Area_de_impressao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AnaCZ</cp:lastModifiedBy>
  <cp:revision>0</cp:revision>
  <cp:lastPrinted>2021-04-02T02:23:41Z</cp:lastPrinted>
  <dcterms:created xsi:type="dcterms:W3CDTF">2021-03-31T17:42:04Z</dcterms:created>
  <dcterms:modified xsi:type="dcterms:W3CDTF">2021-04-05T16:11:34Z</dcterms:modified>
</cp:coreProperties>
</file>