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ILAG\Documents\Trabalhos\MPDFT\ORÇ 012_2020 PJGA\"/>
    </mc:Choice>
  </mc:AlternateContent>
  <xr:revisionPtr revIDLastSave="0" documentId="13_ncr:1_{03810D44-B3A2-4DE1-86DD-5D87432B295B}" xr6:coauthVersionLast="46" xr6:coauthVersionMax="46" xr10:uidLastSave="{00000000-0000-0000-0000-000000000000}"/>
  <bookViews>
    <workbookView xWindow="-120" yWindow="-120" windowWidth="20730" windowHeight="11160" tabRatio="779" xr2:uid="{00000000-000D-0000-FFFF-FFFF00000000}"/>
  </bookViews>
  <sheets>
    <sheet name="Instruções de Preenchimento" sheetId="9" r:id="rId1"/>
    <sheet name="Resumo do Orçamento" sheetId="4" r:id="rId2"/>
    <sheet name="Orçamento Sintético" sheetId="1" r:id="rId3"/>
    <sheet name="Orçamento Analítico" sheetId="5" r:id="rId4"/>
    <sheet name="Insumos e Serviços" sheetId="7" r:id="rId5"/>
    <sheet name="Composição de BDI" sheetId="2" r:id="rId6"/>
    <sheet name="Composição de Encargos Sociais" sheetId="3" r:id="rId7"/>
    <sheet name="Cronograma" sheetId="8" r:id="rId8"/>
  </sheets>
  <externalReferences>
    <externalReference r:id="rId9"/>
  </externalReferences>
  <definedNames>
    <definedName name="_10Excel_BuiltIn_Print_Area_3_1_1_3_1">"#ref!"</definedName>
    <definedName name="_11Excel_BuiltIn_Print_Area_3_1_3_1">"#ref!"</definedName>
    <definedName name="_12Excel_BuiltIn_Print_Area_5_1_1">"#ref!"</definedName>
    <definedName name="_13Excel_BuiltIn_Print_Area_5_1_1_1">"#ref!"</definedName>
    <definedName name="_14Excel_BuiltIn_Print_Titles_2_1_1">"#ref!"</definedName>
    <definedName name="_15Excel_BuiltIn_Print_Titles_2_1_1_1">"#ref!"</definedName>
    <definedName name="_16Excel_BuiltIn_Print_Titles_3_1_3_1">"#ref!"</definedName>
    <definedName name="_1Excel_BuiltIn_Print_Area_1_1">"#ref!"</definedName>
    <definedName name="_2Excel_BuiltIn_Print_Area_2_1">"#ref!"</definedName>
    <definedName name="_3Excel_BuiltIn_Print_Area_2_1_1">"#ref!"</definedName>
    <definedName name="_4Excel_BuiltIn_Print_Area_2_1_1_1">"#ref!"</definedName>
    <definedName name="_5Excel_BuiltIn_Print_Area_3_1_1_1">"#ref!"</definedName>
    <definedName name="_6Excel_BuiltIn_Print_Area_3_1_1_1_1">"#ref!"</definedName>
    <definedName name="_7Excel_BuiltIn_Print_Area_3_1_1_1_1_1">"#ref!"</definedName>
    <definedName name="_8Excel_BuiltIn_Print_Area_3_1_1_1_1_3_1">"#ref!"</definedName>
    <definedName name="_9Excel_BuiltIn_Print_Area_3_1_1_1_3_1">"#ref!"</definedName>
    <definedName name="_Toc162077558_1" localSheetId="0">#REF!</definedName>
    <definedName name="_Toc162077558_1" localSheetId="4">#REF!</definedName>
    <definedName name="_Toc162077558_1">#REF!</definedName>
    <definedName name="_xlnm.Print_Area" localSheetId="5">'Composição de BDI'!$A$1:$D$29</definedName>
    <definedName name="_xlnm.Print_Area" localSheetId="6">'Composição de Encargos Sociais'!$A$1:$D$44</definedName>
    <definedName name="_xlnm.Print_Area" localSheetId="7">Cronograma!$A$1:$G$69</definedName>
    <definedName name="_xlnm.Print_Area" localSheetId="4">'Insumos e Serviços'!$A$1:$H$124</definedName>
    <definedName name="_xlnm.Print_Area" localSheetId="3">'Orçamento Analítico'!$A$1:$H$67</definedName>
    <definedName name="_xlnm.Print_Area" localSheetId="2">'Orçamento Sintético'!$A$1:$H$126</definedName>
    <definedName name="_xlnm.Print_Area" localSheetId="1">'Resumo do Orçamento'!$A$1:$D$18</definedName>
    <definedName name="Excel_BuiltIn_Print_Area_1" localSheetId="0">#REF!</definedName>
    <definedName name="Excel_BuiltIn_Print_Area_1" localSheetId="4">#REF!</definedName>
    <definedName name="Excel_BuiltIn_Print_Area_1">#REF!</definedName>
    <definedName name="Excel_BuiltIn_Print_Area_1_1" localSheetId="0">#REF!</definedName>
    <definedName name="Excel_BuiltIn_Print_Area_1_1" localSheetId="4">#REF!</definedName>
    <definedName name="Excel_BuiltIn_Print_Area_1_1">#REF!</definedName>
    <definedName name="Excel_BuiltIn_Print_Area_1_1_1" localSheetId="0">#REF!</definedName>
    <definedName name="Excel_BuiltIn_Print_Area_1_1_1" localSheetId="4">#REF!</definedName>
    <definedName name="Excel_BuiltIn_Print_Area_1_1_1">#REF!</definedName>
    <definedName name="Excel_BuiltIn_Print_Area_1_1_1_1" localSheetId="6">#REF!</definedName>
    <definedName name="Excel_BuiltIn_Print_Area_1_1_1_1" localSheetId="0">#REF!</definedName>
    <definedName name="Excel_BuiltIn_Print_Area_1_1_1_1" localSheetId="4">#REF!</definedName>
    <definedName name="Excel_BuiltIn_Print_Area_1_1_1_1">#REF!</definedName>
    <definedName name="Excel_BuiltIn_Print_Area_1_1_1_1_1" localSheetId="0">#REF!</definedName>
    <definedName name="Excel_BuiltIn_Print_Area_1_1_1_1_1" localSheetId="4">#REF!</definedName>
    <definedName name="Excel_BuiltIn_Print_Area_1_1_1_1_1">#REF!</definedName>
    <definedName name="Excel_BuiltIn_Print_Area_1_1_1_1_1_1" localSheetId="6">#REF!</definedName>
    <definedName name="Excel_BuiltIn_Print_Area_1_1_1_1_1_1" localSheetId="0">#REF!</definedName>
    <definedName name="Excel_BuiltIn_Print_Area_1_1_1_1_1_1" localSheetId="4">#REF!</definedName>
    <definedName name="Excel_BuiltIn_Print_Area_1_1_1_1_1_1">#REF!</definedName>
    <definedName name="Excel_BuiltIn_Print_Area_1_1_1_1_1_1_1_1" localSheetId="6">#REF!</definedName>
    <definedName name="Excel_BuiltIn_Print_Area_1_1_1_1_1_1_1_1" localSheetId="0">#REF!</definedName>
    <definedName name="Excel_BuiltIn_Print_Area_1_1_1_1_1_1_1_1" localSheetId="4">#REF!</definedName>
    <definedName name="Excel_BuiltIn_Print_Area_1_1_1_1_1_1_1_1">#REF!</definedName>
    <definedName name="Excel_BuiltIn_Print_Area_1_1_1_1_5" localSheetId="0">#REF!</definedName>
    <definedName name="Excel_BuiltIn_Print_Area_1_1_1_1_5" localSheetId="4">#REF!</definedName>
    <definedName name="Excel_BuiltIn_Print_Area_1_1_1_1_5">#REF!</definedName>
    <definedName name="Excel_BuiltIn_Print_Area_1_1_1_5" localSheetId="0">#REF!</definedName>
    <definedName name="Excel_BuiltIn_Print_Area_1_1_1_5" localSheetId="4">#REF!</definedName>
    <definedName name="Excel_BuiltIn_Print_Area_1_1_1_5">#REF!</definedName>
    <definedName name="Excel_BuiltIn_Print_Area_1_1_5" localSheetId="0">#REF!</definedName>
    <definedName name="Excel_BuiltIn_Print_Area_1_1_5" localSheetId="4">#REF!</definedName>
    <definedName name="Excel_BuiltIn_Print_Area_1_1_5">#REF!</definedName>
    <definedName name="Excel_BuiltIn_Print_Area_2" localSheetId="0">#REF!</definedName>
    <definedName name="Excel_BuiltIn_Print_Area_2" localSheetId="4">#REF!</definedName>
    <definedName name="Excel_BuiltIn_Print_Area_2">#REF!</definedName>
    <definedName name="Excel_BuiltIn_Print_Area_2_1" localSheetId="0">#REF!</definedName>
    <definedName name="Excel_BuiltIn_Print_Area_2_1" localSheetId="4">#REF!</definedName>
    <definedName name="Excel_BuiltIn_Print_Area_2_1">#REF!</definedName>
    <definedName name="Excel_BuiltIn_Print_Area_2_1_1" localSheetId="6">#REF!</definedName>
    <definedName name="Excel_BuiltIn_Print_Area_2_1_1" localSheetId="0">#REF!</definedName>
    <definedName name="Excel_BuiltIn_Print_Area_2_1_1" localSheetId="4">#REF!</definedName>
    <definedName name="Excel_BuiltIn_Print_Area_2_1_1">#REF!</definedName>
    <definedName name="Excel_BuiltIn_Print_Area_2_1_1_1" localSheetId="0">#REF!</definedName>
    <definedName name="Excel_BuiltIn_Print_Area_2_1_1_1" localSheetId="4">#REF!</definedName>
    <definedName name="Excel_BuiltIn_Print_Area_2_1_1_1">#REF!</definedName>
    <definedName name="Excel_BuiltIn_Print_Area_2_1_1_1_1" localSheetId="0">#REF!</definedName>
    <definedName name="Excel_BuiltIn_Print_Area_2_1_1_1_1" localSheetId="4">#REF!</definedName>
    <definedName name="Excel_BuiltIn_Print_Area_2_1_1_1_1">#REF!</definedName>
    <definedName name="Excel_BuiltIn_Print_Area_2_1_1_1_3">"#ref!"</definedName>
    <definedName name="Excel_BuiltIn_Print_Area_2_1_1_1_4">"#ref!"</definedName>
    <definedName name="Excel_BuiltIn_Print_Area_2_1_1_3">"#ref!"</definedName>
    <definedName name="Excel_BuiltIn_Print_Area_2_1_1_4">"#ref!"</definedName>
    <definedName name="Excel_BuiltIn_Print_Area_2_1_5" localSheetId="0">#REF!</definedName>
    <definedName name="Excel_BuiltIn_Print_Area_2_1_5" localSheetId="4">#REF!</definedName>
    <definedName name="Excel_BuiltIn_Print_Area_2_1_5">#REF!</definedName>
    <definedName name="Excel_BuiltIn_Print_Area_2_5" localSheetId="0">#REF!</definedName>
    <definedName name="Excel_BuiltIn_Print_Area_2_5" localSheetId="4">#REF!</definedName>
    <definedName name="Excel_BuiltIn_Print_Area_2_5">#REF!</definedName>
    <definedName name="Excel_BuiltIn_Print_Area_3_1" localSheetId="6">#REF!</definedName>
    <definedName name="Excel_BuiltIn_Print_Area_3_1" localSheetId="0">#REF!</definedName>
    <definedName name="Excel_BuiltIn_Print_Area_3_1">"#ref!"</definedName>
    <definedName name="Excel_BuiltIn_Print_Area_3_1_1" localSheetId="6">#REF!</definedName>
    <definedName name="Excel_BuiltIn_Print_Area_3_1_1">#REF!</definedName>
    <definedName name="Excel_BuiltIn_Print_Area_3_1_1_1" localSheetId="6">#REF!</definedName>
    <definedName name="Excel_BuiltIn_Print_Area_3_1_1_1" localSheetId="0">#REF!</definedName>
    <definedName name="Excel_BuiltIn_Print_Area_3_1_1_1_1" localSheetId="6">#REF!</definedName>
    <definedName name="Excel_BuiltIn_Print_Area_3_1_1_1_1" localSheetId="0">#REF!</definedName>
    <definedName name="Excel_BuiltIn_Print_Area_3_1_1_1_1_3" localSheetId="6">#REF!</definedName>
    <definedName name="Excel_BuiltIn_Print_Area_3_1_1_1_1_3" localSheetId="0">#REF!</definedName>
    <definedName name="Excel_BuiltIn_Print_Area_3_1_1_1_1_3" localSheetId="4">#REF!</definedName>
    <definedName name="Excel_BuiltIn_Print_Area_3_1_1_1_1_3">#REF!</definedName>
    <definedName name="Excel_BuiltIn_Print_Area_3_1_1_1_1_4">#REF!</definedName>
    <definedName name="Excel_BuiltIn_Print_Area_3_1_1_1_3" localSheetId="6">#REF!</definedName>
    <definedName name="Excel_BuiltIn_Print_Area_3_1_1_1_3" localSheetId="0">#REF!</definedName>
    <definedName name="Excel_BuiltIn_Print_Area_3_1_1_1_3" localSheetId="4">#REF!</definedName>
    <definedName name="Excel_BuiltIn_Print_Area_3_1_1_1_3">#REF!</definedName>
    <definedName name="Excel_BuiltIn_Print_Area_3_1_1_1_4">#REF!</definedName>
    <definedName name="Excel_BuiltIn_Print_Area_3_1_1_3" localSheetId="6">#REF!</definedName>
    <definedName name="Excel_BuiltIn_Print_Area_3_1_1_3" localSheetId="0">#REF!</definedName>
    <definedName name="Excel_BuiltIn_Print_Area_3_1_1_3" localSheetId="4">#REF!</definedName>
    <definedName name="Excel_BuiltIn_Print_Area_3_1_1_3">#REF!</definedName>
    <definedName name="Excel_BuiltIn_Print_Area_3_1_1_4">#REF!</definedName>
    <definedName name="Excel_BuiltIn_Print_Area_3_1_3" localSheetId="6">#REF!</definedName>
    <definedName name="Excel_BuiltIn_Print_Area_3_1_3" localSheetId="0">#REF!</definedName>
    <definedName name="Excel_BuiltIn_Print_Area_3_1_3" localSheetId="4">#REF!</definedName>
    <definedName name="Excel_BuiltIn_Print_Area_3_1_3">#REF!</definedName>
    <definedName name="Excel_BuiltIn_Print_Area_3_1_4">#REF!</definedName>
    <definedName name="Excel_BuiltIn_Print_Area_4_1" localSheetId="6">#REF!</definedName>
    <definedName name="Excel_BuiltIn_Print_Area_4_1" localSheetId="0">#REF!</definedName>
    <definedName name="Excel_BuiltIn_Print_Area_4_1" localSheetId="4">#REF!</definedName>
    <definedName name="Excel_BuiltIn_Print_Area_4_1">#REF!</definedName>
    <definedName name="Excel_BuiltIn_Print_Area_4_1_1" localSheetId="6">#REF!</definedName>
    <definedName name="Excel_BuiltIn_Print_Area_4_1_1" localSheetId="0">#REF!</definedName>
    <definedName name="Excel_BuiltIn_Print_Area_4_1_1" localSheetId="4">#REF!</definedName>
    <definedName name="Excel_BuiltIn_Print_Area_4_1_1">#REF!</definedName>
    <definedName name="Excel_BuiltIn_Print_Area_4_1_1_1" localSheetId="6">#REF!</definedName>
    <definedName name="Excel_BuiltIn_Print_Area_4_1_1_1" localSheetId="0">#REF!</definedName>
    <definedName name="Excel_BuiltIn_Print_Area_4_1_1_1" localSheetId="4">#REF!</definedName>
    <definedName name="Excel_BuiltIn_Print_Area_4_1_1_1">#REF!</definedName>
    <definedName name="Excel_BuiltIn_Print_Area_4_1_1_1_5" localSheetId="0">#REF!</definedName>
    <definedName name="Excel_BuiltIn_Print_Area_4_1_1_1_5" localSheetId="4">#REF!</definedName>
    <definedName name="Excel_BuiltIn_Print_Area_4_1_1_1_5">#REF!</definedName>
    <definedName name="Excel_BuiltIn_Print_Area_4_1_1_5" localSheetId="0">#REF!</definedName>
    <definedName name="Excel_BuiltIn_Print_Area_4_1_1_5" localSheetId="4">#REF!</definedName>
    <definedName name="Excel_BuiltIn_Print_Area_4_1_1_5">#REF!</definedName>
    <definedName name="Excel_BuiltIn_Print_Area_4_1_5" localSheetId="0">#REF!</definedName>
    <definedName name="Excel_BuiltIn_Print_Area_4_1_5" localSheetId="4">#REF!</definedName>
    <definedName name="Excel_BuiltIn_Print_Area_4_1_5">#REF!</definedName>
    <definedName name="Excel_BuiltIn_Print_Area_5_1" localSheetId="0">#REF!</definedName>
    <definedName name="Excel_BuiltIn_Print_Area_5_1" localSheetId="4">#REF!</definedName>
    <definedName name="Excel_BuiltIn_Print_Area_5_1">#REF!</definedName>
    <definedName name="Excel_BuiltIn_Print_Area_5_1_1" localSheetId="0">#REF!</definedName>
    <definedName name="Excel_BuiltIn_Print_Area_5_1_1" localSheetId="4">#REF!</definedName>
    <definedName name="Excel_BuiltIn_Print_Area_5_1_1">#REF!</definedName>
    <definedName name="Excel_BuiltIn_Print_Area_5_1_1_1" localSheetId="6">#REF!</definedName>
    <definedName name="Excel_BuiltIn_Print_Area_5_1_1_1" localSheetId="0">#REF!</definedName>
    <definedName name="Excel_BuiltIn_Print_Area_5_1_1_1" localSheetId="4">#REF!</definedName>
    <definedName name="Excel_BuiltIn_Print_Area_5_1_1_1">#REF!</definedName>
    <definedName name="Excel_BuiltIn_Print_Area_5_1_1_5" localSheetId="0">#REF!</definedName>
    <definedName name="Excel_BuiltIn_Print_Area_5_1_1_5" localSheetId="4">#REF!</definedName>
    <definedName name="Excel_BuiltIn_Print_Area_5_1_1_5">#REF!</definedName>
    <definedName name="Excel_BuiltIn_Print_Area_5_1_5" localSheetId="0">#REF!</definedName>
    <definedName name="Excel_BuiltIn_Print_Area_5_1_5" localSheetId="4">#REF!</definedName>
    <definedName name="Excel_BuiltIn_Print_Area_5_1_5">#REF!</definedName>
    <definedName name="Excel_BuiltIn_Print_Area_6_1" localSheetId="0">#REF!</definedName>
    <definedName name="Excel_BuiltIn_Print_Area_6_1" localSheetId="4">#REF!</definedName>
    <definedName name="Excel_BuiltIn_Print_Area_6_1">#REF!</definedName>
    <definedName name="Excel_BuiltIn_Print_Titles_1" localSheetId="0">#REF!</definedName>
    <definedName name="Excel_BuiltIn_Print_Titles_1" localSheetId="4">#REF!</definedName>
    <definedName name="Excel_BuiltIn_Print_Titles_1">#REF!</definedName>
    <definedName name="Excel_BuiltIn_Print_Titles_1_1" localSheetId="6">#REF!</definedName>
    <definedName name="Excel_BuiltIn_Print_Titles_1_1" localSheetId="0">#REF!</definedName>
    <definedName name="Excel_BuiltIn_Print_Titles_1_1" localSheetId="4">#REF!</definedName>
    <definedName name="Excel_BuiltIn_Print_Titles_1_1">#REF!</definedName>
    <definedName name="Excel_BuiltIn_Print_Titles_1_1_1" localSheetId="6">#REF!</definedName>
    <definedName name="Excel_BuiltIn_Print_Titles_1_1_1" localSheetId="0">#REF!</definedName>
    <definedName name="Excel_BuiltIn_Print_Titles_1_1_1" localSheetId="4">#REF!</definedName>
    <definedName name="Excel_BuiltIn_Print_Titles_1_1_1">#REF!</definedName>
    <definedName name="Excel_BuiltIn_Print_Titles_1_1_5" localSheetId="0">#REF!</definedName>
    <definedName name="Excel_BuiltIn_Print_Titles_1_1_5" localSheetId="4">#REF!</definedName>
    <definedName name="Excel_BuiltIn_Print_Titles_1_1_5">#REF!</definedName>
    <definedName name="Excel_BuiltIn_Print_Titles_2" localSheetId="0">#REF!</definedName>
    <definedName name="Excel_BuiltIn_Print_Titles_2" localSheetId="4">#REF!</definedName>
    <definedName name="Excel_BuiltIn_Print_Titles_2">#REF!</definedName>
    <definedName name="Excel_BuiltIn_Print_Titles_2_1" localSheetId="0">#REF!</definedName>
    <definedName name="Excel_BuiltIn_Print_Titles_2_1" localSheetId="4">#REF!</definedName>
    <definedName name="Excel_BuiltIn_Print_Titles_2_1">#REF!</definedName>
    <definedName name="Excel_BuiltIn_Print_Titles_2_1_1" localSheetId="6">#REF!</definedName>
    <definedName name="Excel_BuiltIn_Print_Titles_2_1_1" localSheetId="0">#REF!</definedName>
    <definedName name="Excel_BuiltIn_Print_Titles_2_1_1" localSheetId="4">#REF!</definedName>
    <definedName name="Excel_BuiltIn_Print_Titles_2_1_1">#REF!</definedName>
    <definedName name="Excel_BuiltIn_Print_Titles_2_1_1_1" localSheetId="6">#REF!</definedName>
    <definedName name="Excel_BuiltIn_Print_Titles_2_1_1_1" localSheetId="0">#REF!</definedName>
    <definedName name="Excel_BuiltIn_Print_Titles_2_1_1_1" localSheetId="4">#REF!</definedName>
    <definedName name="Excel_BuiltIn_Print_Titles_2_1_1_1">#REF!</definedName>
    <definedName name="Excel_BuiltIn_Print_Titles_2_1_1_1_1" localSheetId="6">#REF!</definedName>
    <definedName name="Excel_BuiltIn_Print_Titles_2_1_1_1_1" localSheetId="0">#REF!</definedName>
    <definedName name="Excel_BuiltIn_Print_Titles_2_1_1_1_1" localSheetId="4">#REF!</definedName>
    <definedName name="Excel_BuiltIn_Print_Titles_2_1_1_1_1">#REF!</definedName>
    <definedName name="Excel_BuiltIn_Print_Titles_2_1_1_1_1_1" localSheetId="6">#REF!</definedName>
    <definedName name="Excel_BuiltIn_Print_Titles_2_1_1_1_1_1" localSheetId="0">#REF!</definedName>
    <definedName name="Excel_BuiltIn_Print_Titles_2_1_1_1_1_1" localSheetId="4">#REF!</definedName>
    <definedName name="Excel_BuiltIn_Print_Titles_2_1_1_1_1_1">#REF!</definedName>
    <definedName name="Excel_BuiltIn_Print_Titles_2_1_1_1_5" localSheetId="0">#REF!</definedName>
    <definedName name="Excel_BuiltIn_Print_Titles_2_1_1_1_5" localSheetId="4">#REF!</definedName>
    <definedName name="Excel_BuiltIn_Print_Titles_2_1_1_1_5">#REF!</definedName>
    <definedName name="Excel_BuiltIn_Print_Titles_2_1_1_5" localSheetId="0">#REF!</definedName>
    <definedName name="Excel_BuiltIn_Print_Titles_2_1_1_5" localSheetId="4">#REF!</definedName>
    <definedName name="Excel_BuiltIn_Print_Titles_2_1_1_5">#REF!</definedName>
    <definedName name="Excel_BuiltIn_Print_Titles_2_1_5" localSheetId="0">#REF!</definedName>
    <definedName name="Excel_BuiltIn_Print_Titles_2_1_5" localSheetId="4">#REF!</definedName>
    <definedName name="Excel_BuiltIn_Print_Titles_2_1_5">#REF!</definedName>
    <definedName name="Excel_BuiltIn_Print_Titles_2_5" localSheetId="0">#REF!</definedName>
    <definedName name="Excel_BuiltIn_Print_Titles_2_5" localSheetId="4">#REF!</definedName>
    <definedName name="Excel_BuiltIn_Print_Titles_2_5">#REF!</definedName>
    <definedName name="Excel_BuiltIn_Print_Titles_3_1" localSheetId="6">#REF!</definedName>
    <definedName name="Excel_BuiltIn_Print_Titles_3_1" localSheetId="0">#REF!</definedName>
    <definedName name="Excel_BuiltIn_Print_Titles_3_1" localSheetId="4">'[1]Planilha Sintética'!#REF!</definedName>
    <definedName name="Excel_BuiltIn_Print_Titles_3_1">'[1]Planilha Sintética'!#REF!</definedName>
    <definedName name="Excel_BuiltIn_Print_Titles_3_1_3" localSheetId="0">#REF!</definedName>
    <definedName name="Excel_BuiltIn_Print_Titles_3_1_3" localSheetId="4">#REF!</definedName>
    <definedName name="Excel_BuiltIn_Print_Titles_3_1_3">#REF!</definedName>
    <definedName name="Excel_BuiltIn_Print_Titles_3_1_4">#N/A</definedName>
    <definedName name="Excel_BuiltIn_Print_Titles_4" localSheetId="0">#REF!</definedName>
    <definedName name="Excel_BuiltIn_Print_Titles_4" localSheetId="4">#REF!</definedName>
    <definedName name="Excel_BuiltIn_Print_Titles_4">#REF!</definedName>
    <definedName name="Excel_BuiltIn_Print_Titles_4_1" localSheetId="0">#REF!</definedName>
    <definedName name="Excel_BuiltIn_Print_Titles_4_1" localSheetId="4">#REF!</definedName>
    <definedName name="Excel_BuiltIn_Print_Titles_4_1">#REF!</definedName>
    <definedName name="Excel_BuiltIn_Print_Titles_4_1_5" localSheetId="0">#REF!</definedName>
    <definedName name="Excel_BuiltIn_Print_Titles_4_1_5" localSheetId="4">#REF!</definedName>
    <definedName name="Excel_BuiltIn_Print_Titles_4_1_5">#REF!</definedName>
    <definedName name="Excel_BuiltIn_Print_Titles_5" localSheetId="0">#REF!</definedName>
    <definedName name="Excel_BuiltIn_Print_Titles_5" localSheetId="4">#REF!</definedName>
    <definedName name="Excel_BuiltIn_Print_Titles_5">#REF!</definedName>
    <definedName name="Excel_BuiltIn_Print_Titles_5_1" localSheetId="0">#REF!</definedName>
    <definedName name="Excel_BuiltIn_Print_Titles_5_1" localSheetId="4">#REF!</definedName>
    <definedName name="Excel_BuiltIn_Print_Titles_5_1">#REF!</definedName>
    <definedName name="Excel_BuiltIn_Print_Titles_5_5" localSheetId="0">#REF!</definedName>
    <definedName name="Excel_BuiltIn_Print_Titles_5_5" localSheetId="4">#REF!</definedName>
    <definedName name="Excel_BuiltIn_Print_Titles_5_5">#REF!</definedName>
    <definedName name="_xlnm.Print_Titles" localSheetId="5">'Composição de BDI'!$1:$8</definedName>
    <definedName name="_xlnm.Print_Titles" localSheetId="7">Cronograma!$1:$8</definedName>
    <definedName name="_xlnm.Print_Titles" localSheetId="4">'Insumos e Serviços'!$1:$8</definedName>
    <definedName name="_xlnm.Print_Titles" localSheetId="3">'Orçamento Analítico'!$1:$7</definedName>
    <definedName name="_xlnm.Print_Titles" localSheetId="2">'Orçamento Sintético'!$1:$8</definedName>
    <definedName name="_xlnm.Print_Titles" localSheetId="1">'Resumo do Orçamento'!$1:$7</definedName>
    <definedName name="Z_71409849_3ED0_4F48_B303_9AEF25621248_.wvu.PrintArea" localSheetId="6" hidden="1">'Composição de Encargos Sociais'!$A$1:$D$44</definedName>
  </definedNames>
  <calcPr calcId="191029"/>
</workbook>
</file>

<file path=xl/calcChain.xml><?xml version="1.0" encoding="utf-8"?>
<calcChain xmlns="http://schemas.openxmlformats.org/spreadsheetml/2006/main">
  <c r="E143" i="5" l="1"/>
  <c r="D143" i="5"/>
  <c r="C143" i="5"/>
  <c r="B143" i="5"/>
  <c r="E139" i="5"/>
  <c r="D139" i="5"/>
  <c r="C139" i="5"/>
  <c r="B139" i="5"/>
  <c r="E135" i="5"/>
  <c r="D135" i="5"/>
  <c r="C135" i="5"/>
  <c r="B135" i="5"/>
  <c r="E130" i="5"/>
  <c r="D130" i="5"/>
  <c r="C130" i="5"/>
  <c r="B130" i="5"/>
  <c r="E125" i="5"/>
  <c r="D125" i="5"/>
  <c r="C125" i="5"/>
  <c r="B125" i="5"/>
  <c r="C6" i="8"/>
  <c r="B6" i="8"/>
  <c r="A6" i="8"/>
  <c r="C5" i="8"/>
  <c r="B5" i="8"/>
  <c r="A5" i="8"/>
  <c r="C4" i="8"/>
  <c r="B4" i="8"/>
  <c r="A4" i="8"/>
  <c r="C3" i="8"/>
  <c r="B3" i="8"/>
  <c r="A3" i="8"/>
  <c r="C2" i="8"/>
  <c r="B2" i="8"/>
  <c r="A2" i="8"/>
  <c r="C1" i="8"/>
  <c r="B1" i="8"/>
  <c r="A1" i="8"/>
  <c r="D6" i="3"/>
  <c r="C6" i="3"/>
  <c r="A6" i="3"/>
  <c r="D5" i="3"/>
  <c r="C5" i="3"/>
  <c r="A5" i="3"/>
  <c r="D4" i="3"/>
  <c r="C4" i="3"/>
  <c r="A4" i="3"/>
  <c r="D3" i="3"/>
  <c r="C3" i="3"/>
  <c r="A3" i="3"/>
  <c r="D2" i="3"/>
  <c r="C2" i="3"/>
  <c r="A2" i="3"/>
  <c r="D1" i="3"/>
  <c r="C1" i="3"/>
  <c r="A1" i="3"/>
  <c r="D6" i="2"/>
  <c r="C6" i="2"/>
  <c r="A6" i="2"/>
  <c r="D5" i="2"/>
  <c r="C5" i="2"/>
  <c r="A5" i="2"/>
  <c r="D4" i="2"/>
  <c r="C4" i="2"/>
  <c r="A4" i="2"/>
  <c r="D3" i="2"/>
  <c r="C3" i="2"/>
  <c r="A3" i="2"/>
  <c r="D2" i="2"/>
  <c r="C2" i="2"/>
  <c r="A2" i="2"/>
  <c r="D1" i="2"/>
  <c r="C1" i="2"/>
  <c r="A1" i="2"/>
  <c r="E6" i="7"/>
  <c r="C6" i="7"/>
  <c r="A6" i="7"/>
  <c r="E128" i="5" s="1"/>
  <c r="E5" i="7"/>
  <c r="C5" i="7"/>
  <c r="A5" i="7"/>
  <c r="E4" i="7"/>
  <c r="C4" i="7"/>
  <c r="A4" i="7"/>
  <c r="E3" i="7"/>
  <c r="C3" i="7"/>
  <c r="A3" i="7"/>
  <c r="E2" i="7"/>
  <c r="D2" i="7"/>
  <c r="C2" i="7"/>
  <c r="A2" i="7"/>
  <c r="E1" i="7"/>
  <c r="D1" i="7"/>
  <c r="C1" i="7"/>
  <c r="A1" i="7"/>
  <c r="G146" i="5" s="1"/>
  <c r="H146" i="5" s="1"/>
  <c r="E6" i="5"/>
  <c r="C6" i="5"/>
  <c r="A6" i="5"/>
  <c r="E5" i="5"/>
  <c r="C5" i="5"/>
  <c r="A5" i="5"/>
  <c r="E4" i="5"/>
  <c r="C4" i="5"/>
  <c r="A4" i="5"/>
  <c r="E3" i="5"/>
  <c r="C3" i="5"/>
  <c r="A3" i="5"/>
  <c r="E2" i="5"/>
  <c r="D2" i="5"/>
  <c r="C2" i="5"/>
  <c r="A2" i="5"/>
  <c r="E1" i="5"/>
  <c r="D1" i="5"/>
  <c r="C1" i="5"/>
  <c r="A1" i="5"/>
  <c r="C6" i="4"/>
  <c r="B6" i="4"/>
  <c r="A6" i="4"/>
  <c r="C5" i="4"/>
  <c r="B5" i="4"/>
  <c r="A5" i="4"/>
  <c r="C4" i="4"/>
  <c r="B4" i="4"/>
  <c r="A4" i="4"/>
  <c r="C3" i="4"/>
  <c r="B3" i="4"/>
  <c r="A3" i="4"/>
  <c r="C2" i="4"/>
  <c r="B2" i="4"/>
  <c r="A2" i="4"/>
  <c r="C1" i="4"/>
  <c r="B1" i="4"/>
  <c r="A1" i="4"/>
  <c r="C132" i="5" l="1"/>
  <c r="A133" i="5"/>
  <c r="G133" i="5"/>
  <c r="H133" i="5" s="1"/>
  <c r="E136" i="5"/>
  <c r="C146" i="5"/>
  <c r="D126" i="5"/>
  <c r="C127" i="5"/>
  <c r="A128" i="5"/>
  <c r="G128" i="5"/>
  <c r="H128" i="5" s="1"/>
  <c r="E131" i="5"/>
  <c r="D132" i="5"/>
  <c r="C133" i="5"/>
  <c r="A136" i="5"/>
  <c r="G136" i="5"/>
  <c r="H136" i="5" s="1"/>
  <c r="E137" i="5"/>
  <c r="D140" i="5"/>
  <c r="C141" i="5"/>
  <c r="A144" i="5"/>
  <c r="G144" i="5"/>
  <c r="H144" i="5" s="1"/>
  <c r="E145" i="5"/>
  <c r="D146" i="5"/>
  <c r="C126" i="5"/>
  <c r="A127" i="5"/>
  <c r="G127" i="5"/>
  <c r="H127" i="5" s="1"/>
  <c r="D131" i="5"/>
  <c r="D137" i="5"/>
  <c r="C140" i="5"/>
  <c r="A141" i="5"/>
  <c r="G141" i="5"/>
  <c r="H141" i="5" s="1"/>
  <c r="E144" i="5"/>
  <c r="D145" i="5"/>
  <c r="E126" i="5"/>
  <c r="D127" i="5"/>
  <c r="C128" i="5"/>
  <c r="A131" i="5"/>
  <c r="G131" i="5"/>
  <c r="H131" i="5" s="1"/>
  <c r="H130" i="5" s="1"/>
  <c r="E132" i="5"/>
  <c r="D133" i="5"/>
  <c r="C136" i="5"/>
  <c r="A137" i="5"/>
  <c r="G137" i="5"/>
  <c r="H137" i="5" s="1"/>
  <c r="E140" i="5"/>
  <c r="D141" i="5"/>
  <c r="C144" i="5"/>
  <c r="A145" i="5"/>
  <c r="G145" i="5"/>
  <c r="H145" i="5" s="1"/>
  <c r="E146" i="5"/>
  <c r="A126" i="5"/>
  <c r="G126" i="5"/>
  <c r="H126" i="5" s="1"/>
  <c r="E127" i="5"/>
  <c r="D128" i="5"/>
  <c r="C131" i="5"/>
  <c r="A132" i="5"/>
  <c r="G132" i="5"/>
  <c r="H132" i="5" s="1"/>
  <c r="E133" i="5"/>
  <c r="D136" i="5"/>
  <c r="C137" i="5"/>
  <c r="A140" i="5"/>
  <c r="G140" i="5"/>
  <c r="H140" i="5" s="1"/>
  <c r="H139" i="5" s="1"/>
  <c r="E141" i="5"/>
  <c r="D144" i="5"/>
  <c r="C145" i="5"/>
  <c r="A146" i="5"/>
  <c r="H125" i="5"/>
  <c r="B59" i="8"/>
  <c r="B55" i="8"/>
  <c r="B61" i="8"/>
  <c r="B57" i="8"/>
  <c r="B53" i="8"/>
  <c r="B31" i="8"/>
  <c r="B23" i="8"/>
  <c r="B17" i="8"/>
  <c r="B51" i="8"/>
  <c r="B29" i="8"/>
  <c r="B49" i="8"/>
  <c r="B47" i="8"/>
  <c r="B45" i="8"/>
  <c r="B43" i="8"/>
  <c r="B41" i="8"/>
  <c r="B39" i="8"/>
  <c r="B37" i="8"/>
  <c r="B35" i="8"/>
  <c r="B33" i="8"/>
  <c r="B27" i="8"/>
  <c r="B25" i="8"/>
  <c r="B21" i="8"/>
  <c r="B19" i="8"/>
  <c r="B15" i="8"/>
  <c r="B13" i="8"/>
  <c r="B11" i="8"/>
  <c r="B9" i="8"/>
  <c r="H143" i="5" l="1"/>
  <c r="H135" i="5"/>
  <c r="D26" i="5"/>
  <c r="D26" i="2"/>
  <c r="B14" i="4"/>
  <c r="B13" i="4"/>
  <c r="B12" i="4"/>
  <c r="B11" i="4"/>
  <c r="B10" i="4"/>
  <c r="B9" i="4"/>
  <c r="E345" i="5"/>
  <c r="D345" i="5"/>
  <c r="C345" i="5"/>
  <c r="B345" i="5"/>
  <c r="D344" i="5"/>
  <c r="D343" i="5"/>
  <c r="E149" i="5"/>
  <c r="D149" i="5"/>
  <c r="C149" i="5"/>
  <c r="B149" i="5"/>
  <c r="B152" i="5"/>
  <c r="C152" i="5"/>
  <c r="D152" i="5"/>
  <c r="E152" i="5"/>
  <c r="B124" i="1"/>
  <c r="D99" i="5"/>
  <c r="D45" i="5"/>
  <c r="D20" i="5"/>
  <c r="D308" i="5"/>
  <c r="D98" i="5"/>
  <c r="D18" i="5"/>
  <c r="D9" i="5"/>
  <c r="D10" i="5"/>
  <c r="D14" i="5"/>
  <c r="D19" i="5"/>
  <c r="D44" i="5"/>
  <c r="D56" i="5"/>
  <c r="D100" i="5"/>
  <c r="D148" i="5"/>
  <c r="D215" i="5"/>
  <c r="D220" i="5"/>
  <c r="D233" i="5"/>
  <c r="D237" i="5"/>
  <c r="D309" i="5"/>
  <c r="D310" i="5"/>
  <c r="D287" i="5"/>
  <c r="E332" i="5" l="1"/>
  <c r="D332" i="5"/>
  <c r="C332" i="5"/>
  <c r="B332" i="5"/>
  <c r="E327" i="5"/>
  <c r="D327" i="5"/>
  <c r="C327" i="5"/>
  <c r="B327" i="5"/>
  <c r="E322" i="5"/>
  <c r="D322" i="5"/>
  <c r="C322" i="5"/>
  <c r="B322" i="5"/>
  <c r="E316" i="5"/>
  <c r="D316" i="5"/>
  <c r="C316" i="5"/>
  <c r="B316" i="5"/>
  <c r="E310" i="5"/>
  <c r="C310" i="5"/>
  <c r="B310" i="5"/>
  <c r="E298" i="5"/>
  <c r="D298" i="5"/>
  <c r="C298" i="5"/>
  <c r="B298" i="5"/>
  <c r="E288" i="5"/>
  <c r="D288" i="5"/>
  <c r="C288" i="5"/>
  <c r="B288" i="5"/>
  <c r="E282" i="5"/>
  <c r="D282" i="5"/>
  <c r="C282" i="5"/>
  <c r="B282" i="5"/>
  <c r="E275" i="5"/>
  <c r="D275" i="5"/>
  <c r="C275" i="5"/>
  <c r="B275" i="5"/>
  <c r="E268" i="5"/>
  <c r="D268" i="5"/>
  <c r="C268" i="5"/>
  <c r="B268" i="5"/>
  <c r="E261" i="5"/>
  <c r="D261" i="5"/>
  <c r="C261" i="5"/>
  <c r="B261" i="5"/>
  <c r="E253" i="5"/>
  <c r="D253" i="5"/>
  <c r="C253" i="5"/>
  <c r="E238" i="5"/>
  <c r="D238" i="5"/>
  <c r="C238" i="5"/>
  <c r="B238" i="5"/>
  <c r="E234" i="5"/>
  <c r="D234" i="5"/>
  <c r="C234" i="5"/>
  <c r="B234" i="5"/>
  <c r="E227" i="5"/>
  <c r="D227" i="5"/>
  <c r="C227" i="5"/>
  <c r="B227" i="5"/>
  <c r="E221" i="5"/>
  <c r="D221" i="5"/>
  <c r="C221" i="5"/>
  <c r="B221" i="5"/>
  <c r="E216" i="5"/>
  <c r="D216" i="5"/>
  <c r="C216" i="5"/>
  <c r="B216" i="5"/>
  <c r="E210" i="5"/>
  <c r="D210" i="5"/>
  <c r="C210" i="5"/>
  <c r="B210" i="5"/>
  <c r="E206" i="5"/>
  <c r="D206" i="5"/>
  <c r="C206" i="5"/>
  <c r="B206" i="5"/>
  <c r="E202" i="5"/>
  <c r="D202" i="5"/>
  <c r="C202" i="5"/>
  <c r="B202" i="5"/>
  <c r="E194" i="5"/>
  <c r="D194" i="5"/>
  <c r="C194" i="5"/>
  <c r="B194" i="5"/>
  <c r="E186" i="5"/>
  <c r="D186" i="5"/>
  <c r="C186" i="5"/>
  <c r="B186" i="5"/>
  <c r="E178" i="5"/>
  <c r="D178" i="5"/>
  <c r="C178" i="5"/>
  <c r="B178" i="5"/>
  <c r="E171" i="5"/>
  <c r="D171" i="5"/>
  <c r="C171" i="5"/>
  <c r="B171" i="5"/>
  <c r="E164" i="5"/>
  <c r="D164" i="5"/>
  <c r="C164" i="5"/>
  <c r="B164" i="5"/>
  <c r="E158" i="5"/>
  <c r="D158" i="5"/>
  <c r="C158" i="5"/>
  <c r="B158" i="5"/>
  <c r="E118" i="5"/>
  <c r="D118" i="5"/>
  <c r="C118" i="5"/>
  <c r="B118" i="5"/>
  <c r="E110" i="5"/>
  <c r="D110" i="5"/>
  <c r="C110" i="5"/>
  <c r="B110" i="5"/>
  <c r="E101" i="5"/>
  <c r="D101" i="5"/>
  <c r="C101" i="5"/>
  <c r="B101" i="5"/>
  <c r="E94" i="5"/>
  <c r="D94" i="5"/>
  <c r="C94" i="5"/>
  <c r="B94" i="5"/>
  <c r="E91" i="5"/>
  <c r="D91" i="5"/>
  <c r="C91" i="5"/>
  <c r="B91" i="5"/>
  <c r="E84" i="5"/>
  <c r="D84" i="5"/>
  <c r="C84" i="5"/>
  <c r="B84" i="5"/>
  <c r="E78" i="5"/>
  <c r="D78" i="5"/>
  <c r="C78" i="5"/>
  <c r="B78" i="5"/>
  <c r="E74" i="5"/>
  <c r="D74" i="5"/>
  <c r="C74" i="5"/>
  <c r="B74" i="5"/>
  <c r="E69" i="5"/>
  <c r="D69" i="5"/>
  <c r="C69" i="5"/>
  <c r="B69" i="5"/>
  <c r="E65" i="5"/>
  <c r="D65" i="5"/>
  <c r="C65" i="5"/>
  <c r="B65" i="5"/>
  <c r="E60" i="5"/>
  <c r="D60" i="5"/>
  <c r="C60" i="5"/>
  <c r="B60" i="5"/>
  <c r="E57" i="5"/>
  <c r="D57" i="5"/>
  <c r="C57" i="5"/>
  <c r="B57" i="5"/>
  <c r="E53" i="5"/>
  <c r="D53" i="5"/>
  <c r="C53" i="5"/>
  <c r="B53" i="5"/>
  <c r="E50" i="5"/>
  <c r="D50" i="5"/>
  <c r="C50" i="5"/>
  <c r="B50" i="5"/>
  <c r="E46" i="5"/>
  <c r="D46" i="5"/>
  <c r="C46" i="5"/>
  <c r="B46" i="5"/>
  <c r="E41" i="5"/>
  <c r="D41" i="5"/>
  <c r="C41" i="5"/>
  <c r="B41" i="5"/>
  <c r="E34" i="5"/>
  <c r="D34" i="5"/>
  <c r="C34" i="5"/>
  <c r="B34" i="5"/>
  <c r="E31" i="5"/>
  <c r="D31" i="5"/>
  <c r="C31" i="5"/>
  <c r="B31" i="5"/>
  <c r="E27" i="5"/>
  <c r="D27" i="5"/>
  <c r="C27" i="5"/>
  <c r="B27" i="5"/>
  <c r="E21" i="5"/>
  <c r="D21" i="5"/>
  <c r="C21" i="5"/>
  <c r="B21" i="5"/>
  <c r="E15" i="5"/>
  <c r="D15" i="5"/>
  <c r="C15" i="5"/>
  <c r="B15" i="5"/>
  <c r="E11" i="5"/>
  <c r="D11" i="5"/>
  <c r="C11" i="5"/>
  <c r="B11" i="5"/>
  <c r="D38" i="3" l="1"/>
  <c r="D31" i="3"/>
  <c r="D19" i="3"/>
  <c r="D41" i="3" s="1"/>
  <c r="D22" i="2"/>
  <c r="D28" i="2" s="1"/>
  <c r="D12" i="2"/>
  <c r="D102" i="5" l="1"/>
  <c r="D40" i="3"/>
  <c r="D42" i="3" s="1"/>
  <c r="D44" i="3" s="1"/>
  <c r="E125" i="1"/>
  <c r="C17" i="4"/>
  <c r="G348" i="5"/>
  <c r="H348" i="5" s="1"/>
  <c r="A348" i="5"/>
  <c r="C347" i="5"/>
  <c r="D346" i="5"/>
  <c r="G150" i="5"/>
  <c r="H150" i="5" s="1"/>
  <c r="G122" i="1"/>
  <c r="H122" i="1" s="1"/>
  <c r="G115" i="1"/>
  <c r="H115" i="1" s="1"/>
  <c r="G91" i="1"/>
  <c r="H91" i="1" s="1"/>
  <c r="G87" i="1"/>
  <c r="H87" i="1" s="1"/>
  <c r="G81" i="1"/>
  <c r="H81" i="1" s="1"/>
  <c r="G72" i="1"/>
  <c r="H72" i="1" s="1"/>
  <c r="G31" i="1"/>
  <c r="H31" i="1" s="1"/>
  <c r="G20" i="1"/>
  <c r="H20" i="1" s="1"/>
  <c r="E121" i="1"/>
  <c r="D120" i="1"/>
  <c r="C116" i="1"/>
  <c r="E114" i="1"/>
  <c r="D113" i="1"/>
  <c r="C93" i="1"/>
  <c r="E90" i="1"/>
  <c r="D89" i="1"/>
  <c r="C88" i="1"/>
  <c r="E86" i="1"/>
  <c r="D85" i="1"/>
  <c r="C84" i="1"/>
  <c r="E77" i="1"/>
  <c r="D76" i="1"/>
  <c r="C75" i="1"/>
  <c r="E59" i="1"/>
  <c r="D48" i="1"/>
  <c r="C34" i="1"/>
  <c r="E30" i="1"/>
  <c r="D22" i="1"/>
  <c r="C21" i="1"/>
  <c r="G17" i="1"/>
  <c r="H17" i="1" s="1"/>
  <c r="A150" i="5"/>
  <c r="G93" i="1"/>
  <c r="H93" i="1" s="1"/>
  <c r="G75" i="1"/>
  <c r="H75" i="1" s="1"/>
  <c r="C122" i="1"/>
  <c r="C115" i="1"/>
  <c r="C91" i="1"/>
  <c r="C87" i="1"/>
  <c r="C81" i="1"/>
  <c r="E48" i="1"/>
  <c r="C31" i="1"/>
  <c r="C17" i="1"/>
  <c r="E348" i="5"/>
  <c r="G347" i="5"/>
  <c r="H347" i="5" s="1"/>
  <c r="A347" i="5"/>
  <c r="C346" i="5"/>
  <c r="E150" i="5"/>
  <c r="G121" i="1"/>
  <c r="H121" i="1" s="1"/>
  <c r="G114" i="1"/>
  <c r="H114" i="1" s="1"/>
  <c r="G90" i="1"/>
  <c r="H90" i="1" s="1"/>
  <c r="G86" i="1"/>
  <c r="H86" i="1" s="1"/>
  <c r="G77" i="1"/>
  <c r="H77" i="1" s="1"/>
  <c r="G59" i="1"/>
  <c r="H59" i="1" s="1"/>
  <c r="G30" i="1"/>
  <c r="H30" i="1" s="1"/>
  <c r="E122" i="1"/>
  <c r="D121" i="1"/>
  <c r="C120" i="1"/>
  <c r="E115" i="1"/>
  <c r="D114" i="1"/>
  <c r="C113" i="1"/>
  <c r="E91" i="1"/>
  <c r="D90" i="1"/>
  <c r="C89" i="1"/>
  <c r="E87" i="1"/>
  <c r="D86" i="1"/>
  <c r="C85" i="1"/>
  <c r="E81" i="1"/>
  <c r="D77" i="1"/>
  <c r="C76" i="1"/>
  <c r="E72" i="1"/>
  <c r="D59" i="1"/>
  <c r="C48" i="1"/>
  <c r="E31" i="1"/>
  <c r="D30" i="1"/>
  <c r="C22" i="1"/>
  <c r="E20" i="1"/>
  <c r="E17" i="1"/>
  <c r="G116" i="1"/>
  <c r="H116" i="1" s="1"/>
  <c r="G88" i="1"/>
  <c r="H88" i="1" s="1"/>
  <c r="G34" i="1"/>
  <c r="H34" i="1" s="1"/>
  <c r="E120" i="1"/>
  <c r="E113" i="1"/>
  <c r="D88" i="1"/>
  <c r="D84" i="1"/>
  <c r="D75" i="1"/>
  <c r="D34" i="1"/>
  <c r="D21" i="1"/>
  <c r="D348" i="5"/>
  <c r="E347" i="5"/>
  <c r="G346" i="5"/>
  <c r="H346" i="5" s="1"/>
  <c r="A346" i="5"/>
  <c r="D150" i="5"/>
  <c r="G120" i="1"/>
  <c r="H120" i="1" s="1"/>
  <c r="G113" i="1"/>
  <c r="H113" i="1" s="1"/>
  <c r="G89" i="1"/>
  <c r="H89" i="1" s="1"/>
  <c r="G85" i="1"/>
  <c r="H85" i="1" s="1"/>
  <c r="G76" i="1"/>
  <c r="H76" i="1" s="1"/>
  <c r="G48" i="1"/>
  <c r="H48" i="1" s="1"/>
  <c r="H47" i="1" s="1"/>
  <c r="C34" i="8" s="1"/>
  <c r="G22" i="1"/>
  <c r="H22" i="1" s="1"/>
  <c r="D122" i="1"/>
  <c r="C121" i="1"/>
  <c r="E116" i="1"/>
  <c r="D115" i="1"/>
  <c r="C114" i="1"/>
  <c r="E93" i="1"/>
  <c r="D91" i="1"/>
  <c r="C90" i="1"/>
  <c r="E88" i="1"/>
  <c r="D87" i="1"/>
  <c r="C86" i="1"/>
  <c r="E84" i="1"/>
  <c r="D81" i="1"/>
  <c r="C77" i="1"/>
  <c r="E75" i="1"/>
  <c r="D72" i="1"/>
  <c r="C59" i="1"/>
  <c r="E34" i="1"/>
  <c r="D31" i="1"/>
  <c r="C30" i="1"/>
  <c r="E21" i="1"/>
  <c r="D20" i="1"/>
  <c r="D17" i="1"/>
  <c r="C348" i="5"/>
  <c r="D347" i="5"/>
  <c r="E346" i="5"/>
  <c r="C150" i="5"/>
  <c r="G84" i="1"/>
  <c r="H84" i="1" s="1"/>
  <c r="G21" i="1"/>
  <c r="H21" i="1" s="1"/>
  <c r="D116" i="1"/>
  <c r="D93" i="1"/>
  <c r="E89" i="1"/>
  <c r="E85" i="1"/>
  <c r="E76" i="1"/>
  <c r="C72" i="1"/>
  <c r="E22" i="1"/>
  <c r="C20" i="1"/>
  <c r="E16" i="5"/>
  <c r="G338" i="5"/>
  <c r="H338" i="5" s="1"/>
  <c r="G334" i="5"/>
  <c r="H334" i="5" s="1"/>
  <c r="C341" i="5"/>
  <c r="E339" i="5"/>
  <c r="D338" i="5"/>
  <c r="C337" i="5"/>
  <c r="E335" i="5"/>
  <c r="D334" i="5"/>
  <c r="C333" i="5"/>
  <c r="A338" i="5"/>
  <c r="A334" i="5"/>
  <c r="G328" i="5"/>
  <c r="H328" i="5" s="1"/>
  <c r="E329" i="5"/>
  <c r="D328" i="5"/>
  <c r="A328" i="5"/>
  <c r="E325" i="5"/>
  <c r="D324" i="5"/>
  <c r="C323" i="5"/>
  <c r="G320" i="5"/>
  <c r="H320" i="5" s="1"/>
  <c r="E320" i="5"/>
  <c r="D319" i="5"/>
  <c r="C318" i="5"/>
  <c r="A320" i="5"/>
  <c r="G314" i="5"/>
  <c r="H314" i="5" s="1"/>
  <c r="E314" i="5"/>
  <c r="D313" i="5"/>
  <c r="C312" i="5"/>
  <c r="A314" i="5"/>
  <c r="G306" i="5"/>
  <c r="H306" i="5" s="1"/>
  <c r="G302" i="5"/>
  <c r="H302" i="5" s="1"/>
  <c r="E306" i="5"/>
  <c r="D305" i="5"/>
  <c r="C304" i="5"/>
  <c r="E302" i="5"/>
  <c r="D301" i="5"/>
  <c r="C300" i="5"/>
  <c r="A306" i="5"/>
  <c r="A302" i="5"/>
  <c r="G296" i="5"/>
  <c r="H296" i="5" s="1"/>
  <c r="G292" i="5"/>
  <c r="H292" i="5" s="1"/>
  <c r="E296" i="5"/>
  <c r="D295" i="5"/>
  <c r="C294" i="5"/>
  <c r="E292" i="5"/>
  <c r="D291" i="5"/>
  <c r="C290" i="5"/>
  <c r="A296" i="5"/>
  <c r="A292" i="5"/>
  <c r="G285" i="5"/>
  <c r="H285" i="5" s="1"/>
  <c r="D285" i="5"/>
  <c r="C284" i="5"/>
  <c r="A285" i="5"/>
  <c r="G279" i="5"/>
  <c r="H279" i="5" s="1"/>
  <c r="E280" i="5"/>
  <c r="D279" i="5"/>
  <c r="C278" i="5"/>
  <c r="E276" i="5"/>
  <c r="A279" i="5"/>
  <c r="G273" i="5"/>
  <c r="H273" i="5" s="1"/>
  <c r="G269" i="5"/>
  <c r="H269" i="5" s="1"/>
  <c r="E272" i="5"/>
  <c r="D271" i="5"/>
  <c r="C270" i="5"/>
  <c r="A273" i="5"/>
  <c r="A269" i="5"/>
  <c r="G263" i="5"/>
  <c r="H263" i="5" s="1"/>
  <c r="C266" i="5"/>
  <c r="E264" i="5"/>
  <c r="D263" i="5"/>
  <c r="C262" i="5"/>
  <c r="A263" i="5"/>
  <c r="G257" i="5"/>
  <c r="H257" i="5" s="1"/>
  <c r="E259" i="5"/>
  <c r="D258" i="5"/>
  <c r="C257" i="5"/>
  <c r="E255" i="5"/>
  <c r="D254" i="5"/>
  <c r="A257" i="5"/>
  <c r="G251" i="5"/>
  <c r="H251" i="5" s="1"/>
  <c r="G247" i="5"/>
  <c r="H247" i="5" s="1"/>
  <c r="C251" i="5"/>
  <c r="E249" i="5"/>
  <c r="D248" i="5"/>
  <c r="C247" i="5"/>
  <c r="D16" i="5"/>
  <c r="G341" i="5"/>
  <c r="H341" i="5" s="1"/>
  <c r="G336" i="5"/>
  <c r="H336" i="5" s="1"/>
  <c r="D341" i="5"/>
  <c r="D339" i="5"/>
  <c r="E337" i="5"/>
  <c r="C336" i="5"/>
  <c r="C334" i="5"/>
  <c r="A340" i="5"/>
  <c r="A335" i="5"/>
  <c r="E330" i="5"/>
  <c r="C329" i="5"/>
  <c r="A329" i="5"/>
  <c r="D325" i="5"/>
  <c r="E323" i="5"/>
  <c r="A323" i="5"/>
  <c r="D320" i="5"/>
  <c r="E318" i="5"/>
  <c r="C317" i="5"/>
  <c r="G313" i="5"/>
  <c r="H313" i="5" s="1"/>
  <c r="C314" i="5"/>
  <c r="D312" i="5"/>
  <c r="A313" i="5"/>
  <c r="G304" i="5"/>
  <c r="H304" i="5" s="1"/>
  <c r="G299" i="5"/>
  <c r="H299" i="5" s="1"/>
  <c r="C305" i="5"/>
  <c r="D303" i="5"/>
  <c r="E301" i="5"/>
  <c r="E299" i="5"/>
  <c r="A304" i="5"/>
  <c r="A299" i="5"/>
  <c r="G291" i="5"/>
  <c r="H291" i="5" s="1"/>
  <c r="C296" i="5"/>
  <c r="D294" i="5"/>
  <c r="D292" i="5"/>
  <c r="E290" i="5"/>
  <c r="C289" i="5"/>
  <c r="A291" i="5"/>
  <c r="G283" i="5"/>
  <c r="H283" i="5" s="1"/>
  <c r="D284" i="5"/>
  <c r="A284" i="5"/>
  <c r="G277" i="5"/>
  <c r="H277" i="5" s="1"/>
  <c r="E279" i="5"/>
  <c r="E277" i="5"/>
  <c r="C276" i="5"/>
  <c r="A276" i="5"/>
  <c r="E273" i="5"/>
  <c r="C272" i="5"/>
  <c r="D270" i="5"/>
  <c r="A272" i="5"/>
  <c r="G265" i="5"/>
  <c r="H265" i="5" s="1"/>
  <c r="D266" i="5"/>
  <c r="D264" i="5"/>
  <c r="E262" i="5"/>
  <c r="A264" i="5"/>
  <c r="G256" i="5"/>
  <c r="H256" i="5" s="1"/>
  <c r="C259" i="5"/>
  <c r="D257" i="5"/>
  <c r="D255" i="5"/>
  <c r="A259" i="5"/>
  <c r="A254" i="5"/>
  <c r="G246" i="5"/>
  <c r="H246" i="5" s="1"/>
  <c r="D250" i="5"/>
  <c r="E248" i="5"/>
  <c r="E246" i="5"/>
  <c r="A250" i="5"/>
  <c r="A246" i="5"/>
  <c r="G240" i="5"/>
  <c r="H240" i="5" s="1"/>
  <c r="G230" i="5"/>
  <c r="H230" i="5" s="1"/>
  <c r="G224" i="5"/>
  <c r="H224" i="5" s="1"/>
  <c r="D243" i="5"/>
  <c r="C242" i="5"/>
  <c r="E240" i="5"/>
  <c r="D239" i="5"/>
  <c r="A241" i="5"/>
  <c r="D235" i="5"/>
  <c r="D231" i="5"/>
  <c r="C230" i="5"/>
  <c r="E228" i="5"/>
  <c r="A230" i="5"/>
  <c r="D225" i="5"/>
  <c r="C224" i="5"/>
  <c r="E222" i="5"/>
  <c r="C16" i="5"/>
  <c r="G340" i="5"/>
  <c r="H340" i="5" s="1"/>
  <c r="G335" i="5"/>
  <c r="H335" i="5" s="1"/>
  <c r="E340" i="5"/>
  <c r="C339" i="5"/>
  <c r="D337" i="5"/>
  <c r="D335" i="5"/>
  <c r="E333" i="5"/>
  <c r="A339" i="5"/>
  <c r="A333" i="5"/>
  <c r="D330" i="5"/>
  <c r="E328" i="5"/>
  <c r="G325" i="5"/>
  <c r="H325" i="5" s="1"/>
  <c r="C325" i="5"/>
  <c r="D323" i="5"/>
  <c r="G319" i="5"/>
  <c r="H319" i="5" s="1"/>
  <c r="C320" i="5"/>
  <c r="D318" i="5"/>
  <c r="A319" i="5"/>
  <c r="G312" i="5"/>
  <c r="H312" i="5" s="1"/>
  <c r="E313" i="5"/>
  <c r="E311" i="5"/>
  <c r="A312" i="5"/>
  <c r="G303" i="5"/>
  <c r="H303" i="5" s="1"/>
  <c r="D306" i="5"/>
  <c r="E304" i="5"/>
  <c r="C303" i="5"/>
  <c r="C301" i="5"/>
  <c r="D299" i="5"/>
  <c r="A303" i="5"/>
  <c r="G295" i="5"/>
  <c r="H295" i="5" s="1"/>
  <c r="G290" i="5"/>
  <c r="H290" i="5" s="1"/>
  <c r="E295" i="5"/>
  <c r="E293" i="5"/>
  <c r="C292" i="5"/>
  <c r="D290" i="5"/>
  <c r="A295" i="5"/>
  <c r="A290" i="5"/>
  <c r="E285" i="5"/>
  <c r="E283" i="5"/>
  <c r="A283" i="5"/>
  <c r="G276" i="5"/>
  <c r="H276" i="5" s="1"/>
  <c r="C279" i="5"/>
  <c r="D277" i="5"/>
  <c r="A280" i="5"/>
  <c r="G272" i="5"/>
  <c r="H272" i="5" s="1"/>
  <c r="D273" i="5"/>
  <c r="E271" i="5"/>
  <c r="E269" i="5"/>
  <c r="A271" i="5"/>
  <c r="G264" i="5"/>
  <c r="H264" i="5" s="1"/>
  <c r="E265" i="5"/>
  <c r="C264" i="5"/>
  <c r="D262" i="5"/>
  <c r="A262" i="5"/>
  <c r="G255" i="5"/>
  <c r="H255" i="5" s="1"/>
  <c r="E258" i="5"/>
  <c r="E256" i="5"/>
  <c r="C255" i="5"/>
  <c r="A258" i="5"/>
  <c r="G250" i="5"/>
  <c r="H250" i="5" s="1"/>
  <c r="E251" i="5"/>
  <c r="C250" i="5"/>
  <c r="C248" i="5"/>
  <c r="D246" i="5"/>
  <c r="A249" i="5"/>
  <c r="G243" i="5"/>
  <c r="H243" i="5" s="1"/>
  <c r="G239" i="5"/>
  <c r="H239" i="5" s="1"/>
  <c r="G229" i="5"/>
  <c r="H229" i="5" s="1"/>
  <c r="G223" i="5"/>
  <c r="H223" i="5" s="1"/>
  <c r="C243" i="5"/>
  <c r="E241" i="5"/>
  <c r="D240" i="5"/>
  <c r="C239" i="5"/>
  <c r="A240" i="5"/>
  <c r="C235" i="5"/>
  <c r="C231" i="5"/>
  <c r="E229" i="5"/>
  <c r="D228" i="5"/>
  <c r="A229" i="5"/>
  <c r="C225" i="5"/>
  <c r="E223" i="5"/>
  <c r="D222" i="5"/>
  <c r="A223" i="5"/>
  <c r="E218" i="5"/>
  <c r="G339" i="5"/>
  <c r="H339" i="5" s="1"/>
  <c r="G333" i="5"/>
  <c r="H333" i="5" s="1"/>
  <c r="D340" i="5"/>
  <c r="E338" i="5"/>
  <c r="E336" i="5"/>
  <c r="C335" i="5"/>
  <c r="D333" i="5"/>
  <c r="A337" i="5"/>
  <c r="G330" i="5"/>
  <c r="H330" i="5" s="1"/>
  <c r="C330" i="5"/>
  <c r="C328" i="5"/>
  <c r="G324" i="5"/>
  <c r="H324" i="5" s="1"/>
  <c r="E324" i="5"/>
  <c r="A325" i="5"/>
  <c r="G318" i="5"/>
  <c r="H318" i="5" s="1"/>
  <c r="E319" i="5"/>
  <c r="E317" i="5"/>
  <c r="A318" i="5"/>
  <c r="G311" i="5"/>
  <c r="H311" i="5" s="1"/>
  <c r="C313" i="5"/>
  <c r="D311" i="5"/>
  <c r="A311" i="5"/>
  <c r="G301" i="5"/>
  <c r="H301" i="5" s="1"/>
  <c r="C306" i="5"/>
  <c r="D304" i="5"/>
  <c r="D302" i="5"/>
  <c r="E300" i="5"/>
  <c r="C299" i="5"/>
  <c r="A301" i="5"/>
  <c r="G294" i="5"/>
  <c r="H294" i="5" s="1"/>
  <c r="G289" i="5"/>
  <c r="H289" i="5" s="1"/>
  <c r="C295" i="5"/>
  <c r="D293" i="5"/>
  <c r="E291" i="5"/>
  <c r="E289" i="5"/>
  <c r="A294" i="5"/>
  <c r="A289" i="5"/>
  <c r="C285" i="5"/>
  <c r="D283" i="5"/>
  <c r="G280" i="5"/>
  <c r="H280" i="5" s="1"/>
  <c r="D280" i="5"/>
  <c r="E278" i="5"/>
  <c r="C277" i="5"/>
  <c r="A278" i="5"/>
  <c r="G271" i="5"/>
  <c r="H271" i="5" s="1"/>
  <c r="C273" i="5"/>
  <c r="C271" i="5"/>
  <c r="D269" i="5"/>
  <c r="A270" i="5"/>
  <c r="G262" i="5"/>
  <c r="H262" i="5" s="1"/>
  <c r="D265" i="5"/>
  <c r="E263" i="5"/>
  <c r="A266" i="5"/>
  <c r="G259" i="5"/>
  <c r="H259" i="5" s="1"/>
  <c r="G254" i="5"/>
  <c r="H254" i="5" s="1"/>
  <c r="C258" i="5"/>
  <c r="D256" i="5"/>
  <c r="E254" i="5"/>
  <c r="A256" i="5"/>
  <c r="G249" i="5"/>
  <c r="H249" i="5" s="1"/>
  <c r="D251" i="5"/>
  <c r="D249" i="5"/>
  <c r="E247" i="5"/>
  <c r="C246" i="5"/>
  <c r="A248" i="5"/>
  <c r="G242" i="5"/>
  <c r="H242" i="5" s="1"/>
  <c r="G235" i="5"/>
  <c r="H235" i="5" s="1"/>
  <c r="H234" i="5" s="1"/>
  <c r="G228" i="5"/>
  <c r="H228" i="5" s="1"/>
  <c r="G222" i="5"/>
  <c r="H222" i="5" s="1"/>
  <c r="E242" i="5"/>
  <c r="D241" i="5"/>
  <c r="C240" i="5"/>
  <c r="A243" i="5"/>
  <c r="A239" i="5"/>
  <c r="A235" i="5"/>
  <c r="E230" i="5"/>
  <c r="D229" i="5"/>
  <c r="C340" i="5"/>
  <c r="A341" i="5"/>
  <c r="A330" i="5"/>
  <c r="G317" i="5"/>
  <c r="H317" i="5" s="1"/>
  <c r="D314" i="5"/>
  <c r="G300" i="5"/>
  <c r="H300" i="5" s="1"/>
  <c r="D300" i="5"/>
  <c r="D296" i="5"/>
  <c r="D289" i="5"/>
  <c r="C283" i="5"/>
  <c r="D276" i="5"/>
  <c r="E270" i="5"/>
  <c r="C265" i="5"/>
  <c r="D259" i="5"/>
  <c r="A255" i="5"/>
  <c r="D247" i="5"/>
  <c r="G231" i="5"/>
  <c r="H231" i="5" s="1"/>
  <c r="C241" i="5"/>
  <c r="E231" i="5"/>
  <c r="A231" i="5"/>
  <c r="D224" i="5"/>
  <c r="A225" i="5"/>
  <c r="G217" i="5"/>
  <c r="H217" i="5" s="1"/>
  <c r="D217" i="5"/>
  <c r="G213" i="5"/>
  <c r="H213" i="5" s="1"/>
  <c r="D213" i="5"/>
  <c r="C212" i="5"/>
  <c r="A213" i="5"/>
  <c r="G207" i="5"/>
  <c r="H207" i="5" s="1"/>
  <c r="E207" i="5"/>
  <c r="A207" i="5"/>
  <c r="D204" i="5"/>
  <c r="C203" i="5"/>
  <c r="G199" i="5"/>
  <c r="H199" i="5" s="1"/>
  <c r="G195" i="5"/>
  <c r="H195" i="5" s="1"/>
  <c r="E199" i="5"/>
  <c r="D198" i="5"/>
  <c r="C197" i="5"/>
  <c r="E195" i="5"/>
  <c r="A199" i="5"/>
  <c r="A195" i="5"/>
  <c r="G189" i="5"/>
  <c r="H189" i="5" s="1"/>
  <c r="D192" i="5"/>
  <c r="C191" i="5"/>
  <c r="E189" i="5"/>
  <c r="D188" i="5"/>
  <c r="C187" i="5"/>
  <c r="A189" i="5"/>
  <c r="G183" i="5"/>
  <c r="H183" i="5" s="1"/>
  <c r="G179" i="5"/>
  <c r="H179" i="5" s="1"/>
  <c r="E183" i="5"/>
  <c r="D182" i="5"/>
  <c r="C181" i="5"/>
  <c r="E179" i="5"/>
  <c r="A183" i="5"/>
  <c r="A179" i="5"/>
  <c r="G174" i="5"/>
  <c r="H174" i="5" s="1"/>
  <c r="D176" i="5"/>
  <c r="E174" i="5"/>
  <c r="D173" i="5"/>
  <c r="C172" i="5"/>
  <c r="A174" i="5"/>
  <c r="G165" i="5"/>
  <c r="H165" i="5" s="1"/>
  <c r="D168" i="5"/>
  <c r="C167" i="5"/>
  <c r="E165" i="5"/>
  <c r="D162" i="5"/>
  <c r="C161" i="5"/>
  <c r="E159" i="5"/>
  <c r="D166" i="5"/>
  <c r="D160" i="5"/>
  <c r="G184" i="5"/>
  <c r="H184" i="5" s="1"/>
  <c r="D181" i="5"/>
  <c r="A180" i="5"/>
  <c r="E173" i="5"/>
  <c r="D172" i="5"/>
  <c r="C169" i="5"/>
  <c r="D161" i="5"/>
  <c r="C338" i="5"/>
  <c r="A336" i="5"/>
  <c r="G323" i="5"/>
  <c r="H323" i="5" s="1"/>
  <c r="C319" i="5"/>
  <c r="E312" i="5"/>
  <c r="E305" i="5"/>
  <c r="A305" i="5"/>
  <c r="E294" i="5"/>
  <c r="A293" i="5"/>
  <c r="G278" i="5"/>
  <c r="H278" i="5" s="1"/>
  <c r="A277" i="5"/>
  <c r="C269" i="5"/>
  <c r="C263" i="5"/>
  <c r="E257" i="5"/>
  <c r="G248" i="5"/>
  <c r="H248" i="5" s="1"/>
  <c r="A251" i="5"/>
  <c r="G225" i="5"/>
  <c r="H225" i="5" s="1"/>
  <c r="E239" i="5"/>
  <c r="D230" i="5"/>
  <c r="A228" i="5"/>
  <c r="D223" i="5"/>
  <c r="A224" i="5"/>
  <c r="D218" i="5"/>
  <c r="C217" i="5"/>
  <c r="G212" i="5"/>
  <c r="H212" i="5" s="1"/>
  <c r="C213" i="5"/>
  <c r="E211" i="5"/>
  <c r="A212" i="5"/>
  <c r="E208" i="5"/>
  <c r="D207" i="5"/>
  <c r="G204" i="5"/>
  <c r="H204" i="5" s="1"/>
  <c r="C204" i="5"/>
  <c r="A204" i="5"/>
  <c r="G198" i="5"/>
  <c r="H198" i="5" s="1"/>
  <c r="E200" i="5"/>
  <c r="D199" i="5"/>
  <c r="C198" i="5"/>
  <c r="E196" i="5"/>
  <c r="D195" i="5"/>
  <c r="A198" i="5"/>
  <c r="G192" i="5"/>
  <c r="H192" i="5" s="1"/>
  <c r="G188" i="5"/>
  <c r="H188" i="5" s="1"/>
  <c r="C192" i="5"/>
  <c r="E190" i="5"/>
  <c r="D189" i="5"/>
  <c r="C188" i="5"/>
  <c r="A192" i="5"/>
  <c r="A188" i="5"/>
  <c r="G182" i="5"/>
  <c r="H182" i="5" s="1"/>
  <c r="E184" i="5"/>
  <c r="D183" i="5"/>
  <c r="C182" i="5"/>
  <c r="E180" i="5"/>
  <c r="D179" i="5"/>
  <c r="A182" i="5"/>
  <c r="G176" i="5"/>
  <c r="H176" i="5" s="1"/>
  <c r="G173" i="5"/>
  <c r="H173" i="5" s="1"/>
  <c r="C176" i="5"/>
  <c r="E175" i="5"/>
  <c r="D174" i="5"/>
  <c r="C173" i="5"/>
  <c r="A176" i="5"/>
  <c r="A173" i="5"/>
  <c r="G168" i="5"/>
  <c r="H168" i="5" s="1"/>
  <c r="E169" i="5"/>
  <c r="C168" i="5"/>
  <c r="E166" i="5"/>
  <c r="D165" i="5"/>
  <c r="C162" i="5"/>
  <c r="E160" i="5"/>
  <c r="D159" i="5"/>
  <c r="E167" i="5"/>
  <c r="E161" i="5"/>
  <c r="A190" i="5"/>
  <c r="E182" i="5"/>
  <c r="G175" i="5"/>
  <c r="H175" i="5" s="1"/>
  <c r="C175" i="5"/>
  <c r="A175" i="5"/>
  <c r="E168" i="5"/>
  <c r="E162" i="5"/>
  <c r="G337" i="5"/>
  <c r="H337" i="5" s="1"/>
  <c r="D336" i="5"/>
  <c r="G329" i="5"/>
  <c r="H329" i="5" s="1"/>
  <c r="C324" i="5"/>
  <c r="D317" i="5"/>
  <c r="C311" i="5"/>
  <c r="E303" i="5"/>
  <c r="A300" i="5"/>
  <c r="C293" i="5"/>
  <c r="G284" i="5"/>
  <c r="H284" i="5" s="1"/>
  <c r="C280" i="5"/>
  <c r="G270" i="5"/>
  <c r="H270" i="5" s="1"/>
  <c r="G266" i="5"/>
  <c r="H266" i="5" s="1"/>
  <c r="A265" i="5"/>
  <c r="C256" i="5"/>
  <c r="E250" i="5"/>
  <c r="A247" i="5"/>
  <c r="E243" i="5"/>
  <c r="A242" i="5"/>
  <c r="C229" i="5"/>
  <c r="E225" i="5"/>
  <c r="C223" i="5"/>
  <c r="A222" i="5"/>
  <c r="C218" i="5"/>
  <c r="A218" i="5"/>
  <c r="G211" i="5"/>
  <c r="H211" i="5" s="1"/>
  <c r="E212" i="5"/>
  <c r="D211" i="5"/>
  <c r="A211" i="5"/>
  <c r="D208" i="5"/>
  <c r="C207" i="5"/>
  <c r="G203" i="5"/>
  <c r="H203" i="5" s="1"/>
  <c r="E203" i="5"/>
  <c r="A203" i="5"/>
  <c r="G197" i="5"/>
  <c r="H197" i="5" s="1"/>
  <c r="D200" i="5"/>
  <c r="C199" i="5"/>
  <c r="E197" i="5"/>
  <c r="D196" i="5"/>
  <c r="C195" i="5"/>
  <c r="A197" i="5"/>
  <c r="G191" i="5"/>
  <c r="H191" i="5" s="1"/>
  <c r="G187" i="5"/>
  <c r="H187" i="5" s="1"/>
  <c r="E191" i="5"/>
  <c r="D190" i="5"/>
  <c r="C189" i="5"/>
  <c r="E187" i="5"/>
  <c r="A191" i="5"/>
  <c r="A187" i="5"/>
  <c r="G181" i="5"/>
  <c r="H181" i="5" s="1"/>
  <c r="D184" i="5"/>
  <c r="C183" i="5"/>
  <c r="E181" i="5"/>
  <c r="D180" i="5"/>
  <c r="C179" i="5"/>
  <c r="A181" i="5"/>
  <c r="G172" i="5"/>
  <c r="H172" i="5" s="1"/>
  <c r="D175" i="5"/>
  <c r="C174" i="5"/>
  <c r="E172" i="5"/>
  <c r="A172" i="5"/>
  <c r="G167" i="5"/>
  <c r="H167" i="5" s="1"/>
  <c r="D169" i="5"/>
  <c r="C165" i="5"/>
  <c r="C159" i="5"/>
  <c r="C180" i="5"/>
  <c r="E176" i="5"/>
  <c r="G169" i="5"/>
  <c r="H169" i="5" s="1"/>
  <c r="D167" i="5"/>
  <c r="C160" i="5"/>
  <c r="G16" i="5"/>
  <c r="H16" i="5" s="1"/>
  <c r="H15" i="5" s="1"/>
  <c r="E341" i="5"/>
  <c r="E334" i="5"/>
  <c r="D329" i="5"/>
  <c r="A324" i="5"/>
  <c r="A317" i="5"/>
  <c r="G305" i="5"/>
  <c r="H305" i="5" s="1"/>
  <c r="C302" i="5"/>
  <c r="G293" i="5"/>
  <c r="H293" i="5" s="1"/>
  <c r="C291" i="5"/>
  <c r="E284" i="5"/>
  <c r="D278" i="5"/>
  <c r="D272" i="5"/>
  <c r="E266" i="5"/>
  <c r="G258" i="5"/>
  <c r="H258" i="5" s="1"/>
  <c r="C254" i="5"/>
  <c r="C249" i="5"/>
  <c r="G241" i="5"/>
  <c r="H241" i="5" s="1"/>
  <c r="D242" i="5"/>
  <c r="E235" i="5"/>
  <c r="C228" i="5"/>
  <c r="E224" i="5"/>
  <c r="C222" i="5"/>
  <c r="G218" i="5"/>
  <c r="H218" i="5" s="1"/>
  <c r="E217" i="5"/>
  <c r="A217" i="5"/>
  <c r="E213" i="5"/>
  <c r="D212" i="5"/>
  <c r="C211" i="5"/>
  <c r="G208" i="5"/>
  <c r="H208" i="5" s="1"/>
  <c r="C208" i="5"/>
  <c r="A208" i="5"/>
  <c r="E204" i="5"/>
  <c r="D203" i="5"/>
  <c r="G200" i="5"/>
  <c r="H200" i="5" s="1"/>
  <c r="G196" i="5"/>
  <c r="H196" i="5" s="1"/>
  <c r="C200" i="5"/>
  <c r="E198" i="5"/>
  <c r="D197" i="5"/>
  <c r="C196" i="5"/>
  <c r="A200" i="5"/>
  <c r="A196" i="5"/>
  <c r="G190" i="5"/>
  <c r="H190" i="5" s="1"/>
  <c r="E192" i="5"/>
  <c r="D191" i="5"/>
  <c r="C190" i="5"/>
  <c r="E188" i="5"/>
  <c r="D187" i="5"/>
  <c r="G180" i="5"/>
  <c r="H180" i="5" s="1"/>
  <c r="C184" i="5"/>
  <c r="A184" i="5"/>
  <c r="G166" i="5"/>
  <c r="H166" i="5" s="1"/>
  <c r="C166" i="5"/>
  <c r="G162" i="5"/>
  <c r="H162" i="5" s="1"/>
  <c r="A169" i="5"/>
  <c r="A166" i="5"/>
  <c r="A160" i="5"/>
  <c r="G154" i="5"/>
  <c r="H154" i="5" s="1"/>
  <c r="C156" i="5"/>
  <c r="E154" i="5"/>
  <c r="D153" i="5"/>
  <c r="A154" i="5"/>
  <c r="G121" i="5"/>
  <c r="H121" i="5" s="1"/>
  <c r="D123" i="5"/>
  <c r="C122" i="5"/>
  <c r="E120" i="5"/>
  <c r="D119" i="5"/>
  <c r="A121" i="5"/>
  <c r="G115" i="5"/>
  <c r="H115" i="5" s="1"/>
  <c r="G111" i="5"/>
  <c r="H111" i="5" s="1"/>
  <c r="E115" i="5"/>
  <c r="D114" i="5"/>
  <c r="C113" i="5"/>
  <c r="E111" i="5"/>
  <c r="A115" i="5"/>
  <c r="A111" i="5"/>
  <c r="G105" i="5"/>
  <c r="H105" i="5" s="1"/>
  <c r="E108" i="5"/>
  <c r="D107" i="5"/>
  <c r="C106" i="5"/>
  <c r="E104" i="5"/>
  <c r="D103" i="5"/>
  <c r="C102" i="5"/>
  <c r="A105" i="5"/>
  <c r="E96" i="5"/>
  <c r="D95" i="5"/>
  <c r="G96" i="5"/>
  <c r="H96" i="5" s="1"/>
  <c r="D92" i="5"/>
  <c r="G88" i="5"/>
  <c r="H88" i="5" s="1"/>
  <c r="E89" i="5"/>
  <c r="D88" i="5"/>
  <c r="C87" i="5"/>
  <c r="E85" i="5"/>
  <c r="A88" i="5"/>
  <c r="C82" i="5"/>
  <c r="C76" i="5"/>
  <c r="C70" i="5"/>
  <c r="C62" i="5"/>
  <c r="C51" i="5"/>
  <c r="C35" i="5"/>
  <c r="C36" i="5"/>
  <c r="C24" i="5"/>
  <c r="A82" i="5"/>
  <c r="A76" i="5"/>
  <c r="A70" i="5"/>
  <c r="A62" i="5"/>
  <c r="A51" i="5"/>
  <c r="A39" i="5"/>
  <c r="A35" i="5"/>
  <c r="A24" i="5"/>
  <c r="C12" i="5"/>
  <c r="G159" i="5"/>
  <c r="H159" i="5" s="1"/>
  <c r="D156" i="5"/>
  <c r="E153" i="5"/>
  <c r="E123" i="5"/>
  <c r="E119" i="5"/>
  <c r="G112" i="5"/>
  <c r="H112" i="5" s="1"/>
  <c r="D113" i="5"/>
  <c r="A112" i="5"/>
  <c r="G102" i="5"/>
  <c r="H102" i="5" s="1"/>
  <c r="C105" i="5"/>
  <c r="A106" i="5"/>
  <c r="E92" i="5"/>
  <c r="E88" i="5"/>
  <c r="C86" i="5"/>
  <c r="C79" i="5"/>
  <c r="C54" i="5"/>
  <c r="G161" i="5"/>
  <c r="H161" i="5" s="1"/>
  <c r="A165" i="5"/>
  <c r="A159" i="5"/>
  <c r="G153" i="5"/>
  <c r="H153" i="5" s="1"/>
  <c r="E155" i="5"/>
  <c r="D154" i="5"/>
  <c r="C153" i="5"/>
  <c r="A153" i="5"/>
  <c r="G120" i="5"/>
  <c r="H120" i="5" s="1"/>
  <c r="C123" i="5"/>
  <c r="E121" i="5"/>
  <c r="D120" i="5"/>
  <c r="C119" i="5"/>
  <c r="A120" i="5"/>
  <c r="G114" i="5"/>
  <c r="H114" i="5" s="1"/>
  <c r="E116" i="5"/>
  <c r="D115" i="5"/>
  <c r="C114" i="5"/>
  <c r="E112" i="5"/>
  <c r="D111" i="5"/>
  <c r="A114" i="5"/>
  <c r="G108" i="5"/>
  <c r="H108" i="5" s="1"/>
  <c r="G104" i="5"/>
  <c r="H104" i="5" s="1"/>
  <c r="D108" i="5"/>
  <c r="C107" i="5"/>
  <c r="E105" i="5"/>
  <c r="D104" i="5"/>
  <c r="C103" i="5"/>
  <c r="A108" i="5"/>
  <c r="A104" i="5"/>
  <c r="D96" i="5"/>
  <c r="C95" i="5"/>
  <c r="G95" i="5"/>
  <c r="H95" i="5" s="1"/>
  <c r="C92" i="5"/>
  <c r="G87" i="5"/>
  <c r="H87" i="5" s="1"/>
  <c r="D89" i="5"/>
  <c r="C88" i="5"/>
  <c r="E86" i="5"/>
  <c r="D85" i="5"/>
  <c r="A87" i="5"/>
  <c r="C81" i="5"/>
  <c r="C75" i="5"/>
  <c r="C67" i="5"/>
  <c r="C61" i="5"/>
  <c r="C48" i="5"/>
  <c r="C39" i="5"/>
  <c r="C32" i="5"/>
  <c r="C23" i="5"/>
  <c r="A81" i="5"/>
  <c r="A75" i="5"/>
  <c r="A67" i="5"/>
  <c r="A61" i="5"/>
  <c r="A48" i="5"/>
  <c r="A38" i="5"/>
  <c r="A32" i="5"/>
  <c r="A23" i="5"/>
  <c r="A12" i="5"/>
  <c r="A161" i="5"/>
  <c r="C155" i="5"/>
  <c r="G122" i="5"/>
  <c r="H122" i="5" s="1"/>
  <c r="C121" i="5"/>
  <c r="G116" i="5"/>
  <c r="H116" i="5" s="1"/>
  <c r="E114" i="5"/>
  <c r="A116" i="5"/>
  <c r="D106" i="5"/>
  <c r="E95" i="5"/>
  <c r="G89" i="5"/>
  <c r="H89" i="5" s="1"/>
  <c r="D87" i="5"/>
  <c r="A85" i="5"/>
  <c r="C63" i="5"/>
  <c r="C42" i="5"/>
  <c r="G160" i="5"/>
  <c r="H160" i="5" s="1"/>
  <c r="A168" i="5"/>
  <c r="A162" i="5"/>
  <c r="G156" i="5"/>
  <c r="H156" i="5" s="1"/>
  <c r="E156" i="5"/>
  <c r="D155" i="5"/>
  <c r="C154" i="5"/>
  <c r="A156" i="5"/>
  <c r="G123" i="5"/>
  <c r="H123" i="5" s="1"/>
  <c r="G119" i="5"/>
  <c r="H119" i="5" s="1"/>
  <c r="E122" i="5"/>
  <c r="D121" i="5"/>
  <c r="C120" i="5"/>
  <c r="A123" i="5"/>
  <c r="A119" i="5"/>
  <c r="G113" i="5"/>
  <c r="H113" i="5" s="1"/>
  <c r="D116" i="5"/>
  <c r="C115" i="5"/>
  <c r="E113" i="5"/>
  <c r="D112" i="5"/>
  <c r="C111" i="5"/>
  <c r="A113" i="5"/>
  <c r="G107" i="5"/>
  <c r="H107" i="5" s="1"/>
  <c r="G103" i="5"/>
  <c r="H103" i="5" s="1"/>
  <c r="C108" i="5"/>
  <c r="E106" i="5"/>
  <c r="D105" i="5"/>
  <c r="C104" i="5"/>
  <c r="E102" i="5"/>
  <c r="A107" i="5"/>
  <c r="A103" i="5"/>
  <c r="C96" i="5"/>
  <c r="A96" i="5"/>
  <c r="G92" i="5"/>
  <c r="H92" i="5" s="1"/>
  <c r="H91" i="5" s="1"/>
  <c r="A92" i="5"/>
  <c r="G86" i="5"/>
  <c r="H86" i="5" s="1"/>
  <c r="C89" i="5"/>
  <c r="E87" i="5"/>
  <c r="D86" i="5"/>
  <c r="C85" i="5"/>
  <c r="A86" i="5"/>
  <c r="C80" i="5"/>
  <c r="C72" i="5"/>
  <c r="C66" i="5"/>
  <c r="C58" i="5"/>
  <c r="C47" i="5"/>
  <c r="C38" i="5"/>
  <c r="C29" i="5"/>
  <c r="C22" i="5"/>
  <c r="A80" i="5"/>
  <c r="A72" i="5"/>
  <c r="A66" i="5"/>
  <c r="A58" i="5"/>
  <c r="A47" i="5"/>
  <c r="A37" i="5"/>
  <c r="A29" i="5"/>
  <c r="A22" i="5"/>
  <c r="A167" i="5"/>
  <c r="G155" i="5"/>
  <c r="H155" i="5" s="1"/>
  <c r="A155" i="5"/>
  <c r="D122" i="5"/>
  <c r="A122" i="5"/>
  <c r="C116" i="5"/>
  <c r="C112" i="5"/>
  <c r="G106" i="5"/>
  <c r="H106" i="5" s="1"/>
  <c r="E107" i="5"/>
  <c r="E103" i="5"/>
  <c r="A102" i="5"/>
  <c r="A95" i="5"/>
  <c r="G85" i="5"/>
  <c r="H85" i="5" s="1"/>
  <c r="A89" i="5"/>
  <c r="C71" i="5"/>
  <c r="C37" i="5"/>
  <c r="C28" i="5"/>
  <c r="A63" i="5"/>
  <c r="A28" i="5"/>
  <c r="A36" i="5"/>
  <c r="A54" i="5"/>
  <c r="A16" i="5"/>
  <c r="A71" i="5"/>
  <c r="A79" i="5"/>
  <c r="A42" i="5"/>
  <c r="E81" i="5"/>
  <c r="E79" i="5"/>
  <c r="G80" i="5"/>
  <c r="H80" i="5" s="1"/>
  <c r="E76" i="5"/>
  <c r="E72" i="5"/>
  <c r="E70" i="5"/>
  <c r="G70" i="5"/>
  <c r="H70" i="5" s="1"/>
  <c r="D66" i="5"/>
  <c r="G62" i="5"/>
  <c r="H62" i="5" s="1"/>
  <c r="E62" i="5"/>
  <c r="G58" i="5"/>
  <c r="H58" i="5" s="1"/>
  <c r="H57" i="5" s="1"/>
  <c r="E54" i="5"/>
  <c r="G51" i="5"/>
  <c r="H51" i="5" s="1"/>
  <c r="H50" i="5" s="1"/>
  <c r="D47" i="5"/>
  <c r="E42" i="5"/>
  <c r="G37" i="5"/>
  <c r="H37" i="5" s="1"/>
  <c r="D39" i="5"/>
  <c r="D37" i="5"/>
  <c r="D35" i="5"/>
  <c r="G29" i="5"/>
  <c r="H29" i="5" s="1"/>
  <c r="E28" i="5"/>
  <c r="G23" i="5"/>
  <c r="H23" i="5" s="1"/>
  <c r="E23" i="5"/>
  <c r="G12" i="5"/>
  <c r="H12" i="5" s="1"/>
  <c r="H11" i="5" s="1"/>
  <c r="G11" i="1" s="1"/>
  <c r="H11" i="1" s="1"/>
  <c r="H10" i="1" s="1"/>
  <c r="C12" i="8" s="1"/>
  <c r="D81" i="5"/>
  <c r="D79" i="5"/>
  <c r="G79" i="5"/>
  <c r="H79" i="5" s="1"/>
  <c r="D76" i="5"/>
  <c r="D72" i="5"/>
  <c r="D70" i="5"/>
  <c r="E67" i="5"/>
  <c r="G67" i="5"/>
  <c r="H67" i="5" s="1"/>
  <c r="G61" i="5"/>
  <c r="H61" i="5" s="1"/>
  <c r="D62" i="5"/>
  <c r="E58" i="5"/>
  <c r="D54" i="5"/>
  <c r="E48" i="5"/>
  <c r="G48" i="5"/>
  <c r="H48" i="5" s="1"/>
  <c r="D42" i="5"/>
  <c r="G36" i="5"/>
  <c r="H36" i="5" s="1"/>
  <c r="E38" i="5"/>
  <c r="E36" i="5"/>
  <c r="G32" i="5"/>
  <c r="H32" i="5" s="1"/>
  <c r="H31" i="5" s="1"/>
  <c r="G28" i="5"/>
  <c r="H28" i="5" s="1"/>
  <c r="D28" i="5"/>
  <c r="G22" i="5"/>
  <c r="H22" i="5" s="1"/>
  <c r="D23" i="5"/>
  <c r="E12" i="5"/>
  <c r="E82" i="5"/>
  <c r="E80" i="5"/>
  <c r="G82" i="5"/>
  <c r="H82" i="5" s="1"/>
  <c r="G76" i="5"/>
  <c r="H76" i="5" s="1"/>
  <c r="E75" i="5"/>
  <c r="E71" i="5"/>
  <c r="G72" i="5"/>
  <c r="H72" i="5" s="1"/>
  <c r="D67" i="5"/>
  <c r="G66" i="5"/>
  <c r="H66" i="5" s="1"/>
  <c r="E63" i="5"/>
  <c r="E61" i="5"/>
  <c r="D58" i="5"/>
  <c r="E51" i="5"/>
  <c r="D48" i="5"/>
  <c r="G47" i="5"/>
  <c r="H47" i="5" s="1"/>
  <c r="G39" i="5"/>
  <c r="H39" i="5" s="1"/>
  <c r="G35" i="5"/>
  <c r="H35" i="5" s="1"/>
  <c r="D38" i="5"/>
  <c r="D36" i="5"/>
  <c r="E32" i="5"/>
  <c r="E29" i="5"/>
  <c r="E24" i="5"/>
  <c r="E22" i="5"/>
  <c r="D12" i="5"/>
  <c r="D82" i="5"/>
  <c r="D80" i="5"/>
  <c r="G81" i="5"/>
  <c r="H81" i="5" s="1"/>
  <c r="G75" i="5"/>
  <c r="H75" i="5" s="1"/>
  <c r="D75" i="5"/>
  <c r="D71" i="5"/>
  <c r="G71" i="5"/>
  <c r="H71" i="5" s="1"/>
  <c r="E66" i="5"/>
  <c r="G63" i="5"/>
  <c r="H63" i="5" s="1"/>
  <c r="D63" i="5"/>
  <c r="D61" i="5"/>
  <c r="G54" i="5"/>
  <c r="H54" i="5" s="1"/>
  <c r="H53" i="5" s="1"/>
  <c r="D51" i="5"/>
  <c r="E47" i="5"/>
  <c r="G42" i="5"/>
  <c r="H42" i="5" s="1"/>
  <c r="H41" i="5" s="1"/>
  <c r="G38" i="5"/>
  <c r="H38" i="5" s="1"/>
  <c r="E39" i="5"/>
  <c r="E37" i="5"/>
  <c r="E35" i="5"/>
  <c r="D32" i="5"/>
  <c r="D29" i="5"/>
  <c r="G24" i="5"/>
  <c r="H24" i="5" s="1"/>
  <c r="D24" i="5"/>
  <c r="D22" i="5"/>
  <c r="G56" i="1" l="1"/>
  <c r="H56" i="1" s="1"/>
  <c r="G55" i="1"/>
  <c r="H55" i="1" s="1"/>
  <c r="G57" i="1"/>
  <c r="H57" i="1" s="1"/>
  <c r="G53" i="1"/>
  <c r="H53" i="1" s="1"/>
  <c r="G54" i="1"/>
  <c r="H54" i="1" s="1"/>
  <c r="F34" i="8"/>
  <c r="E34" i="8"/>
  <c r="D34" i="8"/>
  <c r="D12" i="8"/>
  <c r="F12" i="8"/>
  <c r="E12" i="8"/>
  <c r="H27" i="5"/>
  <c r="G23" i="1" s="1"/>
  <c r="H23" i="1" s="1"/>
  <c r="H74" i="5"/>
  <c r="H345" i="5"/>
  <c r="H83" i="1"/>
  <c r="C46" i="8" s="1"/>
  <c r="H119" i="1"/>
  <c r="C62" i="8" s="1"/>
  <c r="H149" i="5"/>
  <c r="G60" i="1" s="1"/>
  <c r="H60" i="1" s="1"/>
  <c r="G117" i="1"/>
  <c r="H117" i="1" s="1"/>
  <c r="H112" i="1" s="1"/>
  <c r="H152" i="5"/>
  <c r="G61" i="1" s="1"/>
  <c r="H61" i="1" s="1"/>
  <c r="H310" i="5"/>
  <c r="G106" i="1" s="1"/>
  <c r="H106" i="1" s="1"/>
  <c r="H322" i="5"/>
  <c r="G108" i="1" s="1"/>
  <c r="H108" i="1" s="1"/>
  <c r="H94" i="5"/>
  <c r="G44" i="1" s="1"/>
  <c r="H44" i="1" s="1"/>
  <c r="H202" i="5"/>
  <c r="G68" i="1" s="1"/>
  <c r="H68" i="1" s="1"/>
  <c r="H210" i="5"/>
  <c r="G70" i="1" s="1"/>
  <c r="H70" i="1" s="1"/>
  <c r="H316" i="5"/>
  <c r="G107" i="1" s="1"/>
  <c r="H107" i="1" s="1"/>
  <c r="H227" i="5"/>
  <c r="G79" i="1" s="1"/>
  <c r="H79" i="1" s="1"/>
  <c r="H178" i="5"/>
  <c r="G65" i="1" s="1"/>
  <c r="H65" i="1" s="1"/>
  <c r="H253" i="5"/>
  <c r="G96" i="1" s="1"/>
  <c r="H96" i="1" s="1"/>
  <c r="H288" i="5"/>
  <c r="G102" i="1" s="1"/>
  <c r="H102" i="1" s="1"/>
  <c r="H238" i="5"/>
  <c r="G94" i="1" s="1"/>
  <c r="H94" i="1" s="1"/>
  <c r="H282" i="5"/>
  <c r="G100" i="1" s="1"/>
  <c r="H100" i="1" s="1"/>
  <c r="H186" i="5"/>
  <c r="G66" i="1" s="1"/>
  <c r="H66" i="1" s="1"/>
  <c r="H206" i="5"/>
  <c r="G69" i="1" s="1"/>
  <c r="H69" i="1" s="1"/>
  <c r="H261" i="5"/>
  <c r="G97" i="1" s="1"/>
  <c r="H97" i="1" s="1"/>
  <c r="H332" i="5"/>
  <c r="G110" i="1" s="1"/>
  <c r="H110" i="1" s="1"/>
  <c r="H245" i="5"/>
  <c r="G95" i="1" s="1"/>
  <c r="H95" i="1" s="1"/>
  <c r="H171" i="5"/>
  <c r="G64" i="1" s="1"/>
  <c r="H64" i="1" s="1"/>
  <c r="H221" i="5"/>
  <c r="G78" i="1" s="1"/>
  <c r="H78" i="1" s="1"/>
  <c r="H275" i="5"/>
  <c r="G99" i="1" s="1"/>
  <c r="H99" i="1" s="1"/>
  <c r="H298" i="5"/>
  <c r="G103" i="1" s="1"/>
  <c r="H103" i="1" s="1"/>
  <c r="H194" i="5"/>
  <c r="G67" i="1" s="1"/>
  <c r="H67" i="1" s="1"/>
  <c r="H216" i="5"/>
  <c r="G73" i="1" s="1"/>
  <c r="H73" i="1" s="1"/>
  <c r="H71" i="1" s="1"/>
  <c r="C40" i="8" s="1"/>
  <c r="H268" i="5"/>
  <c r="G98" i="1" s="1"/>
  <c r="H98" i="1" s="1"/>
  <c r="H327" i="5"/>
  <c r="G109" i="1" s="1"/>
  <c r="H109" i="1" s="1"/>
  <c r="G40" i="1"/>
  <c r="H40" i="1" s="1"/>
  <c r="G36" i="1"/>
  <c r="H36" i="1" s="1"/>
  <c r="G26" i="1"/>
  <c r="H26" i="1" s="1"/>
  <c r="G43" i="1"/>
  <c r="H43" i="1" s="1"/>
  <c r="G33" i="1"/>
  <c r="H33" i="1" s="1"/>
  <c r="G13" i="1"/>
  <c r="H13" i="1" s="1"/>
  <c r="H12" i="1" s="1"/>
  <c r="G82" i="1"/>
  <c r="H82" i="1" s="1"/>
  <c r="H80" i="1" s="1"/>
  <c r="C44" i="8" s="1"/>
  <c r="G32" i="1"/>
  <c r="H32" i="1" s="1"/>
  <c r="G24" i="1"/>
  <c r="H24" i="1" s="1"/>
  <c r="H46" i="5"/>
  <c r="G29" i="1" s="1"/>
  <c r="H29" i="1" s="1"/>
  <c r="H84" i="5"/>
  <c r="G42" i="1" s="1"/>
  <c r="H42" i="1" s="1"/>
  <c r="H21" i="5"/>
  <c r="G18" i="1" s="1"/>
  <c r="H18" i="1" s="1"/>
  <c r="H16" i="1" s="1"/>
  <c r="C20" i="8" s="1"/>
  <c r="H164" i="5"/>
  <c r="G63" i="1" s="1"/>
  <c r="H63" i="1" s="1"/>
  <c r="H158" i="5"/>
  <c r="G62" i="1" s="1"/>
  <c r="H62" i="1" s="1"/>
  <c r="H69" i="5"/>
  <c r="G39" i="1" s="1"/>
  <c r="H39" i="1" s="1"/>
  <c r="H34" i="5"/>
  <c r="G25" i="1" s="1"/>
  <c r="H25" i="1" s="1"/>
  <c r="H65" i="5"/>
  <c r="G38" i="1" s="1"/>
  <c r="H38" i="1" s="1"/>
  <c r="H60" i="5"/>
  <c r="G37" i="1" s="1"/>
  <c r="H37" i="1" s="1"/>
  <c r="H78" i="5"/>
  <c r="G41" i="1" s="1"/>
  <c r="H41" i="1" s="1"/>
  <c r="H118" i="5"/>
  <c r="G52" i="1" s="1"/>
  <c r="H52" i="1" s="1"/>
  <c r="H101" i="5"/>
  <c r="G50" i="1" s="1"/>
  <c r="H50" i="1" s="1"/>
  <c r="H110" i="5"/>
  <c r="G51" i="1" s="1"/>
  <c r="H51" i="1" s="1"/>
  <c r="C245" i="5"/>
  <c r="D245" i="5"/>
  <c r="B245" i="5"/>
  <c r="E245" i="5"/>
  <c r="H49" i="1" l="1"/>
  <c r="G12" i="8"/>
  <c r="G11" i="8" s="1"/>
  <c r="G34" i="8"/>
  <c r="G33" i="8" s="1"/>
  <c r="H9" i="1"/>
  <c r="C10" i="8" s="1"/>
  <c r="C14" i="8"/>
  <c r="H111" i="1"/>
  <c r="C58" i="8"/>
  <c r="F40" i="8"/>
  <c r="E40" i="8"/>
  <c r="D40" i="8"/>
  <c r="F20" i="8"/>
  <c r="E20" i="8"/>
  <c r="D20" i="8"/>
  <c r="F46" i="8"/>
  <c r="E46" i="8"/>
  <c r="D46" i="8"/>
  <c r="F44" i="8"/>
  <c r="E44" i="8"/>
  <c r="D44" i="8"/>
  <c r="H118" i="1"/>
  <c r="C60" i="8" s="1"/>
  <c r="H58" i="1"/>
  <c r="C38" i="8" s="1"/>
  <c r="H19" i="1"/>
  <c r="H28" i="1"/>
  <c r="C26" i="8" s="1"/>
  <c r="H101" i="1"/>
  <c r="C50" i="8" s="1"/>
  <c r="C36" i="8"/>
  <c r="H105" i="1"/>
  <c r="H92" i="1"/>
  <c r="C48" i="8" s="1"/>
  <c r="H74" i="1"/>
  <c r="C42" i="8" s="1"/>
  <c r="H35" i="1"/>
  <c r="C28" i="8" s="1"/>
  <c r="G40" i="8" l="1"/>
  <c r="G39" i="8" s="1"/>
  <c r="G46" i="8"/>
  <c r="G45" i="8" s="1"/>
  <c r="G20" i="8"/>
  <c r="G19" i="8" s="1"/>
  <c r="F48" i="8"/>
  <c r="E48" i="8"/>
  <c r="D48" i="8"/>
  <c r="F58" i="8"/>
  <c r="F56" i="8" s="1"/>
  <c r="E58" i="8"/>
  <c r="E56" i="8" s="1"/>
  <c r="D58" i="8"/>
  <c r="D56" i="8" s="1"/>
  <c r="H104" i="1"/>
  <c r="C54" i="8"/>
  <c r="H15" i="1"/>
  <c r="C18" i="8" s="1"/>
  <c r="C22" i="8"/>
  <c r="C13" i="4"/>
  <c r="C56" i="8"/>
  <c r="F26" i="8"/>
  <c r="E26" i="8"/>
  <c r="D26" i="8"/>
  <c r="E28" i="8"/>
  <c r="F28" i="8"/>
  <c r="D28" i="8"/>
  <c r="F36" i="8"/>
  <c r="E36" i="8"/>
  <c r="D36" i="8"/>
  <c r="F38" i="8"/>
  <c r="E38" i="8"/>
  <c r="D38" i="8"/>
  <c r="C14" i="4"/>
  <c r="F14" i="8"/>
  <c r="F10" i="8" s="1"/>
  <c r="E14" i="8"/>
  <c r="E10" i="8" s="1"/>
  <c r="D14" i="8"/>
  <c r="F42" i="8"/>
  <c r="E42" i="8"/>
  <c r="D42" i="8"/>
  <c r="F50" i="8"/>
  <c r="E50" i="8"/>
  <c r="D50" i="8"/>
  <c r="G44" i="8"/>
  <c r="G43" i="8" s="1"/>
  <c r="C9" i="4"/>
  <c r="H46" i="1"/>
  <c r="H27" i="1"/>
  <c r="F32" i="8" l="1"/>
  <c r="E32" i="8"/>
  <c r="G28" i="8"/>
  <c r="G27" i="8" s="1"/>
  <c r="G42" i="8"/>
  <c r="G41" i="8" s="1"/>
  <c r="G38" i="8"/>
  <c r="G37" i="8" s="1"/>
  <c r="D55" i="8"/>
  <c r="G36" i="8"/>
  <c r="D32" i="8"/>
  <c r="D24" i="8"/>
  <c r="G50" i="8"/>
  <c r="G49" i="8" s="1"/>
  <c r="F9" i="8"/>
  <c r="F54" i="8"/>
  <c r="F52" i="8" s="1"/>
  <c r="E54" i="8"/>
  <c r="E52" i="8" s="1"/>
  <c r="D54" i="8"/>
  <c r="D52" i="8" s="1"/>
  <c r="E55" i="8"/>
  <c r="E9" i="8"/>
  <c r="G26" i="8"/>
  <c r="E24" i="8"/>
  <c r="F24" i="8"/>
  <c r="C12" i="4"/>
  <c r="C52" i="8"/>
  <c r="F55" i="8"/>
  <c r="H45" i="1"/>
  <c r="C32" i="8"/>
  <c r="H14" i="1"/>
  <c r="C24" i="8"/>
  <c r="G14" i="8"/>
  <c r="D10" i="8"/>
  <c r="F22" i="8"/>
  <c r="F18" i="8" s="1"/>
  <c r="D22" i="8"/>
  <c r="D18" i="8" s="1"/>
  <c r="E22" i="8"/>
  <c r="E18" i="8" s="1"/>
  <c r="G58" i="8"/>
  <c r="G48" i="8"/>
  <c r="G47" i="8" s="1"/>
  <c r="F16" i="8" l="1"/>
  <c r="D16" i="8"/>
  <c r="E16" i="8"/>
  <c r="G124" i="1"/>
  <c r="G125" i="1" s="1"/>
  <c r="C16" i="8"/>
  <c r="G32" i="8"/>
  <c r="E23" i="8"/>
  <c r="F17" i="8"/>
  <c r="E51" i="8"/>
  <c r="D23" i="8"/>
  <c r="F31" i="8"/>
  <c r="F30" i="8"/>
  <c r="D51" i="8"/>
  <c r="E17" i="8"/>
  <c r="G13" i="8"/>
  <c r="G10" i="8"/>
  <c r="C11" i="4"/>
  <c r="C30" i="8"/>
  <c r="G24" i="8"/>
  <c r="G23" i="8" s="1"/>
  <c r="G25" i="8"/>
  <c r="F51" i="8"/>
  <c r="D31" i="8"/>
  <c r="D30" i="8"/>
  <c r="G57" i="8"/>
  <c r="G56" i="8"/>
  <c r="G55" i="8" s="1"/>
  <c r="C10" i="4"/>
  <c r="E30" i="8"/>
  <c r="E31" i="8"/>
  <c r="G22" i="8"/>
  <c r="D9" i="8"/>
  <c r="D17" i="8"/>
  <c r="F23" i="8"/>
  <c r="G54" i="8"/>
  <c r="G35" i="8"/>
  <c r="G126" i="1" l="1"/>
  <c r="D15" i="8"/>
  <c r="D72" i="8"/>
  <c r="E29" i="8"/>
  <c r="G9" i="8"/>
  <c r="G31" i="8"/>
  <c r="G30" i="8"/>
  <c r="G29" i="8" s="1"/>
  <c r="G21" i="8"/>
  <c r="G18" i="8"/>
  <c r="G16" i="8" s="1"/>
  <c r="D29" i="8"/>
  <c r="F29" i="8"/>
  <c r="F15" i="8"/>
  <c r="F72" i="8"/>
  <c r="G53" i="8"/>
  <c r="G52" i="8"/>
  <c r="G51" i="8" s="1"/>
  <c r="D16" i="4"/>
  <c r="E15" i="8"/>
  <c r="E72" i="8"/>
  <c r="D13" i="4" l="1"/>
  <c r="D14" i="4"/>
  <c r="D9" i="4"/>
  <c r="D17" i="4"/>
  <c r="D18" i="4" s="1"/>
  <c r="D12" i="4"/>
  <c r="D10" i="4"/>
  <c r="G17" i="8"/>
  <c r="D11" i="4"/>
  <c r="G15" i="8" l="1"/>
  <c r="G72" i="8"/>
  <c r="C72" i="8" s="1"/>
  <c r="D61" i="8" l="1"/>
  <c r="D62" i="8" s="1"/>
  <c r="D60" i="8" s="1"/>
  <c r="D59" i="8" s="1"/>
  <c r="E61" i="8"/>
  <c r="E62" i="8" s="1"/>
  <c r="E60" i="8" s="1"/>
  <c r="F61" i="8"/>
  <c r="F62" i="8" s="1"/>
  <c r="F60" i="8" s="1"/>
  <c r="F64" i="8" l="1"/>
  <c r="F65" i="8" s="1"/>
  <c r="F66" i="8" s="1"/>
  <c r="F59" i="8"/>
  <c r="D64" i="8"/>
  <c r="D68" i="8" s="1"/>
  <c r="E64" i="8"/>
  <c r="E65" i="8" s="1"/>
  <c r="E66" i="8" s="1"/>
  <c r="E59" i="8"/>
  <c r="G62" i="8"/>
  <c r="D65" i="8" l="1"/>
  <c r="D66" i="8" s="1"/>
  <c r="D69" i="8" s="1"/>
  <c r="E69" i="8" s="1"/>
  <c r="F69" i="8" s="1"/>
  <c r="G61" i="8"/>
  <c r="G60" i="8"/>
  <c r="E68" i="8"/>
  <c r="G64" i="8" l="1"/>
  <c r="G59" i="8"/>
  <c r="F68" i="8"/>
  <c r="C68" i="8" l="1"/>
  <c r="G63" i="8" s="1"/>
  <c r="G65" i="8"/>
  <c r="G66" i="8" s="1"/>
  <c r="G69" i="8" s="1"/>
  <c r="G68" i="8"/>
  <c r="F67" i="8" l="1"/>
  <c r="G67" i="8"/>
  <c r="C57" i="8"/>
  <c r="C49" i="8"/>
  <c r="C31" i="8"/>
  <c r="C27" i="8"/>
  <c r="C33" i="8"/>
  <c r="C53" i="8"/>
  <c r="C19" i="8"/>
  <c r="D63" i="8"/>
  <c r="C9" i="8"/>
  <c r="C29" i="8"/>
  <c r="F63" i="8"/>
  <c r="C15" i="8"/>
  <c r="C51" i="8"/>
  <c r="D67" i="8"/>
  <c r="C43" i="8"/>
  <c r="E63" i="8"/>
  <c r="C17" i="8"/>
  <c r="C25" i="8"/>
  <c r="C13" i="8"/>
  <c r="C45" i="8"/>
  <c r="C61" i="8"/>
  <c r="C37" i="8"/>
  <c r="C23" i="8"/>
  <c r="C41" i="8"/>
  <c r="C47" i="8"/>
  <c r="C59" i="8"/>
  <c r="C35" i="8"/>
  <c r="C21" i="8"/>
  <c r="C55" i="8"/>
  <c r="C11" i="8"/>
  <c r="C39" i="8"/>
  <c r="E67" i="8"/>
</calcChain>
</file>

<file path=xl/sharedStrings.xml><?xml version="1.0" encoding="utf-8"?>
<sst xmlns="http://schemas.openxmlformats.org/spreadsheetml/2006/main" count="1677" uniqueCount="698">
  <si>
    <t>Planilha Orçamentária Sintética</t>
  </si>
  <si>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</si>
  <si>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</si>
  <si>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</si>
  <si>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</si>
  <si>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</si>
  <si>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</si>
  <si>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</si>
  <si>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</si>
  <si>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>Peso (%)</t>
  </si>
  <si>
    <t xml:space="preserve"> 01 </t>
  </si>
  <si>
    <t>SERVIÇOS TÉCNICO - PROFISSIONAIS</t>
  </si>
  <si>
    <t xml:space="preserve"> 01.03 </t>
  </si>
  <si>
    <t>ESTUDOS E PROJETOS</t>
  </si>
  <si>
    <t xml:space="preserve"> 01.03.1 </t>
  </si>
  <si>
    <t xml:space="preserve"> MPDFT0487 </t>
  </si>
  <si>
    <t>Próprio</t>
  </si>
  <si>
    <t>Teste de arrancamento de argamassa (com 12 amostras) - determinação de resistência de aderência à tração</t>
  </si>
  <si>
    <t>un</t>
  </si>
  <si>
    <t xml:space="preserve"> 01.08 </t>
  </si>
  <si>
    <t>TAXAS E EMOLUMENTOS</t>
  </si>
  <si>
    <t xml:space="preserve"> 01.08.1 </t>
  </si>
  <si>
    <t xml:space="preserve"> MPDFT0009 </t>
  </si>
  <si>
    <t>Registro do contrato junto ao conselho de classe (ART)</t>
  </si>
  <si>
    <t>vb</t>
  </si>
  <si>
    <t xml:space="preserve"> 02 </t>
  </si>
  <si>
    <t>SERVIÇOS PRELIMINARES</t>
  </si>
  <si>
    <t xml:space="preserve"> 02.01 </t>
  </si>
  <si>
    <t>CANTEIRO DE OBRAS</t>
  </si>
  <si>
    <t xml:space="preserve"> 02.01.100 </t>
  </si>
  <si>
    <t>Construções Provisórias</t>
  </si>
  <si>
    <t xml:space="preserve"> 02.01.100.1 </t>
  </si>
  <si>
    <t>SINAPI</t>
  </si>
  <si>
    <t>MES</t>
  </si>
  <si>
    <t xml:space="preserve"> 02.01.100.2 </t>
  </si>
  <si>
    <t xml:space="preserve"> MPDFT0488 </t>
  </si>
  <si>
    <t>Transporte, carga e descarga de container</t>
  </si>
  <si>
    <t>sv</t>
  </si>
  <si>
    <t xml:space="preserve"> 02.01.400 </t>
  </si>
  <si>
    <t>Proteção e Sinalização</t>
  </si>
  <si>
    <t xml:space="preserve"> 02.01.400.1 </t>
  </si>
  <si>
    <t xml:space="preserve"> 00010527 </t>
  </si>
  <si>
    <t>LOCACAO DE ANDAIME METALICO TUBULAR DE ENCAIXE, TIPO DE TORRE, COM LARGURA DE 1 ATE 1,5 M E ALTURA DE *1,00* M</t>
  </si>
  <si>
    <t>MXMES</t>
  </si>
  <si>
    <t xml:space="preserve"> 02.01.400.2 </t>
  </si>
  <si>
    <t xml:space="preserve"> 00020193 </t>
  </si>
  <si>
    <t>LOCACAO DE ANDAIME METALICO TIPO FACHADEIRO, LARGURA DE 1,20 M, ALTURA POR PECA DE 2,0 M, INCLUINDO SAPATAS E ITENS NECESSARIOS A INSTALACAO</t>
  </si>
  <si>
    <t>M2XMES</t>
  </si>
  <si>
    <t xml:space="preserve"> 02.01.400.3 </t>
  </si>
  <si>
    <t xml:space="preserve"> 97063 </t>
  </si>
  <si>
    <t>MONTAGEM E DESMONTAGEM DE ANDAIME MODULAR FACHADEIRO, COM PISO METÁLICO, PARA EDIFICAÇÕES COM MÚLTIPLOS PAVIMENTOS (EXCLUSIVE ANDAIME E LIMPEZA). AF_11/2017</t>
  </si>
  <si>
    <t>m²</t>
  </si>
  <si>
    <t xml:space="preserve"> 02.01.400.4 </t>
  </si>
  <si>
    <t xml:space="preserve"> MPDFT0489 </t>
  </si>
  <si>
    <t>Copia da SINAPI (97062) - Telas de proteção (galvanizada + polietileno) em andaime fachadeiro</t>
  </si>
  <si>
    <t xml:space="preserve"> 02.01.400.5 </t>
  </si>
  <si>
    <t xml:space="preserve"> MPDFT0491 </t>
  </si>
  <si>
    <t>Passarela coberta para abrigo de pedestres. DM 1,60 x 2,20 x 2,00 m (L x A x P)</t>
  </si>
  <si>
    <t xml:space="preserve"> 02.01.400.6 </t>
  </si>
  <si>
    <t xml:space="preserve"> MPDFT0492 </t>
  </si>
  <si>
    <t>Tapume de proteção / isolamento de esquadrias de vidro em chapa de madeira compensada, e=6mm e reaproveitamento de 2X</t>
  </si>
  <si>
    <t xml:space="preserve"> 02.01.400.7 </t>
  </si>
  <si>
    <t xml:space="preserve"> MPDFT0493 </t>
  </si>
  <si>
    <t>Movimentação de tapume de proteção / isolamento de esquadrias de vidro</t>
  </si>
  <si>
    <t xml:space="preserve"> 02.02 </t>
  </si>
  <si>
    <t>DEMOLIÇÃO</t>
  </si>
  <si>
    <t xml:space="preserve"> 02.02.100 </t>
  </si>
  <si>
    <t>Demolição Convencional</t>
  </si>
  <si>
    <t xml:space="preserve"> 02.02.100.1 </t>
  </si>
  <si>
    <t xml:space="preserve"> MPDFT0494 </t>
  </si>
  <si>
    <t>Demolição de camada de proteção mecânica, impermeabilização e regularização de base</t>
  </si>
  <si>
    <t xml:space="preserve"> 02.02.100.2 </t>
  </si>
  <si>
    <t xml:space="preserve"> 97634 </t>
  </si>
  <si>
    <t>DEMOLIÇÃO DE REVESTIMENTO CERÂMICO, DE FORMA MECANIZADA COM MARTELETE, SEM REAPROVEITAMENTO. AF_12/2017</t>
  </si>
  <si>
    <t xml:space="preserve"> 02.02.100.3 </t>
  </si>
  <si>
    <t xml:space="preserve"> 97631 </t>
  </si>
  <si>
    <t>DEMOLIÇÃO DE ARGAMASSAS, DE FORMA MANUAL, SEM REAPROVEITAMENTO. AF_12/2017</t>
  </si>
  <si>
    <t xml:space="preserve"> 02.02.100.4 </t>
  </si>
  <si>
    <t xml:space="preserve"> MPDFT0555 </t>
  </si>
  <si>
    <t>Furo com 20cm de diâmetro, para fins de ventilação e circulação de ar no interior dos elementos de fachada (caixões perdidos)</t>
  </si>
  <si>
    <t xml:space="preserve"> 02.02.100.5 </t>
  </si>
  <si>
    <t xml:space="preserve"> MPDFT0558 </t>
  </si>
  <si>
    <t>Copia da ORSE (7991) - Demolição de rufo de concreto</t>
  </si>
  <si>
    <t>m</t>
  </si>
  <si>
    <t xml:space="preserve"> 02.02.100.6 </t>
  </si>
  <si>
    <t xml:space="preserve"> 97624 </t>
  </si>
  <si>
    <t>DEMOLIÇÃO DE ALVENARIA DE TIJOLO MACIÇO, DE FORMA MANUAL, SEM REAPROVEITAMENTO. AF_12/2017</t>
  </si>
  <si>
    <t>m³</t>
  </si>
  <si>
    <t xml:space="preserve"> 02.02.300 </t>
  </si>
  <si>
    <t>Remoções</t>
  </si>
  <si>
    <t xml:space="preserve"> 02.02.300.1 </t>
  </si>
  <si>
    <t xml:space="preserve"> MPDFT0495 </t>
  </si>
  <si>
    <t>Cópia SINAPI 97647 - Remoção de telhas, de cobertura, de forma manual, com reaproveitamento</t>
  </si>
  <si>
    <t xml:space="preserve"> 02.02.300.2 </t>
  </si>
  <si>
    <t xml:space="preserve"> MPDFT0496 </t>
  </si>
  <si>
    <t>Remoção, com reaproveitamento, de letreiro da fachada, inclusive transporte e armazenamento</t>
  </si>
  <si>
    <t xml:space="preserve"> 02.02.300.3 </t>
  </si>
  <si>
    <t xml:space="preserve"> MPDFT0497 </t>
  </si>
  <si>
    <t>Remoção, com reaproveitamento, do sistema de proteção contra descargas atmosféricas</t>
  </si>
  <si>
    <t xml:space="preserve"> 02.02.300.4 </t>
  </si>
  <si>
    <t xml:space="preserve"> MPDFT0498 </t>
  </si>
  <si>
    <t>Remoção, com reaproveitamento, de painéis em vidro, na região da cobertura - incluindo identificação, proteção e acondicionamento</t>
  </si>
  <si>
    <t xml:space="preserve"> 02.02.300.5 </t>
  </si>
  <si>
    <t xml:space="preserve"> MPDFT0505 </t>
  </si>
  <si>
    <t>Remoção, com reaproveitamento, de escadas metálicas e antena</t>
  </si>
  <si>
    <t xml:space="preserve"> 02.02.300.6 </t>
  </si>
  <si>
    <t xml:space="preserve"> MPDFT0506 </t>
  </si>
  <si>
    <t>Remoção, com reaproveitamento das luminárias dos Halls de entrada e social</t>
  </si>
  <si>
    <t xml:space="preserve"> 02.02.300.7 </t>
  </si>
  <si>
    <t xml:space="preserve"> MPDFT0507 </t>
  </si>
  <si>
    <t>Remoção dos brises da cobertura inclinada</t>
  </si>
  <si>
    <t xml:space="preserve"> 02.02.300.8 </t>
  </si>
  <si>
    <t xml:space="preserve"> MPDFT0583 </t>
  </si>
  <si>
    <t>Copia da SBC (022412) - Remoção de pintura textura em paredes internas e externas</t>
  </si>
  <si>
    <t xml:space="preserve"> 02.02.300.9 </t>
  </si>
  <si>
    <t xml:space="preserve"> MPDFT0509 </t>
  </si>
  <si>
    <t>Transporte de material – bota-fora, D.M.T = 60,0 km</t>
  </si>
  <si>
    <t xml:space="preserve"> 04 </t>
  </si>
  <si>
    <t>ARQUITETURA E ELEMENTOS DE URBANISMO</t>
  </si>
  <si>
    <t xml:space="preserve"> 04.01 </t>
  </si>
  <si>
    <t>ARQUITETURA</t>
  </si>
  <si>
    <t xml:space="preserve"> 04.01.100 </t>
  </si>
  <si>
    <t>Paredes</t>
  </si>
  <si>
    <t xml:space="preserve"> 04.01.100.1 </t>
  </si>
  <si>
    <t xml:space="preserve"> 89168 </t>
  </si>
  <si>
    <t>(COMPOSIÇÃO REPRESENTATIVA) DO SERVIÇO DE ALVENARIA DE VEDAÇÃO DE BLOCOS VAZADOS DE CERÂMICA DE 9X19X19CM (ESPESSURA 9CM), PARA EDIFICAÇÃO HABITACIONAL UNIFAMILIAR (CASA) E EDIFICAÇÃO PÚBLICA PADRÃO. AF_11/2014</t>
  </si>
  <si>
    <t xml:space="preserve"> 04.01.250 </t>
  </si>
  <si>
    <t>Esquadria de alumínio</t>
  </si>
  <si>
    <t xml:space="preserve"> 04.01.250.7 </t>
  </si>
  <si>
    <t xml:space="preserve"> MPDFT0510 </t>
  </si>
  <si>
    <t>Alçapão em alumínio - tampa em chapa dobrada xadrez antiderrapante, DM 60x60 cm - incluso  batente e dobradiças em alumínio, borracha de vedação, cadeado e mureta de bordo (h=15cm) em alvenaria maciça - acab. Natural, modelo Inova marca Prolider</t>
  </si>
  <si>
    <t xml:space="preserve"> 04.01.250.8 </t>
  </si>
  <si>
    <t xml:space="preserve"> MPDFT0511 </t>
  </si>
  <si>
    <t>Substituição de alçapão existente DN 70x70cm por Alçapão em alumínio - tampa em chapa dobrada xadrez antiderrapante, DN 60x60cm - incluso  batente e dobradiças em alumínio, boracha de vedação e cadeado - acab. Natural, modelo Inova marca Prolider</t>
  </si>
  <si>
    <t xml:space="preserve"> 04.01.250.9 </t>
  </si>
  <si>
    <t xml:space="preserve"> MPDFT0610 </t>
  </si>
  <si>
    <t>Copia da SINAPI (100674) - TELA MOSQUITEIRA EM ARAME GALVANIZADO COM REQUADRO</t>
  </si>
  <si>
    <t xml:space="preserve"> 04.01.400 </t>
  </si>
  <si>
    <t>Cobertura e Fechamento Lateral</t>
  </si>
  <si>
    <t xml:space="preserve"> 04.01.400.1 </t>
  </si>
  <si>
    <t xml:space="preserve"> 100764 </t>
  </si>
  <si>
    <t>VIGA METÁLICA EM PERFIL LAMINADO OU SOLDADO EM AÇO ESTRUTURAL, COM CONEXÕES SOLDADAS, INCLUSOS MÃO DE OBRA, TRANSPORTE E IÇAMENTO UTILIZANDO GUINDASTE - FORNECIMENTO E INSTALAÇÃO. AF_01/2020_P</t>
  </si>
  <si>
    <t>KG</t>
  </si>
  <si>
    <t xml:space="preserve"> 04.01.400.2 </t>
  </si>
  <si>
    <t xml:space="preserve"> MPDFT0597 </t>
  </si>
  <si>
    <t xml:space="preserve"> 04.01.400.3 </t>
  </si>
  <si>
    <t xml:space="preserve"> MPDFT0554 </t>
  </si>
  <si>
    <t>Calha em formato 'U', L=0,40m, moldada in loco, com alvenaria de blocos cerâmicos maciços</t>
  </si>
  <si>
    <t xml:space="preserve"> 04.01.400.4 </t>
  </si>
  <si>
    <t xml:space="preserve"> MPDFT0055 </t>
  </si>
  <si>
    <t>Calha em formato 'U', L=0,80m, moldada in loco, com alvenaria de blocos cerâmicos maciços</t>
  </si>
  <si>
    <t xml:space="preserve"> 04.01.400.5 </t>
  </si>
  <si>
    <t xml:space="preserve"> MPDFT0054 </t>
  </si>
  <si>
    <t xml:space="preserve"> 04.01.400.6 </t>
  </si>
  <si>
    <t xml:space="preserve"> MPDFT0512 </t>
  </si>
  <si>
    <t xml:space="preserve"> 04.01.400.7 </t>
  </si>
  <si>
    <t xml:space="preserve"> MPDFT0514 </t>
  </si>
  <si>
    <t>Cumeeira branca l=60cm para telha termoacústica, incluso acessórios de fixação e içamento</t>
  </si>
  <si>
    <t xml:space="preserve"> 04.01.400.8 </t>
  </si>
  <si>
    <t xml:space="preserve"> MPDFT0515 </t>
  </si>
  <si>
    <t>Cumeeira marrom l=60cm para telha termoacústica, incluso acessórios de fixação e içamento</t>
  </si>
  <si>
    <t xml:space="preserve"> 04.01.400.9 </t>
  </si>
  <si>
    <t xml:space="preserve"> MPDFT0516 </t>
  </si>
  <si>
    <t>Arremate de fechamento frontal marrom para telha termoacústica</t>
  </si>
  <si>
    <t xml:space="preserve"> 04.01.400.10 </t>
  </si>
  <si>
    <t xml:space="preserve"> MPDFT0169 </t>
  </si>
  <si>
    <t>Cópia SINAPI (94231) - Rufo metálico em chapa de aço galvanizado # 24 desenvolvimento 50cm</t>
  </si>
  <si>
    <t xml:space="preserve"> 04.01.400.11 </t>
  </si>
  <si>
    <t xml:space="preserve"> MPDFT0543 </t>
  </si>
  <si>
    <t>Cópia SINAPI 100327 - Rufo capa com aba dupla em aço galvanizado #26, L=75cm (nova cobertura termoacústica) - incluso acab. com fundo preparador e duas demãos pintura esmalte sintético fosco</t>
  </si>
  <si>
    <t xml:space="preserve"> 04.01.400.12 </t>
  </si>
  <si>
    <t xml:space="preserve"> MPDFT0544 </t>
  </si>
  <si>
    <t>Cópia SINAPI 100327 - Rufo  em aço galvanizado #26, L=30cm (todo telhado), incluso acab. com fundo preparador e pintura esmalte sintético fosco e aplicação de selante de silicone</t>
  </si>
  <si>
    <t xml:space="preserve"> 04.01.510 </t>
  </si>
  <si>
    <t>Revestimentos de pisos</t>
  </si>
  <si>
    <t xml:space="preserve"> 04.01.510.1 </t>
  </si>
  <si>
    <t xml:space="preserve"> 04.01.510.2 </t>
  </si>
  <si>
    <t xml:space="preserve"> MPDFT0557 </t>
  </si>
  <si>
    <t>Copia da SINAPI 84666- Polimento de piso em granitina da área externa</t>
  </si>
  <si>
    <t xml:space="preserve"> 04.01.530 </t>
  </si>
  <si>
    <t>Revestimentos de paredes</t>
  </si>
  <si>
    <t xml:space="preserve"> 04.01.530.1 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</si>
  <si>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</si>
  <si>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</si>
  <si>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04.01.530.3 </t>
  </si>
  <si>
    <t xml:space="preserve"> 87797 </t>
  </si>
  <si>
    <t>EMBOÇO OU MASSA ÚNICA EM ARGAMASSA TRAÇO 1:2:8, PREPARO MECÂNICO COM BETONEIRA 400 L, APLICADA MANUALMENTE EM PANOS CEGOS DE FACHADA (SEM PRESENÇA DE VÃOS), ESPESSURA DE 35 MM. AF_06/2014</t>
  </si>
  <si>
    <t xml:space="preserve"> 04.01.530.4 </t>
  </si>
  <si>
    <t xml:space="preserve"> 87775 </t>
  </si>
  <si>
    <t>EMBOÇO OU MASSA ÚNICA EM ARGAMASSA TRAÇO 1:2:8, PREPARO MECÂNICO COM BETONEIRA 400 L, APLICADA MANUALMENTE EM PANOS DE FACHADA COM PRESENÇA DE VÃOS, ESPESSURA DE 25 MM. AF_06/2014</t>
  </si>
  <si>
    <t xml:space="preserve"> 04.01.530.6 </t>
  </si>
  <si>
    <t xml:space="preserve"> MPDFT1047 </t>
  </si>
  <si>
    <t>Cópia SINAPI (87242) - Pastilha de porcelana 5,0x5,0cm, linha Engenharia, cor Barents, fab. Atlas (ref.M6329), assentada com argamassa pré-fabricada, incluindo rejuntamento</t>
  </si>
  <si>
    <t xml:space="preserve"> 04.01.530.7 </t>
  </si>
  <si>
    <t xml:space="preserve"> MPDFT1048 </t>
  </si>
  <si>
    <t>Cópia SINAPI (87242) - Pastilha de porcelana 5,0x5,0cm, linha Engenharia, cor Areia, fab. Atlas (ref.M4330), assentada com argamassa pré-fabricada, incluindo rejuntamento</t>
  </si>
  <si>
    <t xml:space="preserve"> 04.01.550 </t>
  </si>
  <si>
    <t>Revestimentos de forro</t>
  </si>
  <si>
    <t xml:space="preserve"> 04.01.550.1 </t>
  </si>
  <si>
    <t xml:space="preserve"> 96114 </t>
  </si>
  <si>
    <t>FORRO EM DRYWALL, PARA AMBIENTES COMERCIAIS, INCLUSIVE ESTRUTURA DE FIXAÇÃO. AF_05/2017_P</t>
  </si>
  <si>
    <t xml:space="preserve"> 04.01.550.2 </t>
  </si>
  <si>
    <t xml:space="preserve"> MPDFT1052 </t>
  </si>
  <si>
    <t>Tabica metálica pré pintada, para forro em gesso acartonado</t>
  </si>
  <si>
    <t xml:space="preserve"> 04.01.560 </t>
  </si>
  <si>
    <t>Pinturas</t>
  </si>
  <si>
    <t xml:space="preserve"> 04.01.560.1 </t>
  </si>
  <si>
    <t xml:space="preserve"> 88484 </t>
  </si>
  <si>
    <t>APLICAÇÃO DE FUNDO SELADOR ACRÍLICO EM TETO, UMA DEMÃO. AF_06/2014</t>
  </si>
  <si>
    <t xml:space="preserve"> 04.01.560.2 </t>
  </si>
  <si>
    <t xml:space="preserve"> 88496 </t>
  </si>
  <si>
    <t>APLICAÇÃO E LIXAMENTO DE MASSA LÁTEX EM TETO, DUAS DEMÃOS. AF_06/2014</t>
  </si>
  <si>
    <t xml:space="preserve"> 04.01.560.3 </t>
  </si>
  <si>
    <t xml:space="preserve"> 88497 </t>
  </si>
  <si>
    <t>APLICAÇÃO E LIXAMENTO DE MASSA LÁTEX EM PAREDES, DUAS DEMÃOS. AF_06/2014</t>
  </si>
  <si>
    <t xml:space="preserve"> 04.01.560.4 </t>
  </si>
  <si>
    <t xml:space="preserve"> 88488 </t>
  </si>
  <si>
    <t>APLICAÇÃO MANUAL DE PINTURA COM TINTA LÁTEX ACRÍLICA EM TETO, DUAS DEMÃOS. AF_06/2014</t>
  </si>
  <si>
    <t xml:space="preserve"> 04.01.560.5 </t>
  </si>
  <si>
    <t xml:space="preserve"> 88489 </t>
  </si>
  <si>
    <t>APLICAÇÃO MANUAL DE PINTURA COM TINTA LÁTEX ACRÍLICA EM PAREDES, DUAS DEMÃOS. AF_06/2014</t>
  </si>
  <si>
    <t xml:space="preserve"> 04.01.560.6 </t>
  </si>
  <si>
    <t xml:space="preserve"> 88423 </t>
  </si>
  <si>
    <t>APLICAÇÃO MANUAL DE PINTURA COM TINTA TEXTURIZADA ACRÍLICA EM PAREDES EXTERNAS DE CASAS, UMA COR. AF_06/2014</t>
  </si>
  <si>
    <t xml:space="preserve"> 04.01.560.7 </t>
  </si>
  <si>
    <t xml:space="preserve"> 100726 </t>
  </si>
  <si>
    <t>PINTURA COM TINTA ALQUÍDICA DE FUNDO E ACABAMENTO (ESMALTE SINTÉTICO GRAFITE) APLICADA A ROLO OU PINCEL SOBRE SUPERFÍCIES METÁLICAS (EXCETO PERFIL) EXECUTADO EM OBRA (POR DEMÃO). AF_01/2020</t>
  </si>
  <si>
    <t xml:space="preserve"> 04.01.560.8 </t>
  </si>
  <si>
    <t xml:space="preserve"> 74245/001 </t>
  </si>
  <si>
    <t>PINTURA ACRILICA EM PISO CIMENTADO DUAS DEMAOS</t>
  </si>
  <si>
    <t xml:space="preserve"> 04.01.600 </t>
  </si>
  <si>
    <t>Impermeabilizações</t>
  </si>
  <si>
    <t xml:space="preserve"> 04.01.600.1 </t>
  </si>
  <si>
    <t xml:space="preserve"> 99814 </t>
  </si>
  <si>
    <t>LIMPEZA DE SUPERFÍCIE COM JATO DE ALTA PRESSÃO. AF_04/2019</t>
  </si>
  <si>
    <t xml:space="preserve"> 04.01.600.2 </t>
  </si>
  <si>
    <t xml:space="preserve"> MPDFT0029 </t>
  </si>
  <si>
    <t>Copia da SINAPI (87640) - Regularização / preparação de superfície horizontal com argamassa, traço 1:3 (cimento e areia), preparo mecânico, espessura média 4cm</t>
  </si>
  <si>
    <t xml:space="preserve"> 04.01.600.3 </t>
  </si>
  <si>
    <t xml:space="preserve"> MPDFT0546 </t>
  </si>
  <si>
    <t>Copia da SINAPI (87640) - Regularização / preparação de superfície vertical com argamassa, traço 1:3 (cimento e areia), preparo mecânico, espessura média 4cm</t>
  </si>
  <si>
    <t xml:space="preserve"> 04.01.600.4 </t>
  </si>
  <si>
    <t xml:space="preserve"> MPDFT0480 </t>
  </si>
  <si>
    <t>Copia da SINAPI (98546) - Impermeabilização de superfície com manta asfáltica (com polímeros elastoméricos), e=4mm, ref. Torodin Extra, colada com asfalto derretido</t>
  </si>
  <si>
    <t xml:space="preserve"> 04.01.600.5 </t>
  </si>
  <si>
    <t xml:space="preserve"> MPDFT1055 </t>
  </si>
  <si>
    <t>Copia da SINAPI (98546) - Impermeabilização de superfície com manta asfáltica (com polímeros elastoméricos), e=4mm, ref. Torodin Extra e aplicação de primer</t>
  </si>
  <si>
    <t xml:space="preserve"> 04.01.600.6 </t>
  </si>
  <si>
    <t xml:space="preserve"> MPDFT0547 </t>
  </si>
  <si>
    <t>Copia da SINAPI (98546) - Impermeabilização de ralos ou ponto emergente com manta asfáltica (com polímeros elastoméricos), e=4mm, ref. Torodin Extra, colada com asfalto derretido</t>
  </si>
  <si>
    <t xml:space="preserve"> 04.01.600.7 </t>
  </si>
  <si>
    <t xml:space="preserve"> MPDFT1061 </t>
  </si>
  <si>
    <t>Copia da SINAPI (98565) - Proteção mecânica horizontal com argamassa traço 1:4 (cimento e areia), preparo mecânico, espessura 3cm, incluso camada separadora geotextil e junta de dilatação com asfalto modificado</t>
  </si>
  <si>
    <t xml:space="preserve"> 04.01.600.8 </t>
  </si>
  <si>
    <t xml:space="preserve"> MPDFT0033 </t>
  </si>
  <si>
    <t>Copia da FDE (11.04.004) - Junta de dilatação com selante elástico monocomponente a base de poliuretano, dimensões 1x2cm, inclusive delimitador de profundidade</t>
  </si>
  <si>
    <t xml:space="preserve"> 04.01.700 </t>
  </si>
  <si>
    <t>Acabamentos e Arremates</t>
  </si>
  <si>
    <t xml:space="preserve"> 04.01.700.1 </t>
  </si>
  <si>
    <t xml:space="preserve"> MPDFT0562 </t>
  </si>
  <si>
    <t>Rufo em granito polido Branco Itaúna, largura 21 cm, e=2cm, com friso pingadeira dupla</t>
  </si>
  <si>
    <t xml:space="preserve"> 04.01.700.2 </t>
  </si>
  <si>
    <t xml:space="preserve"> MPDFT0563 </t>
  </si>
  <si>
    <t>Rufo em granito polido Branco Itaúna, largura 20 cm, e=2cm, com friso pingadeira única</t>
  </si>
  <si>
    <t xml:space="preserve"> 06 </t>
  </si>
  <si>
    <t>INSTALAÇÕES ELÉTRICAS E ELETRÔNICAS</t>
  </si>
  <si>
    <t xml:space="preserve"> 06.10 </t>
  </si>
  <si>
    <t>SERVIÇOS DIVERSOS</t>
  </si>
  <si>
    <t xml:space="preserve"> 06.10.1 </t>
  </si>
  <si>
    <t xml:space="preserve"> MPDFT0593 </t>
  </si>
  <si>
    <t>Reinstalação do sistema de proteção contra descargas atmosféricas</t>
  </si>
  <si>
    <t xml:space="preserve"> 06.10.2 </t>
  </si>
  <si>
    <t xml:space="preserve"> MPDFT0594 </t>
  </si>
  <si>
    <t>Revitalização e reinstalação do letreiro de fachada</t>
  </si>
  <si>
    <t xml:space="preserve"> 06.10.3 </t>
  </si>
  <si>
    <t xml:space="preserve"> MPDFT0595 </t>
  </si>
  <si>
    <t>Reinstalação de luminárias dos hall de entrada e social</t>
  </si>
  <si>
    <t xml:space="preserve"> 06.10.4 </t>
  </si>
  <si>
    <t xml:space="preserve"> MPDFT0596 </t>
  </si>
  <si>
    <t>Reinstalação de escadas metálicas e antena</t>
  </si>
  <si>
    <t xml:space="preserve"> 06.10.5 </t>
  </si>
  <si>
    <t xml:space="preserve"> MPDFT0598 </t>
  </si>
  <si>
    <t>Substituição de ralo abacaxi, inclusive conexões</t>
  </si>
  <si>
    <t xml:space="preserve"> 09 </t>
  </si>
  <si>
    <t>SERVIÇOS COMPLEMENTARES</t>
  </si>
  <si>
    <t xml:space="preserve"> 09.02 </t>
  </si>
  <si>
    <t>LIMPEZA DE OBRAS</t>
  </si>
  <si>
    <t xml:space="preserve"> 09.02.1 </t>
  </si>
  <si>
    <t xml:space="preserve"> 99811 </t>
  </si>
  <si>
    <t>LIMPEZA DE CONTRAPISO COM VASSOURA A SECO. AF_04/2019</t>
  </si>
  <si>
    <t xml:space="preserve"> 09.02.2 </t>
  </si>
  <si>
    <t xml:space="preserve"> 99802 </t>
  </si>
  <si>
    <t>LIMPEZA DE PISO CERÂMICO OU PORCELANATO COM VASSOURA A SECO. AF_04/2019</t>
  </si>
  <si>
    <t xml:space="preserve"> 09.02.3 </t>
  </si>
  <si>
    <t xml:space="preserve"> 99803 </t>
  </si>
  <si>
    <t>LIMPEZA DE PISO CERÂMICO OU PORCELANATO COM PANO ÚMIDO. AF_04/2019</t>
  </si>
  <si>
    <t xml:space="preserve"> 09.02.4 </t>
  </si>
  <si>
    <t xml:space="preserve"> 99806 </t>
  </si>
  <si>
    <t>LIMPEZA DE REVESTIMENTO CERÂMICO EM PAREDE COM PANO ÚMIDO AF_04/2019</t>
  </si>
  <si>
    <t xml:space="preserve"> 09.02.5 </t>
  </si>
  <si>
    <t xml:space="preserve"> 10 </t>
  </si>
  <si>
    <t>SERVIÇOS AUXILIARES E ADMINISTRATIVOS</t>
  </si>
  <si>
    <t xml:space="preserve"> 10.01 </t>
  </si>
  <si>
    <t>PESSOAL</t>
  </si>
  <si>
    <t xml:space="preserve"> 10.01.1 </t>
  </si>
  <si>
    <t>SERVENTE COM ENCARGOS COMPLEMENTARES</t>
  </si>
  <si>
    <t>H</t>
  </si>
  <si>
    <t xml:space="preserve"> 10.01.2 </t>
  </si>
  <si>
    <t xml:space="preserve"> 93572 </t>
  </si>
  <si>
    <t>ENCARREGADO GERAL DE OBRAS COM ENCARGOS COMPLEMENTARES</t>
  </si>
  <si>
    <t xml:space="preserve"> 10.01.3 </t>
  </si>
  <si>
    <t xml:space="preserve"> 90778 </t>
  </si>
  <si>
    <t>ENGENHEIRO CIVIL DE OBRA PLENO COM ENCARGOS COMPLEMENTARES</t>
  </si>
  <si>
    <t>Total sem BDI</t>
  </si>
  <si>
    <t>Total do BDI</t>
  </si>
  <si>
    <t>Total Geral</t>
  </si>
  <si>
    <t>Data:</t>
  </si>
  <si>
    <t>Composição de BDI</t>
  </si>
  <si>
    <t>ITEM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</si>
  <si>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</si>
  <si>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</si>
  <si>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</si>
  <si>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</si>
  <si>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</si>
  <si>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</si>
  <si>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</si>
  <si>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Administração Central</t>
  </si>
  <si>
    <t>a2</t>
  </si>
  <si>
    <t>Seguro + garantia</t>
  </si>
  <si>
    <t>a3</t>
  </si>
  <si>
    <t>Risco</t>
  </si>
  <si>
    <t>a4</t>
  </si>
  <si>
    <t>Despesa Financeira</t>
  </si>
  <si>
    <t>a5</t>
  </si>
  <si>
    <t>Lucro</t>
  </si>
  <si>
    <t>Grupo B</t>
  </si>
  <si>
    <t>% em relação ao valor total VT</t>
  </si>
  <si>
    <t>B1</t>
  </si>
  <si>
    <t>Tributos</t>
  </si>
  <si>
    <t>Pis</t>
  </si>
  <si>
    <t>Cofins</t>
  </si>
  <si>
    <t>ISS (2% após desconto das mercadorias aplicadas, que representam aproximadamente 50% do total da obra)</t>
  </si>
  <si>
    <t>BDI</t>
  </si>
  <si>
    <t>BDI = [(((1+(a1+a2+a3))*(1+a4)*(1+a5)))/(1-B1)-1]</t>
  </si>
  <si>
    <t>Composição de Encargos Sociais</t>
  </si>
  <si>
    <t>CÓDIGO</t>
  </si>
  <si>
    <t>DESCRIÇÃO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</si>
  <si>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</si>
  <si>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</si>
  <si>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</si>
  <si>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</si>
  <si>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</si>
  <si>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</si>
  <si>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</si>
  <si>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</si>
  <si>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</si>
  <si>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</si>
  <si>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</si>
  <si>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</si>
  <si>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</si>
  <si>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</si>
  <si>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</si>
  <si>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</si>
  <si>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</si>
  <si>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</si>
  <si>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</si>
  <si>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</si>
  <si>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</si>
  <si>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</si>
  <si>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</si>
  <si>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</si>
  <si>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</si>
  <si>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</si>
  <si>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</si>
  <si>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</si>
  <si>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</si>
  <si>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</si>
  <si>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</si>
  <si>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</si>
  <si>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</si>
  <si>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</si>
  <si>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</si>
  <si>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</si>
  <si>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</si>
  <si>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</si>
  <si>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</si>
  <si>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</si>
  <si>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</si>
  <si>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</si>
  <si>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</si>
  <si>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</si>
  <si>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</si>
  <si>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</si>
  <si>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</si>
  <si>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</si>
  <si>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 (inclusive 1/3)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</si>
  <si>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</si>
  <si>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</si>
  <si>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</si>
  <si>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</si>
  <si>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</si>
  <si>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</si>
  <si>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</si>
  <si>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</si>
  <si>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</si>
  <si>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</si>
  <si>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</si>
  <si>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</si>
  <si>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</si>
  <si>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Planilha Orçamentária Resumida</t>
  </si>
  <si>
    <t>Planilha Orçamentária Analítica</t>
  </si>
  <si>
    <t>Composição</t>
  </si>
  <si>
    <t>Insumo</t>
  </si>
  <si>
    <t xml:space="preserve"> CM1498 </t>
  </si>
  <si>
    <t>Teste de arrancamento de argamassa - determinação de resistência de aderência à tração</t>
  </si>
  <si>
    <t xml:space="preserve"> CM0645 </t>
  </si>
  <si>
    <t>Anotação de Resposanbilidade Técnica (Faixa 3 - Tabela A - CONFEA)</t>
  </si>
  <si>
    <t xml:space="preserve"> 5928 </t>
  </si>
  <si>
    <t>GUINDAUTO HIDRÁULICO, CAPACIDADE MÁXIMA DE CARGA 6200 KG, MOMENTO MÁXIMO DE CARGA 11,7 TM, ALCANCE MÁXIMO HORIZONTAL 9,70 M, INCLUSIVE CAMINHÃO TOCO PBT 16.000 KG, POTÊNCIA DE 189 CV - CHP DIURNO. AF_06/2014</t>
  </si>
  <si>
    <t>CHP</t>
  </si>
  <si>
    <t>GUINDAUTO HIDRÁULICO, CAPACIDADE MÁXIMA DE CARGA 6200 KG, MOMENTO MÁXIMO DE CARGA 11,7 TM, ALCANCE MÁXIMO HORIZONTAL 9,70 M, INCLUSIVE CAMINHÃO TOCO PBT 16.000 KG, POTÊNCIA DE 189 CV - CHI DIURNO. AF_06/2014</t>
  </si>
  <si>
    <t>CHI</t>
  </si>
  <si>
    <t xml:space="preserve"> 88278 </t>
  </si>
  <si>
    <t>MONTADOR DE ESTRUTURA METÁLICA COM ENCARGOS COMPLEMENTARES</t>
  </si>
  <si>
    <t xml:space="preserve"> 97062 </t>
  </si>
  <si>
    <t>COLOCAÇÃO DE TELA EM ANDAIME FACHADEIRO. AF_11/2017</t>
  </si>
  <si>
    <t xml:space="preserve"> 00010931 </t>
  </si>
  <si>
    <t>TELA DE ARAME GALVANIZADA, HEXAGONAL, FIO 0,56 MM (24 BWG), MALHA 1/2", H = 1 M</t>
  </si>
  <si>
    <t xml:space="preserve"> 98458 </t>
  </si>
  <si>
    <t>TAPUME COM COMPENSADO DE MADEIRA. AF_05/2018</t>
  </si>
  <si>
    <t xml:space="preserve"> 88262 </t>
  </si>
  <si>
    <t>CARPINTEIRO DE FORMAS COM ENCARGOS COMPLEMENTARES</t>
  </si>
  <si>
    <t xml:space="preserve"> 00001351 </t>
  </si>
  <si>
    <t>CHAPA DE MADEIRA COMPENSADA RESINADA PARA FORMA DE CONCRETO, DE *2,2 X 1,1* M, E = 6 MM</t>
  </si>
  <si>
    <t>UN</t>
  </si>
  <si>
    <t xml:space="preserve"> 00004491 </t>
  </si>
  <si>
    <t>PONTALETE DE MADEIRA NAO APARELHADA *7,5 X 7,5* CM (3 X 3 ") PINUS, MISTA OU EQUIVALENTE DA REGIAO</t>
  </si>
  <si>
    <t>M</t>
  </si>
  <si>
    <t xml:space="preserve"> 00005061 </t>
  </si>
  <si>
    <t>PREGO DE ACO POLIDO COM CABECA 18 X 27 (2 1/2 X 10)</t>
  </si>
  <si>
    <t xml:space="preserve"> 88256 </t>
  </si>
  <si>
    <t>AZULEJISTA OU LADRILHISTA COM ENCARGOS COMPLEMENTARES</t>
  </si>
  <si>
    <t xml:space="preserve"> 88309 </t>
  </si>
  <si>
    <t>PEDREIRO COM ENCARGOS COMPLEMENTARES</t>
  </si>
  <si>
    <t xml:space="preserve"> 90439 </t>
  </si>
  <si>
    <t>FURO EM CONCRETO PARA DIÂMETROS MENORES OU IGUAIS A 40 MM. AF_05/2015</t>
  </si>
  <si>
    <t xml:space="preserve"> 97647 </t>
  </si>
  <si>
    <t>REMOÇÃO DE TELHAS, DE FIBROCIMENTO, METÁLICA E CERÂMICA, DE FORMA MANUAL, SEM REAPROVEITAMENTO. AF_12/2017</t>
  </si>
  <si>
    <t xml:space="preserve"> 88315 </t>
  </si>
  <si>
    <t>SERRALHEIRO COM ENCARGOS COMPLEMENTARES</t>
  </si>
  <si>
    <t xml:space="preserve"> 88251 </t>
  </si>
  <si>
    <t>AUXILIAR DE SERRALHEIRO COM ENCARGOS COMPLEMENTARES</t>
  </si>
  <si>
    <t xml:space="preserve"> 00003777 </t>
  </si>
  <si>
    <t>LONA PLASTICA PRETA, E= 150 MICRA</t>
  </si>
  <si>
    <t xml:space="preserve"> 88264 </t>
  </si>
  <si>
    <t>ELETRICISTA COM ENCARGOS COMPLEMENTARES</t>
  </si>
  <si>
    <t xml:space="preserve"> 88247 </t>
  </si>
  <si>
    <t>AUXILIAR DE ELETRICISTA COM ENCARGOS COMPLEMENTARES</t>
  </si>
  <si>
    <t xml:space="preserve"> 88325 </t>
  </si>
  <si>
    <t>VIDRACEIRO COM ENCARGOS COMPLEMENTARES</t>
  </si>
  <si>
    <t xml:space="preserve"> 97915 </t>
  </si>
  <si>
    <t>TRANSPORTE COM CAMINHÃO BASCULANTE DE 6 M3, EM VIA URBANA PAVIMENTADA, DMT ACIMA DE 30 KM (UNIDADE: M3XKM). AF_01/2018</t>
  </si>
  <si>
    <t>M3XKM</t>
  </si>
  <si>
    <t xml:space="preserve"> 97628 </t>
  </si>
  <si>
    <t>DEMOLIÇÃO DE LAJES, DE FORMA MANUAL, SEM REAPROVEITAMENTO. AF_12/2017</t>
  </si>
  <si>
    <t xml:space="preserve"> 87792 </t>
  </si>
  <si>
    <t>EMBOÇO OU MASSA ÚNICA EM ARGAMASSA TRAÇO 1:2:8, PREPARO MECÂNICO COM BETONEIRA 400 L, APLICADA MANUALMENTE EM PANOS CEGOS DE FACHADA (SEM PRESENÇA DE VÃOS), ESPESSURA DE 25 MM. AF_06/2014</t>
  </si>
  <si>
    <t xml:space="preserve"> 91338 </t>
  </si>
  <si>
    <t>PORTA DE ALUMÍNIO DE ABRIR COM LAMBRI, COM GUARNIÇÃO, FIXAÇÃO COM PARAFUSOS - FORNECIMENTO E INSTALAÇÃO. AF_12/2019</t>
  </si>
  <si>
    <t xml:space="preserve"> 87298 </t>
  </si>
  <si>
    <t>ARGAMASSA TRAÇO 1:3 (CIMENTO E AREIA MÉDIA) PARA CONTRAPISO, PREPARO MECÂNICO COM BETONEIRA 400 L. AF_06/2014</t>
  </si>
  <si>
    <t xml:space="preserve"> 00005085 </t>
  </si>
  <si>
    <t>CADEADO SIMPLES, EM LATAO MACICO CROMADO, LARGURA DE 35 MM,  HASTE DE ACO TEMPERADO, CEMENTADO (NAO LONGA), INCLUI 2 CHAVES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</si>
  <si>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</si>
  <si>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</si>
  <si>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</si>
  <si>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</si>
  <si>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CM1439 </t>
  </si>
  <si>
    <t>Tela arame galvanizado mosqueteira contra insetos</t>
  </si>
  <si>
    <t xml:space="preserve"> 00004777 </t>
  </si>
  <si>
    <t>CANTONEIRA ACO ABAS IGUAIS (QUALQUER BITOLA), ESPESSURA ENTRE 1/8" E 1/4"</t>
  </si>
  <si>
    <t xml:space="preserve"> 00011062 </t>
  </si>
  <si>
    <t>PLACA CIMENTICIA LISA E = 10 MM, DE 1,20 X 3,00 M (SEM AMIANTO)</t>
  </si>
  <si>
    <t xml:space="preserve"> 00000142 </t>
  </si>
  <si>
    <t>SELANTE ELASTICO MONOCOMPONENTE A BASE DE POLIURETANO PARA JUNTAS DIVERSAS</t>
  </si>
  <si>
    <t>310ML</t>
  </si>
  <si>
    <t xml:space="preserve"> CM1446 </t>
  </si>
  <si>
    <t xml:space="preserve"> 87700 </t>
  </si>
  <si>
    <t>CONTRAPISO EM ARGAMASSA TRAÇO 1:4 (CIMENTO E AREIA), PREPARO MECÂNICO COM BETONEIRA 400 L, APLICADO EM ÁREAS SECAS SOBRE LAJE, NÃO ADERIDO, ESPESSURA 6CM. AF_06/2014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</si>
  <si>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</si>
  <si>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</si>
  <si>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88323 </t>
  </si>
  <si>
    <t>TELHADISTA COM ENCARGOS COMPLEMENTARES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</si>
  <si>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</si>
  <si>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</si>
  <si>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</si>
  <si>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</si>
  <si>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>TELHA TERMOISOLANTE REVESTIDA EM ACO GALVALUME, COM FACE SUPERIOR EM TELHA TRAPEZOIDAL E FACE INFERIOR EM CHAPA PLANA (NÃO INCLUI ACESSORIOS DE FIXACAO), REVESTIMENTO COM ESPESSURA DE 0,50 MM COM PRE-PINTURA DE COR BRANCA NAS DUAS FACES, NUCLEO EM POLIISOCIANURATO (PIR) COM ESPESSURA DE 50 MM</t>
  </si>
  <si>
    <t xml:space="preserve"> CM1242 </t>
  </si>
  <si>
    <t xml:space="preserve"> 00005104 </t>
  </si>
  <si>
    <t>REBITE DE ALUMINIO VAZADO DE REPUXO, 3,2 X 8 MM (1KG = 1025 UNIDADES)</t>
  </si>
  <si>
    <t xml:space="preserve"> CM1534 </t>
  </si>
  <si>
    <t xml:space="preserve"> CM1504 </t>
  </si>
  <si>
    <t xml:space="preserve"> CM1505 </t>
  </si>
  <si>
    <t>Arremate de fechamento frontal marrom para telha termoacústica, incluso acessórios de fixação e içamento</t>
  </si>
  <si>
    <t xml:space="preserve"> 94231 </t>
  </si>
  <si>
    <t>RUFO EM CHAPA DE AÇO GALVANIZADO NÚMERO 24, CORTE DE 25 CM, INCLUSO TRANSPORTE VERTICAL. AF_07/2019</t>
  </si>
  <si>
    <t xml:space="preserve"> 100327 </t>
  </si>
  <si>
    <t>RUFO EXTERNO/INTERNO EM CHAPA DE AÇO GALVANIZADO NÚMERO 26, CORTE DE 33 CM, INCLUSO IÇAMENTO. AF_07/2019</t>
  </si>
  <si>
    <t xml:space="preserve"> 88297 </t>
  </si>
  <si>
    <t>OPERADOR DE MÁQUINAS E EQUIPAMENTOS COM ENCARGOS COMPLEMENTARES</t>
  </si>
  <si>
    <t xml:space="preserve"> 95276 </t>
  </si>
  <si>
    <t>POLIDORA DE PISO (POLITRIZ), PESO DE 100KG, DIÂMETRO 450 MM, MOTOR ELÉTRICO, POTÊNCIA 4 HP - CHP DIURNO. AF_09/2016</t>
  </si>
  <si>
    <t xml:space="preserve"> CM1130 </t>
  </si>
  <si>
    <t>Pastilha de porcelana 5,0x5,0cm, linha Engenharia, cor Barents, fab. Atlas (ref.M6329)</t>
  </si>
  <si>
    <t xml:space="preserve"> 00037595 </t>
  </si>
  <si>
    <t>ARGAMASSA COLANTE TIPO ACIII</t>
  </si>
  <si>
    <t xml:space="preserve"> CM1205 </t>
  </si>
  <si>
    <t>Pastilha de porcelana 5,0x5,0cm, linha Engenharia, cor Areia, fab. Atlas (ref.M4330)</t>
  </si>
  <si>
    <t xml:space="preserve"> CM0173 </t>
  </si>
  <si>
    <t>Fornecimento e instalação de tabica metálica pré pintada, para forro em gesso acartonado</t>
  </si>
  <si>
    <t>L</t>
  </si>
  <si>
    <t xml:space="preserve"> 00001379 </t>
  </si>
  <si>
    <t>CIMENTO PORTLAND COMPOSTO CP II-32</t>
  </si>
  <si>
    <t xml:space="preserve"> 00007334 </t>
  </si>
  <si>
    <t>ADITIVO ADESIVO LIQUIDO PARA ARGAMASSAS DE REVESTIMENTOS CIMENTICIOS</t>
  </si>
  <si>
    <t xml:space="preserve"> 88243 </t>
  </si>
  <si>
    <t>AJUDANTE ESPECIALIZADO COM ENCARGOS COMPLEMENTARES</t>
  </si>
  <si>
    <t xml:space="preserve"> 88270 </t>
  </si>
  <si>
    <t>IMPERMEABILIZADOR COM ENCARGOS COMPLEMENTARES</t>
  </si>
  <si>
    <t xml:space="preserve"> 00004015 </t>
  </si>
  <si>
    <t>MANTA ASFALTICA ELASTOMERICA EM POLIESTER 4 MM, TIPO III, CLASSE B, ACABAMENTO PP (NBR 9952)</t>
  </si>
  <si>
    <t xml:space="preserve"> 00004226 </t>
  </si>
  <si>
    <t>GAS DE COZINHA - GLP</t>
  </si>
  <si>
    <t xml:space="preserve"> 00000511 </t>
  </si>
  <si>
    <t>PRIMER PARA MANTA ASFALTICA A BASE DE ASFALTO MODIFICADO DILUIDO EM SOLVENTE, APLICACAO A FRIO</t>
  </si>
  <si>
    <t xml:space="preserve"> 00000516 </t>
  </si>
  <si>
    <t>ASFALTO MODIFICADO TIPO II - NBR 9910 (ASFALTO OXIDADO PARA IMPERMEABILIZACAO, COEFICIENTE DE PENETRACAO 20-35)</t>
  </si>
  <si>
    <t xml:space="preserve"> 87301 </t>
  </si>
  <si>
    <t>ARGAMASSA TRAÇO 1:4 (CIMENTO E AREIA MÉDIA) PARA CONTRAPISO, PREPARO MECÂNICO COM BETONEIRA 400 L. AF_06/2014</t>
  </si>
  <si>
    <t xml:space="preserve"> 00004021 </t>
  </si>
  <si>
    <t>GEOTEXTIL NAO TECIDO AGULHADO DE FILAMENTOS CONTINUOS 100% POLIESTER, RESITENCIA A TRACAO = 14 KN/M</t>
  </si>
  <si>
    <t xml:space="preserve"> 00000509 </t>
  </si>
  <si>
    <t>ASFALTO MODIFICADO TIPO III - NBR 9910 (ASFALTO OXIDADO PARA IMPERMEABILIZACAO, COEFICIENTE DE PENETRACAO 15-25)</t>
  </si>
  <si>
    <t xml:space="preserve"> 88274 </t>
  </si>
  <si>
    <t>MARMORISTA/GRANITEIRO COM ENCARGOS COMPLEMENTARES</t>
  </si>
  <si>
    <t xml:space="preserve"> CM0061 </t>
  </si>
  <si>
    <t>Granito Branco Itaúna, ou equivalente, e=2cm, acabamento polido</t>
  </si>
  <si>
    <t xml:space="preserve"> 00034353 </t>
  </si>
  <si>
    <t>ARGAMASSA COLANTE AC-II</t>
  </si>
  <si>
    <t xml:space="preserve"> CM0757 </t>
  </si>
  <si>
    <t>Friso para pingadeira (granito)</t>
  </si>
  <si>
    <t xml:space="preserve"> CM0065 </t>
  </si>
  <si>
    <t>Acabamento reto (granito)</t>
  </si>
  <si>
    <t xml:space="preserve"> CM0169 </t>
  </si>
  <si>
    <t>Solução hidrofugante à base de silano-siloxano Nitroprimer 40, fab. Anchortec Quartzolit</t>
  </si>
  <si>
    <t>l</t>
  </si>
  <si>
    <t xml:space="preserve"> 00007572 </t>
  </si>
  <si>
    <t>SUPORTE ISOLADOR REFORCADO DIAMETRO NOMINAL 5/16", COM ROSCA SOBERBA E BUCHA</t>
  </si>
  <si>
    <t xml:space="preserve"> 00000425 </t>
  </si>
  <si>
    <t>GRAMPO METALICO TIPO OLHAL PARA HASTE DE ATERRAMENTO DE 5/8'', CONDUTOR DE *10* A 50 MM2</t>
  </si>
  <si>
    <t xml:space="preserve"> 00011963 </t>
  </si>
  <si>
    <t>PARAFUSO DE ACO TIPO CHUMBADOR PARABOLT, DIAMETRO 1/2", COMPRIMENTO 75 MM</t>
  </si>
  <si>
    <t xml:space="preserve"> 89821 </t>
  </si>
  <si>
    <t>LUVA SIMPLES, PVC, SERIE NORMAL, ESGOTO PREDIAL, DN 100 MM, JUNTA ELÁSTICA, FORNECIDO E INSTALADO EM PRUMADA DE ESGOTO SANITÁRIO OU VENTILAÇÃO. AF_12/2014</t>
  </si>
  <si>
    <t xml:space="preserve"> 89673 </t>
  </si>
  <si>
    <t>REDUÇÃO EXCÊNTRICA, PVC, SERIE R, ÁGUA PLUVIAL, DN 100 X 75 MM, JUNTA ELÁSTICA, FORNECIDO E INSTALADO EM CONDUTORES VERTICAIS DE ÁGUAS PLUVIAIS. AF_12/2014</t>
  </si>
  <si>
    <t xml:space="preserve"> 89807 </t>
  </si>
  <si>
    <t>CURVA CURTA 90 GRAUS, PVC, SERIE NORMAL, ESGOTO PREDIAL, DN 75 MM, JUNTA ELÁSTICA, FORNECIDO E INSTALADO EM PRUMADA DE ESGOTO SANITÁRIO OU VENTILAÇÃO. AF_12/2014</t>
  </si>
  <si>
    <t xml:space="preserve"> 97641 </t>
  </si>
  <si>
    <t>REMOÇÃO DE FORRO DE GESSO, DE FORMA MANUAL, SEM REAPROVEITAMENTO. AF_12/2017</t>
  </si>
  <si>
    <t xml:space="preserve"> 90278 </t>
  </si>
  <si>
    <t>GRAUTE FGK=15 MPA; TRAÇO 1:0,04:2,0:2,4 (CIMENTO/ CAL/ AREIA GROSSA/ BRITA 0) - PREPARO MECÂNICO COM BETONEIRA 400 L. AF_02/2015</t>
  </si>
  <si>
    <t xml:space="preserve"> 88248 </t>
  </si>
  <si>
    <t>AUXILIAR DE ENCANADOR OU BOMBEIRO HIDRÁULICO COM ENCARGOS COMPLEMENTARES</t>
  </si>
  <si>
    <t>ENCANADOR OU BOMBEIRO HIDRÁULICO COM ENCARGOS COMPLEMENTARES</t>
  </si>
  <si>
    <t xml:space="preserve"> 00011708 </t>
  </si>
  <si>
    <t>RALO FOFO SEMIESFERICO, 100 MM, PARA LAJES/ CALHAS</t>
  </si>
  <si>
    <t>Insumos e Serviços</t>
  </si>
  <si>
    <t>Classificação</t>
  </si>
  <si>
    <t>Cronograma Físico e Financeiro</t>
  </si>
  <si>
    <t>Total Por Etapa</t>
  </si>
  <si>
    <t>30 DIAS</t>
  </si>
  <si>
    <t>60 DIAS</t>
  </si>
  <si>
    <t>90 DIAS</t>
  </si>
  <si>
    <t>120 DIAS</t>
  </si>
  <si>
    <t>Porcentagem</t>
  </si>
  <si>
    <t>Custo</t>
  </si>
  <si>
    <t>Porcentagem Acumulado</t>
  </si>
  <si>
    <t>Custo Acumulado</t>
  </si>
  <si>
    <t xml:space="preserve"> 0,47</t>
  </si>
  <si>
    <t xml:space="preserve"> 20,00</t>
  </si>
  <si>
    <t xml:space="preserve"> 5,00</t>
  </si>
  <si>
    <t xml:space="preserve"> 12,00</t>
  </si>
  <si>
    <t xml:space="preserve"> 233,94</t>
  </si>
  <si>
    <t>Delimitador de profundidade (Tarucel) Ø 6mm</t>
  </si>
  <si>
    <t>Valor Mensal</t>
  </si>
  <si>
    <t>Valor Acumulado</t>
  </si>
  <si>
    <t xml:space="preserve"> 88267 </t>
  </si>
  <si>
    <t>Material</t>
  </si>
  <si>
    <t>Mão de Obra</t>
  </si>
  <si>
    <t xml:space="preserve"> 88241 </t>
  </si>
  <si>
    <t>AJUDANTE DE OPERAÇÃO EM GERAL COM ENCARGOS COMPLEMENTARES</t>
  </si>
  <si>
    <t>Custo total sem item 10</t>
  </si>
  <si>
    <t>Porcentagem sem item 10</t>
  </si>
  <si>
    <t>ALVENARIA DE VEDAÇÃO DE BLOCOS CERÂMICOS MACIÇOS DE 5X10X20CM (ESPESSURA 10CM) E ARGAMASSA DE ASSENTAMENTO COM PREPARO EM BETONEIRA. AF_05/2020</t>
  </si>
  <si>
    <t>PISO EM GRANILITE, MARMORITE OU GRANITINA EM AMBIENTES INTERNOS. AF_09/2020</t>
  </si>
  <si>
    <t>M2</t>
  </si>
  <si>
    <t>LOCACAO DE CONTAINER 2,30 X 6,00 M, ALT. 2,50 M, COM 1 SANITARIO, PARA ESCRITORIO, COMPLETO, SEM DIVISORIAS INTERNAS</t>
  </si>
  <si>
    <t>MÊS</t>
  </si>
  <si>
    <t>CM1529</t>
  </si>
  <si>
    <t>Instruções de Preenchimento do Modelo de Proposta</t>
  </si>
  <si>
    <t>CONSIDERAÇÕES GERAIS</t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</si>
  <si>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</si>
  <si>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t>Sugerimos a seguinte sequência de preenchimento de planilhas:</t>
  </si>
  <si>
    <t>2.1</t>
  </si>
  <si>
    <r>
      <t xml:space="preserve">Valide os valores constantes na </t>
    </r>
    <r>
      <rPr>
        <b/>
        <sz val="8"/>
        <rFont val="Arial"/>
        <family val="2"/>
      </rPr>
      <t>Planilha de Insumos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 Serviços</t>
    </r>
    <r>
      <rPr>
        <sz val="8"/>
        <rFont val="Arial"/>
        <family val="2"/>
      </rPr>
      <t>. Em consoância com o edital aqueles são os valores máximos adimitidos, desta forma, é facultado à Licitante sua manutenção ou diminuição.</t>
    </r>
  </si>
  <si>
    <t>2.2</t>
  </si>
  <si>
    <r>
      <t xml:space="preserve">Valide os coeficientes de participação dos insumos, constantes na </t>
    </r>
    <r>
      <rPr>
        <b/>
        <sz val="8"/>
        <rFont val="Arial"/>
        <family val="2"/>
      </rPr>
      <t>Planilha de Orçamento Analítico</t>
    </r>
    <r>
      <rPr>
        <sz val="8"/>
        <rFont val="Arial"/>
        <family val="2"/>
      </rPr>
      <t>.</t>
    </r>
  </si>
  <si>
    <t>2.3</t>
  </si>
  <si>
    <r>
      <t xml:space="preserve">Preencha os coeficientes relativo à cada item da </t>
    </r>
    <r>
      <rPr>
        <b/>
        <sz val="8"/>
        <rFont val="Arial"/>
        <family val="2"/>
      </rPr>
      <t xml:space="preserve">Planilha de Composição do BDI, </t>
    </r>
    <r>
      <rPr>
        <sz val="8"/>
        <rFont val="Arial"/>
        <family val="2"/>
      </rPr>
      <t>realizando os ajustes que julgar necessário, observando as orientações sobre esta planilha, que estão descritas abaixo;</t>
    </r>
  </si>
  <si>
    <t>2.4</t>
  </si>
  <si>
    <t>2.5</t>
  </si>
  <si>
    <r>
      <t xml:space="preserve">Neste momento o valor final da proposta já será conhecido. Preencha a </t>
    </r>
    <r>
      <rPr>
        <b/>
        <sz val="8"/>
        <rFont val="Arial"/>
        <family val="2"/>
      </rPr>
      <t>Planilha de Composição de Encargos Sociais</t>
    </r>
    <r>
      <rPr>
        <sz val="8"/>
        <rFont val="Arial"/>
        <family val="2"/>
      </rPr>
      <t xml:space="preserve"> com os percentuais de cada item que a compoe.</t>
    </r>
  </si>
  <si>
    <t>SOBRE A PLANILHA DE ORÇAMENTO SINTÉTICO</t>
  </si>
  <si>
    <r>
      <t xml:space="preserve">A Planilha Orçamentária </t>
    </r>
    <r>
      <rPr>
        <b/>
        <u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</si>
  <si>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r>
      <t xml:space="preserve">Os preços unitários desta planilha estão vinculados, por dependência, às demais planilhas (Orçamento Analítico, Insumos e Serviços). Desta forma </t>
    </r>
    <r>
      <rPr>
        <b/>
        <u/>
        <sz val="8"/>
        <color indexed="10"/>
        <rFont val="Arial"/>
        <family val="2"/>
      </rPr>
      <t>NENHUM</t>
    </r>
    <r>
      <rPr>
        <sz val="8"/>
        <rFont val="Arial"/>
        <family val="2"/>
      </rPr>
      <t xml:space="preserve"> valor unitário deverá ser preenchido diretamente nesta planilha;</t>
    </r>
  </si>
  <si>
    <t>SOBRE A PLANILHA DE ORÇAMENTO ANALÍTICO</t>
  </si>
  <si>
    <r>
      <t xml:space="preserve">Esta planilha é referencial, portanto os </t>
    </r>
    <r>
      <rPr>
        <b/>
        <sz val="8"/>
        <rFont val="Arial"/>
        <family val="2"/>
      </rPr>
      <t xml:space="preserve">coeficientes </t>
    </r>
    <r>
      <rPr>
        <sz val="8"/>
        <rFont val="Arial"/>
        <family val="2"/>
      </rPr>
      <t>de participação dos insumos poderão sofrer alterações;</t>
    </r>
  </si>
  <si>
    <t>Esta planilha contem vínculos. Tornando-se dependente dos preços, descrições e unidades constantes tanto na Planilha de Insumos e Serviços quanto na Planilha de Orçamento Sintético;</t>
  </si>
  <si>
    <t>Os valores unitários de serviços compostos nesta planilha, são transportados automaticamente para a Planilha de Orçamento Sintético;</t>
  </si>
  <si>
    <t>SOBRE A PLANILHA DE INSUMOS E SERVIÇOS</t>
  </si>
  <si>
    <t>Esta planilha constitui a base para estruturação dos preços unitários e totais.</t>
  </si>
  <si>
    <t>Valide os valores constantes neste arquivo. Em consoância com o edital aqueles são os valores máximos adimitidos, desta forma, é facultado à Licitante sua manutenção ou diminuição.</t>
  </si>
  <si>
    <r>
      <t>Os valores unitários deverão ser preenchidos com</t>
    </r>
    <r>
      <rPr>
        <b/>
        <u/>
        <sz val="8"/>
        <color rgb="FFFF0000"/>
        <rFont val="Arial"/>
        <family val="2"/>
      </rPr>
      <t xml:space="preserve"> no máximo duas casas decimais</t>
    </r>
    <r>
      <rPr>
        <sz val="8"/>
        <rFont val="Arial"/>
        <family val="2"/>
      </rPr>
      <t>. Caso opte por aplicar um percentual lde desconto, certifique-se de utilizar fórmula de arredondamento ou truncamento respeitando este limite.</t>
    </r>
  </si>
  <si>
    <r>
      <t xml:space="preserve">Indique a marca e modelo dos itens (quando aplicável). </t>
    </r>
    <r>
      <rPr>
        <b/>
        <u/>
        <sz val="8"/>
        <color indexed="10"/>
        <rFont val="Arial"/>
        <family val="2"/>
      </rPr>
      <t>A não indicação  de marca e ou modelo de referência constitui afronta ao edital, sob pena de desclassificação da proposta.</t>
    </r>
  </si>
  <si>
    <t>D</t>
  </si>
  <si>
    <t>SOBRE A PLANILHA DE COMPOSIÇÃO DE BDI</t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</si>
  <si>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</si>
  <si>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O percentual aplicável do ISS está vinculado ao percentual de mão de obra informado na Planilha de Composição de Custo Total, e será automaticamente ajustado quando executado a orientação contida em 2.4;</t>
  </si>
  <si>
    <t>D3</t>
  </si>
  <si>
    <t>O valor final da composição do BDI está vinculado, por precedência, à Planilha de Orçamento Sintético.</t>
  </si>
  <si>
    <t>E</t>
  </si>
  <si>
    <t>SOBRE A PLANILHA DE COMPOSIÇÃO DE ENCARGOS SOCIAIS</t>
  </si>
  <si>
    <t>E1</t>
  </si>
  <si>
    <t>Esta planilha é meramente demonstrativa (não influi sobre o valor final do orçamento).</t>
  </si>
  <si>
    <t>F</t>
  </si>
  <si>
    <t>SOBRE O CRONOGRAMA FÍSICO-FINANCEIRO</t>
  </si>
  <si>
    <t>F.1</t>
  </si>
  <si>
    <t>Os itens e valores desta planiha são provenientes da Planilha de Orçamento Sintético;</t>
  </si>
  <si>
    <t>F.2</t>
  </si>
  <si>
    <t>F.3</t>
  </si>
  <si>
    <t>O ajuste final (última etapa) de um determinado item, deverá respeitar a fórmula inserida no último mês do cronograma, transportando-a quando necessário.</t>
  </si>
  <si>
    <t>P. Execução:</t>
  </si>
  <si>
    <t>Licitação:</t>
  </si>
  <si>
    <t>P. Validade:</t>
  </si>
  <si>
    <t>Razão Social:</t>
  </si>
  <si>
    <t>Telefone:</t>
  </si>
  <si>
    <t>P. Garantia:</t>
  </si>
  <si>
    <t>CNPJ:</t>
  </si>
  <si>
    <t>E-mail:</t>
  </si>
  <si>
    <t>G</t>
  </si>
  <si>
    <r>
      <rPr>
        <b/>
        <sz val="8"/>
        <color indexed="8"/>
        <rFont val="Arial"/>
        <family val="2"/>
      </rPr>
      <t xml:space="preserve">Objeto: </t>
    </r>
    <r>
      <rPr>
        <sz val="8"/>
        <color indexed="8"/>
        <rFont val="Arial"/>
        <family val="2"/>
      </rPr>
      <t>Revitalização de fachada, impermeabilização e cobertura - PJGA</t>
    </r>
  </si>
  <si>
    <r>
      <rPr>
        <b/>
        <sz val="8"/>
        <color indexed="8"/>
        <rFont val="Arial"/>
        <family val="2"/>
      </rPr>
      <t>Local:</t>
    </r>
    <r>
      <rPr>
        <sz val="8"/>
        <color indexed="8"/>
        <rFont val="Arial"/>
        <family val="2"/>
      </rPr>
      <t xml:space="preserve"> Quadra 1, - Setor Industrial (Gama), Lotes 860, 880 e 900</t>
    </r>
  </si>
  <si>
    <t>Marca</t>
  </si>
  <si>
    <t>Modelo</t>
  </si>
  <si>
    <t>********</t>
  </si>
  <si>
    <t>*******</t>
  </si>
  <si>
    <r>
      <t xml:space="preserve">As </t>
    </r>
    <r>
      <rPr>
        <b/>
        <sz val="8"/>
        <color rgb="FFFF0000"/>
        <rFont val="Arial"/>
        <family val="2"/>
      </rPr>
      <t>etapas</t>
    </r>
    <r>
      <rPr>
        <sz val="8"/>
        <rFont val="Arial"/>
        <family val="2"/>
      </rPr>
      <t xml:space="preserve"> a serem executadas mensalmente, deverão ser informadas na</t>
    </r>
    <r>
      <rPr>
        <b/>
        <sz val="8"/>
        <color rgb="FFFF0000"/>
        <rFont val="Arial"/>
        <family val="2"/>
      </rPr>
      <t xml:space="preserve"> linha do percentual</t>
    </r>
    <r>
      <rPr>
        <sz val="8"/>
        <rFont val="Arial"/>
        <family val="2"/>
      </rPr>
      <t>, e os valores serão preenchidos automaticamente, inclusive nas etapas macro;</t>
    </r>
  </si>
  <si>
    <t xml:space="preserve"> 00000151 </t>
  </si>
  <si>
    <t>IMPERMEABILIZANTE INCOLOR PARA TRATAMENTO DE FACHADAS E TELHAS, BASE SILICONE</t>
  </si>
  <si>
    <t xml:space="preserve"> CM1658 </t>
  </si>
  <si>
    <t xml:space="preserve"> CM1659 </t>
  </si>
  <si>
    <t xml:space="preserve"> CM1742 </t>
  </si>
  <si>
    <t>Borracha de vedação tipo gaxeta em EPDM, ref FAA-218 (GUA 2218 – pingadeira) - Belmetal-Atlanta</t>
  </si>
  <si>
    <t>Borracha de vedação tipo gaxeta em EPDM, FAA-250 (GUA 2250 – GAXETA EXTERNA FLAP) - Belmetal-Atlanta</t>
  </si>
  <si>
    <t>Fechamento em sistema misto de steel frame não estrutural, inclusive tratamento de juntas, espessura final de aproximadamente de 12 cm. Internamente com chapa de gesso acartonado e=12,5mm; externamente com placa cimentícia e=12,5 mm; membrana hidrófuga; e massa basecoat.</t>
  </si>
  <si>
    <t>Telha termoacústica, tipo trapezoidal com núcleo isolante em PIR com espessura de 50mm, revestimento externo e interno de aço (0,50 / 0,43), pré printado na cor MARROM, inclusive acessórios de fixação</t>
  </si>
  <si>
    <t>Telha termoacústica, tipo trapezoidal com núcleo isolante em PIR com espessura de 50mm, revestimento externo e interno de aço (0,50 / 0,43), pré printado na cor BRANCA, inclusive acessórios de fixação</t>
  </si>
  <si>
    <t>Fechamento em sistema misto de steel frame não estrutural, inclusive tratamento de juntas, espessura final de aproximadamente  de 12 cm. Internamente com chapa de gesso acartonado e=12,5mm; externamente com placa cimentícia e=12,5 mm; membrana hidrófuga; e massa basecoat.</t>
  </si>
  <si>
    <t>Copia da SINAPI (94216) - Telha termoacústica, tipo trapezoidal com núcleo isolante em PIR com espessura de 50mm, revestimento externo e interno de aço (0,50 / 0,43), pré printado na cor branca</t>
  </si>
  <si>
    <t>Copia da SINAPI (94216) - Telha termoacústica, tipo trapezoidal com núcleo isolante em PIR com espessura de 50mm, revestimento externo e interno de aço (0,50 / 0,43), pré printado na cor marrom.</t>
  </si>
  <si>
    <t xml:space="preserve"> MPDFT0867 </t>
  </si>
  <si>
    <t xml:space="preserve">  MPDFT0868  </t>
  </si>
  <si>
    <t xml:space="preserve"> MPDFT0108 </t>
  </si>
  <si>
    <t xml:space="preserve"> MPDFT0869 </t>
  </si>
  <si>
    <t xml:space="preserve"> MPDFT0870 </t>
  </si>
  <si>
    <t xml:space="preserve"> 04.01.250.10</t>
  </si>
  <si>
    <t>Substituição de borracha de vedação tipo gaxeta em EPDM, ref FAA-218 (GUA 2218 – pingadeira) - Belmetal-Atlanta</t>
  </si>
  <si>
    <t xml:space="preserve"> 04.01.250.11</t>
  </si>
  <si>
    <t>Substituição de borracha de vedação tipo gaxeta em EPDM, FAA-250 (GUA 2250 – GAXETA EXTERNA FLAP) - Belmetal-Atlanta</t>
  </si>
  <si>
    <t xml:space="preserve"> 04.01.250.12</t>
  </si>
  <si>
    <t>Copia da ORSE (4715) - Remoção de vidro Laminado ou temperado</t>
  </si>
  <si>
    <t xml:space="preserve"> 04.01.250.13</t>
  </si>
  <si>
    <t>Copia da SINAPI (72120) - Recolocação de vidro laminado / temperado, inclusive massa / silicone</t>
  </si>
  <si>
    <t xml:space="preserve"> 04.01.250.14</t>
  </si>
  <si>
    <t>Aplicação de silicone / junta  / cordão e=1x1cm</t>
  </si>
  <si>
    <r>
      <t xml:space="preserve">Preencha o percentual referente à mão-de-obra na célula </t>
    </r>
    <r>
      <rPr>
        <b/>
        <sz val="8"/>
        <color indexed="10"/>
        <rFont val="Arial"/>
        <family val="2"/>
      </rPr>
      <t xml:space="preserve">B125 </t>
    </r>
    <r>
      <rPr>
        <sz val="8"/>
        <rFont val="Arial"/>
        <family val="2"/>
      </rPr>
      <t xml:space="preserve">da </t>
    </r>
    <r>
      <rPr>
        <b/>
        <sz val="8"/>
        <rFont val="Arial"/>
        <family val="2"/>
      </rPr>
      <t>Planilha de Orçamento Sintético</t>
    </r>
    <r>
      <rPr>
        <sz val="8"/>
        <rFont val="Arial"/>
        <family val="2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</si>
</sst>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%"/>
    <numFmt numFmtId="165" formatCode="#,##0.0000"/>
    <numFmt numFmtId="166" formatCode="_(* #,##0.00_);_(* \(#,##0.00\);_(* \-??_);_(@_)"/>
    <numFmt numFmtId="167" formatCode="&quot;R$ &quot;#,##0;&quot;-R$ &quot;#,##0"/>
    <numFmt numFmtId="168" formatCode="0.0000"/>
  </numFmts>
  <fonts count="51" x14ac:knownFonts="1">
    <font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8"/>
      <name val="Arial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1"/>
    </font>
    <font>
      <b/>
      <sz val="8"/>
      <color rgb="FF000000"/>
      <name val="Arial"/>
      <family val="1"/>
    </font>
    <font>
      <sz val="8"/>
      <name val="Arial"/>
      <family val="1"/>
    </font>
    <font>
      <b/>
      <sz val="10"/>
      <name val="Arial"/>
      <family val="2"/>
    </font>
    <font>
      <b/>
      <i/>
      <sz val="8"/>
      <color rgb="FF000000"/>
      <name val="Arial"/>
      <family val="1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sz val="4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u/>
      <sz val="8"/>
      <color rgb="FFFF0000"/>
      <name val="Arial"/>
      <family val="2"/>
    </font>
    <font>
      <b/>
      <sz val="8"/>
      <color rgb="FFFF000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0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14" borderId="0" applyNumberFormat="0" applyBorder="0" applyAlignment="0" applyProtection="0"/>
    <xf numFmtId="0" fontId="9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9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10" fillId="8" borderId="0" applyNumberFormat="0" applyBorder="0" applyAlignment="0" applyProtection="0"/>
    <xf numFmtId="0" fontId="11" fillId="34" borderId="0" applyNumberFormat="0" applyBorder="0" applyAlignment="0" applyProtection="0"/>
    <xf numFmtId="0" fontId="12" fillId="35" borderId="17" applyNumberFormat="0" applyAlignment="0" applyProtection="0"/>
    <xf numFmtId="0" fontId="12" fillId="36" borderId="17" applyNumberFormat="0" applyAlignment="0" applyProtection="0"/>
    <xf numFmtId="0" fontId="13" fillId="37" borderId="18" applyNumberFormat="0" applyAlignment="0" applyProtection="0"/>
    <xf numFmtId="0" fontId="14" fillId="0" borderId="19" applyNumberFormat="0" applyFill="0" applyAlignment="0" applyProtection="0"/>
    <xf numFmtId="0" fontId="13" fillId="38" borderId="18" applyNumberFormat="0" applyAlignment="0" applyProtection="0"/>
    <xf numFmtId="0" fontId="9" fillId="2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42" borderId="0" applyNumberFormat="0" applyBorder="0" applyAlignment="0" applyProtection="0"/>
    <xf numFmtId="0" fontId="15" fillId="14" borderId="17" applyNumberFormat="0" applyAlignment="0" applyProtection="0"/>
    <xf numFmtId="166" fontId="8" fillId="0" borderId="0"/>
    <xf numFmtId="0" fontId="16" fillId="0" borderId="0"/>
    <xf numFmtId="0" fontId="17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15" fillId="12" borderId="17" applyNumberFormat="0" applyAlignment="0" applyProtection="0"/>
    <xf numFmtId="0" fontId="14" fillId="0" borderId="19" applyNumberFormat="0" applyFill="0" applyAlignment="0" applyProtection="0"/>
    <xf numFmtId="0" fontId="21" fillId="23" borderId="0" applyNumberFormat="0" applyBorder="0" applyAlignment="0" applyProtection="0"/>
    <xf numFmtId="0" fontId="21" fillId="44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6" fillId="15" borderId="23" applyNumberFormat="0" applyAlignment="0" applyProtection="0"/>
    <xf numFmtId="0" fontId="16" fillId="45" borderId="23" applyNumberFormat="0" applyFont="0" applyAlignment="0" applyProtection="0"/>
    <xf numFmtId="0" fontId="23" fillId="35" borderId="24" applyNumberFormat="0" applyAlignment="0" applyProtection="0"/>
    <xf numFmtId="9" fontId="16" fillId="0" borderId="0" applyFont="0" applyFill="0" applyBorder="0" applyAlignment="0" applyProtection="0"/>
    <xf numFmtId="0" fontId="23" fillId="36" borderId="24" applyNumberFormat="0" applyAlignment="0" applyProtection="0"/>
    <xf numFmtId="167" fontId="16" fillId="0" borderId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8" fillId="0" borderId="21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7" applyNumberFormat="0" applyFill="0" applyAlignment="0" applyProtection="0"/>
    <xf numFmtId="166" fontId="16" fillId="0" borderId="0" applyFill="0" applyBorder="0" applyAlignment="0" applyProtection="0"/>
    <xf numFmtId="0" fontId="2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245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31" fillId="0" borderId="0" xfId="72" applyFont="1" applyAlignment="1"/>
    <xf numFmtId="0" fontId="7" fillId="0" borderId="0" xfId="76" applyFont="1"/>
    <xf numFmtId="0" fontId="3" fillId="3" borderId="0" xfId="0" applyFont="1" applyFill="1" applyAlignment="1">
      <alignment horizontal="center" vertical="top" wrapText="1"/>
    </xf>
    <xf numFmtId="0" fontId="7" fillId="0" borderId="0" xfId="0" applyFont="1"/>
    <xf numFmtId="0" fontId="33" fillId="4" borderId="2" xfId="0" applyFont="1" applyFill="1" applyBorder="1" applyAlignment="1">
      <alignment horizontal="center" vertical="top" wrapText="1"/>
    </xf>
    <xf numFmtId="4" fontId="34" fillId="5" borderId="2" xfId="0" applyNumberFormat="1" applyFont="1" applyFill="1" applyBorder="1" applyAlignment="1">
      <alignment horizontal="right" vertical="top" wrapText="1"/>
    </xf>
    <xf numFmtId="164" fontId="34" fillId="5" borderId="2" xfId="0" applyNumberFormat="1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center" vertical="top" wrapText="1"/>
    </xf>
    <xf numFmtId="43" fontId="33" fillId="4" borderId="0" xfId="1" applyFont="1" applyFill="1" applyAlignment="1">
      <alignment vertical="top" wrapText="1"/>
    </xf>
    <xf numFmtId="0" fontId="7" fillId="0" borderId="0" xfId="0" applyFont="1" applyFill="1"/>
    <xf numFmtId="0" fontId="34" fillId="5" borderId="2" xfId="0" applyFont="1" applyFill="1" applyBorder="1" applyAlignment="1">
      <alignment horizontal="left" vertical="top" wrapText="1"/>
    </xf>
    <xf numFmtId="165" fontId="34" fillId="5" borderId="2" xfId="0" applyNumberFormat="1" applyFont="1" applyFill="1" applyBorder="1" applyAlignment="1">
      <alignment horizontal="right" vertical="top" wrapText="1"/>
    </xf>
    <xf numFmtId="0" fontId="34" fillId="6" borderId="2" xfId="0" applyFont="1" applyFill="1" applyBorder="1" applyAlignment="1">
      <alignment horizontal="left" vertical="top" wrapText="1"/>
    </xf>
    <xf numFmtId="165" fontId="34" fillId="6" borderId="2" xfId="0" applyNumberFormat="1" applyFont="1" applyFill="1" applyBorder="1" applyAlignment="1">
      <alignment horizontal="right" vertical="top" wrapText="1"/>
    </xf>
    <xf numFmtId="4" fontId="34" fillId="2" borderId="2" xfId="0" applyNumberFormat="1" applyFont="1" applyFill="1" applyBorder="1" applyAlignment="1">
      <alignment horizontal="right" vertical="top" wrapText="1"/>
    </xf>
    <xf numFmtId="0" fontId="33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left" vertical="top" wrapText="1"/>
    </xf>
    <xf numFmtId="0" fontId="37" fillId="47" borderId="1" xfId="0" applyFont="1" applyFill="1" applyBorder="1" applyAlignment="1">
      <alignment horizontal="left" vertical="top" wrapText="1"/>
    </xf>
    <xf numFmtId="0" fontId="34" fillId="2" borderId="2" xfId="0" applyFont="1" applyFill="1" applyBorder="1" applyAlignment="1">
      <alignment horizontal="right" vertical="top" wrapText="1"/>
    </xf>
    <xf numFmtId="0" fontId="34" fillId="2" borderId="2" xfId="0" applyFont="1" applyFill="1" applyBorder="1" applyAlignment="1">
      <alignment horizontal="left" vertical="top" wrapText="1"/>
    </xf>
    <xf numFmtId="0" fontId="34" fillId="5" borderId="2" xfId="0" applyFont="1" applyFill="1" applyBorder="1" applyAlignment="1">
      <alignment horizontal="right" vertical="top" wrapText="1"/>
    </xf>
    <xf numFmtId="0" fontId="34" fillId="0" borderId="2" xfId="0" applyFont="1" applyFill="1" applyBorder="1" applyAlignment="1">
      <alignment horizontal="left" vertical="top" wrapText="1"/>
    </xf>
    <xf numFmtId="0" fontId="34" fillId="47" borderId="2" xfId="0" applyFont="1" applyFill="1" applyBorder="1" applyAlignment="1">
      <alignment horizontal="right" vertical="top" wrapText="1"/>
    </xf>
    <xf numFmtId="0" fontId="34" fillId="47" borderId="2" xfId="0" applyFont="1" applyFill="1" applyBorder="1" applyAlignment="1">
      <alignment horizontal="left" vertical="top" wrapText="1"/>
    </xf>
    <xf numFmtId="4" fontId="34" fillId="47" borderId="2" xfId="0" applyNumberFormat="1" applyFont="1" applyFill="1" applyBorder="1" applyAlignment="1">
      <alignment horizontal="right" vertical="top" wrapText="1"/>
    </xf>
    <xf numFmtId="0" fontId="34" fillId="48" borderId="2" xfId="0" applyFont="1" applyFill="1" applyBorder="1" applyAlignment="1">
      <alignment horizontal="right" vertical="top" wrapText="1"/>
    </xf>
    <xf numFmtId="0" fontId="34" fillId="48" borderId="2" xfId="0" applyFont="1" applyFill="1" applyBorder="1" applyAlignment="1">
      <alignment horizontal="left" vertical="top" wrapText="1"/>
    </xf>
    <xf numFmtId="4" fontId="34" fillId="48" borderId="2" xfId="0" applyNumberFormat="1" applyFont="1" applyFill="1" applyBorder="1" applyAlignment="1">
      <alignment horizontal="right" vertical="top" wrapText="1"/>
    </xf>
    <xf numFmtId="4" fontId="33" fillId="3" borderId="0" xfId="0" applyNumberFormat="1" applyFont="1" applyFill="1" applyAlignment="1">
      <alignment horizontal="right" vertical="top" wrapText="1"/>
    </xf>
    <xf numFmtId="0" fontId="7" fillId="0" borderId="15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10" fontId="7" fillId="0" borderId="2" xfId="2" applyNumberFormat="1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vertical="top"/>
    </xf>
    <xf numFmtId="10" fontId="33" fillId="0" borderId="2" xfId="2" applyNumberFormat="1" applyFont="1" applyFill="1" applyBorder="1" applyAlignment="1">
      <alignment horizontal="center" vertical="top" wrapText="1"/>
    </xf>
    <xf numFmtId="0" fontId="7" fillId="0" borderId="0" xfId="76" applyFont="1" applyFill="1"/>
    <xf numFmtId="0" fontId="33" fillId="0" borderId="16" xfId="0" applyFont="1" applyFill="1" applyBorder="1" applyAlignment="1">
      <alignment vertical="top"/>
    </xf>
    <xf numFmtId="10" fontId="33" fillId="46" borderId="16" xfId="2" applyNumberFormat="1" applyFont="1" applyFill="1" applyBorder="1" applyAlignment="1">
      <alignment horizontal="center" vertical="distributed" wrapText="1"/>
    </xf>
    <xf numFmtId="0" fontId="7" fillId="0" borderId="0" xfId="76" applyFont="1" applyFill="1" applyAlignment="1">
      <alignment wrapText="1"/>
    </xf>
    <xf numFmtId="0" fontId="7" fillId="0" borderId="0" xfId="76" applyFont="1" applyFill="1" applyAlignment="1">
      <alignment horizontal="center"/>
    </xf>
    <xf numFmtId="0" fontId="33" fillId="3" borderId="0" xfId="0" applyFont="1" applyFill="1" applyAlignment="1">
      <alignment horizontal="left" vertical="top" wrapText="1"/>
    </xf>
    <xf numFmtId="10" fontId="33" fillId="3" borderId="0" xfId="0" applyNumberFormat="1" applyFont="1" applyFill="1" applyAlignment="1">
      <alignment horizontal="left" vertical="top" wrapText="1"/>
    </xf>
    <xf numFmtId="0" fontId="7" fillId="48" borderId="0" xfId="0" applyFont="1" applyFill="1" applyAlignment="1">
      <alignment horizontal="center" vertical="top" wrapText="1"/>
    </xf>
    <xf numFmtId="0" fontId="34" fillId="5" borderId="2" xfId="0" applyFont="1" applyFill="1" applyBorder="1" applyAlignment="1">
      <alignment horizontal="left" vertical="top" wrapText="1"/>
    </xf>
    <xf numFmtId="0" fontId="34" fillId="6" borderId="2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horizontal="left" vertical="top" wrapText="1"/>
    </xf>
    <xf numFmtId="0" fontId="38" fillId="0" borderId="2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justify" vertical="center" wrapText="1"/>
    </xf>
    <xf numFmtId="0" fontId="38" fillId="0" borderId="2" xfId="0" applyFont="1" applyBorder="1" applyAlignment="1">
      <alignment horizontal="center" vertical="center" wrapText="1"/>
    </xf>
    <xf numFmtId="4" fontId="38" fillId="0" borderId="2" xfId="0" applyNumberFormat="1" applyFont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168" fontId="2" fillId="4" borderId="2" xfId="0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justify" vertical="center" wrapText="1"/>
    </xf>
    <xf numFmtId="168" fontId="39" fillId="0" borderId="2" xfId="0" applyNumberFormat="1" applyFont="1" applyBorder="1" applyAlignment="1">
      <alignment horizontal="right" vertical="center" wrapText="1"/>
    </xf>
    <xf numFmtId="4" fontId="39" fillId="0" borderId="2" xfId="0" applyNumberFormat="1" applyFont="1" applyBorder="1" applyAlignment="1">
      <alignment horizontal="right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justify" vertical="center" wrapText="1"/>
    </xf>
    <xf numFmtId="168" fontId="40" fillId="0" borderId="2" xfId="0" applyNumberFormat="1" applyFont="1" applyBorder="1" applyAlignment="1">
      <alignment horizontal="right" vertical="center" wrapText="1"/>
    </xf>
    <xf numFmtId="4" fontId="40" fillId="0" borderId="2" xfId="0" applyNumberFormat="1" applyFont="1" applyBorder="1" applyAlignment="1">
      <alignment horizontal="right" vertical="center" wrapText="1"/>
    </xf>
    <xf numFmtId="0" fontId="39" fillId="6" borderId="2" xfId="0" applyFont="1" applyFill="1" applyBorder="1" applyAlignment="1">
      <alignment horizontal="left" vertical="center" wrapText="1"/>
    </xf>
    <xf numFmtId="0" fontId="39" fillId="6" borderId="2" xfId="0" applyFont="1" applyFill="1" applyBorder="1" applyAlignment="1">
      <alignment horizontal="right" vertical="center" wrapText="1"/>
    </xf>
    <xf numFmtId="4" fontId="39" fillId="6" borderId="2" xfId="0" applyNumberFormat="1" applyFont="1" applyFill="1" applyBorder="1" applyAlignment="1">
      <alignment horizontal="right" vertical="center" wrapText="1"/>
    </xf>
    <xf numFmtId="43" fontId="38" fillId="0" borderId="2" xfId="1" applyFont="1" applyFill="1" applyBorder="1" applyAlignment="1">
      <alignment horizontal="right" vertical="center" wrapText="1"/>
    </xf>
    <xf numFmtId="0" fontId="39" fillId="0" borderId="2" xfId="0" applyFont="1" applyBorder="1" applyAlignment="1">
      <alignment horizontal="left" vertical="top" wrapText="1"/>
    </xf>
    <xf numFmtId="0" fontId="39" fillId="0" borderId="2" xfId="0" applyFont="1" applyBorder="1" applyAlignment="1">
      <alignment horizontal="right" vertical="top" wrapText="1"/>
    </xf>
    <xf numFmtId="4" fontId="39" fillId="0" borderId="2" xfId="0" applyNumberFormat="1" applyFont="1" applyBorder="1" applyAlignment="1">
      <alignment horizontal="right" vertical="top" wrapText="1"/>
    </xf>
    <xf numFmtId="0" fontId="6" fillId="4" borderId="30" xfId="0" applyFont="1" applyFill="1" applyBorder="1" applyAlignment="1">
      <alignment horizontal="center" vertical="top" wrapText="1"/>
    </xf>
    <xf numFmtId="9" fontId="6" fillId="4" borderId="30" xfId="2" applyFont="1" applyFill="1" applyBorder="1" applyAlignment="1">
      <alignment horizontal="center" vertical="top" wrapText="1"/>
    </xf>
    <xf numFmtId="43" fontId="33" fillId="4" borderId="0" xfId="1" applyFont="1" applyFill="1" applyAlignment="1">
      <alignment horizontal="center" vertical="top" wrapText="1"/>
    </xf>
    <xf numFmtId="0" fontId="39" fillId="5" borderId="2" xfId="0" applyFont="1" applyFill="1" applyBorder="1" applyAlignment="1">
      <alignment horizontal="left" vertical="center" wrapText="1"/>
    </xf>
    <xf numFmtId="4" fontId="39" fillId="5" borderId="2" xfId="0" applyNumberFormat="1" applyFont="1" applyFill="1" applyBorder="1" applyAlignment="1">
      <alignment horizontal="right" vertical="center" wrapText="1"/>
    </xf>
    <xf numFmtId="4" fontId="2" fillId="4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7" fillId="0" borderId="0" xfId="0" applyFont="1"/>
    <xf numFmtId="0" fontId="34" fillId="5" borderId="2" xfId="0" applyFont="1" applyFill="1" applyBorder="1" applyAlignment="1">
      <alignment horizontal="left" vertical="top" wrapText="1"/>
    </xf>
    <xf numFmtId="0" fontId="34" fillId="6" borderId="2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0" fontId="37" fillId="47" borderId="1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top" wrapText="1"/>
    </xf>
    <xf numFmtId="0" fontId="41" fillId="4" borderId="2" xfId="0" applyFont="1" applyFill="1" applyBorder="1" applyAlignment="1">
      <alignment horizontal="center" vertical="top" wrapText="1"/>
    </xf>
    <xf numFmtId="43" fontId="6" fillId="4" borderId="36" xfId="1" applyFont="1" applyFill="1" applyBorder="1" applyAlignment="1">
      <alignment vertical="top" wrapText="1"/>
    </xf>
    <xf numFmtId="0" fontId="6" fillId="4" borderId="36" xfId="0" applyFont="1" applyFill="1" applyBorder="1" applyAlignment="1">
      <alignment horizontal="right" vertical="top"/>
    </xf>
    <xf numFmtId="0" fontId="6" fillId="4" borderId="36" xfId="0" applyFont="1" applyFill="1" applyBorder="1" applyAlignment="1">
      <alignment horizontal="right" vertical="top" wrapText="1"/>
    </xf>
    <xf numFmtId="43" fontId="6" fillId="4" borderId="0" xfId="1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0" fontId="6" fillId="4" borderId="33" xfId="0" applyFont="1" applyFill="1" applyBorder="1" applyAlignment="1">
      <alignment horizontal="right" vertical="top"/>
    </xf>
    <xf numFmtId="43" fontId="6" fillId="4" borderId="33" xfId="1" applyFont="1" applyFill="1" applyBorder="1" applyAlignment="1">
      <alignment vertical="top" wrapText="1"/>
    </xf>
    <xf numFmtId="4" fontId="34" fillId="5" borderId="2" xfId="0" applyNumberFormat="1" applyFont="1" applyFill="1" applyBorder="1" applyAlignment="1">
      <alignment horizontal="right" vertical="top" wrapText="1"/>
    </xf>
    <xf numFmtId="0" fontId="34" fillId="5" borderId="2" xfId="0" applyFont="1" applyFill="1" applyBorder="1" applyAlignment="1">
      <alignment horizontal="left" vertical="top" wrapText="1"/>
    </xf>
    <xf numFmtId="0" fontId="34" fillId="6" borderId="2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0" fontId="37" fillId="47" borderId="1" xfId="0" applyFont="1" applyFill="1" applyBorder="1" applyAlignment="1">
      <alignment horizontal="left" vertical="top" wrapText="1"/>
    </xf>
    <xf numFmtId="0" fontId="34" fillId="5" borderId="2" xfId="0" applyFont="1" applyFill="1" applyBorder="1" applyAlignment="1">
      <alignment horizontal="right" vertical="top" wrapText="1"/>
    </xf>
    <xf numFmtId="0" fontId="34" fillId="48" borderId="2" xfId="0" applyFont="1" applyFill="1" applyBorder="1" applyAlignment="1">
      <alignment horizontal="right" vertical="top" wrapText="1"/>
    </xf>
    <xf numFmtId="0" fontId="34" fillId="48" borderId="2" xfId="0" applyFont="1" applyFill="1" applyBorder="1" applyAlignment="1">
      <alignment horizontal="left" vertical="top" wrapText="1"/>
    </xf>
    <xf numFmtId="4" fontId="34" fillId="48" borderId="2" xfId="0" applyNumberFormat="1" applyFont="1" applyFill="1" applyBorder="1" applyAlignment="1">
      <alignment horizontal="right" vertical="top" wrapText="1"/>
    </xf>
    <xf numFmtId="0" fontId="33" fillId="4" borderId="0" xfId="0" applyFont="1" applyFill="1" applyAlignment="1">
      <alignment horizontal="right" vertical="top"/>
    </xf>
    <xf numFmtId="0" fontId="33" fillId="4" borderId="2" xfId="0" applyFont="1" applyFill="1" applyBorder="1" applyAlignment="1">
      <alignment horizontal="center" vertical="top" wrapText="1"/>
    </xf>
    <xf numFmtId="0" fontId="6" fillId="4" borderId="33" xfId="0" applyFont="1" applyFill="1" applyBorder="1" applyAlignment="1">
      <alignment horizontal="right" vertical="top" wrapText="1"/>
    </xf>
    <xf numFmtId="0" fontId="7" fillId="0" borderId="0" xfId="0" applyFont="1"/>
    <xf numFmtId="4" fontId="34" fillId="5" borderId="2" xfId="0" applyNumberFormat="1" applyFont="1" applyFill="1" applyBorder="1" applyAlignment="1">
      <alignment horizontal="right" vertical="top" wrapText="1"/>
    </xf>
    <xf numFmtId="164" fontId="34" fillId="5" borderId="2" xfId="0" applyNumberFormat="1" applyFont="1" applyFill="1" applyBorder="1" applyAlignment="1">
      <alignment horizontal="right" vertical="top" wrapText="1"/>
    </xf>
    <xf numFmtId="0" fontId="34" fillId="5" borderId="2" xfId="0" applyFont="1" applyFill="1" applyBorder="1" applyAlignment="1">
      <alignment horizontal="left" vertical="top" wrapText="1"/>
    </xf>
    <xf numFmtId="0" fontId="39" fillId="2" borderId="2" xfId="0" applyFont="1" applyFill="1" applyBorder="1" applyAlignment="1">
      <alignment horizontal="left" vertical="top" wrapText="1"/>
    </xf>
    <xf numFmtId="0" fontId="39" fillId="2" borderId="2" xfId="0" applyFont="1" applyFill="1" applyBorder="1" applyAlignment="1">
      <alignment horizontal="right" vertical="top" wrapText="1"/>
    </xf>
    <xf numFmtId="0" fontId="39" fillId="2" borderId="15" xfId="0" applyFont="1" applyFill="1" applyBorder="1" applyAlignment="1">
      <alignment horizontal="right" vertical="top" wrapText="1"/>
    </xf>
    <xf numFmtId="43" fontId="6" fillId="3" borderId="0" xfId="0" applyNumberFormat="1" applyFont="1" applyFill="1" applyAlignment="1">
      <alignment horizontal="left" vertical="top" wrapText="1"/>
    </xf>
    <xf numFmtId="43" fontId="39" fillId="2" borderId="2" xfId="1" applyFont="1" applyFill="1" applyBorder="1" applyAlignment="1">
      <alignment horizontal="right" vertical="top" wrapText="1"/>
    </xf>
    <xf numFmtId="10" fontId="42" fillId="5" borderId="38" xfId="2" applyNumberFormat="1" applyFont="1" applyFill="1" applyBorder="1" applyAlignment="1">
      <alignment horizontal="right" vertical="top" wrapText="1"/>
    </xf>
    <xf numFmtId="43" fontId="39" fillId="5" borderId="39" xfId="1" applyFont="1" applyFill="1" applyBorder="1" applyAlignment="1">
      <alignment horizontal="right" vertical="top" wrapText="1"/>
    </xf>
    <xf numFmtId="10" fontId="43" fillId="5" borderId="38" xfId="2" applyNumberFormat="1" applyFont="1" applyFill="1" applyBorder="1" applyAlignment="1">
      <alignment horizontal="right" vertical="top" wrapText="1"/>
    </xf>
    <xf numFmtId="43" fontId="34" fillId="5" borderId="39" xfId="1" applyFont="1" applyFill="1" applyBorder="1" applyAlignment="1">
      <alignment horizontal="right" vertical="top" wrapText="1"/>
    </xf>
    <xf numFmtId="10" fontId="42" fillId="2" borderId="38" xfId="2" applyNumberFormat="1" applyFont="1" applyFill="1" applyBorder="1" applyAlignment="1">
      <alignment horizontal="right" vertical="top" wrapText="1"/>
    </xf>
    <xf numFmtId="43" fontId="39" fillId="2" borderId="39" xfId="1" applyFont="1" applyFill="1" applyBorder="1" applyAlignment="1">
      <alignment horizontal="right" vertical="top" wrapText="1"/>
    </xf>
    <xf numFmtId="10" fontId="42" fillId="0" borderId="38" xfId="2" applyNumberFormat="1" applyFont="1" applyFill="1" applyBorder="1" applyAlignment="1">
      <alignment horizontal="right" vertical="top" wrapText="1"/>
    </xf>
    <xf numFmtId="43" fontId="39" fillId="0" borderId="39" xfId="1" applyFont="1" applyFill="1" applyBorder="1" applyAlignment="1">
      <alignment horizontal="right" vertical="top" wrapText="1"/>
    </xf>
    <xf numFmtId="10" fontId="44" fillId="0" borderId="38" xfId="2" applyNumberFormat="1" applyFont="1" applyFill="1" applyBorder="1" applyAlignment="1">
      <alignment horizontal="right" vertical="top" wrapText="1"/>
    </xf>
    <xf numFmtId="43" fontId="37" fillId="0" borderId="39" xfId="1" applyFont="1" applyFill="1" applyBorder="1" applyAlignment="1">
      <alignment horizontal="right" vertical="top" wrapText="1"/>
    </xf>
    <xf numFmtId="10" fontId="44" fillId="0" borderId="38" xfId="2" quotePrefix="1" applyNumberFormat="1" applyFont="1" applyFill="1" applyBorder="1" applyAlignment="1">
      <alignment horizontal="right" vertical="top" wrapText="1"/>
    </xf>
    <xf numFmtId="10" fontId="43" fillId="2" borderId="38" xfId="2" applyNumberFormat="1" applyFont="1" applyFill="1" applyBorder="1" applyAlignment="1">
      <alignment horizontal="right" vertical="top" wrapText="1"/>
    </xf>
    <xf numFmtId="43" fontId="34" fillId="2" borderId="39" xfId="1" applyFont="1" applyFill="1" applyBorder="1" applyAlignment="1">
      <alignment horizontal="right" vertical="top" wrapText="1"/>
    </xf>
    <xf numFmtId="10" fontId="34" fillId="0" borderId="38" xfId="2" applyNumberFormat="1" applyFont="1" applyFill="1" applyBorder="1" applyAlignment="1">
      <alignment horizontal="right" vertical="top" wrapText="1"/>
    </xf>
    <xf numFmtId="4" fontId="6" fillId="3" borderId="40" xfId="0" applyNumberFormat="1" applyFont="1" applyFill="1" applyBorder="1" applyAlignment="1">
      <alignment horizontal="right" vertical="top" wrapText="1"/>
    </xf>
    <xf numFmtId="43" fontId="6" fillId="3" borderId="39" xfId="1" applyFont="1" applyFill="1" applyBorder="1" applyAlignment="1">
      <alignment horizontal="right" vertical="top" wrapText="1"/>
    </xf>
    <xf numFmtId="4" fontId="33" fillId="3" borderId="0" xfId="0" applyNumberFormat="1" applyFont="1" applyFill="1" applyAlignment="1">
      <alignment vertical="top" wrapText="1"/>
    </xf>
    <xf numFmtId="0" fontId="7" fillId="0" borderId="29" xfId="0" applyFont="1" applyBorder="1"/>
    <xf numFmtId="0" fontId="38" fillId="0" borderId="2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left" vertical="top" wrapText="1"/>
    </xf>
    <xf numFmtId="0" fontId="41" fillId="4" borderId="2" xfId="0" applyFont="1" applyFill="1" applyBorder="1" applyAlignment="1">
      <alignment horizontal="center" vertical="top" wrapText="1"/>
    </xf>
    <xf numFmtId="0" fontId="33" fillId="4" borderId="0" xfId="0" applyFont="1" applyFill="1" applyAlignment="1">
      <alignment horizontal="right" vertical="top" wrapText="1"/>
    </xf>
    <xf numFmtId="0" fontId="0" fillId="0" borderId="0" xfId="0"/>
    <xf numFmtId="0" fontId="0" fillId="0" borderId="0" xfId="0"/>
    <xf numFmtId="0" fontId="45" fillId="0" borderId="5" xfId="100" applyFont="1" applyBorder="1"/>
    <xf numFmtId="0" fontId="45" fillId="0" borderId="4" xfId="100" applyFont="1" applyBorder="1"/>
    <xf numFmtId="0" fontId="33" fillId="46" borderId="43" xfId="100" applyFont="1" applyFill="1" applyBorder="1" applyAlignment="1">
      <alignment horizontal="center"/>
    </xf>
    <xf numFmtId="0" fontId="46" fillId="46" borderId="44" xfId="101" applyFont="1" applyFill="1" applyBorder="1" applyAlignment="1">
      <alignment vertical="distributed" wrapText="1"/>
    </xf>
    <xf numFmtId="0" fontId="7" fillId="0" borderId="45" xfId="100" applyFont="1" applyBorder="1" applyAlignment="1">
      <alignment horizontal="center"/>
    </xf>
    <xf numFmtId="0" fontId="7" fillId="0" borderId="46" xfId="100" applyFont="1" applyBorder="1" applyAlignment="1">
      <alignment horizontal="justify" vertical="distributed" wrapText="1"/>
    </xf>
    <xf numFmtId="0" fontId="7" fillId="0" borderId="47" xfId="100" applyFont="1" applyBorder="1" applyAlignment="1">
      <alignment horizontal="center"/>
    </xf>
    <xf numFmtId="0" fontId="7" fillId="0" borderId="48" xfId="100" applyFont="1" applyBorder="1" applyAlignment="1">
      <alignment horizontal="justify" vertical="distributed" wrapText="1"/>
    </xf>
    <xf numFmtId="0" fontId="16" fillId="0" borderId="10" xfId="100" applyBorder="1"/>
    <xf numFmtId="0" fontId="16" fillId="0" borderId="11" xfId="100" applyBorder="1"/>
    <xf numFmtId="0" fontId="33" fillId="46" borderId="45" xfId="100" applyFont="1" applyFill="1" applyBorder="1" applyAlignment="1">
      <alignment horizontal="center"/>
    </xf>
    <xf numFmtId="0" fontId="46" fillId="46" borderId="46" xfId="101" applyFont="1" applyFill="1" applyBorder="1" applyAlignment="1">
      <alignment vertical="distributed" wrapText="1"/>
    </xf>
    <xf numFmtId="0" fontId="33" fillId="46" borderId="45" xfId="0" applyFont="1" applyFill="1" applyBorder="1" applyAlignment="1">
      <alignment horizontal="center"/>
    </xf>
    <xf numFmtId="0" fontId="46" fillId="46" borderId="46" xfId="77" applyFont="1" applyFill="1" applyBorder="1" applyAlignment="1">
      <alignment vertical="distributed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justify" vertical="distributed" wrapText="1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justify" vertical="distributed" wrapText="1"/>
    </xf>
    <xf numFmtId="0" fontId="31" fillId="0" borderId="5" xfId="102" applyFont="1" applyBorder="1" applyAlignment="1">
      <alignment horizontal="left"/>
    </xf>
    <xf numFmtId="0" fontId="31" fillId="0" borderId="49" xfId="102" applyFont="1" applyBorder="1" applyAlignment="1">
      <alignment horizontal="left"/>
    </xf>
    <xf numFmtId="0" fontId="31" fillId="0" borderId="3" xfId="102" applyFont="1" applyBorder="1" applyAlignment="1">
      <alignment horizontal="left"/>
    </xf>
    <xf numFmtId="0" fontId="31" fillId="0" borderId="3" xfId="0" applyFont="1" applyBorder="1"/>
    <xf numFmtId="4" fontId="7" fillId="0" borderId="6" xfId="0" applyNumberFormat="1" applyFont="1" applyBorder="1"/>
    <xf numFmtId="0" fontId="46" fillId="0" borderId="7" xfId="0" applyFont="1" applyBorder="1" applyAlignment="1">
      <alignment horizontal="center"/>
    </xf>
    <xf numFmtId="0" fontId="31" fillId="0" borderId="7" xfId="0" applyFont="1" applyBorder="1"/>
    <xf numFmtId="0" fontId="31" fillId="0" borderId="6" xfId="102" applyFont="1" applyBorder="1" applyAlignment="1">
      <alignment horizontal="left"/>
    </xf>
    <xf numFmtId="0" fontId="7" fillId="0" borderId="10" xfId="77" applyFont="1" applyBorder="1" applyAlignment="1">
      <alignment horizontal="left"/>
    </xf>
    <xf numFmtId="0" fontId="31" fillId="0" borderId="11" xfId="102" applyFont="1" applyBorder="1" applyAlignment="1">
      <alignment horizontal="left"/>
    </xf>
    <xf numFmtId="0" fontId="7" fillId="0" borderId="5" xfId="77" applyFont="1" applyBorder="1" applyAlignment="1">
      <alignment horizontal="left"/>
    </xf>
    <xf numFmtId="0" fontId="31" fillId="0" borderId="4" xfId="102" applyFont="1" applyBorder="1" applyAlignment="1">
      <alignment horizontal="left"/>
    </xf>
    <xf numFmtId="0" fontId="46" fillId="0" borderId="9" xfId="102" applyFont="1" applyBorder="1" applyAlignment="1">
      <alignment horizontal="center" vertical="center"/>
    </xf>
    <xf numFmtId="17" fontId="31" fillId="0" borderId="5" xfId="102" applyNumberFormat="1" applyFont="1" applyBorder="1" applyAlignment="1">
      <alignment horizontal="left"/>
    </xf>
    <xf numFmtId="14" fontId="46" fillId="0" borderId="9" xfId="102" applyNumberFormat="1" applyFont="1" applyBorder="1" applyAlignment="1">
      <alignment horizontal="center" vertical="center"/>
    </xf>
    <xf numFmtId="168" fontId="31" fillId="0" borderId="49" xfId="102" applyNumberFormat="1" applyFont="1" applyBorder="1" applyAlignment="1">
      <alignment horizontal="left"/>
    </xf>
    <xf numFmtId="17" fontId="31" fillId="0" borderId="6" xfId="102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center" vertical="center" wrapText="1"/>
    </xf>
    <xf numFmtId="14" fontId="46" fillId="0" borderId="7" xfId="102" applyNumberFormat="1" applyFont="1" applyBorder="1" applyAlignment="1">
      <alignment horizontal="center" vertical="center"/>
    </xf>
    <xf numFmtId="0" fontId="46" fillId="0" borderId="9" xfId="102" applyFont="1" applyBorder="1" applyAlignment="1">
      <alignment vertical="center"/>
    </xf>
    <xf numFmtId="0" fontId="0" fillId="0" borderId="5" xfId="0" applyBorder="1"/>
    <xf numFmtId="0" fontId="0" fillId="0" borderId="10" xfId="0" applyBorder="1"/>
    <xf numFmtId="0" fontId="1" fillId="3" borderId="10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0" fillId="0" borderId="6" xfId="0" applyBorder="1"/>
    <xf numFmtId="0" fontId="0" fillId="0" borderId="4" xfId="0" applyBorder="1"/>
    <xf numFmtId="0" fontId="0" fillId="0" borderId="11" xfId="0" applyBorder="1"/>
    <xf numFmtId="0" fontId="1" fillId="3" borderId="0" xfId="0" applyFont="1" applyFill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41" fillId="49" borderId="41" xfId="100" applyFont="1" applyFill="1" applyBorder="1" applyAlignment="1">
      <alignment horizontal="center"/>
    </xf>
    <xf numFmtId="0" fontId="41" fillId="49" borderId="42" xfId="100" applyFont="1" applyFill="1" applyBorder="1" applyAlignment="1">
      <alignment horizontal="center"/>
    </xf>
    <xf numFmtId="0" fontId="35" fillId="3" borderId="0" xfId="0" applyFont="1" applyFill="1" applyAlignment="1">
      <alignment horizontal="center" wrapText="1"/>
    </xf>
    <xf numFmtId="0" fontId="36" fillId="0" borderId="0" xfId="0" applyFont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46" fillId="0" borderId="9" xfId="102" applyFont="1" applyBorder="1" applyAlignment="1">
      <alignment horizontal="center" vertical="center"/>
    </xf>
    <xf numFmtId="0" fontId="46" fillId="0" borderId="12" xfId="102" applyFont="1" applyBorder="1" applyAlignment="1">
      <alignment horizontal="center" vertical="center"/>
    </xf>
    <xf numFmtId="0" fontId="46" fillId="0" borderId="10" xfId="77" applyFont="1" applyBorder="1" applyAlignment="1">
      <alignment horizontal="center"/>
    </xf>
    <xf numFmtId="0" fontId="46" fillId="0" borderId="11" xfId="77" applyFont="1" applyBorder="1" applyAlignment="1">
      <alignment horizontal="center"/>
    </xf>
    <xf numFmtId="0" fontId="46" fillId="0" borderId="5" xfId="77" applyFont="1" applyBorder="1" applyAlignment="1">
      <alignment horizontal="center"/>
    </xf>
    <xf numFmtId="0" fontId="46" fillId="0" borderId="4" xfId="77" applyFont="1" applyBorder="1" applyAlignment="1">
      <alignment horizontal="center"/>
    </xf>
    <xf numFmtId="0" fontId="46" fillId="0" borderId="8" xfId="102" applyFont="1" applyBorder="1" applyAlignment="1">
      <alignment horizontal="center" vertical="center"/>
    </xf>
    <xf numFmtId="14" fontId="46" fillId="0" borderId="9" xfId="77" applyNumberFormat="1" applyFont="1" applyBorder="1" applyAlignment="1">
      <alignment horizontal="center"/>
    </xf>
    <xf numFmtId="14" fontId="46" fillId="0" borderId="12" xfId="77" applyNumberFormat="1" applyFont="1" applyBorder="1" applyAlignment="1">
      <alignment horizontal="center"/>
    </xf>
    <xf numFmtId="0" fontId="46" fillId="0" borderId="9" xfId="77" applyFont="1" applyBorder="1" applyAlignment="1">
      <alignment horizontal="center"/>
    </xf>
    <xf numFmtId="0" fontId="46" fillId="0" borderId="8" xfId="77" applyFont="1" applyBorder="1" applyAlignment="1">
      <alignment horizontal="center"/>
    </xf>
    <xf numFmtId="17" fontId="31" fillId="0" borderId="5" xfId="102" applyNumberFormat="1" applyFont="1" applyBorder="1" applyAlignment="1">
      <alignment horizontal="justify"/>
    </xf>
    <xf numFmtId="17" fontId="31" fillId="0" borderId="4" xfId="102" applyNumberFormat="1" applyFont="1" applyBorder="1" applyAlignment="1">
      <alignment horizontal="justify"/>
    </xf>
    <xf numFmtId="43" fontId="6" fillId="4" borderId="36" xfId="1" applyFont="1" applyFill="1" applyBorder="1" applyAlignment="1">
      <alignment horizontal="right" vertical="top" wrapText="1"/>
    </xf>
    <xf numFmtId="43" fontId="6" fillId="4" borderId="37" xfId="1" applyFont="1" applyFill="1" applyBorder="1" applyAlignment="1">
      <alignment horizontal="right" vertical="top" wrapText="1"/>
    </xf>
    <xf numFmtId="43" fontId="6" fillId="4" borderId="33" xfId="1" applyFont="1" applyFill="1" applyBorder="1" applyAlignment="1">
      <alignment horizontal="right" vertical="top" wrapText="1"/>
    </xf>
    <xf numFmtId="43" fontId="6" fillId="4" borderId="34" xfId="1" applyFont="1" applyFill="1" applyBorder="1" applyAlignment="1">
      <alignment horizontal="right" vertical="top" wrapText="1"/>
    </xf>
    <xf numFmtId="0" fontId="1" fillId="3" borderId="0" xfId="0" applyFont="1" applyFill="1" applyAlignment="1">
      <alignment horizontal="center" wrapText="1"/>
    </xf>
    <xf numFmtId="0" fontId="0" fillId="0" borderId="0" xfId="0"/>
    <xf numFmtId="43" fontId="6" fillId="4" borderId="0" xfId="1" applyFont="1" applyFill="1" applyBorder="1" applyAlignment="1">
      <alignment horizontal="right" vertical="top" wrapText="1"/>
    </xf>
    <xf numFmtId="43" fontId="6" fillId="4" borderId="35" xfId="1" applyFont="1" applyFill="1" applyBorder="1" applyAlignment="1">
      <alignment horizontal="right" vertical="top" wrapText="1"/>
    </xf>
    <xf numFmtId="0" fontId="6" fillId="4" borderId="31" xfId="0" applyFont="1" applyFill="1" applyBorder="1" applyAlignment="1">
      <alignment horizontal="center" vertical="top" wrapText="1"/>
    </xf>
    <xf numFmtId="0" fontId="6" fillId="4" borderId="32" xfId="0" applyFont="1" applyFill="1" applyBorder="1" applyAlignment="1">
      <alignment horizontal="center" vertical="top" wrapText="1"/>
    </xf>
    <xf numFmtId="9" fontId="6" fillId="4" borderId="31" xfId="2" applyFont="1" applyFill="1" applyBorder="1" applyAlignment="1">
      <alignment horizontal="center" vertical="top" wrapText="1"/>
    </xf>
    <xf numFmtId="9" fontId="6" fillId="4" borderId="32" xfId="2" applyFont="1" applyFill="1" applyBorder="1" applyAlignment="1">
      <alignment horizontal="center" vertical="top" wrapText="1"/>
    </xf>
    <xf numFmtId="0" fontId="46" fillId="0" borderId="50" xfId="77" applyFont="1" applyBorder="1" applyAlignment="1">
      <alignment horizontal="center"/>
    </xf>
    <xf numFmtId="14" fontId="46" fillId="0" borderId="9" xfId="102" applyNumberFormat="1" applyFont="1" applyBorder="1" applyAlignment="1">
      <alignment horizontal="center" vertical="center"/>
    </xf>
    <xf numFmtId="14" fontId="46" fillId="0" borderId="8" xfId="102" applyNumberFormat="1" applyFont="1" applyBorder="1" applyAlignment="1">
      <alignment horizontal="center" vertical="center"/>
    </xf>
    <xf numFmtId="0" fontId="35" fillId="3" borderId="14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top"/>
    </xf>
    <xf numFmtId="0" fontId="33" fillId="4" borderId="16" xfId="0" applyFont="1" applyFill="1" applyBorder="1" applyAlignment="1">
      <alignment horizontal="center" vertical="top"/>
    </xf>
    <xf numFmtId="0" fontId="33" fillId="46" borderId="15" xfId="78" applyFont="1" applyFill="1" applyBorder="1" applyAlignment="1">
      <alignment horizontal="center" vertical="distributed" wrapText="1"/>
    </xf>
    <xf numFmtId="0" fontId="33" fillId="46" borderId="28" xfId="78" applyFont="1" applyFill="1" applyBorder="1" applyAlignment="1">
      <alignment horizontal="center" vertical="distributed" wrapText="1"/>
    </xf>
    <xf numFmtId="0" fontId="33" fillId="46" borderId="16" xfId="78" applyFont="1" applyFill="1" applyBorder="1" applyAlignment="1">
      <alignment horizontal="center" vertical="distributed" wrapText="1"/>
    </xf>
    <xf numFmtId="0" fontId="32" fillId="0" borderId="14" xfId="77" applyFont="1" applyBorder="1" applyAlignment="1">
      <alignment horizontal="center" vertical="center"/>
    </xf>
    <xf numFmtId="0" fontId="33" fillId="3" borderId="29" xfId="0" applyFont="1" applyFill="1" applyBorder="1" applyAlignment="1">
      <alignment horizontal="right" vertical="top" wrapText="1"/>
    </xf>
    <xf numFmtId="0" fontId="39" fillId="5" borderId="38" xfId="0" applyFont="1" applyFill="1" applyBorder="1" applyAlignment="1">
      <alignment vertical="top" wrapText="1"/>
    </xf>
    <xf numFmtId="0" fontId="39" fillId="5" borderId="39" xfId="0" applyFont="1" applyFill="1" applyBorder="1" applyAlignment="1">
      <alignment vertical="top" wrapText="1"/>
    </xf>
    <xf numFmtId="0" fontId="39" fillId="5" borderId="38" xfId="0" applyFont="1" applyFill="1" applyBorder="1" applyAlignment="1">
      <alignment horizontal="justify" vertical="top" wrapText="1"/>
    </xf>
    <xf numFmtId="0" fontId="39" fillId="5" borderId="39" xfId="0" applyFont="1" applyFill="1" applyBorder="1" applyAlignment="1">
      <alignment horizontal="justify" vertical="top" wrapText="1"/>
    </xf>
    <xf numFmtId="0" fontId="39" fillId="0" borderId="38" xfId="0" applyFont="1" applyBorder="1" applyAlignment="1">
      <alignment horizontal="justify" vertical="top" wrapText="1"/>
    </xf>
    <xf numFmtId="0" fontId="39" fillId="0" borderId="39" xfId="0" applyFont="1" applyBorder="1" applyAlignment="1">
      <alignment horizontal="justify" vertical="top" wrapText="1"/>
    </xf>
    <xf numFmtId="0" fontId="39" fillId="2" borderId="38" xfId="0" applyFont="1" applyFill="1" applyBorder="1" applyAlignment="1">
      <alignment horizontal="justify" vertical="top" wrapText="1"/>
    </xf>
    <xf numFmtId="0" fontId="39" fillId="2" borderId="39" xfId="0" applyFont="1" applyFill="1" applyBorder="1" applyAlignment="1">
      <alignment horizontal="justify" vertical="top" wrapText="1"/>
    </xf>
    <xf numFmtId="0" fontId="39" fillId="2" borderId="38" xfId="0" applyFont="1" applyFill="1" applyBorder="1" applyAlignment="1">
      <alignment vertical="top" wrapText="1"/>
    </xf>
    <xf numFmtId="0" fontId="39" fillId="2" borderId="39" xfId="0" applyFont="1" applyFill="1" applyBorder="1" applyAlignment="1">
      <alignment vertical="top" wrapText="1"/>
    </xf>
    <xf numFmtId="0" fontId="33" fillId="3" borderId="0" xfId="0" applyFont="1" applyFill="1" applyAlignment="1">
      <alignment horizontal="right" vertical="top" wrapText="1"/>
    </xf>
    <xf numFmtId="0" fontId="33" fillId="3" borderId="0" xfId="0" applyFont="1" applyFill="1" applyBorder="1" applyAlignment="1">
      <alignment horizontal="right" vertical="top" wrapText="1"/>
    </xf>
    <xf numFmtId="0" fontId="6" fillId="3" borderId="0" xfId="0" applyFont="1" applyFill="1" applyAlignment="1">
      <alignment horizontal="right" vertical="top" wrapText="1"/>
    </xf>
    <xf numFmtId="0" fontId="37" fillId="0" borderId="1" xfId="0" applyFont="1" applyBorder="1" applyAlignment="1">
      <alignment horizontal="left" vertical="top" wrapText="1"/>
    </xf>
  </cellXfs>
  <cellStyles count="103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Ênfase1 2" xfId="9" xr:uid="{00000000-0005-0000-0000-000006000000}"/>
    <cellStyle name="20% - Ênfase2 2" xfId="10" xr:uid="{00000000-0005-0000-0000-000007000000}"/>
    <cellStyle name="20% - Ênfase3 2" xfId="11" xr:uid="{00000000-0005-0000-0000-000008000000}"/>
    <cellStyle name="20% - Ênfase4 2" xfId="12" xr:uid="{00000000-0005-0000-0000-000009000000}"/>
    <cellStyle name="20% - Ênfase5 2" xfId="13" xr:uid="{00000000-0005-0000-0000-00000A000000}"/>
    <cellStyle name="20% - Ênfase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Ênfase1 2" xfId="21" xr:uid="{00000000-0005-0000-0000-000012000000}"/>
    <cellStyle name="40% - Ênfase2 2" xfId="22" xr:uid="{00000000-0005-0000-0000-000013000000}"/>
    <cellStyle name="40% - Ênfase3 2" xfId="23" xr:uid="{00000000-0005-0000-0000-000014000000}"/>
    <cellStyle name="40% - Ênfase4 2" xfId="24" xr:uid="{00000000-0005-0000-0000-000015000000}"/>
    <cellStyle name="40% - Ênfase5 2" xfId="25" xr:uid="{00000000-0005-0000-0000-000016000000}"/>
    <cellStyle name="40% - Ênfase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Ênfase1 2" xfId="33" xr:uid="{00000000-0005-0000-0000-00001E000000}"/>
    <cellStyle name="60% - Ênfase2 2" xfId="34" xr:uid="{00000000-0005-0000-0000-00001F000000}"/>
    <cellStyle name="60% - Ênfase3 2" xfId="35" xr:uid="{00000000-0005-0000-0000-000020000000}"/>
    <cellStyle name="60% - Ênfase4 2" xfId="36" xr:uid="{00000000-0005-0000-0000-000021000000}"/>
    <cellStyle name="60% - Ênfase5 2" xfId="37" xr:uid="{00000000-0005-0000-0000-000022000000}"/>
    <cellStyle name="60% - Ênfase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om 2" xfId="46" xr:uid="{00000000-0005-0000-0000-00002B000000}"/>
    <cellStyle name="Calculation" xfId="47" xr:uid="{00000000-0005-0000-0000-00002C000000}"/>
    <cellStyle name="Cálculo 2" xfId="48" xr:uid="{00000000-0005-0000-0000-00002D000000}"/>
    <cellStyle name="Célula de Verificação 2" xfId="49" xr:uid="{00000000-0005-0000-0000-00002E000000}"/>
    <cellStyle name="Célula Vinculada 2" xfId="50" xr:uid="{00000000-0005-0000-0000-00002F000000}"/>
    <cellStyle name="Check Cell" xfId="51" xr:uid="{00000000-0005-0000-0000-000030000000}"/>
    <cellStyle name="Ênfase1 2" xfId="52" xr:uid="{00000000-0005-0000-0000-000031000000}"/>
    <cellStyle name="Ênfase2 2" xfId="53" xr:uid="{00000000-0005-0000-0000-000032000000}"/>
    <cellStyle name="Ênfase3 2" xfId="54" xr:uid="{00000000-0005-0000-0000-000033000000}"/>
    <cellStyle name="Ênfase4 2" xfId="55" xr:uid="{00000000-0005-0000-0000-000034000000}"/>
    <cellStyle name="Ênfase5 2" xfId="56" xr:uid="{00000000-0005-0000-0000-000035000000}"/>
    <cellStyle name="Ênfase6 2" xfId="57" xr:uid="{00000000-0005-0000-0000-000036000000}"/>
    <cellStyle name="Entrada 2" xfId="58" xr:uid="{00000000-0005-0000-0000-000037000000}"/>
    <cellStyle name="Excel Built-in Comma" xfId="59" xr:uid="{00000000-0005-0000-0000-000038000000}"/>
    <cellStyle name="Excel Built-in Normal" xfId="60" xr:uid="{00000000-0005-0000-0000-000039000000}"/>
    <cellStyle name="Explanatory Text" xfId="61" xr:uid="{00000000-0005-0000-0000-00003A000000}"/>
    <cellStyle name="Good" xfId="62" xr:uid="{00000000-0005-0000-0000-00003B000000}"/>
    <cellStyle name="Heading 1" xfId="63" xr:uid="{00000000-0005-0000-0000-00003C000000}"/>
    <cellStyle name="Heading 2" xfId="64" xr:uid="{00000000-0005-0000-0000-00003D000000}"/>
    <cellStyle name="Heading 3" xfId="65" xr:uid="{00000000-0005-0000-0000-00003E000000}"/>
    <cellStyle name="Heading 4" xfId="66" xr:uid="{00000000-0005-0000-0000-00003F000000}"/>
    <cellStyle name="Incorreto 2" xfId="67" xr:uid="{00000000-0005-0000-0000-000040000000}"/>
    <cellStyle name="Input" xfId="68" xr:uid="{00000000-0005-0000-0000-000041000000}"/>
    <cellStyle name="Linked Cell" xfId="69" xr:uid="{00000000-0005-0000-0000-000042000000}"/>
    <cellStyle name="Neutra 2" xfId="70" xr:uid="{00000000-0005-0000-0000-000043000000}"/>
    <cellStyle name="Neutral" xfId="71" xr:uid="{00000000-0005-0000-0000-000044000000}"/>
    <cellStyle name="Normal" xfId="0" builtinId="0"/>
    <cellStyle name="Normal 2" xfId="72" xr:uid="{00000000-0005-0000-0000-000046000000}"/>
    <cellStyle name="Normal 202" xfId="73" xr:uid="{00000000-0005-0000-0000-000047000000}"/>
    <cellStyle name="Normal 3" xfId="74" xr:uid="{00000000-0005-0000-0000-000048000000}"/>
    <cellStyle name="Normal 4" xfId="75" xr:uid="{00000000-0005-0000-0000-000049000000}"/>
    <cellStyle name="Normal_Orç 037_2009 - Ar Condicionado Salas Técnicas - PJ Sobradinho" xfId="76" xr:uid="{00000000-0005-0000-0000-00004A000000}"/>
    <cellStyle name="Normal_Orç 041_2009 Adaptação Copa PJ Ceilândia" xfId="77" xr:uid="{00000000-0005-0000-0000-00004B000000}"/>
    <cellStyle name="Normal_Orç 041_2009 Adaptação Copa PJ Ceilândia_Orçamento Sintético" xfId="102" xr:uid="{988A9F69-4569-4EE2-B62D-5CEBDF13619F}"/>
    <cellStyle name="Normal_Orç 041_2009 Adaptação Copa PJ Ceilândia_Plan1" xfId="101" xr:uid="{CD3F5C02-617C-4617-9062-0EA334FE1419}"/>
    <cellStyle name="Normal_Plan1" xfId="78" xr:uid="{00000000-0005-0000-0000-00004C000000}"/>
    <cellStyle name="Normal_Plan1_1 2" xfId="100" xr:uid="{03C3B269-5192-4491-BE68-39F6C43D084D}"/>
    <cellStyle name="Nota 2" xfId="79" xr:uid="{00000000-0005-0000-0000-00004D000000}"/>
    <cellStyle name="Note" xfId="80" xr:uid="{00000000-0005-0000-0000-00004E000000}"/>
    <cellStyle name="Output" xfId="81" xr:uid="{00000000-0005-0000-0000-00004F000000}"/>
    <cellStyle name="Porcentagem" xfId="2" builtinId="5"/>
    <cellStyle name="Porcentagem 2" xfId="82" xr:uid="{00000000-0005-0000-0000-000051000000}"/>
    <cellStyle name="Saída 2" xfId="83" xr:uid="{00000000-0005-0000-0000-000052000000}"/>
    <cellStyle name="Separador de milhares 2" xfId="84" xr:uid="{00000000-0005-0000-0000-000054000000}"/>
    <cellStyle name="Texto de Aviso 2" xfId="85" xr:uid="{00000000-0005-0000-0000-000055000000}"/>
    <cellStyle name="Texto Explicativo 2" xfId="86" xr:uid="{00000000-0005-0000-0000-000056000000}"/>
    <cellStyle name="Title" xfId="87" xr:uid="{00000000-0005-0000-0000-000057000000}"/>
    <cellStyle name="Título 1 1" xfId="88" xr:uid="{00000000-0005-0000-0000-000058000000}"/>
    <cellStyle name="Título 1 1 1" xfId="89" xr:uid="{00000000-0005-0000-0000-000059000000}"/>
    <cellStyle name="Título 1 1_Composição de BDI" xfId="90" xr:uid="{00000000-0005-0000-0000-00005A000000}"/>
    <cellStyle name="Título 1 2" xfId="91" xr:uid="{00000000-0005-0000-0000-00005B000000}"/>
    <cellStyle name="Título 2 2" xfId="92" xr:uid="{00000000-0005-0000-0000-00005C000000}"/>
    <cellStyle name="Título 3 2" xfId="93" xr:uid="{00000000-0005-0000-0000-00005D000000}"/>
    <cellStyle name="Título 4 2" xfId="94" xr:uid="{00000000-0005-0000-0000-00005E000000}"/>
    <cellStyle name="Total 2" xfId="95" xr:uid="{00000000-0005-0000-0000-00005F000000}"/>
    <cellStyle name="Vírgula" xfId="1" builtinId="3"/>
    <cellStyle name="Vírgula 2" xfId="98" xr:uid="{AFD2561A-275A-49E6-82E9-261BE08F7EE6}"/>
    <cellStyle name="Vírgula 3" xfId="96" xr:uid="{00000000-0005-0000-0000-000060000000}"/>
    <cellStyle name="Vírgula 4" xfId="99" xr:uid="{5A295A78-C4E8-40B3-AFD4-08F83F28E871}"/>
    <cellStyle name="Warning Text" xfId="97" xr:uid="{00000000-0005-0000-0000-000061000000}"/>
  </cellStyles>
  <dxfs count="645"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lag\Documents\Trabalhos\MPDFT\Or&#231;%20006_2020%20PJBSI%20-%20C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file____R__DIPRO_NOR_or_C3_A7a"/>
      <sheetName val="Planilha Sintética"/>
      <sheetName val="Composição de BDI"/>
      <sheetName val="Composição de Encargos Sociais"/>
      <sheetName val="Cronograma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008B9-A619-4279-B881-E0DC6A717F3A}">
  <dimension ref="A1:B33"/>
  <sheetViews>
    <sheetView showGridLines="0" tabSelected="1" workbookViewId="0">
      <selection sqref="A1:B1"/>
    </sheetView>
  </sheetViews>
  <sheetFormatPr defaultRowHeight="14.25" x14ac:dyDescent="0.2"/>
  <cols>
    <col min="1" max="1" width="6" style="136" customWidth="1"/>
    <col min="2" max="2" width="73.75" style="136" customWidth="1"/>
    <col min="3" max="256" width="9" style="136"/>
    <col min="257" max="257" width="6" style="136" customWidth="1"/>
    <col min="258" max="258" width="73.75" style="136" customWidth="1"/>
    <col min="259" max="512" width="9" style="136"/>
    <col min="513" max="513" width="6" style="136" customWidth="1"/>
    <col min="514" max="514" width="73.75" style="136" customWidth="1"/>
    <col min="515" max="768" width="9" style="136"/>
    <col min="769" max="769" width="6" style="136" customWidth="1"/>
    <col min="770" max="770" width="73.75" style="136" customWidth="1"/>
    <col min="771" max="1024" width="9" style="136"/>
    <col min="1025" max="1025" width="6" style="136" customWidth="1"/>
    <col min="1026" max="1026" width="73.75" style="136" customWidth="1"/>
    <col min="1027" max="1280" width="9" style="136"/>
    <col min="1281" max="1281" width="6" style="136" customWidth="1"/>
    <col min="1282" max="1282" width="73.75" style="136" customWidth="1"/>
    <col min="1283" max="1536" width="9" style="136"/>
    <col min="1537" max="1537" width="6" style="136" customWidth="1"/>
    <col min="1538" max="1538" width="73.75" style="136" customWidth="1"/>
    <col min="1539" max="1792" width="9" style="136"/>
    <col min="1793" max="1793" width="6" style="136" customWidth="1"/>
    <col min="1794" max="1794" width="73.75" style="136" customWidth="1"/>
    <col min="1795" max="2048" width="9" style="136"/>
    <col min="2049" max="2049" width="6" style="136" customWidth="1"/>
    <col min="2050" max="2050" width="73.75" style="136" customWidth="1"/>
    <col min="2051" max="2304" width="9" style="136"/>
    <col min="2305" max="2305" width="6" style="136" customWidth="1"/>
    <col min="2306" max="2306" width="73.75" style="136" customWidth="1"/>
    <col min="2307" max="2560" width="9" style="136"/>
    <col min="2561" max="2561" width="6" style="136" customWidth="1"/>
    <col min="2562" max="2562" width="73.75" style="136" customWidth="1"/>
    <col min="2563" max="2816" width="9" style="136"/>
    <col min="2817" max="2817" width="6" style="136" customWidth="1"/>
    <col min="2818" max="2818" width="73.75" style="136" customWidth="1"/>
    <col min="2819" max="3072" width="9" style="136"/>
    <col min="3073" max="3073" width="6" style="136" customWidth="1"/>
    <col min="3074" max="3074" width="73.75" style="136" customWidth="1"/>
    <col min="3075" max="3328" width="9" style="136"/>
    <col min="3329" max="3329" width="6" style="136" customWidth="1"/>
    <col min="3330" max="3330" width="73.75" style="136" customWidth="1"/>
    <col min="3331" max="3584" width="9" style="136"/>
    <col min="3585" max="3585" width="6" style="136" customWidth="1"/>
    <col min="3586" max="3586" width="73.75" style="136" customWidth="1"/>
    <col min="3587" max="3840" width="9" style="136"/>
    <col min="3841" max="3841" width="6" style="136" customWidth="1"/>
    <col min="3842" max="3842" width="73.75" style="136" customWidth="1"/>
    <col min="3843" max="4096" width="9" style="136"/>
    <col min="4097" max="4097" width="6" style="136" customWidth="1"/>
    <col min="4098" max="4098" width="73.75" style="136" customWidth="1"/>
    <col min="4099" max="4352" width="9" style="136"/>
    <col min="4353" max="4353" width="6" style="136" customWidth="1"/>
    <col min="4354" max="4354" width="73.75" style="136" customWidth="1"/>
    <col min="4355" max="4608" width="9" style="136"/>
    <col min="4609" max="4609" width="6" style="136" customWidth="1"/>
    <col min="4610" max="4610" width="73.75" style="136" customWidth="1"/>
    <col min="4611" max="4864" width="9" style="136"/>
    <col min="4865" max="4865" width="6" style="136" customWidth="1"/>
    <col min="4866" max="4866" width="73.75" style="136" customWidth="1"/>
    <col min="4867" max="5120" width="9" style="136"/>
    <col min="5121" max="5121" width="6" style="136" customWidth="1"/>
    <col min="5122" max="5122" width="73.75" style="136" customWidth="1"/>
    <col min="5123" max="5376" width="9" style="136"/>
    <col min="5377" max="5377" width="6" style="136" customWidth="1"/>
    <col min="5378" max="5378" width="73.75" style="136" customWidth="1"/>
    <col min="5379" max="5632" width="9" style="136"/>
    <col min="5633" max="5633" width="6" style="136" customWidth="1"/>
    <col min="5634" max="5634" width="73.75" style="136" customWidth="1"/>
    <col min="5635" max="5888" width="9" style="136"/>
    <col min="5889" max="5889" width="6" style="136" customWidth="1"/>
    <col min="5890" max="5890" width="73.75" style="136" customWidth="1"/>
    <col min="5891" max="6144" width="9" style="136"/>
    <col min="6145" max="6145" width="6" style="136" customWidth="1"/>
    <col min="6146" max="6146" width="73.75" style="136" customWidth="1"/>
    <col min="6147" max="6400" width="9" style="136"/>
    <col min="6401" max="6401" width="6" style="136" customWidth="1"/>
    <col min="6402" max="6402" width="73.75" style="136" customWidth="1"/>
    <col min="6403" max="6656" width="9" style="136"/>
    <col min="6657" max="6657" width="6" style="136" customWidth="1"/>
    <col min="6658" max="6658" width="73.75" style="136" customWidth="1"/>
    <col min="6659" max="6912" width="9" style="136"/>
    <col min="6913" max="6913" width="6" style="136" customWidth="1"/>
    <col min="6914" max="6914" width="73.75" style="136" customWidth="1"/>
    <col min="6915" max="7168" width="9" style="136"/>
    <col min="7169" max="7169" width="6" style="136" customWidth="1"/>
    <col min="7170" max="7170" width="73.75" style="136" customWidth="1"/>
    <col min="7171" max="7424" width="9" style="136"/>
    <col min="7425" max="7425" width="6" style="136" customWidth="1"/>
    <col min="7426" max="7426" width="73.75" style="136" customWidth="1"/>
    <col min="7427" max="7680" width="9" style="136"/>
    <col min="7681" max="7681" width="6" style="136" customWidth="1"/>
    <col min="7682" max="7682" width="73.75" style="136" customWidth="1"/>
    <col min="7683" max="7936" width="9" style="136"/>
    <col min="7937" max="7937" width="6" style="136" customWidth="1"/>
    <col min="7938" max="7938" width="73.75" style="136" customWidth="1"/>
    <col min="7939" max="8192" width="9" style="136"/>
    <col min="8193" max="8193" width="6" style="136" customWidth="1"/>
    <col min="8194" max="8194" width="73.75" style="136" customWidth="1"/>
    <col min="8195" max="8448" width="9" style="136"/>
    <col min="8449" max="8449" width="6" style="136" customWidth="1"/>
    <col min="8450" max="8450" width="73.75" style="136" customWidth="1"/>
    <col min="8451" max="8704" width="9" style="136"/>
    <col min="8705" max="8705" width="6" style="136" customWidth="1"/>
    <col min="8706" max="8706" width="73.75" style="136" customWidth="1"/>
    <col min="8707" max="8960" width="9" style="136"/>
    <col min="8961" max="8961" width="6" style="136" customWidth="1"/>
    <col min="8962" max="8962" width="73.75" style="136" customWidth="1"/>
    <col min="8963" max="9216" width="9" style="136"/>
    <col min="9217" max="9217" width="6" style="136" customWidth="1"/>
    <col min="9218" max="9218" width="73.75" style="136" customWidth="1"/>
    <col min="9219" max="9472" width="9" style="136"/>
    <col min="9473" max="9473" width="6" style="136" customWidth="1"/>
    <col min="9474" max="9474" width="73.75" style="136" customWidth="1"/>
    <col min="9475" max="9728" width="9" style="136"/>
    <col min="9729" max="9729" width="6" style="136" customWidth="1"/>
    <col min="9730" max="9730" width="73.75" style="136" customWidth="1"/>
    <col min="9731" max="9984" width="9" style="136"/>
    <col min="9985" max="9985" width="6" style="136" customWidth="1"/>
    <col min="9986" max="9986" width="73.75" style="136" customWidth="1"/>
    <col min="9987" max="10240" width="9" style="136"/>
    <col min="10241" max="10241" width="6" style="136" customWidth="1"/>
    <col min="10242" max="10242" width="73.75" style="136" customWidth="1"/>
    <col min="10243" max="10496" width="9" style="136"/>
    <col min="10497" max="10497" width="6" style="136" customWidth="1"/>
    <col min="10498" max="10498" width="73.75" style="136" customWidth="1"/>
    <col min="10499" max="10752" width="9" style="136"/>
    <col min="10753" max="10753" width="6" style="136" customWidth="1"/>
    <col min="10754" max="10754" width="73.75" style="136" customWidth="1"/>
    <col min="10755" max="11008" width="9" style="136"/>
    <col min="11009" max="11009" width="6" style="136" customWidth="1"/>
    <col min="11010" max="11010" width="73.75" style="136" customWidth="1"/>
    <col min="11011" max="11264" width="9" style="136"/>
    <col min="11265" max="11265" width="6" style="136" customWidth="1"/>
    <col min="11266" max="11266" width="73.75" style="136" customWidth="1"/>
    <col min="11267" max="11520" width="9" style="136"/>
    <col min="11521" max="11521" width="6" style="136" customWidth="1"/>
    <col min="11522" max="11522" width="73.75" style="136" customWidth="1"/>
    <col min="11523" max="11776" width="9" style="136"/>
    <col min="11777" max="11777" width="6" style="136" customWidth="1"/>
    <col min="11778" max="11778" width="73.75" style="136" customWidth="1"/>
    <col min="11779" max="12032" width="9" style="136"/>
    <col min="12033" max="12033" width="6" style="136" customWidth="1"/>
    <col min="12034" max="12034" width="73.75" style="136" customWidth="1"/>
    <col min="12035" max="12288" width="9" style="136"/>
    <col min="12289" max="12289" width="6" style="136" customWidth="1"/>
    <col min="12290" max="12290" width="73.75" style="136" customWidth="1"/>
    <col min="12291" max="12544" width="9" style="136"/>
    <col min="12545" max="12545" width="6" style="136" customWidth="1"/>
    <col min="12546" max="12546" width="73.75" style="136" customWidth="1"/>
    <col min="12547" max="12800" width="9" style="136"/>
    <col min="12801" max="12801" width="6" style="136" customWidth="1"/>
    <col min="12802" max="12802" width="73.75" style="136" customWidth="1"/>
    <col min="12803" max="13056" width="9" style="136"/>
    <col min="13057" max="13057" width="6" style="136" customWidth="1"/>
    <col min="13058" max="13058" width="73.75" style="136" customWidth="1"/>
    <col min="13059" max="13312" width="9" style="136"/>
    <col min="13313" max="13313" width="6" style="136" customWidth="1"/>
    <col min="13314" max="13314" width="73.75" style="136" customWidth="1"/>
    <col min="13315" max="13568" width="9" style="136"/>
    <col min="13569" max="13569" width="6" style="136" customWidth="1"/>
    <col min="13570" max="13570" width="73.75" style="136" customWidth="1"/>
    <col min="13571" max="13824" width="9" style="136"/>
    <col min="13825" max="13825" width="6" style="136" customWidth="1"/>
    <col min="13826" max="13826" width="73.75" style="136" customWidth="1"/>
    <col min="13827" max="14080" width="9" style="136"/>
    <col min="14081" max="14081" width="6" style="136" customWidth="1"/>
    <col min="14082" max="14082" width="73.75" style="136" customWidth="1"/>
    <col min="14083" max="14336" width="9" style="136"/>
    <col min="14337" max="14337" width="6" style="136" customWidth="1"/>
    <col min="14338" max="14338" width="73.75" style="136" customWidth="1"/>
    <col min="14339" max="14592" width="9" style="136"/>
    <col min="14593" max="14593" width="6" style="136" customWidth="1"/>
    <col min="14594" max="14594" width="73.75" style="136" customWidth="1"/>
    <col min="14595" max="14848" width="9" style="136"/>
    <col min="14849" max="14849" width="6" style="136" customWidth="1"/>
    <col min="14850" max="14850" width="73.75" style="136" customWidth="1"/>
    <col min="14851" max="15104" width="9" style="136"/>
    <col min="15105" max="15105" width="6" style="136" customWidth="1"/>
    <col min="15106" max="15106" width="73.75" style="136" customWidth="1"/>
    <col min="15107" max="15360" width="9" style="136"/>
    <col min="15361" max="15361" width="6" style="136" customWidth="1"/>
    <col min="15362" max="15362" width="73.75" style="136" customWidth="1"/>
    <col min="15363" max="15616" width="9" style="136"/>
    <col min="15617" max="15617" width="6" style="136" customWidth="1"/>
    <col min="15618" max="15618" width="73.75" style="136" customWidth="1"/>
    <col min="15619" max="15872" width="9" style="136"/>
    <col min="15873" max="15873" width="6" style="136" customWidth="1"/>
    <col min="15874" max="15874" width="73.75" style="136" customWidth="1"/>
    <col min="15875" max="16128" width="9" style="136"/>
    <col min="16129" max="16129" width="6" style="136" customWidth="1"/>
    <col min="16130" max="16130" width="73.75" style="136" customWidth="1"/>
    <col min="16131" max="16384" width="9" style="136"/>
  </cols>
  <sheetData>
    <row r="1" spans="1:2" x14ac:dyDescent="0.2">
      <c r="A1" s="187" t="s">
        <v>611</v>
      </c>
      <c r="B1" s="188"/>
    </row>
    <row r="2" spans="1:2" x14ac:dyDescent="0.2">
      <c r="A2" s="138"/>
      <c r="B2" s="139"/>
    </row>
    <row r="3" spans="1:2" x14ac:dyDescent="0.2">
      <c r="A3" s="140"/>
      <c r="B3" s="141" t="s">
        <v>612</v>
      </c>
    </row>
    <row r="4" spans="1:2" ht="33.75" x14ac:dyDescent="0.2">
      <c r="A4" s="142">
        <v>1</v>
      </c>
      <c r="B4" s="143" t="s">
        <v>613</v>
      </c>
    </row>
    <row r="5" spans="1:2" x14ac:dyDescent="0.2">
      <c r="A5" s="142">
        <v>2</v>
      </c>
      <c r="B5" s="143" t="s">
        <v>614</v>
      </c>
    </row>
    <row r="6" spans="1:2" ht="22.5" x14ac:dyDescent="0.2">
      <c r="A6" s="142" t="s">
        <v>615</v>
      </c>
      <c r="B6" s="143" t="s">
        <v>616</v>
      </c>
    </row>
    <row r="7" spans="1:2" x14ac:dyDescent="0.2">
      <c r="A7" s="142" t="s">
        <v>617</v>
      </c>
      <c r="B7" s="143" t="s">
        <v>618</v>
      </c>
    </row>
    <row r="8" spans="1:2" ht="22.5" x14ac:dyDescent="0.2">
      <c r="A8" s="142" t="s">
        <v>619</v>
      </c>
      <c r="B8" s="143" t="s">
        <v>620</v>
      </c>
    </row>
    <row r="9" spans="1:2" x14ac:dyDescent="0.2">
      <c r="A9" s="142" t="s">
        <v>621</v>
      </c>
      <c r="B9" s="143" t="s">
        <v>697</v>
      </c>
    </row>
    <row r="10" spans="1:2" ht="22.5" x14ac:dyDescent="0.2">
      <c r="A10" s="144" t="s">
        <v>622</v>
      </c>
      <c r="B10" s="145" t="s">
        <v>623</v>
      </c>
    </row>
    <row r="11" spans="1:2" x14ac:dyDescent="0.2">
      <c r="A11" s="146"/>
      <c r="B11" s="147"/>
    </row>
    <row r="12" spans="1:2" x14ac:dyDescent="0.2">
      <c r="A12" s="140" t="s">
        <v>365</v>
      </c>
      <c r="B12" s="141" t="s">
        <v>624</v>
      </c>
    </row>
    <row r="13" spans="1:2" ht="22.5" x14ac:dyDescent="0.2">
      <c r="A13" s="142" t="s">
        <v>323</v>
      </c>
      <c r="B13" s="143" t="s">
        <v>625</v>
      </c>
    </row>
    <row r="14" spans="1:2" ht="22.5" x14ac:dyDescent="0.2">
      <c r="A14" s="142" t="s">
        <v>349</v>
      </c>
      <c r="B14" s="143" t="s">
        <v>626</v>
      </c>
    </row>
    <row r="15" spans="1:2" x14ac:dyDescent="0.2">
      <c r="A15" s="148" t="s">
        <v>387</v>
      </c>
      <c r="B15" s="149" t="s">
        <v>627</v>
      </c>
    </row>
    <row r="16" spans="1:2" x14ac:dyDescent="0.2">
      <c r="A16" s="142" t="s">
        <v>337</v>
      </c>
      <c r="B16" s="143" t="s">
        <v>628</v>
      </c>
    </row>
    <row r="17" spans="1:2" ht="22.5" x14ac:dyDescent="0.2">
      <c r="A17" s="142" t="s">
        <v>369</v>
      </c>
      <c r="B17" s="143" t="s">
        <v>629</v>
      </c>
    </row>
    <row r="18" spans="1:2" ht="22.5" x14ac:dyDescent="0.2">
      <c r="A18" s="142" t="s">
        <v>371</v>
      </c>
      <c r="B18" s="143" t="s">
        <v>630</v>
      </c>
    </row>
    <row r="19" spans="1:2" x14ac:dyDescent="0.2">
      <c r="A19" s="148" t="s">
        <v>400</v>
      </c>
      <c r="B19" s="149" t="s">
        <v>631</v>
      </c>
    </row>
    <row r="20" spans="1:2" x14ac:dyDescent="0.2">
      <c r="A20" s="142" t="s">
        <v>390</v>
      </c>
      <c r="B20" s="143" t="s">
        <v>632</v>
      </c>
    </row>
    <row r="21" spans="1:2" ht="22.5" x14ac:dyDescent="0.2">
      <c r="A21" s="142" t="s">
        <v>392</v>
      </c>
      <c r="B21" s="143" t="s">
        <v>633</v>
      </c>
    </row>
    <row r="22" spans="1:2" ht="22.5" x14ac:dyDescent="0.2">
      <c r="A22" s="142" t="s">
        <v>394</v>
      </c>
      <c r="B22" s="143" t="s">
        <v>634</v>
      </c>
    </row>
    <row r="23" spans="1:2" ht="22.5" x14ac:dyDescent="0.2">
      <c r="A23" s="142" t="s">
        <v>396</v>
      </c>
      <c r="B23" s="143" t="s">
        <v>635</v>
      </c>
    </row>
    <row r="24" spans="1:2" x14ac:dyDescent="0.2">
      <c r="A24" s="148" t="s">
        <v>636</v>
      </c>
      <c r="B24" s="149" t="s">
        <v>637</v>
      </c>
    </row>
    <row r="25" spans="1:2" ht="33.75" x14ac:dyDescent="0.2">
      <c r="A25" s="142" t="s">
        <v>402</v>
      </c>
      <c r="B25" s="143" t="s">
        <v>638</v>
      </c>
    </row>
    <row r="26" spans="1:2" ht="22.5" x14ac:dyDescent="0.2">
      <c r="A26" s="142" t="s">
        <v>404</v>
      </c>
      <c r="B26" s="143" t="s">
        <v>639</v>
      </c>
    </row>
    <row r="27" spans="1:2" x14ac:dyDescent="0.2">
      <c r="A27" s="142" t="s">
        <v>640</v>
      </c>
      <c r="B27" s="143" t="s">
        <v>641</v>
      </c>
    </row>
    <row r="28" spans="1:2" x14ac:dyDescent="0.2">
      <c r="A28" s="148" t="s">
        <v>642</v>
      </c>
      <c r="B28" s="149" t="s">
        <v>643</v>
      </c>
    </row>
    <row r="29" spans="1:2" x14ac:dyDescent="0.2">
      <c r="A29" s="142" t="s">
        <v>644</v>
      </c>
      <c r="B29" s="143" t="s">
        <v>645</v>
      </c>
    </row>
    <row r="30" spans="1:2" x14ac:dyDescent="0.2">
      <c r="A30" s="150" t="s">
        <v>646</v>
      </c>
      <c r="B30" s="151" t="s">
        <v>647</v>
      </c>
    </row>
    <row r="31" spans="1:2" x14ac:dyDescent="0.2">
      <c r="A31" s="152" t="s">
        <v>648</v>
      </c>
      <c r="B31" s="153" t="s">
        <v>649</v>
      </c>
    </row>
    <row r="32" spans="1:2" ht="22.5" x14ac:dyDescent="0.2">
      <c r="A32" s="152" t="s">
        <v>650</v>
      </c>
      <c r="B32" s="153" t="s">
        <v>668</v>
      </c>
    </row>
    <row r="33" spans="1:2" ht="22.5" x14ac:dyDescent="0.2">
      <c r="A33" s="154" t="s">
        <v>651</v>
      </c>
      <c r="B33" s="155" t="s">
        <v>652</v>
      </c>
    </row>
  </sheetData>
  <mergeCells count="1">
    <mergeCell ref="A1:B1"/>
  </mergeCells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 alignWithMargins="0">
    <oddHeader>&amp;C&amp;"Arial,Negrito"&amp;20ESTA PLANILHA NÃO PRECISA SER IMPRESSA</oddHeader>
    <oddFooter>&amp;C&amp;"Arial,Negrito"&amp;20ESTA PLANILHA NÃO PRECISA SER IMPRESSA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showGridLines="0" showOutlineSymbols="0" showWhiteSpace="0" workbookViewId="0"/>
  </sheetViews>
  <sheetFormatPr defaultRowHeight="11.25" x14ac:dyDescent="0.2"/>
  <cols>
    <col min="1" max="1" width="8.375" style="5" bestFit="1" customWidth="1"/>
    <col min="2" max="2" width="60" style="5" bestFit="1" customWidth="1"/>
    <col min="3" max="3" width="10" style="5" bestFit="1" customWidth="1"/>
    <col min="4" max="4" width="16.5" style="5" bestFit="1" customWidth="1"/>
    <col min="5" max="16384" width="9" style="5"/>
  </cols>
  <sheetData>
    <row r="1" spans="1:4" ht="15" customHeight="1" x14ac:dyDescent="0.2">
      <c r="A1" s="156" t="str">
        <f>'Orçamento Sintético'!A1</f>
        <v>P. Execução:</v>
      </c>
      <c r="B1" s="159" t="str">
        <f>'Orçamento Sintético'!D1</f>
        <v>Objeto: Revitalização de fachada, impermeabilização e cobertura - PJGA</v>
      </c>
      <c r="C1" s="158" t="str">
        <f>'Orçamento Sintético'!C1</f>
        <v>Licitação:</v>
      </c>
      <c r="D1" s="191"/>
    </row>
    <row r="2" spans="1:4" ht="15" customHeight="1" x14ac:dyDescent="0.2">
      <c r="A2" s="168" t="str">
        <f>'Orçamento Sintético'!A2</f>
        <v>A</v>
      </c>
      <c r="B2" s="162" t="str">
        <f>'Orçamento Sintético'!D2</f>
        <v>Local: Quadra 1, - Setor Industrial (Gama), Lotes 860, 880 e 900</v>
      </c>
      <c r="C2" s="161" t="str">
        <f>'Orçamento Sintético'!C2</f>
        <v>B</v>
      </c>
      <c r="D2" s="192"/>
    </row>
    <row r="3" spans="1:4" s="105" customFormat="1" ht="15" customHeight="1" x14ac:dyDescent="0.2">
      <c r="A3" s="169" t="str">
        <f>'Orçamento Sintético'!A3</f>
        <v>P. Validade:</v>
      </c>
      <c r="B3" s="169" t="str">
        <f>'Orçamento Sintético'!C3</f>
        <v>Razão Social:</v>
      </c>
      <c r="C3" s="156" t="str">
        <f>'Orçamento Sintético'!E1</f>
        <v>Data:</v>
      </c>
      <c r="D3" s="192"/>
    </row>
    <row r="4" spans="1:4" s="105" customFormat="1" ht="15" customHeight="1" x14ac:dyDescent="0.2">
      <c r="A4" s="168" t="str">
        <f>'Orçamento Sintético'!A4</f>
        <v>C</v>
      </c>
      <c r="B4" s="168" t="str">
        <f>'Orçamento Sintético'!C4</f>
        <v>D</v>
      </c>
      <c r="C4" s="170">
        <f>'Orçamento Sintético'!E2</f>
        <v>1</v>
      </c>
      <c r="D4" s="192"/>
    </row>
    <row r="5" spans="1:4" ht="15" customHeight="1" x14ac:dyDescent="0.2">
      <c r="A5" s="156" t="str">
        <f>'Orçamento Sintético'!A5</f>
        <v>P. Garantia:</v>
      </c>
      <c r="B5" s="169" t="str">
        <f>'Orçamento Sintético'!C5</f>
        <v>CNPJ:</v>
      </c>
      <c r="C5" s="156" t="str">
        <f>'Orçamento Sintético'!E3</f>
        <v>Telefone:</v>
      </c>
      <c r="D5" s="192"/>
    </row>
    <row r="6" spans="1:4" ht="15" customHeight="1" x14ac:dyDescent="0.2">
      <c r="A6" s="168" t="str">
        <f>'Orçamento Sintético'!A6</f>
        <v>F</v>
      </c>
      <c r="B6" s="168" t="str">
        <f>'Orçamento Sintético'!C6</f>
        <v>G</v>
      </c>
      <c r="C6" s="170" t="str">
        <f>'Orçamento Sintético'!E4</f>
        <v>E</v>
      </c>
      <c r="D6" s="193"/>
    </row>
    <row r="7" spans="1:4" ht="15" customHeight="1" x14ac:dyDescent="0.25">
      <c r="A7" s="189" t="s">
        <v>409</v>
      </c>
      <c r="B7" s="190"/>
      <c r="C7" s="190"/>
      <c r="D7" s="190"/>
    </row>
    <row r="8" spans="1:4" ht="30" customHeight="1" x14ac:dyDescent="0.2">
      <c r="A8" s="134" t="s">
        <v>1</v>
      </c>
      <c r="B8" s="85" t="s">
        <v>4</v>
      </c>
      <c r="C8" s="85" t="s">
        <v>8</v>
      </c>
      <c r="D8" s="85" t="s">
        <v>9</v>
      </c>
    </row>
    <row r="9" spans="1:4" ht="24" customHeight="1" x14ac:dyDescent="0.2">
      <c r="A9" s="133" t="s">
        <v>10</v>
      </c>
      <c r="B9" s="108" t="str">
        <f>VLOOKUP(A9,'Orçamento Sintético'!$A:$H,4,0)</f>
        <v>SERVIÇOS TÉCNICO - PROFISSIONAIS</v>
      </c>
      <c r="C9" s="7">
        <f>VLOOKUP(A9,'Orçamento Sintético'!$A:$H,8,0)</f>
        <v>3569.28</v>
      </c>
      <c r="D9" s="8">
        <f t="shared" ref="D9:D14" si="0">ROUND(C9/$D$16,4)</f>
        <v>3.8999999999999998E-3</v>
      </c>
    </row>
    <row r="10" spans="1:4" ht="24" customHeight="1" x14ac:dyDescent="0.2">
      <c r="A10" s="133" t="s">
        <v>25</v>
      </c>
      <c r="B10" s="108" t="str">
        <f>VLOOKUP(A10,'Orçamento Sintético'!$A:$H,4,0)</f>
        <v>SERVIÇOS PRELIMINARES</v>
      </c>
      <c r="C10" s="106">
        <f>VLOOKUP(A10,'Orçamento Sintético'!$A:$H,8,0)</f>
        <v>118487.07</v>
      </c>
      <c r="D10" s="107">
        <f t="shared" si="0"/>
        <v>0.13070000000000001</v>
      </c>
    </row>
    <row r="11" spans="1:4" ht="24" customHeight="1" x14ac:dyDescent="0.2">
      <c r="A11" s="133" t="s">
        <v>117</v>
      </c>
      <c r="B11" s="108" t="str">
        <f>VLOOKUP(A11,'Orçamento Sintético'!$A:$H,4,0)</f>
        <v>ARQUITETURA E ELEMENTOS DE URBANISMO</v>
      </c>
      <c r="C11" s="106">
        <f>VLOOKUP(A11,'Orçamento Sintético'!$A:$H,8,0)</f>
        <v>735568.45</v>
      </c>
      <c r="D11" s="107">
        <f t="shared" si="0"/>
        <v>0.81120000000000003</v>
      </c>
    </row>
    <row r="12" spans="1:4" ht="24" customHeight="1" x14ac:dyDescent="0.2">
      <c r="A12" s="133" t="s">
        <v>264</v>
      </c>
      <c r="B12" s="108" t="str">
        <f>VLOOKUP(A12,'Orçamento Sintético'!$A:$H,4,0)</f>
        <v>INSTALAÇÕES ELÉTRICAS E ELETRÔNICAS</v>
      </c>
      <c r="C12" s="106">
        <f>VLOOKUP(A12,'Orçamento Sintético'!$A:$H,8,0)</f>
        <v>5906.7099999999991</v>
      </c>
      <c r="D12" s="107">
        <f t="shared" si="0"/>
        <v>6.4999999999999997E-3</v>
      </c>
    </row>
    <row r="13" spans="1:4" ht="24" customHeight="1" x14ac:dyDescent="0.2">
      <c r="A13" s="133" t="s">
        <v>283</v>
      </c>
      <c r="B13" s="108" t="str">
        <f>VLOOKUP(A13,'Orçamento Sintético'!$A:$H,4,0)</f>
        <v>SERVIÇOS COMPLEMENTARES</v>
      </c>
      <c r="C13" s="106">
        <f>VLOOKUP(A13,'Orçamento Sintético'!$A:$H,8,0)</f>
        <v>5947.4299999999994</v>
      </c>
      <c r="D13" s="107">
        <f t="shared" si="0"/>
        <v>6.6E-3</v>
      </c>
    </row>
    <row r="14" spans="1:4" ht="24" customHeight="1" x14ac:dyDescent="0.2">
      <c r="A14" s="133" t="s">
        <v>300</v>
      </c>
      <c r="B14" s="108" t="str">
        <f>VLOOKUP(A14,'Orçamento Sintético'!$A:$H,4,0)</f>
        <v>SERVIÇOS AUXILIARES E ADMINISTRATIVOS</v>
      </c>
      <c r="C14" s="106">
        <f>VLOOKUP(A14,'Orçamento Sintético'!$A:$H,8,0)</f>
        <v>37331.050000000003</v>
      </c>
      <c r="D14" s="107">
        <f t="shared" si="0"/>
        <v>4.1200000000000001E-2</v>
      </c>
    </row>
    <row r="15" spans="1:4" x14ac:dyDescent="0.2">
      <c r="A15" s="9"/>
      <c r="B15" s="9"/>
      <c r="C15" s="9"/>
      <c r="D15" s="9"/>
    </row>
    <row r="16" spans="1:4" ht="14.25" customHeight="1" x14ac:dyDescent="0.2">
      <c r="A16" s="135"/>
      <c r="B16" s="102" t="s">
        <v>313</v>
      </c>
      <c r="C16" s="10"/>
      <c r="D16" s="10">
        <f>SUM(C9:C14)</f>
        <v>906809.99</v>
      </c>
    </row>
    <row r="17" spans="1:4" ht="14.25" customHeight="1" x14ac:dyDescent="0.2">
      <c r="A17" s="135"/>
      <c r="B17" s="102" t="s">
        <v>314</v>
      </c>
      <c r="C17" s="74" t="str">
        <f>"("&amp;'Composição de BDI'!D28*100&amp;"%)"</f>
        <v>(22,12%)</v>
      </c>
      <c r="D17" s="10">
        <f>TRUNC(D16*'Composição de BDI'!D28,2)</f>
        <v>200586.36</v>
      </c>
    </row>
    <row r="18" spans="1:4" ht="14.25" customHeight="1" x14ac:dyDescent="0.2">
      <c r="A18" s="135"/>
      <c r="B18" s="102" t="s">
        <v>315</v>
      </c>
      <c r="C18" s="10"/>
      <c r="D18" s="10">
        <f>SUM(D16:D17)</f>
        <v>1107396.3500000001</v>
      </c>
    </row>
  </sheetData>
  <mergeCells count="2">
    <mergeCell ref="A7:D7"/>
    <mergeCell ref="D1:D6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6" fitToHeight="0" orientation="portrait" r:id="rId1"/>
  <headerFooter>
    <oddHeader>&amp;L &amp;C &amp;R</oddHeader>
    <oddFooter>&amp;L &amp;C 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6"/>
  <sheetViews>
    <sheetView showGridLines="0" showOutlineSymbols="0" showWhiteSpace="0" zoomScaleNormal="100" workbookViewId="0">
      <pane xSplit="8" ySplit="8" topLeftCell="I9" activePane="bottomRight" state="frozen"/>
      <selection sqref="A1:A2"/>
      <selection pane="topRight" sqref="A1:A2"/>
      <selection pane="bottomLeft" sqref="A1:A2"/>
      <selection pane="bottomRight" activeCell="I9" sqref="I9"/>
    </sheetView>
  </sheetViews>
  <sheetFormatPr defaultRowHeight="14.25" x14ac:dyDescent="0.2"/>
  <cols>
    <col min="1" max="1" width="10.25" bestFit="1" customWidth="1"/>
    <col min="2" max="2" width="10.375" bestFit="1" customWidth="1"/>
    <col min="3" max="3" width="6.5" bestFit="1" customWidth="1"/>
    <col min="4" max="4" width="51.375" customWidth="1"/>
    <col min="5" max="5" width="7.625" bestFit="1" customWidth="1"/>
    <col min="6" max="6" width="6.75" bestFit="1" customWidth="1"/>
    <col min="7" max="7" width="9.5" bestFit="1" customWidth="1"/>
    <col min="8" max="8" width="8.875" bestFit="1" customWidth="1"/>
  </cols>
  <sheetData>
    <row r="1" spans="1:8" ht="15" customHeight="1" x14ac:dyDescent="0.2">
      <c r="A1" s="156" t="s">
        <v>653</v>
      </c>
      <c r="B1" s="157"/>
      <c r="C1" s="158" t="s">
        <v>654</v>
      </c>
      <c r="D1" s="159" t="s">
        <v>662</v>
      </c>
      <c r="E1" s="156" t="s">
        <v>316</v>
      </c>
      <c r="F1" s="160"/>
      <c r="G1" s="198"/>
      <c r="H1" s="199"/>
    </row>
    <row r="2" spans="1:8" ht="15" customHeight="1" x14ac:dyDescent="0.2">
      <c r="A2" s="194" t="s">
        <v>365</v>
      </c>
      <c r="B2" s="200"/>
      <c r="C2" s="161" t="s">
        <v>387</v>
      </c>
      <c r="D2" s="162" t="s">
        <v>663</v>
      </c>
      <c r="E2" s="201">
        <v>1</v>
      </c>
      <c r="F2" s="202"/>
      <c r="G2" s="196"/>
      <c r="H2" s="197"/>
    </row>
    <row r="3" spans="1:8" s="136" customFormat="1" ht="15" customHeight="1" x14ac:dyDescent="0.2">
      <c r="A3" s="205" t="s">
        <v>655</v>
      </c>
      <c r="B3" s="206"/>
      <c r="C3" s="205" t="s">
        <v>656</v>
      </c>
      <c r="D3" s="206"/>
      <c r="E3" s="156" t="s">
        <v>657</v>
      </c>
      <c r="F3" s="163"/>
      <c r="G3" s="164"/>
      <c r="H3" s="165"/>
    </row>
    <row r="4" spans="1:8" s="136" customFormat="1" ht="15" customHeight="1" x14ac:dyDescent="0.2">
      <c r="A4" s="194" t="s">
        <v>400</v>
      </c>
      <c r="B4" s="200"/>
      <c r="C4" s="194" t="s">
        <v>636</v>
      </c>
      <c r="D4" s="200"/>
      <c r="E4" s="194" t="s">
        <v>642</v>
      </c>
      <c r="F4" s="195"/>
      <c r="G4" s="196"/>
      <c r="H4" s="197"/>
    </row>
    <row r="5" spans="1:8" ht="15" customHeight="1" x14ac:dyDescent="0.2">
      <c r="A5" s="166" t="s">
        <v>658</v>
      </c>
      <c r="B5" s="167"/>
      <c r="C5" s="156" t="s">
        <v>659</v>
      </c>
      <c r="D5" s="157"/>
      <c r="E5" s="156" t="s">
        <v>660</v>
      </c>
      <c r="F5" s="163"/>
      <c r="G5" s="164"/>
      <c r="H5" s="165"/>
    </row>
    <row r="6" spans="1:8" ht="15" customHeight="1" x14ac:dyDescent="0.2">
      <c r="A6" s="203" t="s">
        <v>646</v>
      </c>
      <c r="B6" s="204"/>
      <c r="C6" s="194" t="s">
        <v>661</v>
      </c>
      <c r="D6" s="200"/>
      <c r="E6" s="194" t="s">
        <v>306</v>
      </c>
      <c r="F6" s="195"/>
      <c r="G6" s="203"/>
      <c r="H6" s="204"/>
    </row>
    <row r="7" spans="1:8" ht="15" customHeight="1" x14ac:dyDescent="0.25">
      <c r="A7" s="211" t="s">
        <v>0</v>
      </c>
      <c r="B7" s="212"/>
      <c r="C7" s="212"/>
      <c r="D7" s="212"/>
      <c r="E7" s="212"/>
      <c r="F7" s="212"/>
      <c r="G7" s="212"/>
      <c r="H7" s="212"/>
    </row>
    <row r="8" spans="1:8" x14ac:dyDescent="0.2">
      <c r="A8" s="78" t="s">
        <v>1</v>
      </c>
      <c r="B8" s="78" t="s">
        <v>2</v>
      </c>
      <c r="C8" s="78" t="s">
        <v>3</v>
      </c>
      <c r="D8" s="78" t="s">
        <v>4</v>
      </c>
      <c r="E8" s="78" t="s">
        <v>5</v>
      </c>
      <c r="F8" s="77" t="s">
        <v>6</v>
      </c>
      <c r="G8" s="78" t="s">
        <v>7</v>
      </c>
      <c r="H8" s="78" t="s">
        <v>8</v>
      </c>
    </row>
    <row r="9" spans="1:8" x14ac:dyDescent="0.2">
      <c r="A9" s="75" t="s">
        <v>10</v>
      </c>
      <c r="B9" s="75"/>
      <c r="C9" s="75"/>
      <c r="D9" s="75" t="s">
        <v>11</v>
      </c>
      <c r="E9" s="75"/>
      <c r="F9" s="76"/>
      <c r="G9" s="75"/>
      <c r="H9" s="76">
        <f>SUM(H10,H12)</f>
        <v>3569.28</v>
      </c>
    </row>
    <row r="10" spans="1:8" x14ac:dyDescent="0.2">
      <c r="A10" s="65" t="s">
        <v>12</v>
      </c>
      <c r="B10" s="65"/>
      <c r="C10" s="65"/>
      <c r="D10" s="65" t="s">
        <v>13</v>
      </c>
      <c r="E10" s="65"/>
      <c r="F10" s="66"/>
      <c r="G10" s="65"/>
      <c r="H10" s="67">
        <f>SUM(H11)</f>
        <v>3335.34</v>
      </c>
    </row>
    <row r="11" spans="1:8" ht="22.5" x14ac:dyDescent="0.2">
      <c r="A11" s="50" t="s">
        <v>14</v>
      </c>
      <c r="B11" s="52" t="s">
        <v>15</v>
      </c>
      <c r="C11" s="52" t="s">
        <v>16</v>
      </c>
      <c r="D11" s="50" t="s">
        <v>17</v>
      </c>
      <c r="E11" s="52" t="s">
        <v>18</v>
      </c>
      <c r="F11" s="68">
        <v>6</v>
      </c>
      <c r="G11" s="53">
        <f>VLOOKUP(A11,'Orçamento Analítico'!$A:$H,8,0)</f>
        <v>555.89</v>
      </c>
      <c r="H11" s="53">
        <f>TRUNC(F11 * G11, 2)</f>
        <v>3335.34</v>
      </c>
    </row>
    <row r="12" spans="1:8" x14ac:dyDescent="0.2">
      <c r="A12" s="65" t="s">
        <v>19</v>
      </c>
      <c r="B12" s="65"/>
      <c r="C12" s="65"/>
      <c r="D12" s="65" t="s">
        <v>20</v>
      </c>
      <c r="E12" s="65"/>
      <c r="F12" s="66"/>
      <c r="G12" s="65"/>
      <c r="H12" s="67">
        <f>SUM(H13)</f>
        <v>233.94</v>
      </c>
    </row>
    <row r="13" spans="1:8" x14ac:dyDescent="0.2">
      <c r="A13" s="50" t="s">
        <v>21</v>
      </c>
      <c r="B13" s="52" t="s">
        <v>22</v>
      </c>
      <c r="C13" s="52" t="s">
        <v>16</v>
      </c>
      <c r="D13" s="50" t="s">
        <v>23</v>
      </c>
      <c r="E13" s="52" t="s">
        <v>24</v>
      </c>
      <c r="F13" s="68">
        <v>1</v>
      </c>
      <c r="G13" s="53">
        <f>VLOOKUP(A13,'Orçamento Analítico'!$A:$H,8,0)</f>
        <v>233.94</v>
      </c>
      <c r="H13" s="53">
        <f>TRUNC(F13 * G13, 2)</f>
        <v>233.94</v>
      </c>
    </row>
    <row r="14" spans="1:8" x14ac:dyDescent="0.2">
      <c r="A14" s="75" t="s">
        <v>25</v>
      </c>
      <c r="B14" s="75"/>
      <c r="C14" s="75"/>
      <c r="D14" s="75" t="s">
        <v>26</v>
      </c>
      <c r="E14" s="75"/>
      <c r="F14" s="76"/>
      <c r="G14" s="75"/>
      <c r="H14" s="76">
        <f>SUM(H15,H27)</f>
        <v>118487.07</v>
      </c>
    </row>
    <row r="15" spans="1:8" x14ac:dyDescent="0.2">
      <c r="A15" s="65" t="s">
        <v>27</v>
      </c>
      <c r="B15" s="65"/>
      <c r="C15" s="65"/>
      <c r="D15" s="65" t="s">
        <v>28</v>
      </c>
      <c r="E15" s="65"/>
      <c r="F15" s="66"/>
      <c r="G15" s="65"/>
      <c r="H15" s="67">
        <f>SUM(H16,H19)</f>
        <v>62304.11</v>
      </c>
    </row>
    <row r="16" spans="1:8" x14ac:dyDescent="0.2">
      <c r="A16" s="69" t="s">
        <v>29</v>
      </c>
      <c r="B16" s="69"/>
      <c r="C16" s="69"/>
      <c r="D16" s="69" t="s">
        <v>30</v>
      </c>
      <c r="E16" s="69"/>
      <c r="F16" s="70"/>
      <c r="G16" s="69"/>
      <c r="H16" s="71">
        <f>SUM(H17,H18)</f>
        <v>2660.58</v>
      </c>
    </row>
    <row r="17" spans="1:8" ht="22.5" x14ac:dyDescent="0.2">
      <c r="A17" s="50" t="s">
        <v>31</v>
      </c>
      <c r="B17" s="52">
        <v>10775</v>
      </c>
      <c r="C17" s="52" t="str">
        <f>VLOOKUP(B17,'Insumos e Serviços'!$A:$F,2,0)</f>
        <v>SINAPI</v>
      </c>
      <c r="D17" s="51" t="str">
        <f>VLOOKUP(B17,'Insumos e Serviços'!$A:$F,4,0)</f>
        <v>LOCACAO DE CONTAINER 2,30 X 6,00 M, ALT. 2,50 M, COM 1 SANITARIO, PARA ESCRITORIO, COMPLETO, SEM DIVISORIAS INTERNAS</v>
      </c>
      <c r="E17" s="52" t="str">
        <f>VLOOKUP(B17,'Insumos e Serviços'!$A:$F,5,0)</f>
        <v>MÊS</v>
      </c>
      <c r="F17" s="68">
        <v>4</v>
      </c>
      <c r="G17" s="53">
        <f>VLOOKUP(B17,'Insumos e Serviços'!$A:$F,6,0)</f>
        <v>545</v>
      </c>
      <c r="H17" s="53">
        <f>TRUNC(F17 * G17, 2)</f>
        <v>2180</v>
      </c>
    </row>
    <row r="18" spans="1:8" x14ac:dyDescent="0.2">
      <c r="A18" s="50" t="s">
        <v>34</v>
      </c>
      <c r="B18" s="52" t="s">
        <v>35</v>
      </c>
      <c r="C18" s="52" t="s">
        <v>16</v>
      </c>
      <c r="D18" s="50" t="s">
        <v>36</v>
      </c>
      <c r="E18" s="52" t="s">
        <v>37</v>
      </c>
      <c r="F18" s="68">
        <v>1</v>
      </c>
      <c r="G18" s="53">
        <f>VLOOKUP(A18,'Orçamento Analítico'!$A:$H,8,0)</f>
        <v>480.58</v>
      </c>
      <c r="H18" s="53">
        <f>TRUNC(F18 * G18, 2)</f>
        <v>480.58</v>
      </c>
    </row>
    <row r="19" spans="1:8" x14ac:dyDescent="0.2">
      <c r="A19" s="69" t="s">
        <v>38</v>
      </c>
      <c r="B19" s="69"/>
      <c r="C19" s="69"/>
      <c r="D19" s="69" t="s">
        <v>39</v>
      </c>
      <c r="E19" s="69"/>
      <c r="F19" s="70"/>
      <c r="G19" s="69"/>
      <c r="H19" s="71">
        <f>SUM(H20,H21:H26)</f>
        <v>59643.53</v>
      </c>
    </row>
    <row r="20" spans="1:8" ht="22.5" x14ac:dyDescent="0.2">
      <c r="A20" s="50" t="s">
        <v>40</v>
      </c>
      <c r="B20" s="52" t="s">
        <v>41</v>
      </c>
      <c r="C20" s="52" t="str">
        <f>VLOOKUP(B20,'Insumos e Serviços'!$A:$F,2,0)</f>
        <v>SINAPI</v>
      </c>
      <c r="D20" s="51" t="str">
        <f>VLOOKUP(B20,'Insumos e Serviços'!$A:$F,4,0)</f>
        <v>LOCACAO DE ANDAIME METALICO TUBULAR DE ENCAIXE, TIPO DE TORRE, COM LARGURA DE 1 ATE 1,5 M E ALTURA DE *1,00* M</v>
      </c>
      <c r="E20" s="52" t="str">
        <f>VLOOKUP(B20,'Insumos e Serviços'!$A:$F,5,0)</f>
        <v>MXMES</v>
      </c>
      <c r="F20" s="68">
        <v>32</v>
      </c>
      <c r="G20" s="53" t="str">
        <f>VLOOKUP(B20,'Insumos e Serviços'!$A:$F,6,0)</f>
        <v xml:space="preserve"> 12,00</v>
      </c>
      <c r="H20" s="53">
        <f t="shared" ref="H20:H22" si="0">TRUNC(F20 * G20, 2)</f>
        <v>384</v>
      </c>
    </row>
    <row r="21" spans="1:8" ht="33.75" x14ac:dyDescent="0.2">
      <c r="A21" s="50" t="s">
        <v>44</v>
      </c>
      <c r="B21" s="52" t="s">
        <v>45</v>
      </c>
      <c r="C21" s="52" t="str">
        <f>VLOOKUP(B21,'Insumos e Serviços'!$A:$F,2,0)</f>
        <v>SINAPI</v>
      </c>
      <c r="D21" s="51" t="str">
        <f>VLOOKUP(B21,'Insumos e Serviços'!$A:$F,4,0)</f>
        <v>LOCACAO DE ANDAIME METALICO TIPO FACHADEIRO, LARGURA DE 1,20 M, ALTURA POR PECA DE 2,0 M, INCLUINDO SAPATAS E ITENS NECESSARIOS A INSTALACAO</v>
      </c>
      <c r="E21" s="52" t="str">
        <f>VLOOKUP(B21,'Insumos e Serviços'!$A:$F,5,0)</f>
        <v>M2XMES</v>
      </c>
      <c r="F21" s="68">
        <v>4055</v>
      </c>
      <c r="G21" s="53">
        <f>VLOOKUP(B21,'Insumos e Serviços'!$A:$F,6,0)</f>
        <v>3.99</v>
      </c>
      <c r="H21" s="53">
        <f t="shared" si="0"/>
        <v>16179.45</v>
      </c>
    </row>
    <row r="22" spans="1:8" ht="33.75" x14ac:dyDescent="0.2">
      <c r="A22" s="50" t="s">
        <v>48</v>
      </c>
      <c r="B22" s="52" t="s">
        <v>49</v>
      </c>
      <c r="C22" s="52" t="str">
        <f>VLOOKUP(B22,'Insumos e Serviços'!$A:$F,2,0)</f>
        <v>SINAPI</v>
      </c>
      <c r="D22" s="51" t="str">
        <f>VLOOKUP(B22,'Insumos e Serviços'!$A:$F,4,0)</f>
        <v>MONTAGEM E DESMONTAGEM DE ANDAIME MODULAR FACHADEIRO, COM PISO METÁLICO, PARA EDIFICAÇÕES COM MÚLTIPLOS PAVIMENTOS (EXCLUSIVE ANDAIME E LIMPEZA). AF_11/2017</v>
      </c>
      <c r="E22" s="52" t="str">
        <f>VLOOKUP(B22,'Insumos e Serviços'!$A:$F,5,0)</f>
        <v>m²</v>
      </c>
      <c r="F22" s="68">
        <v>1448</v>
      </c>
      <c r="G22" s="53">
        <f>VLOOKUP(B22,'Insumos e Serviços'!$A:$F,6,0)</f>
        <v>7.99</v>
      </c>
      <c r="H22" s="53">
        <f t="shared" si="0"/>
        <v>11569.52</v>
      </c>
    </row>
    <row r="23" spans="1:8" ht="22.5" x14ac:dyDescent="0.2">
      <c r="A23" s="50" t="s">
        <v>52</v>
      </c>
      <c r="B23" s="52" t="s">
        <v>53</v>
      </c>
      <c r="C23" s="52" t="s">
        <v>16</v>
      </c>
      <c r="D23" s="50" t="s">
        <v>54</v>
      </c>
      <c r="E23" s="52" t="s">
        <v>51</v>
      </c>
      <c r="F23" s="68">
        <v>1014</v>
      </c>
      <c r="G23" s="53">
        <f>VLOOKUP(A23,'Orçamento Analítico'!$A:$H,8,0)</f>
        <v>18.8</v>
      </c>
      <c r="H23" s="53">
        <f>TRUNC(F23 * G23, 2)</f>
        <v>19063.2</v>
      </c>
    </row>
    <row r="24" spans="1:8" x14ac:dyDescent="0.2">
      <c r="A24" s="50" t="s">
        <v>55</v>
      </c>
      <c r="B24" s="52" t="s">
        <v>56</v>
      </c>
      <c r="C24" s="52" t="s">
        <v>16</v>
      </c>
      <c r="D24" s="50" t="s">
        <v>57</v>
      </c>
      <c r="E24" s="52" t="s">
        <v>18</v>
      </c>
      <c r="F24" s="68">
        <v>1</v>
      </c>
      <c r="G24" s="53">
        <f>VLOOKUP(A24,'Orçamento Analítico'!$A:$H,8,0)</f>
        <v>1169.76</v>
      </c>
      <c r="H24" s="53">
        <f>TRUNC(F24 * G24, 2)</f>
        <v>1169.76</v>
      </c>
    </row>
    <row r="25" spans="1:8" ht="22.5" x14ac:dyDescent="0.2">
      <c r="A25" s="50" t="s">
        <v>58</v>
      </c>
      <c r="B25" s="52" t="s">
        <v>59</v>
      </c>
      <c r="C25" s="52" t="s">
        <v>16</v>
      </c>
      <c r="D25" s="50" t="s">
        <v>60</v>
      </c>
      <c r="E25" s="52" t="s">
        <v>51</v>
      </c>
      <c r="F25" s="68">
        <v>222</v>
      </c>
      <c r="G25" s="53">
        <f>VLOOKUP(A25,'Orçamento Analítico'!$A:$H,8,0)</f>
        <v>37.36</v>
      </c>
      <c r="H25" s="53">
        <f>TRUNC(F25 * G25, 2)</f>
        <v>8293.92</v>
      </c>
    </row>
    <row r="26" spans="1:8" x14ac:dyDescent="0.2">
      <c r="A26" s="50" t="s">
        <v>61</v>
      </c>
      <c r="B26" s="52" t="s">
        <v>62</v>
      </c>
      <c r="C26" s="52" t="s">
        <v>16</v>
      </c>
      <c r="D26" s="50" t="s">
        <v>63</v>
      </c>
      <c r="E26" s="52" t="s">
        <v>51</v>
      </c>
      <c r="F26" s="68">
        <v>444</v>
      </c>
      <c r="G26" s="53">
        <f>VLOOKUP(A26,'Orçamento Analítico'!$A:$H,8,0)</f>
        <v>6.72</v>
      </c>
      <c r="H26" s="53">
        <f>TRUNC(F26 * G26, 2)</f>
        <v>2983.68</v>
      </c>
    </row>
    <row r="27" spans="1:8" x14ac:dyDescent="0.2">
      <c r="A27" s="65" t="s">
        <v>64</v>
      </c>
      <c r="B27" s="65"/>
      <c r="C27" s="65"/>
      <c r="D27" s="65" t="s">
        <v>65</v>
      </c>
      <c r="E27" s="65"/>
      <c r="F27" s="66"/>
      <c r="G27" s="65"/>
      <c r="H27" s="67">
        <f>SUM(H28,H35)</f>
        <v>56182.96</v>
      </c>
    </row>
    <row r="28" spans="1:8" x14ac:dyDescent="0.2">
      <c r="A28" s="69" t="s">
        <v>66</v>
      </c>
      <c r="B28" s="69"/>
      <c r="C28" s="69"/>
      <c r="D28" s="69" t="s">
        <v>67</v>
      </c>
      <c r="E28" s="69"/>
      <c r="F28" s="70"/>
      <c r="G28" s="69"/>
      <c r="H28" s="71">
        <f>SUM(H29,H30:H34)</f>
        <v>36743</v>
      </c>
    </row>
    <row r="29" spans="1:8" ht="22.5" x14ac:dyDescent="0.2">
      <c r="A29" s="50" t="s">
        <v>68</v>
      </c>
      <c r="B29" s="52" t="s">
        <v>69</v>
      </c>
      <c r="C29" s="52" t="s">
        <v>16</v>
      </c>
      <c r="D29" s="50" t="s">
        <v>70</v>
      </c>
      <c r="E29" s="52" t="s">
        <v>51</v>
      </c>
      <c r="F29" s="68">
        <v>1048</v>
      </c>
      <c r="G29" s="53">
        <f>VLOOKUP(A29,'Orçamento Analítico'!$A:$H,8,0)</f>
        <v>12.620000000000001</v>
      </c>
      <c r="H29" s="53">
        <f t="shared" ref="H29:H34" si="1">TRUNC(F29 * G29, 2)</f>
        <v>13225.76</v>
      </c>
    </row>
    <row r="30" spans="1:8" ht="22.5" x14ac:dyDescent="0.2">
      <c r="A30" s="50" t="s">
        <v>71</v>
      </c>
      <c r="B30" s="52" t="s">
        <v>72</v>
      </c>
      <c r="C30" s="52" t="str">
        <f>VLOOKUP(B30,'Insumos e Serviços'!$A:$F,2,0)</f>
        <v>SINAPI</v>
      </c>
      <c r="D30" s="51" t="str">
        <f>VLOOKUP(B30,'Insumos e Serviços'!$A:$F,4,0)</f>
        <v>DEMOLIÇÃO DE REVESTIMENTO CERÂMICO, DE FORMA MECANIZADA COM MARTELETE, SEM REAPROVEITAMENTO. AF_12/2017</v>
      </c>
      <c r="E30" s="52" t="str">
        <f>VLOOKUP(B30,'Insumos e Serviços'!$A:$F,5,0)</f>
        <v>m²</v>
      </c>
      <c r="F30" s="68">
        <v>920</v>
      </c>
      <c r="G30" s="53">
        <f>VLOOKUP(B30,'Insumos e Serviços'!$A:$F,6,0)</f>
        <v>9.9600000000000009</v>
      </c>
      <c r="H30" s="53">
        <f t="shared" si="1"/>
        <v>9163.2000000000007</v>
      </c>
    </row>
    <row r="31" spans="1:8" ht="22.5" x14ac:dyDescent="0.2">
      <c r="A31" s="50" t="s">
        <v>74</v>
      </c>
      <c r="B31" s="52" t="s">
        <v>75</v>
      </c>
      <c r="C31" s="52" t="str">
        <f>VLOOKUP(B31,'Insumos e Serviços'!$A:$F,2,0)</f>
        <v>SINAPI</v>
      </c>
      <c r="D31" s="51" t="str">
        <f>VLOOKUP(B31,'Insumos e Serviços'!$A:$F,4,0)</f>
        <v>DEMOLIÇÃO DE ARGAMASSAS, DE FORMA MANUAL, SEM REAPROVEITAMENTO. AF_12/2017</v>
      </c>
      <c r="E31" s="52" t="str">
        <f>VLOOKUP(B31,'Insumos e Serviços'!$A:$F,5,0)</f>
        <v>m²</v>
      </c>
      <c r="F31" s="68">
        <v>1113</v>
      </c>
      <c r="G31" s="53">
        <f>VLOOKUP(B31,'Insumos e Serviços'!$A:$F,6,0)</f>
        <v>2.66</v>
      </c>
      <c r="H31" s="53">
        <f t="shared" si="1"/>
        <v>2960.58</v>
      </c>
    </row>
    <row r="32" spans="1:8" ht="22.5" x14ac:dyDescent="0.2">
      <c r="A32" s="50" t="s">
        <v>77</v>
      </c>
      <c r="B32" s="52" t="s">
        <v>78</v>
      </c>
      <c r="C32" s="52" t="s">
        <v>16</v>
      </c>
      <c r="D32" s="50" t="s">
        <v>79</v>
      </c>
      <c r="E32" s="52" t="s">
        <v>18</v>
      </c>
      <c r="F32" s="68">
        <v>21</v>
      </c>
      <c r="G32" s="53">
        <f>VLOOKUP(A32,'Orçamento Analítico'!$A:$H,8,0)</f>
        <v>428.16</v>
      </c>
      <c r="H32" s="53">
        <f t="shared" si="1"/>
        <v>8991.36</v>
      </c>
    </row>
    <row r="33" spans="1:8" x14ac:dyDescent="0.2">
      <c r="A33" s="50" t="s">
        <v>80</v>
      </c>
      <c r="B33" s="52" t="s">
        <v>81</v>
      </c>
      <c r="C33" s="52" t="s">
        <v>16</v>
      </c>
      <c r="D33" s="50" t="s">
        <v>82</v>
      </c>
      <c r="E33" s="52" t="s">
        <v>83</v>
      </c>
      <c r="F33" s="68">
        <v>6</v>
      </c>
      <c r="G33" s="53">
        <f>VLOOKUP(A33,'Orçamento Analítico'!$A:$H,8,0)</f>
        <v>4.29</v>
      </c>
      <c r="H33" s="53">
        <f t="shared" si="1"/>
        <v>25.74</v>
      </c>
    </row>
    <row r="34" spans="1:8" ht="22.5" x14ac:dyDescent="0.2">
      <c r="A34" s="50" t="s">
        <v>84</v>
      </c>
      <c r="B34" s="52" t="s">
        <v>85</v>
      </c>
      <c r="C34" s="52" t="str">
        <f>VLOOKUP(B34,'Insumos e Serviços'!$A:$F,2,0)</f>
        <v>SINAPI</v>
      </c>
      <c r="D34" s="51" t="str">
        <f>VLOOKUP(B34,'Insumos e Serviços'!$A:$F,4,0)</f>
        <v>DEMOLIÇÃO DE ALVENARIA DE TIJOLO MACIÇO, DE FORMA MANUAL, SEM REAPROVEITAMENTO. AF_12/2017</v>
      </c>
      <c r="E34" s="52" t="str">
        <f>VLOOKUP(B34,'Insumos e Serviços'!$A:$F,5,0)</f>
        <v>m³</v>
      </c>
      <c r="F34" s="68">
        <v>28</v>
      </c>
      <c r="G34" s="53">
        <f>VLOOKUP(B34,'Insumos e Serviços'!$A:$F,6,0)</f>
        <v>84.87</v>
      </c>
      <c r="H34" s="53">
        <f t="shared" si="1"/>
        <v>2376.36</v>
      </c>
    </row>
    <row r="35" spans="1:8" x14ac:dyDescent="0.2">
      <c r="A35" s="69" t="s">
        <v>88</v>
      </c>
      <c r="B35" s="69"/>
      <c r="C35" s="69"/>
      <c r="D35" s="69" t="s">
        <v>89</v>
      </c>
      <c r="E35" s="69"/>
      <c r="F35" s="70"/>
      <c r="G35" s="69"/>
      <c r="H35" s="71">
        <f>SUM(H36,H37:H44)</f>
        <v>19439.96</v>
      </c>
    </row>
    <row r="36" spans="1:8" ht="22.5" x14ac:dyDescent="0.2">
      <c r="A36" s="50" t="s">
        <v>90</v>
      </c>
      <c r="B36" s="52" t="s">
        <v>91</v>
      </c>
      <c r="C36" s="52" t="s">
        <v>16</v>
      </c>
      <c r="D36" s="50" t="s">
        <v>92</v>
      </c>
      <c r="E36" s="52" t="s">
        <v>51</v>
      </c>
      <c r="F36" s="68">
        <v>570</v>
      </c>
      <c r="G36" s="53">
        <f>VLOOKUP(A36,'Orçamento Analítico'!$A:$H,8,0)</f>
        <v>2.87</v>
      </c>
      <c r="H36" s="53">
        <f t="shared" ref="H36:H44" si="2">TRUNC(F36 * G36, 2)</f>
        <v>1635.9</v>
      </c>
    </row>
    <row r="37" spans="1:8" ht="22.5" x14ac:dyDescent="0.2">
      <c r="A37" s="50" t="s">
        <v>93</v>
      </c>
      <c r="B37" s="52" t="s">
        <v>94</v>
      </c>
      <c r="C37" s="52" t="s">
        <v>16</v>
      </c>
      <c r="D37" s="50" t="s">
        <v>95</v>
      </c>
      <c r="E37" s="52" t="s">
        <v>37</v>
      </c>
      <c r="F37" s="68">
        <v>1</v>
      </c>
      <c r="G37" s="53">
        <f>VLOOKUP(A37,'Orçamento Analítico'!$A:$H,8,0)</f>
        <v>372.99</v>
      </c>
      <c r="H37" s="53">
        <f t="shared" si="2"/>
        <v>372.99</v>
      </c>
    </row>
    <row r="38" spans="1:8" ht="22.5" x14ac:dyDescent="0.2">
      <c r="A38" s="50" t="s">
        <v>96</v>
      </c>
      <c r="B38" s="52" t="s">
        <v>97</v>
      </c>
      <c r="C38" s="52" t="s">
        <v>16</v>
      </c>
      <c r="D38" s="50" t="s">
        <v>98</v>
      </c>
      <c r="E38" s="52" t="s">
        <v>37</v>
      </c>
      <c r="F38" s="68">
        <v>1</v>
      </c>
      <c r="G38" s="53">
        <f>VLOOKUP(A38,'Orçamento Analítico'!$A:$H,8,0)</f>
        <v>1620</v>
      </c>
      <c r="H38" s="53">
        <f t="shared" si="2"/>
        <v>1620</v>
      </c>
    </row>
    <row r="39" spans="1:8" ht="22.5" x14ac:dyDescent="0.2">
      <c r="A39" s="50" t="s">
        <v>99</v>
      </c>
      <c r="B39" s="52" t="s">
        <v>100</v>
      </c>
      <c r="C39" s="52" t="s">
        <v>16</v>
      </c>
      <c r="D39" s="50" t="s">
        <v>101</v>
      </c>
      <c r="E39" s="52" t="s">
        <v>37</v>
      </c>
      <c r="F39" s="68">
        <v>1</v>
      </c>
      <c r="G39" s="53">
        <f>VLOOKUP(A39,'Orçamento Analítico'!$A:$H,8,0)</f>
        <v>285.52</v>
      </c>
      <c r="H39" s="53">
        <f t="shared" si="2"/>
        <v>285.52</v>
      </c>
    </row>
    <row r="40" spans="1:8" x14ac:dyDescent="0.2">
      <c r="A40" s="50" t="s">
        <v>102</v>
      </c>
      <c r="B40" s="52" t="s">
        <v>103</v>
      </c>
      <c r="C40" s="52" t="s">
        <v>16</v>
      </c>
      <c r="D40" s="50" t="s">
        <v>104</v>
      </c>
      <c r="E40" s="52" t="s">
        <v>37</v>
      </c>
      <c r="F40" s="68">
        <v>1</v>
      </c>
      <c r="G40" s="53">
        <f>VLOOKUP(A40,'Orçamento Analítico'!$A:$H,8,0)</f>
        <v>308.34000000000003</v>
      </c>
      <c r="H40" s="53">
        <f t="shared" si="2"/>
        <v>308.33999999999997</v>
      </c>
    </row>
    <row r="41" spans="1:8" x14ac:dyDescent="0.2">
      <c r="A41" s="50" t="s">
        <v>105</v>
      </c>
      <c r="B41" s="52" t="s">
        <v>106</v>
      </c>
      <c r="C41" s="52" t="s">
        <v>16</v>
      </c>
      <c r="D41" s="50" t="s">
        <v>107</v>
      </c>
      <c r="E41" s="52" t="s">
        <v>37</v>
      </c>
      <c r="F41" s="68">
        <v>1</v>
      </c>
      <c r="G41" s="53">
        <f>VLOOKUP(A41,'Orçamento Analítico'!$A:$H,8,0)</f>
        <v>431.79999999999995</v>
      </c>
      <c r="H41" s="53">
        <f t="shared" si="2"/>
        <v>431.8</v>
      </c>
    </row>
    <row r="42" spans="1:8" x14ac:dyDescent="0.2">
      <c r="A42" s="50" t="s">
        <v>108</v>
      </c>
      <c r="B42" s="52" t="s">
        <v>109</v>
      </c>
      <c r="C42" s="52" t="s">
        <v>16</v>
      </c>
      <c r="D42" s="50" t="s">
        <v>110</v>
      </c>
      <c r="E42" s="52" t="s">
        <v>37</v>
      </c>
      <c r="F42" s="68">
        <v>1</v>
      </c>
      <c r="G42" s="53">
        <f>VLOOKUP(A42,'Orçamento Analítico'!$A:$H,8,0)</f>
        <v>1081.71</v>
      </c>
      <c r="H42" s="53">
        <f t="shared" si="2"/>
        <v>1081.71</v>
      </c>
    </row>
    <row r="43" spans="1:8" ht="22.5" x14ac:dyDescent="0.2">
      <c r="A43" s="50" t="s">
        <v>111</v>
      </c>
      <c r="B43" s="52" t="s">
        <v>112</v>
      </c>
      <c r="C43" s="52" t="s">
        <v>16</v>
      </c>
      <c r="D43" s="50" t="s">
        <v>113</v>
      </c>
      <c r="E43" s="52" t="s">
        <v>51</v>
      </c>
      <c r="F43" s="68">
        <v>785</v>
      </c>
      <c r="G43" s="53">
        <f>VLOOKUP(A43,'Orçamento Analítico'!$A:$H,8,0)</f>
        <v>5.3</v>
      </c>
      <c r="H43" s="53">
        <f t="shared" si="2"/>
        <v>4160.5</v>
      </c>
    </row>
    <row r="44" spans="1:8" x14ac:dyDescent="0.2">
      <c r="A44" s="50" t="s">
        <v>114</v>
      </c>
      <c r="B44" s="52" t="s">
        <v>115</v>
      </c>
      <c r="C44" s="52" t="s">
        <v>16</v>
      </c>
      <c r="D44" s="50" t="s">
        <v>116</v>
      </c>
      <c r="E44" s="52" t="s">
        <v>87</v>
      </c>
      <c r="F44" s="68">
        <v>151</v>
      </c>
      <c r="G44" s="53">
        <f>VLOOKUP(A44,'Orçamento Analítico'!$A:$H,8,0)</f>
        <v>63.2</v>
      </c>
      <c r="H44" s="53">
        <f t="shared" si="2"/>
        <v>9543.2000000000007</v>
      </c>
    </row>
    <row r="45" spans="1:8" x14ac:dyDescent="0.2">
      <c r="A45" s="75" t="s">
        <v>117</v>
      </c>
      <c r="B45" s="75"/>
      <c r="C45" s="75"/>
      <c r="D45" s="75" t="s">
        <v>118</v>
      </c>
      <c r="E45" s="75"/>
      <c r="F45" s="76"/>
      <c r="G45" s="75"/>
      <c r="H45" s="76">
        <f>H46</f>
        <v>735568.45</v>
      </c>
    </row>
    <row r="46" spans="1:8" x14ac:dyDescent="0.2">
      <c r="A46" s="69" t="s">
        <v>119</v>
      </c>
      <c r="B46" s="69"/>
      <c r="C46" s="69"/>
      <c r="D46" s="69" t="s">
        <v>120</v>
      </c>
      <c r="E46" s="69"/>
      <c r="F46" s="70"/>
      <c r="G46" s="69"/>
      <c r="H46" s="71">
        <f>SUM(H47,H49,H58,H71,H74,H80,H83,H92,H101)</f>
        <v>735568.45</v>
      </c>
    </row>
    <row r="47" spans="1:8" x14ac:dyDescent="0.2">
      <c r="A47" s="65" t="s">
        <v>121</v>
      </c>
      <c r="B47" s="65"/>
      <c r="C47" s="65"/>
      <c r="D47" s="65" t="s">
        <v>122</v>
      </c>
      <c r="E47" s="65"/>
      <c r="F47" s="66"/>
      <c r="G47" s="65"/>
      <c r="H47" s="67">
        <f>SUM(H48)</f>
        <v>324.83999999999997</v>
      </c>
    </row>
    <row r="48" spans="1:8" ht="45" x14ac:dyDescent="0.2">
      <c r="A48" s="50" t="s">
        <v>123</v>
      </c>
      <c r="B48" s="52" t="s">
        <v>124</v>
      </c>
      <c r="C48" s="52" t="str">
        <f>VLOOKUP(B48,'Insumos e Serviços'!$A:$F,2,0)</f>
        <v>SINAPI</v>
      </c>
      <c r="D48" s="51" t="str">
        <f>VLOOKUP(B48,'Insumos e Serviços'!$A:$F,4,0)</f>
        <v>(COMPOSIÇÃO REPRESENTATIVA) DO SERVIÇO DE ALVENARIA DE VEDAÇÃO DE BLOCOS VAZADOS DE CERÂMICA DE 9X19X19CM (ESPESSURA 9CM), PARA EDIFICAÇÃO HABITACIONAL UNIFAMILIAR (CASA) E EDIFICAÇÃO PÚBLICA PADRÃO. AF_11/2014</v>
      </c>
      <c r="E48" s="52" t="str">
        <f>VLOOKUP(B48,'Insumos e Serviços'!$A:$F,5,0)</f>
        <v>m²</v>
      </c>
      <c r="F48" s="68">
        <v>4</v>
      </c>
      <c r="G48" s="53">
        <f>VLOOKUP(B48,'Insumos e Serviços'!$A:$F,6,0)</f>
        <v>81.209999999999994</v>
      </c>
      <c r="H48" s="53">
        <f>TRUNC(F48 * G48, 2)</f>
        <v>324.83999999999997</v>
      </c>
    </row>
    <row r="49" spans="1:8" x14ac:dyDescent="0.2">
      <c r="A49" s="65" t="s">
        <v>126</v>
      </c>
      <c r="B49" s="65"/>
      <c r="C49" s="65"/>
      <c r="D49" s="65" t="s">
        <v>127</v>
      </c>
      <c r="E49" s="65"/>
      <c r="F49" s="66"/>
      <c r="G49" s="65"/>
      <c r="H49" s="67">
        <f>SUM(H50:H57)</f>
        <v>65435.679999999993</v>
      </c>
    </row>
    <row r="50" spans="1:8" ht="45" x14ac:dyDescent="0.2">
      <c r="A50" s="50" t="s">
        <v>128</v>
      </c>
      <c r="B50" s="52" t="s">
        <v>129</v>
      </c>
      <c r="C50" s="52" t="s">
        <v>16</v>
      </c>
      <c r="D50" s="50" t="s">
        <v>130</v>
      </c>
      <c r="E50" s="52" t="s">
        <v>18</v>
      </c>
      <c r="F50" s="68">
        <v>6</v>
      </c>
      <c r="G50" s="53">
        <f>VLOOKUP(A50,'Orçamento Analítico'!$A:$H,8,0)</f>
        <v>432.45000000000005</v>
      </c>
      <c r="H50" s="53">
        <f>TRUNC(F50 * G50, 2)</f>
        <v>2594.6999999999998</v>
      </c>
    </row>
    <row r="51" spans="1:8" ht="45" x14ac:dyDescent="0.2">
      <c r="A51" s="50" t="s">
        <v>131</v>
      </c>
      <c r="B51" s="52" t="s">
        <v>132</v>
      </c>
      <c r="C51" s="52" t="s">
        <v>16</v>
      </c>
      <c r="D51" s="50" t="s">
        <v>133</v>
      </c>
      <c r="E51" s="52" t="s">
        <v>18</v>
      </c>
      <c r="F51" s="68">
        <v>3</v>
      </c>
      <c r="G51" s="53">
        <f>VLOOKUP(A51,'Orçamento Analítico'!$A:$H,8,0)</f>
        <v>338.76000000000005</v>
      </c>
      <c r="H51" s="53">
        <f>TRUNC(F51 * G51, 2)</f>
        <v>1016.28</v>
      </c>
    </row>
    <row r="52" spans="1:8" ht="22.5" x14ac:dyDescent="0.2">
      <c r="A52" s="50" t="s">
        <v>134</v>
      </c>
      <c r="B52" s="52" t="s">
        <v>135</v>
      </c>
      <c r="C52" s="52" t="s">
        <v>16</v>
      </c>
      <c r="D52" s="50" t="s">
        <v>136</v>
      </c>
      <c r="E52" s="52" t="s">
        <v>51</v>
      </c>
      <c r="F52" s="68">
        <v>1</v>
      </c>
      <c r="G52" s="53">
        <f>VLOOKUP(A52,'Orçamento Analítico'!$A:$H,8,0)</f>
        <v>441.04</v>
      </c>
      <c r="H52" s="53">
        <f>TRUNC(F52 * G52, 2)</f>
        <v>441.04</v>
      </c>
    </row>
    <row r="53" spans="1:8" s="137" customFormat="1" ht="22.5" x14ac:dyDescent="0.2">
      <c r="A53" s="50" t="s">
        <v>687</v>
      </c>
      <c r="B53" s="52" t="s">
        <v>682</v>
      </c>
      <c r="C53" s="52" t="s">
        <v>16</v>
      </c>
      <c r="D53" s="50" t="s">
        <v>688</v>
      </c>
      <c r="E53" s="52" t="s">
        <v>83</v>
      </c>
      <c r="F53" s="68">
        <v>483</v>
      </c>
      <c r="G53" s="53">
        <f>VLOOKUP(A53,'Orçamento Analítico'!$A:$H,8,0)</f>
        <v>5.52</v>
      </c>
      <c r="H53" s="53">
        <f t="shared" ref="H53:H57" si="3">TRUNC(F53 * G53, 2)</f>
        <v>2666.16</v>
      </c>
    </row>
    <row r="54" spans="1:8" s="137" customFormat="1" ht="22.5" x14ac:dyDescent="0.2">
      <c r="A54" s="50" t="s">
        <v>689</v>
      </c>
      <c r="B54" s="52" t="s">
        <v>683</v>
      </c>
      <c r="C54" s="52" t="s">
        <v>16</v>
      </c>
      <c r="D54" s="50" t="s">
        <v>690</v>
      </c>
      <c r="E54" s="52" t="s">
        <v>83</v>
      </c>
      <c r="F54" s="68">
        <v>5045</v>
      </c>
      <c r="G54" s="53">
        <f>VLOOKUP(A54,'Orçamento Analítico'!$A:$H,8,0)</f>
        <v>4.58</v>
      </c>
      <c r="H54" s="53">
        <f t="shared" si="3"/>
        <v>23106.1</v>
      </c>
    </row>
    <row r="55" spans="1:8" s="137" customFormat="1" x14ac:dyDescent="0.2">
      <c r="A55" s="50" t="s">
        <v>691</v>
      </c>
      <c r="B55" s="52" t="s">
        <v>684</v>
      </c>
      <c r="C55" s="52" t="s">
        <v>16</v>
      </c>
      <c r="D55" s="50" t="s">
        <v>692</v>
      </c>
      <c r="E55" s="52" t="s">
        <v>51</v>
      </c>
      <c r="F55" s="68">
        <v>770</v>
      </c>
      <c r="G55" s="53">
        <f>VLOOKUP(A55,'Orçamento Analítico'!$A:$H,8,0)</f>
        <v>14.13</v>
      </c>
      <c r="H55" s="53">
        <f t="shared" si="3"/>
        <v>10880.1</v>
      </c>
    </row>
    <row r="56" spans="1:8" s="137" customFormat="1" ht="22.5" x14ac:dyDescent="0.2">
      <c r="A56" s="50" t="s">
        <v>693</v>
      </c>
      <c r="B56" s="52" t="s">
        <v>685</v>
      </c>
      <c r="C56" s="52" t="s">
        <v>16</v>
      </c>
      <c r="D56" s="50" t="s">
        <v>694</v>
      </c>
      <c r="E56" s="52" t="s">
        <v>51</v>
      </c>
      <c r="F56" s="68">
        <v>770</v>
      </c>
      <c r="G56" s="53">
        <f>VLOOKUP(A56,'Orçamento Analítico'!$A:$H,8,0)</f>
        <v>19.39</v>
      </c>
      <c r="H56" s="53">
        <f t="shared" si="3"/>
        <v>14930.3</v>
      </c>
    </row>
    <row r="57" spans="1:8" s="137" customFormat="1" x14ac:dyDescent="0.2">
      <c r="A57" s="50" t="s">
        <v>695</v>
      </c>
      <c r="B57" s="52" t="s">
        <v>686</v>
      </c>
      <c r="C57" s="52" t="s">
        <v>16</v>
      </c>
      <c r="D57" s="50" t="s">
        <v>696</v>
      </c>
      <c r="E57" s="52" t="s">
        <v>83</v>
      </c>
      <c r="F57" s="68">
        <v>825</v>
      </c>
      <c r="G57" s="53">
        <f>VLOOKUP(A57,'Orçamento Analítico'!$A:$H,8,0)</f>
        <v>11.879999999999999</v>
      </c>
      <c r="H57" s="53">
        <f t="shared" si="3"/>
        <v>9801</v>
      </c>
    </row>
    <row r="58" spans="1:8" x14ac:dyDescent="0.2">
      <c r="A58" s="65" t="s">
        <v>137</v>
      </c>
      <c r="B58" s="65"/>
      <c r="C58" s="65"/>
      <c r="D58" s="65" t="s">
        <v>138</v>
      </c>
      <c r="E58" s="65"/>
      <c r="F58" s="66"/>
      <c r="G58" s="65"/>
      <c r="H58" s="67">
        <f>SUM(H59:H70)</f>
        <v>249038.79</v>
      </c>
    </row>
    <row r="59" spans="1:8" ht="45" x14ac:dyDescent="0.2">
      <c r="A59" s="50" t="s">
        <v>139</v>
      </c>
      <c r="B59" s="52" t="s">
        <v>140</v>
      </c>
      <c r="C59" s="52" t="str">
        <f>VLOOKUP(B59,'Insumos e Serviços'!$A:$F,2,0)</f>
        <v>SINAPI</v>
      </c>
      <c r="D59" s="51" t="str">
        <f>VLOOKUP(B59,'Insumos e Serviços'!$A:$F,4,0)</f>
        <v>VIGA METÁLICA EM PERFIL LAMINADO OU SOLDADO EM AÇO ESTRUTURAL, COM CONEXÕES SOLDADAS, INCLUSOS MÃO DE OBRA, TRANSPORTE E IÇAMENTO UTILIZANDO GUINDASTE - FORNECIMENTO E INSTALAÇÃO. AF_01/2020_P</v>
      </c>
      <c r="E59" s="52" t="str">
        <f>VLOOKUP(B59,'Insumos e Serviços'!$A:$F,5,0)</f>
        <v>KG</v>
      </c>
      <c r="F59" s="68">
        <v>1649</v>
      </c>
      <c r="G59" s="53">
        <f>VLOOKUP(B59,'Insumos e Serviços'!$A:$F,6,0)</f>
        <v>11.4</v>
      </c>
      <c r="H59" s="53">
        <f t="shared" ref="H59:H70" si="4">TRUNC(F59 * G59, 2)</f>
        <v>18798.599999999999</v>
      </c>
    </row>
    <row r="60" spans="1:8" ht="45" x14ac:dyDescent="0.2">
      <c r="A60" s="50" t="s">
        <v>143</v>
      </c>
      <c r="B60" s="52" t="s">
        <v>144</v>
      </c>
      <c r="C60" s="52" t="s">
        <v>16</v>
      </c>
      <c r="D60" s="50" t="s">
        <v>679</v>
      </c>
      <c r="E60" s="52" t="s">
        <v>51</v>
      </c>
      <c r="F60" s="68">
        <v>9</v>
      </c>
      <c r="G60" s="53">
        <f>VLOOKUP(A60,'Orçamento Analítico'!$A:$H,8,0)</f>
        <v>461.54</v>
      </c>
      <c r="H60" s="53">
        <f t="shared" si="4"/>
        <v>4153.8599999999997</v>
      </c>
    </row>
    <row r="61" spans="1:8" ht="22.5" x14ac:dyDescent="0.2">
      <c r="A61" s="50" t="s">
        <v>145</v>
      </c>
      <c r="B61" s="52" t="s">
        <v>146</v>
      </c>
      <c r="C61" s="52" t="s">
        <v>16</v>
      </c>
      <c r="D61" s="50" t="s">
        <v>147</v>
      </c>
      <c r="E61" s="52" t="s">
        <v>83</v>
      </c>
      <c r="F61" s="68">
        <v>40</v>
      </c>
      <c r="G61" s="53">
        <f>VLOOKUP(A61,'Orçamento Analítico'!$A:$H,8,0)</f>
        <v>115.36</v>
      </c>
      <c r="H61" s="53">
        <f t="shared" si="4"/>
        <v>4614.3999999999996</v>
      </c>
    </row>
    <row r="62" spans="1:8" ht="22.5" x14ac:dyDescent="0.2">
      <c r="A62" s="50" t="s">
        <v>148</v>
      </c>
      <c r="B62" s="52" t="s">
        <v>149</v>
      </c>
      <c r="C62" s="52" t="s">
        <v>16</v>
      </c>
      <c r="D62" s="50" t="s">
        <v>150</v>
      </c>
      <c r="E62" s="52" t="s">
        <v>83</v>
      </c>
      <c r="F62" s="68">
        <v>125</v>
      </c>
      <c r="G62" s="53">
        <f>VLOOKUP(A62,'Orçamento Analítico'!$A:$H,8,0)</f>
        <v>154.39999999999998</v>
      </c>
      <c r="H62" s="53">
        <f t="shared" si="4"/>
        <v>19300</v>
      </c>
    </row>
    <row r="63" spans="1:8" ht="33.75" x14ac:dyDescent="0.2">
      <c r="A63" s="50" t="s">
        <v>151</v>
      </c>
      <c r="B63" s="52" t="s">
        <v>152</v>
      </c>
      <c r="C63" s="52" t="s">
        <v>16</v>
      </c>
      <c r="D63" s="50" t="s">
        <v>680</v>
      </c>
      <c r="E63" s="52" t="s">
        <v>51</v>
      </c>
      <c r="F63" s="68">
        <v>628.58000000000004</v>
      </c>
      <c r="G63" s="53">
        <f>VLOOKUP(A63,'Orçamento Analítico'!$A:$H,8,0)</f>
        <v>191.44</v>
      </c>
      <c r="H63" s="53">
        <f t="shared" si="4"/>
        <v>120335.35</v>
      </c>
    </row>
    <row r="64" spans="1:8" ht="33.75" x14ac:dyDescent="0.2">
      <c r="A64" s="50" t="s">
        <v>153</v>
      </c>
      <c r="B64" s="52" t="s">
        <v>154</v>
      </c>
      <c r="C64" s="52" t="s">
        <v>16</v>
      </c>
      <c r="D64" s="50" t="s">
        <v>681</v>
      </c>
      <c r="E64" s="52" t="s">
        <v>51</v>
      </c>
      <c r="F64" s="68">
        <v>228.11</v>
      </c>
      <c r="G64" s="53">
        <f>VLOOKUP(A64,'Orçamento Analítico'!$A:$H,8,0)</f>
        <v>250.22</v>
      </c>
      <c r="H64" s="53">
        <f t="shared" si="4"/>
        <v>57077.68</v>
      </c>
    </row>
    <row r="65" spans="1:8" ht="22.5" x14ac:dyDescent="0.2">
      <c r="A65" s="50" t="s">
        <v>155</v>
      </c>
      <c r="B65" s="52" t="s">
        <v>156</v>
      </c>
      <c r="C65" s="52" t="s">
        <v>16</v>
      </c>
      <c r="D65" s="50" t="s">
        <v>157</v>
      </c>
      <c r="E65" s="52" t="s">
        <v>83</v>
      </c>
      <c r="F65" s="68">
        <v>123.96</v>
      </c>
      <c r="G65" s="53">
        <f>VLOOKUP(A65,'Orçamento Analítico'!$A:$H,8,0)</f>
        <v>51.64</v>
      </c>
      <c r="H65" s="53">
        <f t="shared" si="4"/>
        <v>6401.29</v>
      </c>
    </row>
    <row r="66" spans="1:8" ht="22.5" x14ac:dyDescent="0.2">
      <c r="A66" s="50" t="s">
        <v>158</v>
      </c>
      <c r="B66" s="52" t="s">
        <v>159</v>
      </c>
      <c r="C66" s="52" t="s">
        <v>16</v>
      </c>
      <c r="D66" s="50" t="s">
        <v>160</v>
      </c>
      <c r="E66" s="52" t="s">
        <v>83</v>
      </c>
      <c r="F66" s="68">
        <v>10.050000000000001</v>
      </c>
      <c r="G66" s="53">
        <f>VLOOKUP(A66,'Orçamento Analítico'!$A:$H,8,0)</f>
        <v>83.19</v>
      </c>
      <c r="H66" s="53">
        <f t="shared" si="4"/>
        <v>836.05</v>
      </c>
    </row>
    <row r="67" spans="1:8" x14ac:dyDescent="0.2">
      <c r="A67" s="50" t="s">
        <v>161</v>
      </c>
      <c r="B67" s="52" t="s">
        <v>162</v>
      </c>
      <c r="C67" s="52" t="s">
        <v>16</v>
      </c>
      <c r="D67" s="50" t="s">
        <v>163</v>
      </c>
      <c r="E67" s="52" t="s">
        <v>83</v>
      </c>
      <c r="F67" s="68">
        <v>10</v>
      </c>
      <c r="G67" s="53">
        <f>VLOOKUP(A67,'Orçamento Analítico'!$A:$H,8,0)</f>
        <v>20</v>
      </c>
      <c r="H67" s="53">
        <f t="shared" si="4"/>
        <v>200</v>
      </c>
    </row>
    <row r="68" spans="1:8" ht="22.5" x14ac:dyDescent="0.2">
      <c r="A68" s="50" t="s">
        <v>164</v>
      </c>
      <c r="B68" s="52" t="s">
        <v>165</v>
      </c>
      <c r="C68" s="52" t="s">
        <v>16</v>
      </c>
      <c r="D68" s="50" t="s">
        <v>166</v>
      </c>
      <c r="E68" s="52" t="s">
        <v>83</v>
      </c>
      <c r="F68" s="68">
        <v>175</v>
      </c>
      <c r="G68" s="53">
        <f>VLOOKUP(A68,'Orçamento Analítico'!$A:$H,8,0)</f>
        <v>83.98</v>
      </c>
      <c r="H68" s="53">
        <f t="shared" si="4"/>
        <v>14696.5</v>
      </c>
    </row>
    <row r="69" spans="1:8" ht="33.75" x14ac:dyDescent="0.2">
      <c r="A69" s="50" t="s">
        <v>167</v>
      </c>
      <c r="B69" s="52" t="s">
        <v>168</v>
      </c>
      <c r="C69" s="52" t="s">
        <v>16</v>
      </c>
      <c r="D69" s="50" t="s">
        <v>169</v>
      </c>
      <c r="E69" s="52" t="s">
        <v>83</v>
      </c>
      <c r="F69" s="68">
        <v>6</v>
      </c>
      <c r="G69" s="53">
        <f>VLOOKUP(A69,'Orçamento Analítico'!$A:$H,8,0)</f>
        <v>139.31</v>
      </c>
      <c r="H69" s="53">
        <f t="shared" si="4"/>
        <v>835.86</v>
      </c>
    </row>
    <row r="70" spans="1:8" ht="33.75" x14ac:dyDescent="0.2">
      <c r="A70" s="50" t="s">
        <v>170</v>
      </c>
      <c r="B70" s="52" t="s">
        <v>171</v>
      </c>
      <c r="C70" s="52" t="s">
        <v>16</v>
      </c>
      <c r="D70" s="50" t="s">
        <v>172</v>
      </c>
      <c r="E70" s="52" t="s">
        <v>83</v>
      </c>
      <c r="F70" s="68">
        <v>30</v>
      </c>
      <c r="G70" s="53">
        <f>VLOOKUP(A70,'Orçamento Analítico'!$A:$H,8,0)</f>
        <v>59.64</v>
      </c>
      <c r="H70" s="53">
        <f t="shared" si="4"/>
        <v>1789.2</v>
      </c>
    </row>
    <row r="71" spans="1:8" x14ac:dyDescent="0.2">
      <c r="A71" s="65" t="s">
        <v>173</v>
      </c>
      <c r="B71" s="65"/>
      <c r="C71" s="65"/>
      <c r="D71" s="65" t="s">
        <v>174</v>
      </c>
      <c r="E71" s="65"/>
      <c r="F71" s="66"/>
      <c r="G71" s="65"/>
      <c r="H71" s="67">
        <f>SUM(H72:H73)</f>
        <v>9217.6</v>
      </c>
    </row>
    <row r="72" spans="1:8" ht="22.5" x14ac:dyDescent="0.2">
      <c r="A72" s="50" t="s">
        <v>175</v>
      </c>
      <c r="B72" s="52">
        <v>101752</v>
      </c>
      <c r="C72" s="52" t="str">
        <f>VLOOKUP(B72,'Insumos e Serviços'!$A:$F,2,0)</f>
        <v>SINAPI</v>
      </c>
      <c r="D72" s="51" t="str">
        <f>VLOOKUP(B72,'Insumos e Serviços'!$A:$F,4,0)</f>
        <v>PISO EM GRANILITE, MARMORITE OU GRANITINA EM AMBIENTES INTERNOS. AF_09/2020</v>
      </c>
      <c r="E72" s="52" t="str">
        <f>VLOOKUP(B72,'Insumos e Serviços'!$A:$F,5,0)</f>
        <v>M2</v>
      </c>
      <c r="F72" s="68">
        <v>65</v>
      </c>
      <c r="G72" s="53">
        <f>VLOOKUP(B72,'Insumos e Serviços'!$A:$F,6,0)</f>
        <v>34.72</v>
      </c>
      <c r="H72" s="53">
        <f>TRUNC(F72 * G72, 2)</f>
        <v>2256.8000000000002</v>
      </c>
    </row>
    <row r="73" spans="1:8" x14ac:dyDescent="0.2">
      <c r="A73" s="50" t="s">
        <v>176</v>
      </c>
      <c r="B73" s="52" t="s">
        <v>177</v>
      </c>
      <c r="C73" s="52" t="s">
        <v>16</v>
      </c>
      <c r="D73" s="50" t="s">
        <v>178</v>
      </c>
      <c r="E73" s="52" t="s">
        <v>51</v>
      </c>
      <c r="F73" s="68">
        <v>1130</v>
      </c>
      <c r="G73" s="53">
        <f>VLOOKUP(A73,'Orçamento Analítico'!$A:$H,8,0)</f>
        <v>6.16</v>
      </c>
      <c r="H73" s="53">
        <f>TRUNC(F73 * G73, 2)</f>
        <v>6960.8</v>
      </c>
    </row>
    <row r="74" spans="1:8" x14ac:dyDescent="0.2">
      <c r="A74" s="65" t="s">
        <v>179</v>
      </c>
      <c r="B74" s="65"/>
      <c r="C74" s="65"/>
      <c r="D74" s="65" t="s">
        <v>180</v>
      </c>
      <c r="E74" s="65"/>
      <c r="F74" s="66"/>
      <c r="G74" s="65"/>
      <c r="H74" s="67">
        <f>SUM(H75:H79)</f>
        <v>171650.45</v>
      </c>
    </row>
    <row r="75" spans="1:8" ht="33.75" x14ac:dyDescent="0.2">
      <c r="A75" s="50" t="s">
        <v>181</v>
      </c>
      <c r="B75" s="52" t="s">
        <v>182</v>
      </c>
      <c r="C75" s="52" t="str">
        <f>VLOOKUP(B75,'Insumos e Serviços'!$A:$F,2,0)</f>
        <v>SINAPI</v>
      </c>
      <c r="D75" s="51" t="str">
        <f>VLOOKUP(B75,'Insumos e Serviços'!$A:$F,4,0)</f>
        <v>CHAPISCO APLICADO EM ALVENARIAS E ESTRUTURAS DE CONCRETO INTERNAS, COM COLHER DE PEDREIRO.  ARGAMASSA TRAÇO 1:3 COM PREPARO EM BETONEIRA 400L. AF_06/2014</v>
      </c>
      <c r="E75" s="52" t="str">
        <f>VLOOKUP(B75,'Insumos e Serviços'!$A:$F,5,0)</f>
        <v>m²</v>
      </c>
      <c r="F75" s="68">
        <v>920</v>
      </c>
      <c r="G75" s="53">
        <f>VLOOKUP(B75,'Insumos e Serviços'!$A:$F,6,0)</f>
        <v>3.4</v>
      </c>
      <c r="H75" s="53">
        <f t="shared" ref="H75:H77" si="5">TRUNC(F75 * G75, 2)</f>
        <v>3128</v>
      </c>
    </row>
    <row r="76" spans="1:8" ht="45" x14ac:dyDescent="0.2">
      <c r="A76" s="50" t="s">
        <v>184</v>
      </c>
      <c r="B76" s="52" t="s">
        <v>185</v>
      </c>
      <c r="C76" s="52" t="str">
        <f>VLOOKUP(B76,'Insumos e Serviços'!$A:$F,2,0)</f>
        <v>SINAPI</v>
      </c>
      <c r="D76" s="51" t="str">
        <f>VLOOKUP(B76,'Insumos e Serviços'!$A:$F,4,0)</f>
        <v>EMBOÇO OU MASSA ÚNICA EM ARGAMASSA TRAÇO 1:2:8, PREPARO MECÂNICO COM BETONEIRA 400 L, APLICADA MANUALMENTE EM PANOS CEGOS DE FACHADA (SEM PRESENÇA DE VÃOS), ESPESSURA DE 35 MM. AF_06/2014</v>
      </c>
      <c r="E76" s="52" t="str">
        <f>VLOOKUP(B76,'Insumos e Serviços'!$A:$F,5,0)</f>
        <v>m²</v>
      </c>
      <c r="F76" s="68">
        <v>183</v>
      </c>
      <c r="G76" s="53">
        <f>VLOOKUP(B76,'Insumos e Serviços'!$A:$F,6,0)</f>
        <v>39.950000000000003</v>
      </c>
      <c r="H76" s="53">
        <f t="shared" si="5"/>
        <v>7310.85</v>
      </c>
    </row>
    <row r="77" spans="1:8" ht="33.75" x14ac:dyDescent="0.2">
      <c r="A77" s="50" t="s">
        <v>187</v>
      </c>
      <c r="B77" s="52" t="s">
        <v>188</v>
      </c>
      <c r="C77" s="52" t="str">
        <f>VLOOKUP(B77,'Insumos e Serviços'!$A:$F,2,0)</f>
        <v>SINAPI</v>
      </c>
      <c r="D77" s="51" t="str">
        <f>VLOOKUP(B77,'Insumos e Serviços'!$A:$F,4,0)</f>
        <v>EMBOÇO OU MASSA ÚNICA EM ARGAMASSA TRAÇO 1:2:8, PREPARO MECÂNICO COM BETONEIRA 400 L, APLICADA MANUALMENTE EM PANOS DE FACHADA COM PRESENÇA DE VÃOS, ESPESSURA DE 25 MM. AF_06/2014</v>
      </c>
      <c r="E77" s="52" t="str">
        <f>VLOOKUP(B77,'Insumos e Serviços'!$A:$F,5,0)</f>
        <v>m²</v>
      </c>
      <c r="F77" s="68">
        <v>920</v>
      </c>
      <c r="G77" s="53">
        <f>VLOOKUP(B77,'Insumos e Serviços'!$A:$F,6,0)</f>
        <v>48.2</v>
      </c>
      <c r="H77" s="53">
        <f t="shared" si="5"/>
        <v>44344</v>
      </c>
    </row>
    <row r="78" spans="1:8" ht="33.75" x14ac:dyDescent="0.2">
      <c r="A78" s="50" t="s">
        <v>190</v>
      </c>
      <c r="B78" s="52" t="s">
        <v>191</v>
      </c>
      <c r="C78" s="52" t="s">
        <v>16</v>
      </c>
      <c r="D78" s="50" t="s">
        <v>192</v>
      </c>
      <c r="E78" s="52" t="s">
        <v>51</v>
      </c>
      <c r="F78" s="68">
        <v>170</v>
      </c>
      <c r="G78" s="53">
        <f>VLOOKUP(A78,'Orçamento Analítico'!$A:$H,8,0)</f>
        <v>127.02999999999999</v>
      </c>
      <c r="H78" s="53">
        <f>TRUNC(F78 * G78, 2)</f>
        <v>21595.1</v>
      </c>
    </row>
    <row r="79" spans="1:8" ht="33.75" x14ac:dyDescent="0.2">
      <c r="A79" s="50" t="s">
        <v>193</v>
      </c>
      <c r="B79" s="52" t="s">
        <v>194</v>
      </c>
      <c r="C79" s="52" t="s">
        <v>16</v>
      </c>
      <c r="D79" s="50" t="s">
        <v>195</v>
      </c>
      <c r="E79" s="52" t="s">
        <v>51</v>
      </c>
      <c r="F79" s="68">
        <v>750</v>
      </c>
      <c r="G79" s="53">
        <f>VLOOKUP(A79,'Orçamento Analítico'!$A:$H,8,0)</f>
        <v>127.02999999999999</v>
      </c>
      <c r="H79" s="53">
        <f>TRUNC(F79 * G79, 2)</f>
        <v>95272.5</v>
      </c>
    </row>
    <row r="80" spans="1:8" x14ac:dyDescent="0.2">
      <c r="A80" s="65" t="s">
        <v>196</v>
      </c>
      <c r="B80" s="65"/>
      <c r="C80" s="65"/>
      <c r="D80" s="65" t="s">
        <v>197</v>
      </c>
      <c r="E80" s="65"/>
      <c r="F80" s="66"/>
      <c r="G80" s="65"/>
      <c r="H80" s="67">
        <f>SUM(H81:H82)</f>
        <v>2644.43</v>
      </c>
    </row>
    <row r="81" spans="1:8" ht="22.5" x14ac:dyDescent="0.2">
      <c r="A81" s="50" t="s">
        <v>198</v>
      </c>
      <c r="B81" s="52" t="s">
        <v>199</v>
      </c>
      <c r="C81" s="52" t="str">
        <f>VLOOKUP(B81,'Insumos e Serviços'!$A:$F,2,0)</f>
        <v>SINAPI</v>
      </c>
      <c r="D81" s="51" t="str">
        <f>VLOOKUP(B81,'Insumos e Serviços'!$A:$F,4,0)</f>
        <v>FORRO EM DRYWALL, PARA AMBIENTES COMERCIAIS, INCLUSIVE ESTRUTURA DE FIXAÇÃO. AF_05/2017_P</v>
      </c>
      <c r="E81" s="52" t="str">
        <f>VLOOKUP(B81,'Insumos e Serviços'!$A:$F,5,0)</f>
        <v>m²</v>
      </c>
      <c r="F81" s="68">
        <v>48</v>
      </c>
      <c r="G81" s="53">
        <f>VLOOKUP(B81,'Insumos e Serviços'!$A:$F,6,0)</f>
        <v>48.66</v>
      </c>
      <c r="H81" s="53">
        <f>TRUNC(F81 * G81, 2)</f>
        <v>2335.6799999999998</v>
      </c>
    </row>
    <row r="82" spans="1:8" x14ac:dyDescent="0.2">
      <c r="A82" s="50" t="s">
        <v>201</v>
      </c>
      <c r="B82" s="52" t="s">
        <v>202</v>
      </c>
      <c r="C82" s="52" t="s">
        <v>16</v>
      </c>
      <c r="D82" s="50" t="s">
        <v>203</v>
      </c>
      <c r="E82" s="52" t="s">
        <v>83</v>
      </c>
      <c r="F82" s="68">
        <v>25</v>
      </c>
      <c r="G82" s="53">
        <f>VLOOKUP(A82,'Orçamento Analítico'!$A:$H,8,0)</f>
        <v>12.35</v>
      </c>
      <c r="H82" s="53">
        <f>TRUNC(F82 * G82, 2)</f>
        <v>308.75</v>
      </c>
    </row>
    <row r="83" spans="1:8" x14ac:dyDescent="0.2">
      <c r="A83" s="65" t="s">
        <v>204</v>
      </c>
      <c r="B83" s="65"/>
      <c r="C83" s="65"/>
      <c r="D83" s="65" t="s">
        <v>205</v>
      </c>
      <c r="E83" s="65"/>
      <c r="F83" s="66"/>
      <c r="G83" s="65"/>
      <c r="H83" s="67">
        <f>SUM(H84:H91)</f>
        <v>47351.33</v>
      </c>
    </row>
    <row r="84" spans="1:8" ht="22.5" x14ac:dyDescent="0.2">
      <c r="A84" s="50" t="s">
        <v>206</v>
      </c>
      <c r="B84" s="52" t="s">
        <v>207</v>
      </c>
      <c r="C84" s="52" t="str">
        <f>VLOOKUP(B84,'Insumos e Serviços'!$A:$F,2,0)</f>
        <v>SINAPI</v>
      </c>
      <c r="D84" s="51" t="str">
        <f>VLOOKUP(B84,'Insumos e Serviços'!$A:$F,4,0)</f>
        <v>APLICAÇÃO DE FUNDO SELADOR ACRÍLICO EM TETO, UMA DEMÃO. AF_06/2014</v>
      </c>
      <c r="E84" s="52" t="str">
        <f>VLOOKUP(B84,'Insumos e Serviços'!$A:$F,5,0)</f>
        <v>m²</v>
      </c>
      <c r="F84" s="68">
        <v>45</v>
      </c>
      <c r="G84" s="53">
        <f>VLOOKUP(B84,'Insumos e Serviços'!$A:$F,6,0)</f>
        <v>2.88</v>
      </c>
      <c r="H84" s="53">
        <f t="shared" ref="H84:H91" si="6">TRUNC(F84 * G84, 2)</f>
        <v>129.6</v>
      </c>
    </row>
    <row r="85" spans="1:8" ht="22.5" x14ac:dyDescent="0.2">
      <c r="A85" s="50" t="s">
        <v>209</v>
      </c>
      <c r="B85" s="52" t="s">
        <v>210</v>
      </c>
      <c r="C85" s="52" t="str">
        <f>VLOOKUP(B85,'Insumos e Serviços'!$A:$F,2,0)</f>
        <v>SINAPI</v>
      </c>
      <c r="D85" s="51" t="str">
        <f>VLOOKUP(B85,'Insumos e Serviços'!$A:$F,4,0)</f>
        <v>APLICAÇÃO E LIXAMENTO DE MASSA LÁTEX EM TETO, DUAS DEMÃOS. AF_06/2014</v>
      </c>
      <c r="E85" s="52" t="str">
        <f>VLOOKUP(B85,'Insumos e Serviços'!$A:$F,5,0)</f>
        <v>m²</v>
      </c>
      <c r="F85" s="68">
        <v>9</v>
      </c>
      <c r="G85" s="53">
        <f>VLOOKUP(B85,'Insumos e Serviços'!$A:$F,6,0)</f>
        <v>24.43</v>
      </c>
      <c r="H85" s="53">
        <f t="shared" si="6"/>
        <v>219.87</v>
      </c>
    </row>
    <row r="86" spans="1:8" ht="22.5" x14ac:dyDescent="0.2">
      <c r="A86" s="50" t="s">
        <v>212</v>
      </c>
      <c r="B86" s="52" t="s">
        <v>213</v>
      </c>
      <c r="C86" s="52" t="str">
        <f>VLOOKUP(B86,'Insumos e Serviços'!$A:$F,2,0)</f>
        <v>SINAPI</v>
      </c>
      <c r="D86" s="51" t="str">
        <f>VLOOKUP(B86,'Insumos e Serviços'!$A:$F,4,0)</f>
        <v>APLICAÇÃO E LIXAMENTO DE MASSA LÁTEX EM PAREDES, DUAS DEMÃOS. AF_06/2014</v>
      </c>
      <c r="E86" s="52" t="str">
        <f>VLOOKUP(B86,'Insumos e Serviços'!$A:$F,5,0)</f>
        <v>m²</v>
      </c>
      <c r="F86" s="68">
        <v>78</v>
      </c>
      <c r="G86" s="53">
        <f>VLOOKUP(B86,'Insumos e Serviços'!$A:$F,6,0)</f>
        <v>13.42</v>
      </c>
      <c r="H86" s="53">
        <f t="shared" si="6"/>
        <v>1046.76</v>
      </c>
    </row>
    <row r="87" spans="1:8" ht="22.5" x14ac:dyDescent="0.2">
      <c r="A87" s="50" t="s">
        <v>215</v>
      </c>
      <c r="B87" s="52" t="s">
        <v>216</v>
      </c>
      <c r="C87" s="52" t="str">
        <f>VLOOKUP(B87,'Insumos e Serviços'!$A:$F,2,0)</f>
        <v>SINAPI</v>
      </c>
      <c r="D87" s="51" t="str">
        <f>VLOOKUP(B87,'Insumos e Serviços'!$A:$F,4,0)</f>
        <v>APLICAÇÃO MANUAL DE PINTURA COM TINTA LÁTEX ACRÍLICA EM TETO, DUAS DEMÃOS. AF_06/2014</v>
      </c>
      <c r="E87" s="52" t="str">
        <f>VLOOKUP(B87,'Insumos e Serviços'!$A:$F,5,0)</f>
        <v>m²</v>
      </c>
      <c r="F87" s="68">
        <v>45</v>
      </c>
      <c r="G87" s="53">
        <f>VLOOKUP(B87,'Insumos e Serviços'!$A:$F,6,0)</f>
        <v>14.21</v>
      </c>
      <c r="H87" s="53">
        <f t="shared" si="6"/>
        <v>639.45000000000005</v>
      </c>
    </row>
    <row r="88" spans="1:8" ht="22.5" x14ac:dyDescent="0.2">
      <c r="A88" s="50" t="s">
        <v>218</v>
      </c>
      <c r="B88" s="52" t="s">
        <v>219</v>
      </c>
      <c r="C88" s="52" t="str">
        <f>VLOOKUP(B88,'Insumos e Serviços'!$A:$F,2,0)</f>
        <v>SINAPI</v>
      </c>
      <c r="D88" s="51" t="str">
        <f>VLOOKUP(B88,'Insumos e Serviços'!$A:$F,4,0)</f>
        <v>APLICAÇÃO MANUAL DE PINTURA COM TINTA LÁTEX ACRÍLICA EM PAREDES, DUAS DEMÃOS. AF_06/2014</v>
      </c>
      <c r="E88" s="52" t="str">
        <f>VLOOKUP(B88,'Insumos e Serviços'!$A:$F,5,0)</f>
        <v>m²</v>
      </c>
      <c r="F88" s="68">
        <v>390</v>
      </c>
      <c r="G88" s="53">
        <f>VLOOKUP(B88,'Insumos e Serviços'!$A:$F,6,0)</f>
        <v>12.49</v>
      </c>
      <c r="H88" s="53">
        <f t="shared" si="6"/>
        <v>4871.1000000000004</v>
      </c>
    </row>
    <row r="89" spans="1:8" ht="22.5" x14ac:dyDescent="0.2">
      <c r="A89" s="50" t="s">
        <v>221</v>
      </c>
      <c r="B89" s="52" t="s">
        <v>222</v>
      </c>
      <c r="C89" s="52" t="str">
        <f>VLOOKUP(B89,'Insumos e Serviços'!$A:$F,2,0)</f>
        <v>SINAPI</v>
      </c>
      <c r="D89" s="51" t="str">
        <f>VLOOKUP(B89,'Insumos e Serviços'!$A:$F,4,0)</f>
        <v>APLICAÇÃO MANUAL DE PINTURA COM TINTA TEXTURIZADA ACRÍLICA EM PAREDES EXTERNAS DE CASAS, UMA COR. AF_06/2014</v>
      </c>
      <c r="E89" s="52" t="str">
        <f>VLOOKUP(B89,'Insumos e Serviços'!$A:$F,5,0)</f>
        <v>m²</v>
      </c>
      <c r="F89" s="68">
        <v>335</v>
      </c>
      <c r="G89" s="53">
        <f>VLOOKUP(B89,'Insumos e Serviços'!$A:$F,6,0)</f>
        <v>17.27</v>
      </c>
      <c r="H89" s="53">
        <f t="shared" si="6"/>
        <v>5785.45</v>
      </c>
    </row>
    <row r="90" spans="1:8" ht="45" x14ac:dyDescent="0.2">
      <c r="A90" s="50" t="s">
        <v>224</v>
      </c>
      <c r="B90" s="52" t="s">
        <v>225</v>
      </c>
      <c r="C90" s="52" t="str">
        <f>VLOOKUP(B90,'Insumos e Serviços'!$A:$F,2,0)</f>
        <v>SINAPI</v>
      </c>
      <c r="D90" s="51" t="str">
        <f>VLOOKUP(B90,'Insumos e Serviços'!$A:$F,4,0)</f>
        <v>PINTURA COM TINTA ALQUÍDICA DE FUNDO E ACABAMENTO (ESMALTE SINTÉTICO GRAFITE) APLICADA A ROLO OU PINCEL SOBRE SUPERFÍCIES METÁLICAS (EXCETO PERFIL) EXECUTADO EM OBRA (POR DEMÃO). AF_01/2020</v>
      </c>
      <c r="E90" s="52" t="str">
        <f>VLOOKUP(B90,'Insumos e Serviços'!$A:$F,5,0)</f>
        <v>m²</v>
      </c>
      <c r="F90" s="68">
        <v>1247</v>
      </c>
      <c r="G90" s="53">
        <f>VLOOKUP(B90,'Insumos e Serviços'!$A:$F,6,0)</f>
        <v>21.8</v>
      </c>
      <c r="H90" s="53">
        <f t="shared" si="6"/>
        <v>27184.6</v>
      </c>
    </row>
    <row r="91" spans="1:8" x14ac:dyDescent="0.2">
      <c r="A91" s="50" t="s">
        <v>227</v>
      </c>
      <c r="B91" s="52" t="s">
        <v>228</v>
      </c>
      <c r="C91" s="52" t="str">
        <f>VLOOKUP(B91,'Insumos e Serviços'!$A:$F,2,0)</f>
        <v>SINAPI</v>
      </c>
      <c r="D91" s="51" t="str">
        <f>VLOOKUP(B91,'Insumos e Serviços'!$A:$F,4,0)</f>
        <v>PINTURA ACRILICA EM PISO CIMENTADO DUAS DEMAOS</v>
      </c>
      <c r="E91" s="52" t="str">
        <f>VLOOKUP(B91,'Insumos e Serviços'!$A:$F,5,0)</f>
        <v>m²</v>
      </c>
      <c r="F91" s="68">
        <v>495</v>
      </c>
      <c r="G91" s="53">
        <f>VLOOKUP(B91,'Insumos e Serviços'!$A:$F,6,0)</f>
        <v>15.1</v>
      </c>
      <c r="H91" s="53">
        <f t="shared" si="6"/>
        <v>7474.5</v>
      </c>
    </row>
    <row r="92" spans="1:8" x14ac:dyDescent="0.2">
      <c r="A92" s="65" t="s">
        <v>230</v>
      </c>
      <c r="B92" s="65"/>
      <c r="C92" s="65"/>
      <c r="D92" s="65" t="s">
        <v>231</v>
      </c>
      <c r="E92" s="65"/>
      <c r="F92" s="66"/>
      <c r="G92" s="65"/>
      <c r="H92" s="67">
        <f>SUM(H93:H100)</f>
        <v>165233.12</v>
      </c>
    </row>
    <row r="93" spans="1:8" x14ac:dyDescent="0.2">
      <c r="A93" s="50" t="s">
        <v>232</v>
      </c>
      <c r="B93" s="52" t="s">
        <v>233</v>
      </c>
      <c r="C93" s="52" t="str">
        <f>VLOOKUP(B93,'Insumos e Serviços'!$A:$F,2,0)</f>
        <v>SINAPI</v>
      </c>
      <c r="D93" s="51" t="str">
        <f>VLOOKUP(B93,'Insumos e Serviços'!$A:$F,4,0)</f>
        <v>LIMPEZA DE SUPERFÍCIE COM JATO DE ALTA PRESSÃO. AF_04/2019</v>
      </c>
      <c r="E93" s="52" t="str">
        <f>VLOOKUP(B93,'Insumos e Serviços'!$A:$F,5,0)</f>
        <v>m²</v>
      </c>
      <c r="F93" s="68">
        <v>750</v>
      </c>
      <c r="G93" s="53">
        <f>VLOOKUP(B93,'Insumos e Serviços'!$A:$F,6,0)</f>
        <v>1.53</v>
      </c>
      <c r="H93" s="53">
        <f t="shared" ref="H93:H100" si="7">TRUNC(F93 * G93, 2)</f>
        <v>1147.5</v>
      </c>
    </row>
    <row r="94" spans="1:8" ht="33.75" x14ac:dyDescent="0.2">
      <c r="A94" s="50" t="s">
        <v>235</v>
      </c>
      <c r="B94" s="52" t="s">
        <v>236</v>
      </c>
      <c r="C94" s="52" t="s">
        <v>16</v>
      </c>
      <c r="D94" s="50" t="s">
        <v>237</v>
      </c>
      <c r="E94" s="52" t="s">
        <v>51</v>
      </c>
      <c r="F94" s="68">
        <v>306</v>
      </c>
      <c r="G94" s="53">
        <f>VLOOKUP(A94,'Orçamento Analítico'!$A:$H,8,0)</f>
        <v>41.899999999999991</v>
      </c>
      <c r="H94" s="53">
        <f t="shared" si="7"/>
        <v>12821.4</v>
      </c>
    </row>
    <row r="95" spans="1:8" ht="22.5" x14ac:dyDescent="0.2">
      <c r="A95" s="50" t="s">
        <v>238</v>
      </c>
      <c r="B95" s="52" t="s">
        <v>239</v>
      </c>
      <c r="C95" s="52" t="s">
        <v>16</v>
      </c>
      <c r="D95" s="50" t="s">
        <v>240</v>
      </c>
      <c r="E95" s="52" t="s">
        <v>51</v>
      </c>
      <c r="F95" s="68">
        <v>677</v>
      </c>
      <c r="G95" s="53">
        <f>VLOOKUP(A95,'Orçamento Analítico'!$A:$H,8,0)</f>
        <v>60.379999999999995</v>
      </c>
      <c r="H95" s="53">
        <f t="shared" si="7"/>
        <v>40877.26</v>
      </c>
    </row>
    <row r="96" spans="1:8" ht="33.75" x14ac:dyDescent="0.2">
      <c r="A96" s="50" t="s">
        <v>241</v>
      </c>
      <c r="B96" s="52" t="s">
        <v>242</v>
      </c>
      <c r="C96" s="52" t="s">
        <v>16</v>
      </c>
      <c r="D96" s="50" t="s">
        <v>243</v>
      </c>
      <c r="E96" s="52" t="s">
        <v>51</v>
      </c>
      <c r="F96" s="68">
        <v>306</v>
      </c>
      <c r="G96" s="53">
        <f>VLOOKUP(A96,'Orçamento Analítico'!$A:$H,8,0)</f>
        <v>95.25</v>
      </c>
      <c r="H96" s="53">
        <f t="shared" si="7"/>
        <v>29146.5</v>
      </c>
    </row>
    <row r="97" spans="1:8" ht="22.5" x14ac:dyDescent="0.2">
      <c r="A97" s="50" t="s">
        <v>244</v>
      </c>
      <c r="B97" s="52" t="s">
        <v>245</v>
      </c>
      <c r="C97" s="52" t="s">
        <v>16</v>
      </c>
      <c r="D97" s="50" t="s">
        <v>246</v>
      </c>
      <c r="E97" s="52" t="s">
        <v>51</v>
      </c>
      <c r="F97" s="68">
        <v>677</v>
      </c>
      <c r="G97" s="53">
        <f>VLOOKUP(A97,'Orçamento Analítico'!$A:$H,8,0)</f>
        <v>83.37</v>
      </c>
      <c r="H97" s="53">
        <f t="shared" si="7"/>
        <v>56441.49</v>
      </c>
    </row>
    <row r="98" spans="1:8" ht="33.75" x14ac:dyDescent="0.2">
      <c r="A98" s="50" t="s">
        <v>247</v>
      </c>
      <c r="B98" s="52" t="s">
        <v>248</v>
      </c>
      <c r="C98" s="52" t="s">
        <v>16</v>
      </c>
      <c r="D98" s="50" t="s">
        <v>249</v>
      </c>
      <c r="E98" s="52" t="s">
        <v>18</v>
      </c>
      <c r="F98" s="68">
        <v>15</v>
      </c>
      <c r="G98" s="53">
        <f>VLOOKUP(A98,'Orçamento Analítico'!$A:$H,8,0)</f>
        <v>32.69</v>
      </c>
      <c r="H98" s="53">
        <f t="shared" si="7"/>
        <v>490.35</v>
      </c>
    </row>
    <row r="99" spans="1:8" ht="33.75" x14ac:dyDescent="0.2">
      <c r="A99" s="50" t="s">
        <v>250</v>
      </c>
      <c r="B99" s="52" t="s">
        <v>251</v>
      </c>
      <c r="C99" s="52" t="s">
        <v>16</v>
      </c>
      <c r="D99" s="50" t="s">
        <v>252</v>
      </c>
      <c r="E99" s="52" t="s">
        <v>51</v>
      </c>
      <c r="F99" s="68">
        <v>306</v>
      </c>
      <c r="G99" s="53">
        <f>VLOOKUP(A99,'Orçamento Analítico'!$A:$H,8,0)</f>
        <v>59.67</v>
      </c>
      <c r="H99" s="53">
        <f t="shared" si="7"/>
        <v>18259.02</v>
      </c>
    </row>
    <row r="100" spans="1:8" ht="33.75" x14ac:dyDescent="0.2">
      <c r="A100" s="50" t="s">
        <v>253</v>
      </c>
      <c r="B100" s="52" t="s">
        <v>254</v>
      </c>
      <c r="C100" s="52" t="s">
        <v>16</v>
      </c>
      <c r="D100" s="50" t="s">
        <v>255</v>
      </c>
      <c r="E100" s="52" t="s">
        <v>83</v>
      </c>
      <c r="F100" s="68">
        <v>190</v>
      </c>
      <c r="G100" s="53">
        <f>VLOOKUP(A100,'Orçamento Analítico'!$A:$H,8,0)</f>
        <v>31.84</v>
      </c>
      <c r="H100" s="53">
        <f t="shared" si="7"/>
        <v>6049.6</v>
      </c>
    </row>
    <row r="101" spans="1:8" x14ac:dyDescent="0.2">
      <c r="A101" s="65" t="s">
        <v>256</v>
      </c>
      <c r="B101" s="65"/>
      <c r="C101" s="65"/>
      <c r="D101" s="65" t="s">
        <v>257</v>
      </c>
      <c r="E101" s="65"/>
      <c r="F101" s="66"/>
      <c r="G101" s="65"/>
      <c r="H101" s="67">
        <f>SUM(H102,H103)</f>
        <v>24672.21</v>
      </c>
    </row>
    <row r="102" spans="1:8" ht="22.5" x14ac:dyDescent="0.2">
      <c r="A102" s="50" t="s">
        <v>258</v>
      </c>
      <c r="B102" s="52" t="s">
        <v>259</v>
      </c>
      <c r="C102" s="52" t="s">
        <v>16</v>
      </c>
      <c r="D102" s="50" t="s">
        <v>260</v>
      </c>
      <c r="E102" s="52" t="s">
        <v>83</v>
      </c>
      <c r="F102" s="68">
        <v>32</v>
      </c>
      <c r="G102" s="53">
        <f>VLOOKUP(A102,'Orçamento Analítico'!$A:$H,8,0)</f>
        <v>123.53</v>
      </c>
      <c r="H102" s="53">
        <f>TRUNC(F102 * G102, 2)</f>
        <v>3952.96</v>
      </c>
    </row>
    <row r="103" spans="1:8" ht="22.5" x14ac:dyDescent="0.2">
      <c r="A103" s="50" t="s">
        <v>261</v>
      </c>
      <c r="B103" s="52" t="s">
        <v>262</v>
      </c>
      <c r="C103" s="52" t="s">
        <v>16</v>
      </c>
      <c r="D103" s="50" t="s">
        <v>263</v>
      </c>
      <c r="E103" s="52" t="s">
        <v>83</v>
      </c>
      <c r="F103" s="68">
        <v>179</v>
      </c>
      <c r="G103" s="53">
        <f>VLOOKUP(A103,'Orçamento Analítico'!$A:$H,8,0)</f>
        <v>115.75000000000001</v>
      </c>
      <c r="H103" s="53">
        <f>TRUNC(F103 * G103, 2)</f>
        <v>20719.25</v>
      </c>
    </row>
    <row r="104" spans="1:8" x14ac:dyDescent="0.2">
      <c r="A104" s="75" t="s">
        <v>264</v>
      </c>
      <c r="B104" s="75"/>
      <c r="C104" s="75"/>
      <c r="D104" s="75" t="s">
        <v>265</v>
      </c>
      <c r="E104" s="75"/>
      <c r="F104" s="76"/>
      <c r="G104" s="75"/>
      <c r="H104" s="76">
        <f>H105</f>
        <v>5906.7099999999991</v>
      </c>
    </row>
    <row r="105" spans="1:8" x14ac:dyDescent="0.2">
      <c r="A105" s="65" t="s">
        <v>266</v>
      </c>
      <c r="B105" s="65"/>
      <c r="C105" s="65"/>
      <c r="D105" s="65" t="s">
        <v>267</v>
      </c>
      <c r="E105" s="65"/>
      <c r="F105" s="66"/>
      <c r="G105" s="65"/>
      <c r="H105" s="67">
        <f>SUM(H106:H110)</f>
        <v>5906.7099999999991</v>
      </c>
    </row>
    <row r="106" spans="1:8" x14ac:dyDescent="0.2">
      <c r="A106" s="50" t="s">
        <v>268</v>
      </c>
      <c r="B106" s="52" t="s">
        <v>269</v>
      </c>
      <c r="C106" s="52" t="s">
        <v>16</v>
      </c>
      <c r="D106" s="50" t="s">
        <v>270</v>
      </c>
      <c r="E106" s="52" t="s">
        <v>37</v>
      </c>
      <c r="F106" s="68">
        <v>1</v>
      </c>
      <c r="G106" s="53">
        <f>VLOOKUP(A106,'Orçamento Analítico'!$A:$H,8,0)</f>
        <v>2193.33</v>
      </c>
      <c r="H106" s="53">
        <f>TRUNC(F106 * G106, 2)</f>
        <v>2193.33</v>
      </c>
    </row>
    <row r="107" spans="1:8" x14ac:dyDescent="0.2">
      <c r="A107" s="50" t="s">
        <v>271</v>
      </c>
      <c r="B107" s="52" t="s">
        <v>272</v>
      </c>
      <c r="C107" s="52" t="s">
        <v>16</v>
      </c>
      <c r="D107" s="50" t="s">
        <v>273</v>
      </c>
      <c r="E107" s="52" t="s">
        <v>37</v>
      </c>
      <c r="F107" s="68">
        <v>1</v>
      </c>
      <c r="G107" s="53">
        <f>VLOOKUP(A107,'Orçamento Analítico'!$A:$H,8,0)</f>
        <v>533.08000000000004</v>
      </c>
      <c r="H107" s="53">
        <f>TRUNC(F107 * G107, 2)</f>
        <v>533.08000000000004</v>
      </c>
    </row>
    <row r="108" spans="1:8" x14ac:dyDescent="0.2">
      <c r="A108" s="50" t="s">
        <v>274</v>
      </c>
      <c r="B108" s="52" t="s">
        <v>275</v>
      </c>
      <c r="C108" s="52" t="s">
        <v>16</v>
      </c>
      <c r="D108" s="50" t="s">
        <v>276</v>
      </c>
      <c r="E108" s="52" t="s">
        <v>37</v>
      </c>
      <c r="F108" s="68">
        <v>1</v>
      </c>
      <c r="G108" s="53">
        <f>VLOOKUP(A108,'Orçamento Analítico'!$A:$H,8,0)</f>
        <v>382.52</v>
      </c>
      <c r="H108" s="53">
        <f>TRUNC(F108 * G108, 2)</f>
        <v>382.52</v>
      </c>
    </row>
    <row r="109" spans="1:8" x14ac:dyDescent="0.2">
      <c r="A109" s="50" t="s">
        <v>277</v>
      </c>
      <c r="B109" s="52" t="s">
        <v>278</v>
      </c>
      <c r="C109" s="52" t="s">
        <v>16</v>
      </c>
      <c r="D109" s="50" t="s">
        <v>279</v>
      </c>
      <c r="E109" s="52" t="s">
        <v>37</v>
      </c>
      <c r="F109" s="68">
        <v>1</v>
      </c>
      <c r="G109" s="53">
        <f>VLOOKUP(A109,'Orçamento Analítico'!$A:$H,8,0)</f>
        <v>448.18000000000006</v>
      </c>
      <c r="H109" s="53">
        <f>TRUNC(F109 * G109, 2)</f>
        <v>448.18</v>
      </c>
    </row>
    <row r="110" spans="1:8" x14ac:dyDescent="0.2">
      <c r="A110" s="50" t="s">
        <v>280</v>
      </c>
      <c r="B110" s="52" t="s">
        <v>281</v>
      </c>
      <c r="C110" s="52" t="s">
        <v>16</v>
      </c>
      <c r="D110" s="50" t="s">
        <v>282</v>
      </c>
      <c r="E110" s="52" t="s">
        <v>18</v>
      </c>
      <c r="F110" s="68">
        <v>15</v>
      </c>
      <c r="G110" s="53">
        <f>VLOOKUP(A110,'Orçamento Analítico'!$A:$H,8,0)</f>
        <v>156.64000000000001</v>
      </c>
      <c r="H110" s="53">
        <f>TRUNC(F110 * G110, 2)</f>
        <v>2349.6</v>
      </c>
    </row>
    <row r="111" spans="1:8" x14ac:dyDescent="0.2">
      <c r="A111" s="75" t="s">
        <v>283</v>
      </c>
      <c r="B111" s="75"/>
      <c r="C111" s="75"/>
      <c r="D111" s="75" t="s">
        <v>284</v>
      </c>
      <c r="E111" s="75"/>
      <c r="F111" s="76"/>
      <c r="G111" s="75"/>
      <c r="H111" s="76">
        <f>H112</f>
        <v>5947.4299999999994</v>
      </c>
    </row>
    <row r="112" spans="1:8" x14ac:dyDescent="0.2">
      <c r="A112" s="65" t="s">
        <v>285</v>
      </c>
      <c r="B112" s="65"/>
      <c r="C112" s="65"/>
      <c r="D112" s="65" t="s">
        <v>286</v>
      </c>
      <c r="E112" s="65"/>
      <c r="F112" s="66"/>
      <c r="G112" s="65"/>
      <c r="H112" s="67">
        <f>SUM(H113:H117)</f>
        <v>5947.4299999999994</v>
      </c>
    </row>
    <row r="113" spans="1:8" x14ac:dyDescent="0.2">
      <c r="A113" s="50" t="s">
        <v>287</v>
      </c>
      <c r="B113" s="52" t="s">
        <v>288</v>
      </c>
      <c r="C113" s="52" t="str">
        <f>VLOOKUP(B113,'Insumos e Serviços'!$A:$F,2,0)</f>
        <v>SINAPI</v>
      </c>
      <c r="D113" s="51" t="str">
        <f>VLOOKUP(B113,'Insumos e Serviços'!$A:$F,4,0)</f>
        <v>LIMPEZA DE CONTRAPISO COM VASSOURA A SECO. AF_04/2019</v>
      </c>
      <c r="E113" s="52" t="str">
        <f>VLOOKUP(B113,'Insumos e Serviços'!$A:$F,5,0)</f>
        <v>m²</v>
      </c>
      <c r="F113" s="68">
        <v>1455</v>
      </c>
      <c r="G113" s="53">
        <f>VLOOKUP(B113,'Insumos e Serviços'!$A:$F,6,0)</f>
        <v>2.83</v>
      </c>
      <c r="H113" s="53">
        <f t="shared" ref="H113:H116" si="8">TRUNC(F113 * G113, 2)</f>
        <v>4117.6499999999996</v>
      </c>
    </row>
    <row r="114" spans="1:8" ht="22.5" x14ac:dyDescent="0.2">
      <c r="A114" s="50" t="s">
        <v>290</v>
      </c>
      <c r="B114" s="52" t="s">
        <v>291</v>
      </c>
      <c r="C114" s="52" t="str">
        <f>VLOOKUP(B114,'Insumos e Serviços'!$A:$F,2,0)</f>
        <v>SINAPI</v>
      </c>
      <c r="D114" s="51" t="str">
        <f>VLOOKUP(B114,'Insumos e Serviços'!$A:$F,4,0)</f>
        <v>LIMPEZA DE PISO CERÂMICO OU PORCELANATO COM VASSOURA A SECO. AF_04/2019</v>
      </c>
      <c r="E114" s="52" t="str">
        <f>VLOOKUP(B114,'Insumos e Serviços'!$A:$F,5,0)</f>
        <v>m²</v>
      </c>
      <c r="F114" s="68">
        <v>325</v>
      </c>
      <c r="G114" s="53">
        <f>VLOOKUP(B114,'Insumos e Serviços'!$A:$F,6,0)</f>
        <v>0.42</v>
      </c>
      <c r="H114" s="53">
        <f t="shared" si="8"/>
        <v>136.5</v>
      </c>
    </row>
    <row r="115" spans="1:8" ht="22.5" x14ac:dyDescent="0.2">
      <c r="A115" s="50" t="s">
        <v>293</v>
      </c>
      <c r="B115" s="52" t="s">
        <v>294</v>
      </c>
      <c r="C115" s="52" t="str">
        <f>VLOOKUP(B115,'Insumos e Serviços'!$A:$F,2,0)</f>
        <v>SINAPI</v>
      </c>
      <c r="D115" s="51" t="str">
        <f>VLOOKUP(B115,'Insumos e Serviços'!$A:$F,4,0)</f>
        <v>LIMPEZA DE PISO CERÂMICO OU PORCELANATO COM PANO ÚMIDO. AF_04/2019</v>
      </c>
      <c r="E115" s="52" t="str">
        <f>VLOOKUP(B115,'Insumos e Serviços'!$A:$F,5,0)</f>
        <v>m²</v>
      </c>
      <c r="F115" s="68">
        <v>325</v>
      </c>
      <c r="G115" s="53">
        <f>VLOOKUP(B115,'Insumos e Serviços'!$A:$F,6,0)</f>
        <v>1.66</v>
      </c>
      <c r="H115" s="53">
        <f t="shared" si="8"/>
        <v>539.5</v>
      </c>
    </row>
    <row r="116" spans="1:8" ht="22.5" x14ac:dyDescent="0.2">
      <c r="A116" s="50" t="s">
        <v>296</v>
      </c>
      <c r="B116" s="52" t="s">
        <v>297</v>
      </c>
      <c r="C116" s="52" t="str">
        <f>VLOOKUP(B116,'Insumos e Serviços'!$A:$F,2,0)</f>
        <v>SINAPI</v>
      </c>
      <c r="D116" s="51" t="str">
        <f>VLOOKUP(B116,'Insumos e Serviços'!$A:$F,4,0)</f>
        <v>LIMPEZA DE REVESTIMENTO CERÂMICO EM PAREDE COM PANO ÚMIDO AF_04/2019</v>
      </c>
      <c r="E116" s="52" t="str">
        <f>VLOOKUP(B116,'Insumos e Serviços'!$A:$F,5,0)</f>
        <v>m²</v>
      </c>
      <c r="F116" s="68">
        <v>990</v>
      </c>
      <c r="G116" s="53">
        <f>VLOOKUP(B116,'Insumos e Serviços'!$A:$F,6,0)</f>
        <v>0.68</v>
      </c>
      <c r="H116" s="53">
        <f t="shared" si="8"/>
        <v>673.2</v>
      </c>
    </row>
    <row r="117" spans="1:8" x14ac:dyDescent="0.2">
      <c r="A117" s="50" t="s">
        <v>299</v>
      </c>
      <c r="B117" s="52" t="s">
        <v>35</v>
      </c>
      <c r="C117" s="52" t="s">
        <v>16</v>
      </c>
      <c r="D117" s="50" t="s">
        <v>36</v>
      </c>
      <c r="E117" s="52" t="s">
        <v>37</v>
      </c>
      <c r="F117" s="68">
        <v>1</v>
      </c>
      <c r="G117" s="53">
        <f>VLOOKUP(A117,'Orçamento Analítico'!$A:$H,8,0)</f>
        <v>480.58</v>
      </c>
      <c r="H117" s="53">
        <f>TRUNC(F117 * G117, 2)</f>
        <v>480.58</v>
      </c>
    </row>
    <row r="118" spans="1:8" x14ac:dyDescent="0.2">
      <c r="A118" s="75" t="s">
        <v>300</v>
      </c>
      <c r="B118" s="75"/>
      <c r="C118" s="75"/>
      <c r="D118" s="75" t="s">
        <v>301</v>
      </c>
      <c r="E118" s="75"/>
      <c r="F118" s="76"/>
      <c r="G118" s="75"/>
      <c r="H118" s="76">
        <f>H119</f>
        <v>37331.050000000003</v>
      </c>
    </row>
    <row r="119" spans="1:8" x14ac:dyDescent="0.2">
      <c r="A119" s="65" t="s">
        <v>302</v>
      </c>
      <c r="B119" s="65"/>
      <c r="C119" s="65"/>
      <c r="D119" s="65" t="s">
        <v>303</v>
      </c>
      <c r="E119" s="65"/>
      <c r="F119" s="66"/>
      <c r="G119" s="65"/>
      <c r="H119" s="67">
        <f>SUM(H120:H122)</f>
        <v>37331.050000000003</v>
      </c>
    </row>
    <row r="120" spans="1:8" x14ac:dyDescent="0.2">
      <c r="A120" s="50" t="s">
        <v>304</v>
      </c>
      <c r="B120" s="52">
        <v>88316</v>
      </c>
      <c r="C120" s="52" t="str">
        <f>VLOOKUP(B120,'Insumos e Serviços'!$A:$F,2,0)</f>
        <v>SINAPI</v>
      </c>
      <c r="D120" s="51" t="str">
        <f>VLOOKUP(B120,'Insumos e Serviços'!$A:$F,4,0)</f>
        <v>SERVENTE COM ENCARGOS COMPLEMENTARES</v>
      </c>
      <c r="E120" s="52" t="str">
        <f>VLOOKUP(B120,'Insumos e Serviços'!$A:$F,5,0)</f>
        <v>H</v>
      </c>
      <c r="F120" s="68">
        <v>748</v>
      </c>
      <c r="G120" s="53">
        <f>VLOOKUP(B120,'Insumos e Serviços'!$A:$F,6,0)</f>
        <v>17.170000000000002</v>
      </c>
      <c r="H120" s="53">
        <f t="shared" ref="H120:H122" si="9">TRUNC(F120 * G120, 2)</f>
        <v>12843.16</v>
      </c>
    </row>
    <row r="121" spans="1:8" x14ac:dyDescent="0.2">
      <c r="A121" s="50" t="s">
        <v>307</v>
      </c>
      <c r="B121" s="52" t="s">
        <v>308</v>
      </c>
      <c r="C121" s="52" t="str">
        <f>VLOOKUP(B121,'Insumos e Serviços'!$A:$F,2,0)</f>
        <v>SINAPI</v>
      </c>
      <c r="D121" s="51" t="str">
        <f>VLOOKUP(B121,'Insumos e Serviços'!$A:$F,4,0)</f>
        <v>ENCARREGADO GERAL DE OBRAS COM ENCARGOS COMPLEMENTARES</v>
      </c>
      <c r="E121" s="52" t="str">
        <f>VLOOKUP(B121,'Insumos e Serviços'!$A:$F,5,0)</f>
        <v>MES</v>
      </c>
      <c r="F121" s="68">
        <v>4</v>
      </c>
      <c r="G121" s="53">
        <f>VLOOKUP(B121,'Insumos e Serviços'!$A:$F,6,0)</f>
        <v>3349.71</v>
      </c>
      <c r="H121" s="53">
        <f t="shared" si="9"/>
        <v>13398.84</v>
      </c>
    </row>
    <row r="122" spans="1:8" x14ac:dyDescent="0.2">
      <c r="A122" s="50" t="s">
        <v>310</v>
      </c>
      <c r="B122" s="52" t="s">
        <v>311</v>
      </c>
      <c r="C122" s="52" t="str">
        <f>VLOOKUP(B122,'Insumos e Serviços'!$A:$F,2,0)</f>
        <v>SINAPI</v>
      </c>
      <c r="D122" s="51" t="str">
        <f>VLOOKUP(B122,'Insumos e Serviços'!$A:$F,4,0)</f>
        <v>ENGENHEIRO CIVIL DE OBRA PLENO COM ENCARGOS COMPLEMENTARES</v>
      </c>
      <c r="E122" s="52" t="str">
        <f>VLOOKUP(B122,'Insumos e Serviços'!$A:$F,5,0)</f>
        <v>H</v>
      </c>
      <c r="F122" s="68">
        <v>105</v>
      </c>
      <c r="G122" s="53">
        <f>VLOOKUP(B122,'Insumos e Serviços'!$A:$F,6,0)</f>
        <v>105.61</v>
      </c>
      <c r="H122" s="53">
        <f t="shared" si="9"/>
        <v>11089.05</v>
      </c>
    </row>
    <row r="123" spans="1:8" x14ac:dyDescent="0.2">
      <c r="A123" s="1"/>
      <c r="B123" s="1"/>
      <c r="C123" s="1"/>
      <c r="D123" s="1"/>
      <c r="E123" s="4"/>
      <c r="F123" s="4"/>
      <c r="G123" s="4"/>
      <c r="H123" s="4"/>
    </row>
    <row r="124" spans="1:8" ht="14.25" customHeight="1" x14ac:dyDescent="0.2">
      <c r="A124" s="72" t="s">
        <v>599</v>
      </c>
      <c r="B124" s="73">
        <f>1-B125</f>
        <v>0.5</v>
      </c>
      <c r="C124" s="104"/>
      <c r="D124" s="91" t="s">
        <v>313</v>
      </c>
      <c r="E124" s="91"/>
      <c r="F124" s="92"/>
      <c r="G124" s="209">
        <f>SUM(H9,H14,H45,H104,H111,H118)</f>
        <v>906809.99</v>
      </c>
      <c r="H124" s="210"/>
    </row>
    <row r="125" spans="1:8" ht="14.25" customHeight="1" x14ac:dyDescent="0.2">
      <c r="A125" s="215" t="s">
        <v>600</v>
      </c>
      <c r="B125" s="217">
        <v>0.5</v>
      </c>
      <c r="C125" s="90"/>
      <c r="D125" s="90" t="s">
        <v>314</v>
      </c>
      <c r="E125" s="90" t="str">
        <f>CONCATENATE("(",'Composição de BDI'!$D$28*100,"%)")</f>
        <v>(22,12%)</v>
      </c>
      <c r="F125" s="89"/>
      <c r="G125" s="213">
        <f>TRUNC(G124*'Composição de BDI'!D28,2)</f>
        <v>200586.36</v>
      </c>
      <c r="H125" s="214"/>
    </row>
    <row r="126" spans="1:8" ht="14.25" customHeight="1" x14ac:dyDescent="0.2">
      <c r="A126" s="216"/>
      <c r="B126" s="218"/>
      <c r="C126" s="88"/>
      <c r="D126" s="87" t="s">
        <v>315</v>
      </c>
      <c r="E126" s="87"/>
      <c r="F126" s="86"/>
      <c r="G126" s="207">
        <f>SUM(G124:H125)</f>
        <v>1107396.3500000001</v>
      </c>
      <c r="H126" s="208"/>
    </row>
  </sheetData>
  <mergeCells count="20">
    <mergeCell ref="G126:H126"/>
    <mergeCell ref="G124:H124"/>
    <mergeCell ref="A7:H7"/>
    <mergeCell ref="E6:F6"/>
    <mergeCell ref="G6:H6"/>
    <mergeCell ref="G125:H125"/>
    <mergeCell ref="A125:A126"/>
    <mergeCell ref="B125:B126"/>
    <mergeCell ref="A6:B6"/>
    <mergeCell ref="C6:D6"/>
    <mergeCell ref="A3:B3"/>
    <mergeCell ref="C3:D3"/>
    <mergeCell ref="A4:B4"/>
    <mergeCell ref="C4:D4"/>
    <mergeCell ref="E4:F4"/>
    <mergeCell ref="G4:H4"/>
    <mergeCell ref="G1:H1"/>
    <mergeCell ref="A2:B2"/>
    <mergeCell ref="E2:F2"/>
    <mergeCell ref="G2:H2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4" fitToHeight="0" orientation="portrait" r:id="rId1"/>
  <headerFooter>
    <oddHeader>&amp;L &amp;C &amp;R</oddHeader>
    <oddFooter>&amp;L &amp;C 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48"/>
  <sheetViews>
    <sheetView showGridLines="0" showOutlineSymbols="0" showWhiteSpace="0" zoomScaleNormal="100" workbookViewId="0">
      <pane xSplit="8" ySplit="8" topLeftCell="I9" activePane="bottomRight" state="frozen"/>
      <selection sqref="A1:A2"/>
      <selection pane="topRight" sqref="A1:A2"/>
      <selection pane="bottomLeft" sqref="A1:A2"/>
      <selection pane="bottomRight" activeCell="I9" sqref="I9"/>
    </sheetView>
  </sheetViews>
  <sheetFormatPr defaultRowHeight="11.25" x14ac:dyDescent="0.2"/>
  <cols>
    <col min="1" max="1" width="10" style="5" customWidth="1"/>
    <col min="2" max="2" width="10.375" style="5" bestFit="1" customWidth="1"/>
    <col min="3" max="3" width="9.875" style="5" customWidth="1"/>
    <col min="4" max="4" width="60" style="5" bestFit="1" customWidth="1"/>
    <col min="5" max="6" width="12" style="5" bestFit="1" customWidth="1"/>
    <col min="7" max="7" width="13" style="5" bestFit="1" customWidth="1"/>
    <col min="8" max="8" width="14" style="5" bestFit="1" customWidth="1"/>
    <col min="9" max="16384" width="9" style="5"/>
  </cols>
  <sheetData>
    <row r="1" spans="1:8" s="11" customFormat="1" ht="15" customHeight="1" x14ac:dyDescent="0.2">
      <c r="A1" s="156" t="str">
        <f>'Orçamento Sintético'!A1</f>
        <v>P. Execução:</v>
      </c>
      <c r="B1" s="157"/>
      <c r="C1" s="156" t="str">
        <f>'Orçamento Sintético'!C1</f>
        <v>Licitação:</v>
      </c>
      <c r="D1" s="159" t="str">
        <f>'Orçamento Sintético'!D1</f>
        <v>Objeto: Revitalização de fachada, impermeabilização e cobertura - PJGA</v>
      </c>
      <c r="E1" s="156" t="str">
        <f>'Orçamento Sintético'!E1</f>
        <v>Data:</v>
      </c>
      <c r="F1" s="171"/>
      <c r="G1" s="219"/>
      <c r="H1" s="199"/>
    </row>
    <row r="2" spans="1:8" s="11" customFormat="1" ht="15" customHeight="1" x14ac:dyDescent="0.2">
      <c r="A2" s="194" t="str">
        <f>'Orçamento Sintético'!A2:B2</f>
        <v>A</v>
      </c>
      <c r="B2" s="200"/>
      <c r="C2" s="161" t="str">
        <f>'Orçamento Sintético'!C2</f>
        <v>B</v>
      </c>
      <c r="D2" s="162" t="str">
        <f>'Orçamento Sintético'!D2</f>
        <v>Local: Quadra 1, - Setor Industrial (Gama), Lotes 860, 880 e 900</v>
      </c>
      <c r="E2" s="220">
        <f>'Orçamento Sintético'!E2:F2</f>
        <v>1</v>
      </c>
      <c r="F2" s="221"/>
      <c r="G2" s="196"/>
      <c r="H2" s="197"/>
    </row>
    <row r="3" spans="1:8" s="11" customFormat="1" ht="15" customHeight="1" x14ac:dyDescent="0.2">
      <c r="A3" s="169" t="str">
        <f>'Orçamento Sintético'!A3</f>
        <v>P. Validade:</v>
      </c>
      <c r="B3" s="157"/>
      <c r="C3" s="169" t="str">
        <f>'Orçamento Sintético'!C3</f>
        <v>Razão Social:</v>
      </c>
      <c r="D3" s="157"/>
      <c r="E3" s="156" t="str">
        <f>'Orçamento Sintético'!E3</f>
        <v>Telefone:</v>
      </c>
      <c r="F3" s="171"/>
      <c r="G3" s="164"/>
      <c r="H3" s="165"/>
    </row>
    <row r="4" spans="1:8" s="11" customFormat="1" ht="15" customHeight="1" x14ac:dyDescent="0.2">
      <c r="A4" s="194" t="str">
        <f>'Orçamento Sintético'!A4:B4</f>
        <v>C</v>
      </c>
      <c r="B4" s="200"/>
      <c r="C4" s="194" t="str">
        <f>'Orçamento Sintético'!C4:D4</f>
        <v>D</v>
      </c>
      <c r="D4" s="200"/>
      <c r="E4" s="194" t="str">
        <f>'Orçamento Sintético'!E4:F4</f>
        <v>E</v>
      </c>
      <c r="F4" s="200"/>
      <c r="G4" s="196"/>
      <c r="H4" s="197"/>
    </row>
    <row r="5" spans="1:8" s="11" customFormat="1" ht="15" customHeight="1" x14ac:dyDescent="0.2">
      <c r="A5" s="156" t="str">
        <f>'Orçamento Sintético'!A5</f>
        <v>P. Garantia:</v>
      </c>
      <c r="B5" s="157"/>
      <c r="C5" s="156" t="str">
        <f>'Orçamento Sintético'!C5</f>
        <v>CNPJ:</v>
      </c>
      <c r="D5" s="157"/>
      <c r="E5" s="156" t="str">
        <f>'Orçamento Sintético'!E5</f>
        <v>E-mail:</v>
      </c>
      <c r="F5" s="171"/>
      <c r="G5" s="164"/>
      <c r="H5" s="165"/>
    </row>
    <row r="6" spans="1:8" s="11" customFormat="1" ht="15" customHeight="1" x14ac:dyDescent="0.2">
      <c r="A6" s="194" t="str">
        <f>'Orçamento Sintético'!A6:B6</f>
        <v>F</v>
      </c>
      <c r="B6" s="200"/>
      <c r="C6" s="194" t="str">
        <f>'Orçamento Sintético'!C6:D6</f>
        <v>G</v>
      </c>
      <c r="D6" s="200"/>
      <c r="E6" s="194" t="str">
        <f>'Orçamento Sintético'!E6:F6</f>
        <v>H</v>
      </c>
      <c r="F6" s="200"/>
      <c r="G6" s="203"/>
      <c r="H6" s="204"/>
    </row>
    <row r="7" spans="1:8" ht="15" x14ac:dyDescent="0.25">
      <c r="A7" s="189" t="s">
        <v>410</v>
      </c>
      <c r="B7" s="190"/>
      <c r="C7" s="190"/>
      <c r="D7" s="190"/>
      <c r="E7" s="190"/>
      <c r="F7" s="190"/>
      <c r="G7" s="190"/>
      <c r="H7" s="190"/>
    </row>
    <row r="8" spans="1:8" ht="12.75" x14ac:dyDescent="0.2">
      <c r="A8" s="54" t="s">
        <v>1</v>
      </c>
      <c r="B8" s="54" t="s">
        <v>2</v>
      </c>
      <c r="C8" s="54" t="s">
        <v>3</v>
      </c>
      <c r="D8" s="54" t="s">
        <v>4</v>
      </c>
      <c r="E8" s="54" t="s">
        <v>5</v>
      </c>
      <c r="F8" s="55" t="s">
        <v>6</v>
      </c>
      <c r="G8" s="54" t="s">
        <v>7</v>
      </c>
      <c r="H8" s="54" t="s">
        <v>8</v>
      </c>
    </row>
    <row r="9" spans="1:8" x14ac:dyDescent="0.2">
      <c r="A9" s="12" t="s">
        <v>10</v>
      </c>
      <c r="B9" s="12"/>
      <c r="C9" s="12"/>
      <c r="D9" s="12" t="str">
        <f>VLOOKUP(A9,'Orçamento Sintético'!$A:$H,4,0)</f>
        <v>SERVIÇOS TÉCNICO - PROFISSIONAIS</v>
      </c>
      <c r="E9" s="46"/>
      <c r="F9" s="13"/>
      <c r="G9" s="12"/>
      <c r="H9" s="7"/>
    </row>
    <row r="10" spans="1:8" x14ac:dyDescent="0.2">
      <c r="A10" s="14" t="s">
        <v>12</v>
      </c>
      <c r="B10" s="14"/>
      <c r="C10" s="14"/>
      <c r="D10" s="81" t="str">
        <f>VLOOKUP(A10,'Orçamento Sintético'!$A:$H,4,0)</f>
        <v>ESTUDOS E PROJETOS</v>
      </c>
      <c r="E10" s="47"/>
      <c r="F10" s="15"/>
      <c r="G10" s="14"/>
      <c r="H10" s="16"/>
    </row>
    <row r="11" spans="1:8" ht="25.5" customHeight="1" x14ac:dyDescent="0.2">
      <c r="A11" s="56" t="s">
        <v>14</v>
      </c>
      <c r="B11" s="57" t="str">
        <f>VLOOKUP(A11,'Orçamento Sintético'!$A:$H,2,0)</f>
        <v xml:space="preserve"> MPDFT0487 </v>
      </c>
      <c r="C11" s="57" t="str">
        <f>VLOOKUP(A11,'Orçamento Sintético'!$A:$H,3,0)</f>
        <v>Próprio</v>
      </c>
      <c r="D11" s="58" t="str">
        <f>VLOOKUP(A11,'Orçamento Sintético'!$A:$H,4,0)</f>
        <v>Teste de arrancamento de argamassa (com 12 amostras) - determinação de resistência de aderência à tração</v>
      </c>
      <c r="E11" s="57" t="str">
        <f>VLOOKUP(A11,'Orçamento Sintético'!$A:$H,5,0)</f>
        <v>un</v>
      </c>
      <c r="F11" s="59"/>
      <c r="G11" s="60"/>
      <c r="H11" s="60">
        <f>H12</f>
        <v>555.89</v>
      </c>
    </row>
    <row r="12" spans="1:8" ht="12" thickBot="1" x14ac:dyDescent="0.25">
      <c r="A12" s="61" t="str">
        <f>VLOOKUP(B12,'Insumos e Serviços'!$A:$F,3,0)</f>
        <v>Insumo</v>
      </c>
      <c r="B12" s="61" t="s">
        <v>413</v>
      </c>
      <c r="C12" s="52" t="str">
        <f>VLOOKUP(B12,'Insumos e Serviços'!$A:$F,2,0)</f>
        <v>Próprio</v>
      </c>
      <c r="D12" s="62" t="str">
        <f>VLOOKUP(B12,'Insumos e Serviços'!$A:$F,4,0)</f>
        <v>Teste de arrancamento de argamassa - determinação de resistência de aderência à tração</v>
      </c>
      <c r="E12" s="61" t="str">
        <f>VLOOKUP(B12,'Insumos e Serviços'!$A:$F,5,0)</f>
        <v>un</v>
      </c>
      <c r="F12" s="63">
        <v>1</v>
      </c>
      <c r="G12" s="64">
        <f>VLOOKUP(B12,'Insumos e Serviços'!$A:$F,6,0)</f>
        <v>555.89</v>
      </c>
      <c r="H12" s="64">
        <f>TRUNC(F12*G12,2)</f>
        <v>555.89</v>
      </c>
    </row>
    <row r="13" spans="1:8" ht="12" thickTop="1" x14ac:dyDescent="0.2">
      <c r="A13" s="20"/>
      <c r="B13" s="20"/>
      <c r="C13" s="20"/>
      <c r="D13" s="20"/>
      <c r="E13" s="20"/>
      <c r="F13" s="21"/>
      <c r="G13" s="21"/>
      <c r="H13" s="21"/>
    </row>
    <row r="14" spans="1:8" x14ac:dyDescent="0.2">
      <c r="A14" s="14" t="s">
        <v>19</v>
      </c>
      <c r="B14" s="14"/>
      <c r="C14" s="14"/>
      <c r="D14" s="81" t="str">
        <f>VLOOKUP(A14,'Orçamento Sintético'!$A:$H,4,0)</f>
        <v>TAXAS E EMOLUMENTOS</v>
      </c>
      <c r="E14" s="47"/>
      <c r="F14" s="22"/>
      <c r="G14" s="23"/>
      <c r="H14" s="16"/>
    </row>
    <row r="15" spans="1:8" x14ac:dyDescent="0.2">
      <c r="A15" s="56" t="s">
        <v>21</v>
      </c>
      <c r="B15" s="57" t="str">
        <f>VLOOKUP(A15,'Orçamento Sintético'!$A:$H,2,0)</f>
        <v xml:space="preserve"> MPDFT0009 </v>
      </c>
      <c r="C15" s="57" t="str">
        <f>VLOOKUP(A15,'Orçamento Sintético'!$A:$H,3,0)</f>
        <v>Próprio</v>
      </c>
      <c r="D15" s="58" t="str">
        <f>VLOOKUP(A15,'Orçamento Sintético'!$A:$H,4,0)</f>
        <v>Registro do contrato junto ao conselho de classe (ART)</v>
      </c>
      <c r="E15" s="57" t="str">
        <f>VLOOKUP(A15,'Orçamento Sintético'!$A:$H,5,0)</f>
        <v>vb</v>
      </c>
      <c r="F15" s="59"/>
      <c r="G15" s="60"/>
      <c r="H15" s="60">
        <f>H16</f>
        <v>233.94</v>
      </c>
    </row>
    <row r="16" spans="1:8" ht="12" thickBot="1" x14ac:dyDescent="0.25">
      <c r="A16" s="61" t="str">
        <f>VLOOKUP(B16,'Insumos e Serviços'!$A:$F,3,0)</f>
        <v>Insumo</v>
      </c>
      <c r="B16" s="61" t="s">
        <v>415</v>
      </c>
      <c r="C16" s="52" t="str">
        <f>VLOOKUP(B16,'Insumos e Serviços'!$A:$F,2,0)</f>
        <v>Próprio</v>
      </c>
      <c r="D16" s="62" t="str">
        <f>VLOOKUP(B16,'Insumos e Serviços'!$A:$F,4,0)</f>
        <v>Anotação de Resposanbilidade Técnica (Faixa 3 - Tabela A - CONFEA)</v>
      </c>
      <c r="E16" s="61" t="str">
        <f>VLOOKUP(B16,'Insumos e Serviços'!$A:$F,5,0)</f>
        <v>un</v>
      </c>
      <c r="F16" s="63">
        <v>1</v>
      </c>
      <c r="G16" s="64" t="str">
        <f>VLOOKUP(B16,'Insumos e Serviços'!$A:$F,6,0)</f>
        <v xml:space="preserve"> 233,94</v>
      </c>
      <c r="H16" s="64">
        <f t="shared" ref="H16" si="0">TRUNC(F16*G16,2)</f>
        <v>233.94</v>
      </c>
    </row>
    <row r="17" spans="1:8" ht="12" thickTop="1" x14ac:dyDescent="0.2">
      <c r="A17" s="20"/>
      <c r="B17" s="20"/>
      <c r="C17" s="20"/>
      <c r="D17" s="20"/>
      <c r="E17" s="20"/>
      <c r="F17" s="21"/>
      <c r="G17" s="21"/>
      <c r="H17" s="21"/>
    </row>
    <row r="18" spans="1:8" x14ac:dyDescent="0.2">
      <c r="A18" s="12" t="s">
        <v>25</v>
      </c>
      <c r="B18" s="12"/>
      <c r="C18" s="12"/>
      <c r="D18" s="80" t="str">
        <f>VLOOKUP(A18,'Orçamento Sintético'!$A:$H,4,0)</f>
        <v>SERVIÇOS PRELIMINARES</v>
      </c>
      <c r="E18" s="46"/>
      <c r="F18" s="24"/>
      <c r="G18" s="12"/>
      <c r="H18" s="7"/>
    </row>
    <row r="19" spans="1:8" x14ac:dyDescent="0.2">
      <c r="A19" s="14" t="s">
        <v>27</v>
      </c>
      <c r="B19" s="14"/>
      <c r="C19" s="14"/>
      <c r="D19" s="81" t="str">
        <f>VLOOKUP(A19,'Orçamento Sintético'!$A:$H,4,0)</f>
        <v>CANTEIRO DE OBRAS</v>
      </c>
      <c r="E19" s="47"/>
      <c r="F19" s="22"/>
      <c r="G19" s="23"/>
      <c r="H19" s="16"/>
    </row>
    <row r="20" spans="1:8" x14ac:dyDescent="0.2">
      <c r="A20" s="56" t="s">
        <v>29</v>
      </c>
      <c r="B20" s="25"/>
      <c r="C20" s="25"/>
      <c r="D20" s="25" t="str">
        <f>VLOOKUP(A20,'Orçamento Sintético'!$A:$H,4,0)</f>
        <v>Construções Provisórias</v>
      </c>
      <c r="E20" s="48"/>
      <c r="F20" s="26"/>
      <c r="G20" s="27"/>
      <c r="H20" s="28"/>
    </row>
    <row r="21" spans="1:8" x14ac:dyDescent="0.2">
      <c r="A21" s="56" t="s">
        <v>34</v>
      </c>
      <c r="B21" s="57" t="str">
        <f>VLOOKUP(A21,'Orçamento Sintético'!$A:$H,2,0)</f>
        <v xml:space="preserve"> MPDFT0488 </v>
      </c>
      <c r="C21" s="57" t="str">
        <f>VLOOKUP(A21,'Orçamento Sintético'!$A:$H,3,0)</f>
        <v>Próprio</v>
      </c>
      <c r="D21" s="58" t="str">
        <f>VLOOKUP(A21,'Orçamento Sintético'!$A:$H,4,0)</f>
        <v>Transporte, carga e descarga de container</v>
      </c>
      <c r="E21" s="57" t="str">
        <f>VLOOKUP(A21,'Orçamento Sintético'!$A:$H,5,0)</f>
        <v>sv</v>
      </c>
      <c r="F21" s="59"/>
      <c r="G21" s="60"/>
      <c r="H21" s="60">
        <f>SUM(H22:H24)</f>
        <v>480.58</v>
      </c>
    </row>
    <row r="22" spans="1:8" ht="33.75" x14ac:dyDescent="0.2">
      <c r="A22" s="61" t="str">
        <f>VLOOKUP(B22,'Insumos e Serviços'!$A:$F,3,0)</f>
        <v>Composição</v>
      </c>
      <c r="B22" s="61" t="s">
        <v>417</v>
      </c>
      <c r="C22" s="52" t="str">
        <f>VLOOKUP(B22,'Insumos e Serviços'!$A:$F,2,0)</f>
        <v>SINAPI</v>
      </c>
      <c r="D22" s="62" t="str">
        <f>VLOOKUP(B22,'Insumos e Serviços'!$A:$F,4,0)</f>
        <v>GUINDAUTO HIDRÁULICO, CAPACIDADE MÁXIMA DE CARGA 6200 KG, MOMENTO MÁXIMO DE CARGA 11,7 TM, ALCANCE MÁXIMO HORIZONTAL 9,70 M, INCLUSIVE CAMINHÃO TOCO PBT 16.000 KG, POTÊNCIA DE 189 CV - CHP DIURNO. AF_06/2014</v>
      </c>
      <c r="E22" s="61" t="str">
        <f>VLOOKUP(B22,'Insumos e Serviços'!$A:$F,5,0)</f>
        <v>CHP</v>
      </c>
      <c r="F22" s="63">
        <v>1</v>
      </c>
      <c r="G22" s="64">
        <f>VLOOKUP(B22,'Insumos e Serviços'!$A:$F,6,0)</f>
        <v>152.02000000000001</v>
      </c>
      <c r="H22" s="64">
        <f t="shared" ref="H22:H24" si="1">TRUNC(F22*G22,2)</f>
        <v>152.02000000000001</v>
      </c>
    </row>
    <row r="23" spans="1:8" ht="33.75" x14ac:dyDescent="0.2">
      <c r="A23" s="61" t="str">
        <f>VLOOKUP(B23,'Insumos e Serviços'!$A:$F,3,0)</f>
        <v>Composição</v>
      </c>
      <c r="B23" s="61">
        <v>5930</v>
      </c>
      <c r="C23" s="52" t="str">
        <f>VLOOKUP(B23,'Insumos e Serviços'!$A:$F,2,0)</f>
        <v>SINAPI</v>
      </c>
      <c r="D23" s="62" t="str">
        <f>VLOOKUP(B23,'Insumos e Serviços'!$A:$F,4,0)</f>
        <v>GUINDAUTO HIDRÁULICO, CAPACIDADE MÁXIMA DE CARGA 6200 KG, MOMENTO MÁXIMO DE CARGA 11,7 TM, ALCANCE MÁXIMO HORIZONTAL 9,70 M, INCLUSIVE CAMINHÃO TOCO PBT 16.000 KG, POTÊNCIA DE 189 CV - CHI DIURNO. AF_06/2014</v>
      </c>
      <c r="E23" s="61" t="str">
        <f>VLOOKUP(B23,'Insumos e Serviços'!$A:$F,5,0)</f>
        <v>CHI</v>
      </c>
      <c r="F23" s="63">
        <v>7</v>
      </c>
      <c r="G23" s="64">
        <f>VLOOKUP(B23,'Insumos e Serviços'!$A:$F,6,0)</f>
        <v>32.22</v>
      </c>
      <c r="H23" s="64">
        <f t="shared" si="1"/>
        <v>225.54</v>
      </c>
    </row>
    <row r="24" spans="1:8" ht="12" thickBot="1" x14ac:dyDescent="0.25">
      <c r="A24" s="61" t="str">
        <f>VLOOKUP(B24,'Insumos e Serviços'!$A:$F,3,0)</f>
        <v>Composição</v>
      </c>
      <c r="B24" s="61">
        <v>88316</v>
      </c>
      <c r="C24" s="52" t="str">
        <f>VLOOKUP(B24,'Insumos e Serviços'!$A:$F,2,0)</f>
        <v>SINAPI</v>
      </c>
      <c r="D24" s="62" t="str">
        <f>VLOOKUP(B24,'Insumos e Serviços'!$A:$F,4,0)</f>
        <v>SERVENTE COM ENCARGOS COMPLEMENTARES</v>
      </c>
      <c r="E24" s="61" t="str">
        <f>VLOOKUP(B24,'Insumos e Serviços'!$A:$F,5,0)</f>
        <v>H</v>
      </c>
      <c r="F24" s="63">
        <v>6</v>
      </c>
      <c r="G24" s="64">
        <f>VLOOKUP(B24,'Insumos e Serviços'!$A:$F,6,0)</f>
        <v>17.170000000000002</v>
      </c>
      <c r="H24" s="64">
        <f t="shared" si="1"/>
        <v>103.02</v>
      </c>
    </row>
    <row r="25" spans="1:8" ht="12" thickTop="1" x14ac:dyDescent="0.2">
      <c r="A25" s="20"/>
      <c r="B25" s="20"/>
      <c r="C25" s="20"/>
      <c r="D25" s="20"/>
      <c r="E25" s="20"/>
      <c r="F25" s="21"/>
      <c r="G25" s="21"/>
      <c r="H25" s="21"/>
    </row>
    <row r="26" spans="1:8" x14ac:dyDescent="0.2">
      <c r="A26" s="56" t="s">
        <v>38</v>
      </c>
      <c r="B26" s="25"/>
      <c r="C26" s="25"/>
      <c r="D26" s="58" t="str">
        <f>VLOOKUP(A26,'Orçamento Sintético'!$A:$H,4,0)</f>
        <v>Proteção e Sinalização</v>
      </c>
      <c r="E26" s="48"/>
      <c r="F26" s="26"/>
      <c r="G26" s="27"/>
      <c r="H26" s="28"/>
    </row>
    <row r="27" spans="1:8" ht="22.5" x14ac:dyDescent="0.2">
      <c r="A27" s="56" t="s">
        <v>52</v>
      </c>
      <c r="B27" s="57" t="str">
        <f>VLOOKUP(A27,'Orçamento Sintético'!$A:$H,2,0)</f>
        <v xml:space="preserve"> MPDFT0489 </v>
      </c>
      <c r="C27" s="57" t="str">
        <f>VLOOKUP(A27,'Orçamento Sintético'!$A:$H,3,0)</f>
        <v>Próprio</v>
      </c>
      <c r="D27" s="58" t="str">
        <f>VLOOKUP(A27,'Orçamento Sintético'!$A:$H,4,0)</f>
        <v>Copia da SINAPI (97062) - Telas de proteção (galvanizada + polietileno) em andaime fachadeiro</v>
      </c>
      <c r="E27" s="57" t="str">
        <f>VLOOKUP(A27,'Orçamento Sintético'!$A:$H,5,0)</f>
        <v>m²</v>
      </c>
      <c r="F27" s="59"/>
      <c r="G27" s="60"/>
      <c r="H27" s="60">
        <f>SUM(H28:H29)</f>
        <v>18.8</v>
      </c>
    </row>
    <row r="28" spans="1:8" x14ac:dyDescent="0.2">
      <c r="A28" s="61" t="str">
        <f>VLOOKUP(B28,'Insumos e Serviços'!$A:$F,3,0)</f>
        <v>Composição</v>
      </c>
      <c r="B28" s="61" t="s">
        <v>424</v>
      </c>
      <c r="C28" s="52" t="str">
        <f>VLOOKUP(B28,'Insumos e Serviços'!$A:$F,2,0)</f>
        <v>SINAPI</v>
      </c>
      <c r="D28" s="62" t="str">
        <f>VLOOKUP(B28,'Insumos e Serviços'!$A:$F,4,0)</f>
        <v>COLOCAÇÃO DE TELA EM ANDAIME FACHADEIRO. AF_11/2017</v>
      </c>
      <c r="E28" s="61" t="str">
        <f>VLOOKUP(B28,'Insumos e Serviços'!$A:$F,5,0)</f>
        <v>m²</v>
      </c>
      <c r="F28" s="63">
        <v>1</v>
      </c>
      <c r="G28" s="64">
        <f>VLOOKUP(B28,'Insumos e Serviços'!$A:$F,6,0)</f>
        <v>5.63</v>
      </c>
      <c r="H28" s="64">
        <f t="shared" ref="H28:H29" si="2">TRUNC(F28*G28,2)</f>
        <v>5.63</v>
      </c>
    </row>
    <row r="29" spans="1:8" ht="12" thickBot="1" x14ac:dyDescent="0.25">
      <c r="A29" s="61" t="str">
        <f>VLOOKUP(B29,'Insumos e Serviços'!$A:$F,3,0)</f>
        <v>Insumo</v>
      </c>
      <c r="B29" s="61" t="s">
        <v>426</v>
      </c>
      <c r="C29" s="52" t="str">
        <f>VLOOKUP(B29,'Insumos e Serviços'!$A:$F,2,0)</f>
        <v>SINAPI</v>
      </c>
      <c r="D29" s="62" t="str">
        <f>VLOOKUP(B29,'Insumos e Serviços'!$A:$F,4,0)</f>
        <v>TELA DE ARAME GALVANIZADA, HEXAGONAL, FIO 0,56 MM (24 BWG), MALHA 1/2", H = 1 M</v>
      </c>
      <c r="E29" s="61" t="str">
        <f>VLOOKUP(B29,'Insumos e Serviços'!$A:$F,5,0)</f>
        <v>m²</v>
      </c>
      <c r="F29" s="63">
        <v>1.177</v>
      </c>
      <c r="G29" s="64">
        <f>VLOOKUP(B29,'Insumos e Serviços'!$A:$F,6,0)</f>
        <v>11.19</v>
      </c>
      <c r="H29" s="64">
        <f t="shared" si="2"/>
        <v>13.17</v>
      </c>
    </row>
    <row r="30" spans="1:8" ht="12" thickTop="1" x14ac:dyDescent="0.2">
      <c r="A30" s="20"/>
      <c r="B30" s="20"/>
      <c r="C30" s="20"/>
      <c r="D30" s="20"/>
      <c r="E30" s="20"/>
      <c r="F30" s="21"/>
      <c r="G30" s="21"/>
      <c r="H30" s="21"/>
    </row>
    <row r="31" spans="1:8" x14ac:dyDescent="0.2">
      <c r="A31" s="56" t="s">
        <v>55</v>
      </c>
      <c r="B31" s="57" t="str">
        <f>VLOOKUP(A31,'Orçamento Sintético'!$A:$H,2,0)</f>
        <v xml:space="preserve"> MPDFT0491 </v>
      </c>
      <c r="C31" s="57" t="str">
        <f>VLOOKUP(A31,'Orçamento Sintético'!$A:$H,3,0)</f>
        <v>Próprio</v>
      </c>
      <c r="D31" s="58" t="str">
        <f>VLOOKUP(A31,'Orçamento Sintético'!$A:$H,4,0)</f>
        <v>Passarela coberta para abrigo de pedestres. DM 1,60 x 2,20 x 2,00 m (L x A x P)</v>
      </c>
      <c r="E31" s="57" t="str">
        <f>VLOOKUP(A31,'Orçamento Sintético'!$A:$H,5,0)</f>
        <v>un</v>
      </c>
      <c r="F31" s="59"/>
      <c r="G31" s="60"/>
      <c r="H31" s="60">
        <f>H32</f>
        <v>1169.76</v>
      </c>
    </row>
    <row r="32" spans="1:8" ht="12" thickBot="1" x14ac:dyDescent="0.25">
      <c r="A32" s="61" t="str">
        <f>VLOOKUP(B32,'Insumos e Serviços'!$A:$F,3,0)</f>
        <v>Composição</v>
      </c>
      <c r="B32" s="61" t="s">
        <v>428</v>
      </c>
      <c r="C32" s="52" t="str">
        <f>VLOOKUP(B32,'Insumos e Serviços'!$A:$F,2,0)</f>
        <v>SINAPI</v>
      </c>
      <c r="D32" s="62" t="str">
        <f>VLOOKUP(B32,'Insumos e Serviços'!$A:$F,4,0)</f>
        <v>TAPUME COM COMPENSADO DE MADEIRA. AF_05/2018</v>
      </c>
      <c r="E32" s="61" t="str">
        <f>VLOOKUP(B32,'Insumos e Serviços'!$A:$F,5,0)</f>
        <v>m²</v>
      </c>
      <c r="F32" s="63">
        <v>12</v>
      </c>
      <c r="G32" s="64">
        <f>VLOOKUP(B32,'Insumos e Serviços'!$A:$F,6,0)</f>
        <v>97.48</v>
      </c>
      <c r="H32" s="64">
        <f t="shared" ref="H32" si="3">TRUNC(F32*G32,2)</f>
        <v>1169.76</v>
      </c>
    </row>
    <row r="33" spans="1:8" ht="12" thickTop="1" x14ac:dyDescent="0.2">
      <c r="A33" s="20"/>
      <c r="B33" s="20"/>
      <c r="C33" s="20"/>
      <c r="D33" s="20"/>
      <c r="E33" s="20"/>
      <c r="F33" s="21"/>
      <c r="G33" s="21"/>
      <c r="H33" s="21"/>
    </row>
    <row r="34" spans="1:8" ht="22.5" x14ac:dyDescent="0.2">
      <c r="A34" s="56" t="s">
        <v>58</v>
      </c>
      <c r="B34" s="57" t="str">
        <f>VLOOKUP(A34,'Orçamento Sintético'!$A:$H,2,0)</f>
        <v xml:space="preserve"> MPDFT0492 </v>
      </c>
      <c r="C34" s="57" t="str">
        <f>VLOOKUP(A34,'Orçamento Sintético'!$A:$H,3,0)</f>
        <v>Próprio</v>
      </c>
      <c r="D34" s="58" t="str">
        <f>VLOOKUP(A34,'Orçamento Sintético'!$A:$H,4,0)</f>
        <v>Tapume de proteção / isolamento de esquadrias de vidro em chapa de madeira compensada, e=6mm e reaproveitamento de 2X</v>
      </c>
      <c r="E34" s="57" t="str">
        <f>VLOOKUP(A34,'Orçamento Sintético'!$A:$H,5,0)</f>
        <v>m²</v>
      </c>
      <c r="F34" s="59"/>
      <c r="G34" s="60"/>
      <c r="H34" s="60">
        <f>SUM(H35:H39)</f>
        <v>37.36</v>
      </c>
    </row>
    <row r="35" spans="1:8" x14ac:dyDescent="0.2">
      <c r="A35" s="61" t="str">
        <f>VLOOKUP(B35,'Insumos e Serviços'!$A:$F,3,0)</f>
        <v>Composição</v>
      </c>
      <c r="B35" s="61" t="s">
        <v>430</v>
      </c>
      <c r="C35" s="52" t="str">
        <f>VLOOKUP(B35,'Insumos e Serviços'!$A:$F,2,0)</f>
        <v>SINAPI</v>
      </c>
      <c r="D35" s="62" t="str">
        <f>VLOOKUP(B35,'Insumos e Serviços'!$A:$F,4,0)</f>
        <v>CARPINTEIRO DE FORMAS COM ENCARGOS COMPLEMENTARES</v>
      </c>
      <c r="E35" s="61" t="str">
        <f>VLOOKUP(B35,'Insumos e Serviços'!$A:$F,5,0)</f>
        <v>H</v>
      </c>
      <c r="F35" s="63">
        <v>0.6</v>
      </c>
      <c r="G35" s="64">
        <f>VLOOKUP(B35,'Insumos e Serviços'!$A:$F,6,0)</f>
        <v>23.03</v>
      </c>
      <c r="H35" s="64">
        <f t="shared" ref="H35:H39" si="4">TRUNC(F35*G35,2)</f>
        <v>13.81</v>
      </c>
    </row>
    <row r="36" spans="1:8" x14ac:dyDescent="0.2">
      <c r="A36" s="61" t="str">
        <f>VLOOKUP(B36,'Insumos e Serviços'!$A:$F,3,0)</f>
        <v>Composição</v>
      </c>
      <c r="B36" s="61">
        <v>88316</v>
      </c>
      <c r="C36" s="52" t="str">
        <f>VLOOKUP(B36,'Insumos e Serviços'!$A:$F,2,0)</f>
        <v>SINAPI</v>
      </c>
      <c r="D36" s="62" t="str">
        <f>VLOOKUP(B36,'Insumos e Serviços'!$A:$F,4,0)</f>
        <v>SERVENTE COM ENCARGOS COMPLEMENTARES</v>
      </c>
      <c r="E36" s="61" t="str">
        <f>VLOOKUP(B36,'Insumos e Serviços'!$A:$F,5,0)</f>
        <v>H</v>
      </c>
      <c r="F36" s="63">
        <v>0.71250000000000002</v>
      </c>
      <c r="G36" s="64">
        <f>VLOOKUP(B36,'Insumos e Serviços'!$A:$F,6,0)</f>
        <v>17.170000000000002</v>
      </c>
      <c r="H36" s="64">
        <f t="shared" si="4"/>
        <v>12.23</v>
      </c>
    </row>
    <row r="37" spans="1:8" ht="22.5" x14ac:dyDescent="0.2">
      <c r="A37" s="61" t="str">
        <f>VLOOKUP(B37,'Insumos e Serviços'!$A:$F,3,0)</f>
        <v>Composição</v>
      </c>
      <c r="B37" s="61" t="s">
        <v>432</v>
      </c>
      <c r="C37" s="52" t="str">
        <f>VLOOKUP(B37,'Insumos e Serviços'!$A:$F,2,0)</f>
        <v>SINAPI</v>
      </c>
      <c r="D37" s="62" t="str">
        <f>VLOOKUP(B37,'Insumos e Serviços'!$A:$F,4,0)</f>
        <v>CHAPA DE MADEIRA COMPENSADA RESINADA PARA FORMA DE CONCRETO, DE *2,2 X 1,1* M, E = 6 MM</v>
      </c>
      <c r="E37" s="61" t="str">
        <f>VLOOKUP(B37,'Insumos e Serviços'!$A:$F,5,0)</f>
        <v>UN</v>
      </c>
      <c r="F37" s="63">
        <v>0.2273</v>
      </c>
      <c r="G37" s="64">
        <f>VLOOKUP(B37,'Insumos e Serviços'!$A:$F,6,0)</f>
        <v>30.6</v>
      </c>
      <c r="H37" s="64">
        <f t="shared" si="4"/>
        <v>6.95</v>
      </c>
    </row>
    <row r="38" spans="1:8" ht="22.5" x14ac:dyDescent="0.2">
      <c r="A38" s="61" t="str">
        <f>VLOOKUP(B38,'Insumos e Serviços'!$A:$F,3,0)</f>
        <v>Composição</v>
      </c>
      <c r="B38" s="61" t="s">
        <v>435</v>
      </c>
      <c r="C38" s="52" t="str">
        <f>VLOOKUP(B38,'Insumos e Serviços'!$A:$F,2,0)</f>
        <v>SINAPI</v>
      </c>
      <c r="D38" s="62" t="str">
        <f>VLOOKUP(B38,'Insumos e Serviços'!$A:$F,4,0)</f>
        <v>PONTALETE DE MADEIRA NAO APARELHADA *7,5 X 7,5* CM (3 X 3 ") PINUS, MISTA OU EQUIVALENTE DA REGIAO</v>
      </c>
      <c r="E38" s="61" t="str">
        <f>VLOOKUP(B38,'Insumos e Serviços'!$A:$F,5,0)</f>
        <v>M</v>
      </c>
      <c r="F38" s="63">
        <v>0.39500000000000002</v>
      </c>
      <c r="G38" s="64">
        <f>VLOOKUP(B38,'Insumos e Serviços'!$A:$F,6,0)</f>
        <v>5.42</v>
      </c>
      <c r="H38" s="64">
        <f t="shared" si="4"/>
        <v>2.14</v>
      </c>
    </row>
    <row r="39" spans="1:8" ht="12" thickBot="1" x14ac:dyDescent="0.25">
      <c r="A39" s="61" t="str">
        <f>VLOOKUP(B39,'Insumos e Serviços'!$A:$F,3,0)</f>
        <v>Composição</v>
      </c>
      <c r="B39" s="61" t="s">
        <v>438</v>
      </c>
      <c r="C39" s="52" t="str">
        <f>VLOOKUP(B39,'Insumos e Serviços'!$A:$F,2,0)</f>
        <v>SINAPI</v>
      </c>
      <c r="D39" s="62" t="str">
        <f>VLOOKUP(B39,'Insumos e Serviços'!$A:$F,4,0)</f>
        <v>PREGO DE ACO POLIDO COM CABECA 18 X 27 (2 1/2 X 10)</v>
      </c>
      <c r="E39" s="61" t="str">
        <f>VLOOKUP(B39,'Insumos e Serviços'!$A:$F,5,0)</f>
        <v>KG</v>
      </c>
      <c r="F39" s="63">
        <v>0.15</v>
      </c>
      <c r="G39" s="64">
        <f>VLOOKUP(B39,'Insumos e Serviços'!$A:$F,6,0)</f>
        <v>14.9</v>
      </c>
      <c r="H39" s="64">
        <f t="shared" si="4"/>
        <v>2.23</v>
      </c>
    </row>
    <row r="40" spans="1:8" ht="12" thickTop="1" x14ac:dyDescent="0.2">
      <c r="A40" s="20"/>
      <c r="B40" s="20"/>
      <c r="C40" s="20"/>
      <c r="D40" s="20"/>
      <c r="E40" s="20"/>
      <c r="F40" s="21"/>
      <c r="G40" s="21"/>
      <c r="H40" s="21"/>
    </row>
    <row r="41" spans="1:8" x14ac:dyDescent="0.2">
      <c r="A41" s="56" t="s">
        <v>61</v>
      </c>
      <c r="B41" s="57" t="str">
        <f>VLOOKUP(A41,'Orçamento Sintético'!$A:$H,2,0)</f>
        <v xml:space="preserve"> MPDFT0493 </v>
      </c>
      <c r="C41" s="57" t="str">
        <f>VLOOKUP(A41,'Orçamento Sintético'!$A:$H,3,0)</f>
        <v>Próprio</v>
      </c>
      <c r="D41" s="58" t="str">
        <f>VLOOKUP(A41,'Orçamento Sintético'!$A:$H,4,0)</f>
        <v>Movimentação de tapume de proteção / isolamento de esquadrias de vidro</v>
      </c>
      <c r="E41" s="57" t="str">
        <f>VLOOKUP(A41,'Orçamento Sintético'!$A:$H,5,0)</f>
        <v>m²</v>
      </c>
      <c r="F41" s="59"/>
      <c r="G41" s="60"/>
      <c r="H41" s="60">
        <f>H42</f>
        <v>6.72</v>
      </c>
    </row>
    <row r="42" spans="1:8" ht="12" thickBot="1" x14ac:dyDescent="0.25">
      <c r="A42" s="61" t="str">
        <f>VLOOKUP(B42,'Insumos e Serviços'!$A:$F,3,0)</f>
        <v>Composição</v>
      </c>
      <c r="B42" s="61">
        <v>88316</v>
      </c>
      <c r="C42" s="52" t="str">
        <f>VLOOKUP(B42,'Insumos e Serviços'!$A:$F,2,0)</f>
        <v>SINAPI</v>
      </c>
      <c r="D42" s="62" t="str">
        <f>VLOOKUP(B42,'Insumos e Serviços'!$A:$F,4,0)</f>
        <v>SERVENTE COM ENCARGOS COMPLEMENTARES</v>
      </c>
      <c r="E42" s="61" t="str">
        <f>VLOOKUP(B42,'Insumos e Serviços'!$A:$F,5,0)</f>
        <v>H</v>
      </c>
      <c r="F42" s="63">
        <v>0.39140000000000003</v>
      </c>
      <c r="G42" s="64">
        <f>VLOOKUP(B42,'Insumos e Serviços'!$A:$F,6,0)</f>
        <v>17.170000000000002</v>
      </c>
      <c r="H42" s="64">
        <f t="shared" ref="H42" si="5">TRUNC(F42*G42,2)</f>
        <v>6.72</v>
      </c>
    </row>
    <row r="43" spans="1:8" ht="12" thickTop="1" x14ac:dyDescent="0.2">
      <c r="A43" s="20"/>
      <c r="B43" s="20"/>
      <c r="C43" s="20"/>
      <c r="D43" s="20"/>
      <c r="E43" s="20"/>
      <c r="F43" s="21"/>
      <c r="G43" s="21"/>
      <c r="H43" s="21"/>
    </row>
    <row r="44" spans="1:8" x14ac:dyDescent="0.2">
      <c r="A44" s="14" t="s">
        <v>64</v>
      </c>
      <c r="B44" s="14"/>
      <c r="C44" s="14"/>
      <c r="D44" s="81" t="str">
        <f>VLOOKUP(A44,'Orçamento Sintético'!$A:$H,4,0)</f>
        <v>DEMOLIÇÃO</v>
      </c>
      <c r="E44" s="47"/>
      <c r="F44" s="29"/>
      <c r="G44" s="30"/>
      <c r="H44" s="31"/>
    </row>
    <row r="45" spans="1:8" x14ac:dyDescent="0.2">
      <c r="A45" s="56" t="s">
        <v>66</v>
      </c>
      <c r="B45" s="25"/>
      <c r="C45" s="25"/>
      <c r="D45" s="84" t="str">
        <f>VLOOKUP(A45,'Orçamento Sintético'!$A:$H,4,0)</f>
        <v>Demolição Convencional</v>
      </c>
      <c r="E45" s="49"/>
      <c r="F45" s="26"/>
      <c r="G45" s="27"/>
      <c r="H45" s="28"/>
    </row>
    <row r="46" spans="1:8" ht="22.5" x14ac:dyDescent="0.2">
      <c r="A46" s="56" t="s">
        <v>68</v>
      </c>
      <c r="B46" s="57" t="str">
        <f>VLOOKUP(A46,'Orçamento Sintético'!$A:$H,2,0)</f>
        <v xml:space="preserve"> MPDFT0494 </v>
      </c>
      <c r="C46" s="57" t="str">
        <f>VLOOKUP(A46,'Orçamento Sintético'!$A:$H,3,0)</f>
        <v>Próprio</v>
      </c>
      <c r="D46" s="58" t="str">
        <f>VLOOKUP(A46,'Orçamento Sintético'!$A:$H,4,0)</f>
        <v>Demolição de camada de proteção mecânica, impermeabilização e regularização de base</v>
      </c>
      <c r="E46" s="57" t="str">
        <f>VLOOKUP(A46,'Orçamento Sintético'!$A:$H,5,0)</f>
        <v>m²</v>
      </c>
      <c r="F46" s="59"/>
      <c r="G46" s="60"/>
      <c r="H46" s="60">
        <f>SUM(H47:H48)</f>
        <v>12.620000000000001</v>
      </c>
    </row>
    <row r="47" spans="1:8" ht="25.5" customHeight="1" x14ac:dyDescent="0.2">
      <c r="A47" s="61" t="str">
        <f>VLOOKUP(B47,'Insumos e Serviços'!$A:$F,3,0)</f>
        <v>Composição</v>
      </c>
      <c r="B47" s="61" t="s">
        <v>72</v>
      </c>
      <c r="C47" s="52" t="str">
        <f>VLOOKUP(B47,'Insumos e Serviços'!$A:$F,2,0)</f>
        <v>SINAPI</v>
      </c>
      <c r="D47" s="62" t="str">
        <f>VLOOKUP(B47,'Insumos e Serviços'!$A:$F,4,0)</f>
        <v>DEMOLIÇÃO DE REVESTIMENTO CERÂMICO, DE FORMA MECANIZADA COM MARTELETE, SEM REAPROVEITAMENTO. AF_12/2017</v>
      </c>
      <c r="E47" s="61" t="str">
        <f>VLOOKUP(B47,'Insumos e Serviços'!$A:$F,5,0)</f>
        <v>m²</v>
      </c>
      <c r="F47" s="63">
        <v>1</v>
      </c>
      <c r="G47" s="64">
        <f>VLOOKUP(B47,'Insumos e Serviços'!$A:$F,6,0)</f>
        <v>9.9600000000000009</v>
      </c>
      <c r="H47" s="64">
        <f t="shared" ref="H47:H48" si="6">TRUNC(F47*G47,2)</f>
        <v>9.9600000000000009</v>
      </c>
    </row>
    <row r="48" spans="1:8" ht="25.5" customHeight="1" thickBot="1" x14ac:dyDescent="0.25">
      <c r="A48" s="61" t="str">
        <f>VLOOKUP(B48,'Insumos e Serviços'!$A:$F,3,0)</f>
        <v>Composição</v>
      </c>
      <c r="B48" s="61" t="s">
        <v>75</v>
      </c>
      <c r="C48" s="52" t="str">
        <f>VLOOKUP(B48,'Insumos e Serviços'!$A:$F,2,0)</f>
        <v>SINAPI</v>
      </c>
      <c r="D48" s="62" t="str">
        <f>VLOOKUP(B48,'Insumos e Serviços'!$A:$F,4,0)</f>
        <v>DEMOLIÇÃO DE ARGAMASSAS, DE FORMA MANUAL, SEM REAPROVEITAMENTO. AF_12/2017</v>
      </c>
      <c r="E48" s="61" t="str">
        <f>VLOOKUP(B48,'Insumos e Serviços'!$A:$F,5,0)</f>
        <v>m²</v>
      </c>
      <c r="F48" s="63">
        <v>1</v>
      </c>
      <c r="G48" s="64">
        <f>VLOOKUP(B48,'Insumos e Serviços'!$A:$F,6,0)</f>
        <v>2.66</v>
      </c>
      <c r="H48" s="64">
        <f t="shared" si="6"/>
        <v>2.66</v>
      </c>
    </row>
    <row r="49" spans="1:8" ht="12" thickTop="1" x14ac:dyDescent="0.2">
      <c r="A49" s="20"/>
      <c r="B49" s="20"/>
      <c r="C49" s="20"/>
      <c r="D49" s="20"/>
      <c r="E49" s="20"/>
      <c r="F49" s="21"/>
      <c r="G49" s="21"/>
      <c r="H49" s="21"/>
    </row>
    <row r="50" spans="1:8" ht="22.5" x14ac:dyDescent="0.2">
      <c r="A50" s="56" t="s">
        <v>77</v>
      </c>
      <c r="B50" s="57" t="str">
        <f>VLOOKUP(A50,'Orçamento Sintético'!$A:$H,2,0)</f>
        <v xml:space="preserve"> MPDFT0555 </v>
      </c>
      <c r="C50" s="57" t="str">
        <f>VLOOKUP(A50,'Orçamento Sintético'!$A:$H,3,0)</f>
        <v>Próprio</v>
      </c>
      <c r="D50" s="58" t="str">
        <f>VLOOKUP(A50,'Orçamento Sintético'!$A:$H,4,0)</f>
        <v>Furo com 20cm de diâmetro, para fins de ventilação e circulação de ar no interior dos elementos de fachada (caixões perdidos)</v>
      </c>
      <c r="E50" s="57" t="str">
        <f>VLOOKUP(A50,'Orçamento Sintético'!$A:$H,5,0)</f>
        <v>un</v>
      </c>
      <c r="F50" s="59"/>
      <c r="G50" s="60"/>
      <c r="H50" s="60">
        <f>H51</f>
        <v>428.16</v>
      </c>
    </row>
    <row r="51" spans="1:8" ht="25.5" customHeight="1" thickBot="1" x14ac:dyDescent="0.25">
      <c r="A51" s="61" t="str">
        <f>VLOOKUP(B51,'Insumos e Serviços'!$A:$F,3,0)</f>
        <v>Composição</v>
      </c>
      <c r="B51" s="61" t="s">
        <v>444</v>
      </c>
      <c r="C51" s="52" t="str">
        <f>VLOOKUP(B51,'Insumos e Serviços'!$A:$F,2,0)</f>
        <v>SINAPI</v>
      </c>
      <c r="D51" s="62" t="str">
        <f>VLOOKUP(B51,'Insumos e Serviços'!$A:$F,4,0)</f>
        <v>FURO EM CONCRETO PARA DIÂMETROS MENORES OU IGUAIS A 40 MM. AF_05/2015</v>
      </c>
      <c r="E51" s="61" t="str">
        <f>VLOOKUP(B51,'Insumos e Serviços'!$A:$F,5,0)</f>
        <v>UN</v>
      </c>
      <c r="F51" s="63">
        <v>8</v>
      </c>
      <c r="G51" s="64">
        <f>VLOOKUP(B51,'Insumos e Serviços'!$A:$F,6,0)</f>
        <v>53.52</v>
      </c>
      <c r="H51" s="64">
        <f t="shared" ref="H51" si="7">TRUNC(F51*G51,2)</f>
        <v>428.16</v>
      </c>
    </row>
    <row r="52" spans="1:8" ht="12" thickTop="1" x14ac:dyDescent="0.2">
      <c r="A52" s="20"/>
      <c r="B52" s="20"/>
      <c r="C52" s="20"/>
      <c r="D52" s="20"/>
      <c r="E52" s="20"/>
      <c r="F52" s="21"/>
      <c r="G52" s="21"/>
      <c r="H52" s="21"/>
    </row>
    <row r="53" spans="1:8" x14ac:dyDescent="0.2">
      <c r="A53" s="56" t="s">
        <v>80</v>
      </c>
      <c r="B53" s="57" t="str">
        <f>VLOOKUP(A53,'Orçamento Sintético'!$A:$H,2,0)</f>
        <v xml:space="preserve"> MPDFT0558 </v>
      </c>
      <c r="C53" s="57" t="str">
        <f>VLOOKUP(A53,'Orçamento Sintético'!$A:$H,3,0)</f>
        <v>Próprio</v>
      </c>
      <c r="D53" s="58" t="str">
        <f>VLOOKUP(A53,'Orçamento Sintético'!$A:$H,4,0)</f>
        <v>Copia da ORSE (7991) - Demolição de rufo de concreto</v>
      </c>
      <c r="E53" s="57" t="str">
        <f>VLOOKUP(A53,'Orçamento Sintético'!$A:$H,5,0)</f>
        <v>m</v>
      </c>
      <c r="F53" s="59"/>
      <c r="G53" s="60"/>
      <c r="H53" s="60">
        <f>H54</f>
        <v>4.29</v>
      </c>
    </row>
    <row r="54" spans="1:8" ht="12" thickBot="1" x14ac:dyDescent="0.25">
      <c r="A54" s="61" t="str">
        <f>VLOOKUP(B54,'Insumos e Serviços'!$A:$F,3,0)</f>
        <v>Composição</v>
      </c>
      <c r="B54" s="61">
        <v>88316</v>
      </c>
      <c r="C54" s="52" t="str">
        <f>VLOOKUP(B54,'Insumos e Serviços'!$A:$F,2,0)</f>
        <v>SINAPI</v>
      </c>
      <c r="D54" s="62" t="str">
        <f>VLOOKUP(B54,'Insumos e Serviços'!$A:$F,4,0)</f>
        <v>SERVENTE COM ENCARGOS COMPLEMENTARES</v>
      </c>
      <c r="E54" s="61" t="str">
        <f>VLOOKUP(B54,'Insumos e Serviços'!$A:$F,5,0)</f>
        <v>H</v>
      </c>
      <c r="F54" s="63">
        <v>0.25</v>
      </c>
      <c r="G54" s="64">
        <f>VLOOKUP(B54,'Insumos e Serviços'!$A:$F,6,0)</f>
        <v>17.170000000000002</v>
      </c>
      <c r="H54" s="64">
        <f t="shared" ref="H54" si="8">TRUNC(F54*G54,2)</f>
        <v>4.29</v>
      </c>
    </row>
    <row r="55" spans="1:8" ht="12" thickTop="1" x14ac:dyDescent="0.2">
      <c r="A55" s="20"/>
      <c r="B55" s="20"/>
      <c r="C55" s="20"/>
      <c r="D55" s="20"/>
      <c r="E55" s="20"/>
      <c r="F55" s="21"/>
      <c r="G55" s="21"/>
      <c r="H55" s="21"/>
    </row>
    <row r="56" spans="1:8" x14ac:dyDescent="0.2">
      <c r="A56" s="14" t="s">
        <v>88</v>
      </c>
      <c r="B56" s="14"/>
      <c r="C56" s="14"/>
      <c r="D56" s="81" t="str">
        <f>VLOOKUP(A56,'Orçamento Sintético'!$A:$H,4,0)</f>
        <v>Remoções</v>
      </c>
      <c r="E56" s="47"/>
      <c r="F56" s="29"/>
      <c r="G56" s="30"/>
      <c r="H56" s="31">
        <v>18583.63</v>
      </c>
    </row>
    <row r="57" spans="1:8" ht="22.5" x14ac:dyDescent="0.2">
      <c r="A57" s="56" t="s">
        <v>90</v>
      </c>
      <c r="B57" s="57" t="str">
        <f>VLOOKUP(A57,'Orçamento Sintético'!$A:$H,2,0)</f>
        <v xml:space="preserve"> MPDFT0495 </v>
      </c>
      <c r="C57" s="57" t="str">
        <f>VLOOKUP(A57,'Orçamento Sintético'!$A:$H,3,0)</f>
        <v>Próprio</v>
      </c>
      <c r="D57" s="58" t="str">
        <f>VLOOKUP(A57,'Orçamento Sintético'!$A:$H,4,0)</f>
        <v>Cópia SINAPI 97647 - Remoção de telhas, de cobertura, de forma manual, com reaproveitamento</v>
      </c>
      <c r="E57" s="57" t="str">
        <f>VLOOKUP(A57,'Orçamento Sintético'!$A:$H,5,0)</f>
        <v>m²</v>
      </c>
      <c r="F57" s="59"/>
      <c r="G57" s="60"/>
      <c r="H57" s="60">
        <f>H58</f>
        <v>2.87</v>
      </c>
    </row>
    <row r="58" spans="1:8" ht="25.5" customHeight="1" thickBot="1" x14ac:dyDescent="0.25">
      <c r="A58" s="61" t="str">
        <f>VLOOKUP(B58,'Insumos e Serviços'!$A:$F,3,0)</f>
        <v>Composição</v>
      </c>
      <c r="B58" s="61" t="s">
        <v>446</v>
      </c>
      <c r="C58" s="52" t="str">
        <f>VLOOKUP(B58,'Insumos e Serviços'!$A:$F,2,0)</f>
        <v>SINAPI</v>
      </c>
      <c r="D58" s="62" t="str">
        <f>VLOOKUP(B58,'Insumos e Serviços'!$A:$F,4,0)</f>
        <v>REMOÇÃO DE TELHAS, DE FIBROCIMENTO, METÁLICA E CERÂMICA, DE FORMA MANUAL, SEM REAPROVEITAMENTO. AF_12/2017</v>
      </c>
      <c r="E58" s="61" t="str">
        <f>VLOOKUP(B58,'Insumos e Serviços'!$A:$F,5,0)</f>
        <v>m²</v>
      </c>
      <c r="F58" s="63">
        <v>1</v>
      </c>
      <c r="G58" s="64">
        <f>VLOOKUP(B58,'Insumos e Serviços'!$A:$F,6,0)</f>
        <v>2.87</v>
      </c>
      <c r="H58" s="64">
        <f t="shared" ref="H58" si="9">TRUNC(F58*G58,2)</f>
        <v>2.87</v>
      </c>
    </row>
    <row r="59" spans="1:8" ht="12" thickTop="1" x14ac:dyDescent="0.2">
      <c r="A59" s="20"/>
      <c r="B59" s="20"/>
      <c r="C59" s="20"/>
      <c r="D59" s="20"/>
      <c r="E59" s="20"/>
      <c r="F59" s="21"/>
      <c r="G59" s="21"/>
      <c r="H59" s="21"/>
    </row>
    <row r="60" spans="1:8" ht="22.5" x14ac:dyDescent="0.2">
      <c r="A60" s="56" t="s">
        <v>93</v>
      </c>
      <c r="B60" s="57" t="str">
        <f>VLOOKUP(A60,'Orçamento Sintético'!$A:$H,2,0)</f>
        <v xml:space="preserve"> MPDFT0496 </v>
      </c>
      <c r="C60" s="57" t="str">
        <f>VLOOKUP(A60,'Orçamento Sintético'!$A:$H,3,0)</f>
        <v>Próprio</v>
      </c>
      <c r="D60" s="58" t="str">
        <f>VLOOKUP(A60,'Orçamento Sintético'!$A:$H,4,0)</f>
        <v>Remoção, com reaproveitamento, de letreiro da fachada, inclusive transporte e armazenamento</v>
      </c>
      <c r="E60" s="57" t="str">
        <f>VLOOKUP(A60,'Orçamento Sintético'!$A:$H,5,0)</f>
        <v>sv</v>
      </c>
      <c r="F60" s="59"/>
      <c r="G60" s="60"/>
      <c r="H60" s="60">
        <f>SUM(H61:H63)</f>
        <v>372.99</v>
      </c>
    </row>
    <row r="61" spans="1:8" x14ac:dyDescent="0.2">
      <c r="A61" s="61" t="str">
        <f>VLOOKUP(B61,'Insumos e Serviços'!$A:$F,3,0)</f>
        <v>Composição</v>
      </c>
      <c r="B61" s="61" t="s">
        <v>448</v>
      </c>
      <c r="C61" s="52" t="str">
        <f>VLOOKUP(B61,'Insumos e Serviços'!$A:$F,2,0)</f>
        <v>SINAPI</v>
      </c>
      <c r="D61" s="62" t="str">
        <f>VLOOKUP(B61,'Insumos e Serviços'!$A:$F,4,0)</f>
        <v>SERRALHEIRO COM ENCARGOS COMPLEMENTARES</v>
      </c>
      <c r="E61" s="61" t="str">
        <f>VLOOKUP(B61,'Insumos e Serviços'!$A:$F,5,0)</f>
        <v>H</v>
      </c>
      <c r="F61" s="63">
        <v>6</v>
      </c>
      <c r="G61" s="64">
        <f>VLOOKUP(B61,'Insumos e Serviços'!$A:$F,6,0)</f>
        <v>23.13</v>
      </c>
      <c r="H61" s="64">
        <f t="shared" ref="H61:H63" si="10">TRUNC(F61*G61,2)</f>
        <v>138.78</v>
      </c>
    </row>
    <row r="62" spans="1:8" x14ac:dyDescent="0.2">
      <c r="A62" s="61" t="str">
        <f>VLOOKUP(B62,'Insumos e Serviços'!$A:$F,3,0)</f>
        <v>Composição</v>
      </c>
      <c r="B62" s="61" t="s">
        <v>450</v>
      </c>
      <c r="C62" s="52" t="str">
        <f>VLOOKUP(B62,'Insumos e Serviços'!$A:$F,2,0)</f>
        <v>SINAPI</v>
      </c>
      <c r="D62" s="62" t="str">
        <f>VLOOKUP(B62,'Insumos e Serviços'!$A:$F,4,0)</f>
        <v>AUXILIAR DE SERRALHEIRO COM ENCARGOS COMPLEMENTARES</v>
      </c>
      <c r="E62" s="61" t="str">
        <f>VLOOKUP(B62,'Insumos e Serviços'!$A:$F,5,0)</f>
        <v>H</v>
      </c>
      <c r="F62" s="63">
        <v>10</v>
      </c>
      <c r="G62" s="64">
        <f>VLOOKUP(B62,'Insumos e Serviços'!$A:$F,6,0)</f>
        <v>18.84</v>
      </c>
      <c r="H62" s="64">
        <f t="shared" si="10"/>
        <v>188.4</v>
      </c>
    </row>
    <row r="63" spans="1:8" ht="12" thickBot="1" x14ac:dyDescent="0.25">
      <c r="A63" s="61" t="str">
        <f>VLOOKUP(B63,'Insumos e Serviços'!$A:$F,3,0)</f>
        <v>Insumo</v>
      </c>
      <c r="B63" s="61" t="s">
        <v>452</v>
      </c>
      <c r="C63" s="52" t="str">
        <f>VLOOKUP(B63,'Insumos e Serviços'!$A:$F,2,0)</f>
        <v>SINAPI</v>
      </c>
      <c r="D63" s="62" t="str">
        <f>VLOOKUP(B63,'Insumos e Serviços'!$A:$F,4,0)</f>
        <v>LONA PLASTICA PRETA, E= 150 MICRA</v>
      </c>
      <c r="E63" s="61" t="str">
        <f>VLOOKUP(B63,'Insumos e Serviços'!$A:$F,5,0)</f>
        <v>m²</v>
      </c>
      <c r="F63" s="63">
        <v>49.8</v>
      </c>
      <c r="G63" s="64">
        <f>VLOOKUP(B63,'Insumos e Serviços'!$A:$F,6,0)</f>
        <v>0.92</v>
      </c>
      <c r="H63" s="64">
        <f t="shared" si="10"/>
        <v>45.81</v>
      </c>
    </row>
    <row r="64" spans="1:8" ht="12" thickTop="1" x14ac:dyDescent="0.2">
      <c r="A64" s="20"/>
      <c r="B64" s="20"/>
      <c r="C64" s="20"/>
      <c r="D64" s="20"/>
      <c r="E64" s="20"/>
      <c r="F64" s="21"/>
      <c r="G64" s="21"/>
      <c r="H64" s="21"/>
    </row>
    <row r="65" spans="1:8" ht="22.5" x14ac:dyDescent="0.2">
      <c r="A65" s="56" t="s">
        <v>96</v>
      </c>
      <c r="B65" s="57" t="str">
        <f>VLOOKUP(A65,'Orçamento Sintético'!$A:$H,2,0)</f>
        <v xml:space="preserve"> MPDFT0497 </v>
      </c>
      <c r="C65" s="57" t="str">
        <f>VLOOKUP(A65,'Orçamento Sintético'!$A:$H,3,0)</f>
        <v>Próprio</v>
      </c>
      <c r="D65" s="58" t="str">
        <f>VLOOKUP(A65,'Orçamento Sintético'!$A:$H,4,0)</f>
        <v>Remoção, com reaproveitamento, do sistema de proteção contra descargas atmosféricas</v>
      </c>
      <c r="E65" s="57" t="str">
        <f>VLOOKUP(A65,'Orçamento Sintético'!$A:$H,5,0)</f>
        <v>sv</v>
      </c>
      <c r="F65" s="59"/>
      <c r="G65" s="60"/>
      <c r="H65" s="60">
        <f>SUM(H66:H67)</f>
        <v>1620</v>
      </c>
    </row>
    <row r="66" spans="1:8" x14ac:dyDescent="0.2">
      <c r="A66" s="61" t="str">
        <f>VLOOKUP(B66,'Insumos e Serviços'!$A:$F,3,0)</f>
        <v>Composição</v>
      </c>
      <c r="B66" s="61" t="s">
        <v>454</v>
      </c>
      <c r="C66" s="52" t="str">
        <f>VLOOKUP(B66,'Insumos e Serviços'!$A:$F,2,0)</f>
        <v>SINAPI</v>
      </c>
      <c r="D66" s="62" t="str">
        <f>VLOOKUP(B66,'Insumos e Serviços'!$A:$F,4,0)</f>
        <v>ELETRICISTA COM ENCARGOS COMPLEMENTARES</v>
      </c>
      <c r="E66" s="61" t="str">
        <f>VLOOKUP(B66,'Insumos e Serviços'!$A:$F,5,0)</f>
        <v>H</v>
      </c>
      <c r="F66" s="63">
        <v>27</v>
      </c>
      <c r="G66" s="64">
        <f>VLOOKUP(B66,'Insumos e Serviços'!$A:$F,6,0)</f>
        <v>23.44</v>
      </c>
      <c r="H66" s="64">
        <f t="shared" ref="H66:H67" si="11">TRUNC(F66*G66,2)</f>
        <v>632.88</v>
      </c>
    </row>
    <row r="67" spans="1:8" ht="12" thickBot="1" x14ac:dyDescent="0.25">
      <c r="A67" s="61" t="str">
        <f>VLOOKUP(B67,'Insumos e Serviços'!$A:$F,3,0)</f>
        <v>Composição</v>
      </c>
      <c r="B67" s="61" t="s">
        <v>456</v>
      </c>
      <c r="C67" s="52" t="str">
        <f>VLOOKUP(B67,'Insumos e Serviços'!$A:$F,2,0)</f>
        <v>SINAPI</v>
      </c>
      <c r="D67" s="62" t="str">
        <f>VLOOKUP(B67,'Insumos e Serviços'!$A:$F,4,0)</f>
        <v>AUXILIAR DE ELETRICISTA COM ENCARGOS COMPLEMENTARES</v>
      </c>
      <c r="E67" s="61" t="str">
        <f>VLOOKUP(B67,'Insumos e Serviços'!$A:$F,5,0)</f>
        <v>H</v>
      </c>
      <c r="F67" s="63">
        <v>54</v>
      </c>
      <c r="G67" s="64">
        <f>VLOOKUP(B67,'Insumos e Serviços'!$A:$F,6,0)</f>
        <v>18.28</v>
      </c>
      <c r="H67" s="64">
        <f t="shared" si="11"/>
        <v>987.12</v>
      </c>
    </row>
    <row r="68" spans="1:8" ht="12" thickTop="1" x14ac:dyDescent="0.2">
      <c r="A68" s="20"/>
      <c r="B68" s="20"/>
      <c r="C68" s="20"/>
      <c r="D68" s="20"/>
      <c r="E68" s="20"/>
      <c r="F68" s="21"/>
      <c r="G68" s="21"/>
      <c r="H68" s="21"/>
    </row>
    <row r="69" spans="1:8" ht="22.5" x14ac:dyDescent="0.2">
      <c r="A69" s="56" t="s">
        <v>99</v>
      </c>
      <c r="B69" s="57" t="str">
        <f>VLOOKUP(A69,'Orçamento Sintético'!$A:$H,2,0)</f>
        <v xml:space="preserve"> MPDFT0498 </v>
      </c>
      <c r="C69" s="57" t="str">
        <f>VLOOKUP(A69,'Orçamento Sintético'!$A:$H,3,0)</f>
        <v>Próprio</v>
      </c>
      <c r="D69" s="58" t="str">
        <f>VLOOKUP(A69,'Orçamento Sintético'!$A:$H,4,0)</f>
        <v>Remoção, com reaproveitamento, de painéis em vidro, na região da cobertura - incluindo identificação, proteção e acondicionamento</v>
      </c>
      <c r="E69" s="57" t="str">
        <f>VLOOKUP(A69,'Orçamento Sintético'!$A:$H,5,0)</f>
        <v>sv</v>
      </c>
      <c r="F69" s="59"/>
      <c r="G69" s="60"/>
      <c r="H69" s="60">
        <f>SUM(H70:H72)</f>
        <v>285.52</v>
      </c>
    </row>
    <row r="70" spans="1:8" x14ac:dyDescent="0.2">
      <c r="A70" s="61" t="str">
        <f>VLOOKUP(B70,'Insumos e Serviços'!$A:$F,3,0)</f>
        <v>Composição</v>
      </c>
      <c r="B70" s="61" t="s">
        <v>458</v>
      </c>
      <c r="C70" s="52" t="str">
        <f>VLOOKUP(B70,'Insumos e Serviços'!$A:$F,2,0)</f>
        <v>SINAPI</v>
      </c>
      <c r="D70" s="62" t="str">
        <f>VLOOKUP(B70,'Insumos e Serviços'!$A:$F,4,0)</f>
        <v>VIDRACEIRO COM ENCARGOS COMPLEMENTARES</v>
      </c>
      <c r="E70" s="61" t="str">
        <f>VLOOKUP(B70,'Insumos e Serviços'!$A:$F,5,0)</f>
        <v>H</v>
      </c>
      <c r="F70" s="63">
        <v>4</v>
      </c>
      <c r="G70" s="64">
        <f>VLOOKUP(B70,'Insumos e Serviços'!$A:$F,6,0)</f>
        <v>21.62</v>
      </c>
      <c r="H70" s="64">
        <f t="shared" ref="H70:H72" si="12">TRUNC(F70*G70,2)</f>
        <v>86.48</v>
      </c>
    </row>
    <row r="71" spans="1:8" x14ac:dyDescent="0.2">
      <c r="A71" s="61" t="str">
        <f>VLOOKUP(B71,'Insumos e Serviços'!$A:$F,3,0)</f>
        <v>Composição</v>
      </c>
      <c r="B71" s="61">
        <v>88316</v>
      </c>
      <c r="C71" s="52" t="str">
        <f>VLOOKUP(B71,'Insumos e Serviços'!$A:$F,2,0)</f>
        <v>SINAPI</v>
      </c>
      <c r="D71" s="62" t="str">
        <f>VLOOKUP(B71,'Insumos e Serviços'!$A:$F,4,0)</f>
        <v>SERVENTE COM ENCARGOS COMPLEMENTARES</v>
      </c>
      <c r="E71" s="61" t="str">
        <f>VLOOKUP(B71,'Insumos e Serviços'!$A:$F,5,0)</f>
        <v>H</v>
      </c>
      <c r="F71" s="63">
        <v>9</v>
      </c>
      <c r="G71" s="64">
        <f>VLOOKUP(B71,'Insumos e Serviços'!$A:$F,6,0)</f>
        <v>17.170000000000002</v>
      </c>
      <c r="H71" s="64">
        <f t="shared" si="12"/>
        <v>154.53</v>
      </c>
    </row>
    <row r="72" spans="1:8" ht="12" thickBot="1" x14ac:dyDescent="0.25">
      <c r="A72" s="61" t="str">
        <f>VLOOKUP(B72,'Insumos e Serviços'!$A:$F,3,0)</f>
        <v>Insumo</v>
      </c>
      <c r="B72" s="61" t="s">
        <v>452</v>
      </c>
      <c r="C72" s="52" t="str">
        <f>VLOOKUP(B72,'Insumos e Serviços'!$A:$F,2,0)</f>
        <v>SINAPI</v>
      </c>
      <c r="D72" s="62" t="str">
        <f>VLOOKUP(B72,'Insumos e Serviços'!$A:$F,4,0)</f>
        <v>LONA PLASTICA PRETA, E= 150 MICRA</v>
      </c>
      <c r="E72" s="61" t="str">
        <f>VLOOKUP(B72,'Insumos e Serviços'!$A:$F,5,0)</f>
        <v>m²</v>
      </c>
      <c r="F72" s="63">
        <v>48.384</v>
      </c>
      <c r="G72" s="64">
        <f>VLOOKUP(B72,'Insumos e Serviços'!$A:$F,6,0)</f>
        <v>0.92</v>
      </c>
      <c r="H72" s="64">
        <f t="shared" si="12"/>
        <v>44.51</v>
      </c>
    </row>
    <row r="73" spans="1:8" ht="12" thickTop="1" x14ac:dyDescent="0.2">
      <c r="A73" s="20"/>
      <c r="B73" s="20"/>
      <c r="C73" s="20"/>
      <c r="D73" s="20"/>
      <c r="E73" s="20"/>
      <c r="F73" s="21"/>
      <c r="G73" s="21"/>
      <c r="H73" s="21"/>
    </row>
    <row r="74" spans="1:8" x14ac:dyDescent="0.2">
      <c r="A74" s="56" t="s">
        <v>102</v>
      </c>
      <c r="B74" s="57" t="str">
        <f>VLOOKUP(A74,'Orçamento Sintético'!$A:$H,2,0)</f>
        <v xml:space="preserve"> MPDFT0505 </v>
      </c>
      <c r="C74" s="57" t="str">
        <f>VLOOKUP(A74,'Orçamento Sintético'!$A:$H,3,0)</f>
        <v>Próprio</v>
      </c>
      <c r="D74" s="58" t="str">
        <f>VLOOKUP(A74,'Orçamento Sintético'!$A:$H,4,0)</f>
        <v>Remoção, com reaproveitamento, de escadas metálicas e antena</v>
      </c>
      <c r="E74" s="57" t="str">
        <f>VLOOKUP(A74,'Orçamento Sintético'!$A:$H,5,0)</f>
        <v>sv</v>
      </c>
      <c r="F74" s="59"/>
      <c r="G74" s="60"/>
      <c r="H74" s="60">
        <f>SUM(H75:H76)</f>
        <v>308.34000000000003</v>
      </c>
    </row>
    <row r="75" spans="1:8" x14ac:dyDescent="0.2">
      <c r="A75" s="61" t="str">
        <f>VLOOKUP(B75,'Insumos e Serviços'!$A:$F,3,0)</f>
        <v>Composição</v>
      </c>
      <c r="B75" s="61" t="s">
        <v>448</v>
      </c>
      <c r="C75" s="52" t="str">
        <f>VLOOKUP(B75,'Insumos e Serviços'!$A:$F,2,0)</f>
        <v>SINAPI</v>
      </c>
      <c r="D75" s="62" t="str">
        <f>VLOOKUP(B75,'Insumos e Serviços'!$A:$F,4,0)</f>
        <v>SERRALHEIRO COM ENCARGOS COMPLEMENTARES</v>
      </c>
      <c r="E75" s="61" t="str">
        <f>VLOOKUP(B75,'Insumos e Serviços'!$A:$F,5,0)</f>
        <v>H</v>
      </c>
      <c r="F75" s="63">
        <v>6</v>
      </c>
      <c r="G75" s="64">
        <f>VLOOKUP(B75,'Insumos e Serviços'!$A:$F,6,0)</f>
        <v>23.13</v>
      </c>
      <c r="H75" s="64">
        <f t="shared" ref="H75:H76" si="13">TRUNC(F75*G75,2)</f>
        <v>138.78</v>
      </c>
    </row>
    <row r="76" spans="1:8" ht="12" thickBot="1" x14ac:dyDescent="0.25">
      <c r="A76" s="61" t="str">
        <f>VLOOKUP(B76,'Insumos e Serviços'!$A:$F,3,0)</f>
        <v>Composição</v>
      </c>
      <c r="B76" s="61" t="s">
        <v>450</v>
      </c>
      <c r="C76" s="52" t="str">
        <f>VLOOKUP(B76,'Insumos e Serviços'!$A:$F,2,0)</f>
        <v>SINAPI</v>
      </c>
      <c r="D76" s="62" t="str">
        <f>VLOOKUP(B76,'Insumos e Serviços'!$A:$F,4,0)</f>
        <v>AUXILIAR DE SERRALHEIRO COM ENCARGOS COMPLEMENTARES</v>
      </c>
      <c r="E76" s="61" t="str">
        <f>VLOOKUP(B76,'Insumos e Serviços'!$A:$F,5,0)</f>
        <v>H</v>
      </c>
      <c r="F76" s="63">
        <v>9</v>
      </c>
      <c r="G76" s="64">
        <f>VLOOKUP(B76,'Insumos e Serviços'!$A:$F,6,0)</f>
        <v>18.84</v>
      </c>
      <c r="H76" s="64">
        <f t="shared" si="13"/>
        <v>169.56</v>
      </c>
    </row>
    <row r="77" spans="1:8" ht="12" thickTop="1" x14ac:dyDescent="0.2">
      <c r="A77" s="20"/>
      <c r="B77" s="20"/>
      <c r="C77" s="20"/>
      <c r="D77" s="20"/>
      <c r="E77" s="20"/>
      <c r="F77" s="21"/>
      <c r="G77" s="21"/>
      <c r="H77" s="21"/>
    </row>
    <row r="78" spans="1:8" x14ac:dyDescent="0.2">
      <c r="A78" s="56" t="s">
        <v>105</v>
      </c>
      <c r="B78" s="57" t="str">
        <f>VLOOKUP(A78,'Orçamento Sintético'!$A:$H,2,0)</f>
        <v xml:space="preserve"> MPDFT0506 </v>
      </c>
      <c r="C78" s="57" t="str">
        <f>VLOOKUP(A78,'Orçamento Sintético'!$A:$H,3,0)</f>
        <v>Próprio</v>
      </c>
      <c r="D78" s="58" t="str">
        <f>VLOOKUP(A78,'Orçamento Sintético'!$A:$H,4,0)</f>
        <v>Remoção, com reaproveitamento das luminárias dos Halls de entrada e social</v>
      </c>
      <c r="E78" s="57" t="str">
        <f>VLOOKUP(A78,'Orçamento Sintético'!$A:$H,5,0)</f>
        <v>sv</v>
      </c>
      <c r="F78" s="59"/>
      <c r="G78" s="60"/>
      <c r="H78" s="60">
        <f>SUM(H79:H82)</f>
        <v>431.79999999999995</v>
      </c>
    </row>
    <row r="79" spans="1:8" x14ac:dyDescent="0.2">
      <c r="A79" s="61" t="str">
        <f>VLOOKUP(B79,'Insumos e Serviços'!$A:$F,3,0)</f>
        <v>Composição</v>
      </c>
      <c r="B79" s="61" t="s">
        <v>456</v>
      </c>
      <c r="C79" s="52" t="str">
        <f>VLOOKUP(B79,'Insumos e Serviços'!$A:$F,2,0)</f>
        <v>SINAPI</v>
      </c>
      <c r="D79" s="62" t="str">
        <f>VLOOKUP(B79,'Insumos e Serviços'!$A:$F,4,0)</f>
        <v>AUXILIAR DE ELETRICISTA COM ENCARGOS COMPLEMENTARES</v>
      </c>
      <c r="E79" s="61" t="str">
        <f>VLOOKUP(B79,'Insumos e Serviços'!$A:$F,5,0)</f>
        <v>H</v>
      </c>
      <c r="F79" s="63">
        <v>4</v>
      </c>
      <c r="G79" s="64">
        <f>VLOOKUP(B79,'Insumos e Serviços'!$A:$F,6,0)</f>
        <v>18.28</v>
      </c>
      <c r="H79" s="64">
        <f t="shared" ref="H79:H82" si="14">TRUNC(F79*G79,2)</f>
        <v>73.12</v>
      </c>
    </row>
    <row r="80" spans="1:8" x14ac:dyDescent="0.2">
      <c r="A80" s="61" t="str">
        <f>VLOOKUP(B80,'Insumos e Serviços'!$A:$F,3,0)</f>
        <v>Composição</v>
      </c>
      <c r="B80" s="61">
        <v>88316</v>
      </c>
      <c r="C80" s="52" t="str">
        <f>VLOOKUP(B80,'Insumos e Serviços'!$A:$F,2,0)</f>
        <v>SINAPI</v>
      </c>
      <c r="D80" s="62" t="str">
        <f>VLOOKUP(B80,'Insumos e Serviços'!$A:$F,4,0)</f>
        <v>SERVENTE COM ENCARGOS COMPLEMENTARES</v>
      </c>
      <c r="E80" s="61" t="str">
        <f>VLOOKUP(B80,'Insumos e Serviços'!$A:$F,5,0)</f>
        <v>H</v>
      </c>
      <c r="F80" s="63">
        <v>6</v>
      </c>
      <c r="G80" s="64">
        <f>VLOOKUP(B80,'Insumos e Serviços'!$A:$F,6,0)</f>
        <v>17.170000000000002</v>
      </c>
      <c r="H80" s="64">
        <f t="shared" si="14"/>
        <v>103.02</v>
      </c>
    </row>
    <row r="81" spans="1:8" x14ac:dyDescent="0.2">
      <c r="A81" s="61" t="str">
        <f>VLOOKUP(B81,'Insumos e Serviços'!$A:$F,3,0)</f>
        <v>Composição</v>
      </c>
      <c r="B81" s="61" t="s">
        <v>422</v>
      </c>
      <c r="C81" s="52" t="str">
        <f>VLOOKUP(B81,'Insumos e Serviços'!$A:$F,2,0)</f>
        <v>SINAPI</v>
      </c>
      <c r="D81" s="62" t="str">
        <f>VLOOKUP(B81,'Insumos e Serviços'!$A:$F,4,0)</f>
        <v>MONTADOR DE ESTRUTURA METÁLICA COM ENCARGOS COMPLEMENTARES</v>
      </c>
      <c r="E81" s="61" t="str">
        <f>VLOOKUP(B81,'Insumos e Serviços'!$A:$F,5,0)</f>
        <v>H</v>
      </c>
      <c r="F81" s="63">
        <v>9</v>
      </c>
      <c r="G81" s="64">
        <f>VLOOKUP(B81,'Insumos e Serviços'!$A:$F,6,0)</f>
        <v>17.739999999999998</v>
      </c>
      <c r="H81" s="64">
        <f t="shared" si="14"/>
        <v>159.66</v>
      </c>
    </row>
    <row r="82" spans="1:8" ht="23.25" thickBot="1" x14ac:dyDescent="0.25">
      <c r="A82" s="61" t="str">
        <f>VLOOKUP(B82,'Insumos e Serviços'!$A:$F,3,0)</f>
        <v>Composição</v>
      </c>
      <c r="B82" s="61" t="s">
        <v>41</v>
      </c>
      <c r="C82" s="52" t="str">
        <f>VLOOKUP(B82,'Insumos e Serviços'!$A:$F,2,0)</f>
        <v>SINAPI</v>
      </c>
      <c r="D82" s="62" t="str">
        <f>VLOOKUP(B82,'Insumos e Serviços'!$A:$F,4,0)</f>
        <v>LOCACAO DE ANDAIME METALICO TUBULAR DE ENCAIXE, TIPO DE TORRE, COM LARGURA DE 1 ATE 1,5 M E ALTURA DE *1,00* M</v>
      </c>
      <c r="E82" s="61" t="str">
        <f>VLOOKUP(B82,'Insumos e Serviços'!$A:$F,5,0)</f>
        <v>MXMES</v>
      </c>
      <c r="F82" s="63">
        <v>8</v>
      </c>
      <c r="G82" s="64" t="str">
        <f>VLOOKUP(B82,'Insumos e Serviços'!$A:$F,6,0)</f>
        <v xml:space="preserve"> 12,00</v>
      </c>
      <c r="H82" s="64">
        <f t="shared" si="14"/>
        <v>96</v>
      </c>
    </row>
    <row r="83" spans="1:8" ht="12" thickTop="1" x14ac:dyDescent="0.2">
      <c r="A83" s="20"/>
      <c r="B83" s="20"/>
      <c r="C83" s="20"/>
      <c r="D83" s="20"/>
      <c r="E83" s="20"/>
      <c r="F83" s="21"/>
      <c r="G83" s="21"/>
      <c r="H83" s="21"/>
    </row>
    <row r="84" spans="1:8" x14ac:dyDescent="0.2">
      <c r="A84" s="56" t="s">
        <v>108</v>
      </c>
      <c r="B84" s="57" t="str">
        <f>VLOOKUP(A84,'Orçamento Sintético'!$A:$H,2,0)</f>
        <v xml:space="preserve"> MPDFT0507 </v>
      </c>
      <c r="C84" s="57" t="str">
        <f>VLOOKUP(A84,'Orçamento Sintético'!$A:$H,3,0)</f>
        <v>Próprio</v>
      </c>
      <c r="D84" s="58" t="str">
        <f>VLOOKUP(A84,'Orçamento Sintético'!$A:$H,4,0)</f>
        <v>Remoção dos brises da cobertura inclinada</v>
      </c>
      <c r="E84" s="57" t="str">
        <f>VLOOKUP(A84,'Orçamento Sintético'!$A:$H,5,0)</f>
        <v>sv</v>
      </c>
      <c r="F84" s="59"/>
      <c r="G84" s="60"/>
      <c r="H84" s="60">
        <f>SUM(H85:H89)</f>
        <v>1081.71</v>
      </c>
    </row>
    <row r="85" spans="1:8" x14ac:dyDescent="0.2">
      <c r="A85" s="61" t="str">
        <f>VLOOKUP(B85,'Insumos e Serviços'!$A:$F,3,0)</f>
        <v>Composição</v>
      </c>
      <c r="B85" s="61" t="s">
        <v>448</v>
      </c>
      <c r="C85" s="52" t="str">
        <f>VLOOKUP(B85,'Insumos e Serviços'!$A:$F,2,0)</f>
        <v>SINAPI</v>
      </c>
      <c r="D85" s="62" t="str">
        <f>VLOOKUP(B85,'Insumos e Serviços'!$A:$F,4,0)</f>
        <v>SERRALHEIRO COM ENCARGOS COMPLEMENTARES</v>
      </c>
      <c r="E85" s="61" t="str">
        <f>VLOOKUP(B85,'Insumos e Serviços'!$A:$F,5,0)</f>
        <v>H</v>
      </c>
      <c r="F85" s="63">
        <v>16</v>
      </c>
      <c r="G85" s="64">
        <f>VLOOKUP(B85,'Insumos e Serviços'!$A:$F,6,0)</f>
        <v>23.13</v>
      </c>
      <c r="H85" s="64">
        <f t="shared" ref="H85:H89" si="15">TRUNC(F85*G85,2)</f>
        <v>370.08</v>
      </c>
    </row>
    <row r="86" spans="1:8" x14ac:dyDescent="0.2">
      <c r="A86" s="61" t="str">
        <f>VLOOKUP(B86,'Insumos e Serviços'!$A:$F,3,0)</f>
        <v>Composição</v>
      </c>
      <c r="B86" s="61" t="s">
        <v>450</v>
      </c>
      <c r="C86" s="52" t="str">
        <f>VLOOKUP(B86,'Insumos e Serviços'!$A:$F,2,0)</f>
        <v>SINAPI</v>
      </c>
      <c r="D86" s="62" t="str">
        <f>VLOOKUP(B86,'Insumos e Serviços'!$A:$F,4,0)</f>
        <v>AUXILIAR DE SERRALHEIRO COM ENCARGOS COMPLEMENTARES</v>
      </c>
      <c r="E86" s="61" t="str">
        <f>VLOOKUP(B86,'Insumos e Serviços'!$A:$F,5,0)</f>
        <v>H</v>
      </c>
      <c r="F86" s="63">
        <v>16</v>
      </c>
      <c r="G86" s="64">
        <f>VLOOKUP(B86,'Insumos e Serviços'!$A:$F,6,0)</f>
        <v>18.84</v>
      </c>
      <c r="H86" s="64">
        <f t="shared" si="15"/>
        <v>301.44</v>
      </c>
    </row>
    <row r="87" spans="1:8" x14ac:dyDescent="0.2">
      <c r="A87" s="61" t="str">
        <f>VLOOKUP(B87,'Insumos e Serviços'!$A:$F,3,0)</f>
        <v>Composição</v>
      </c>
      <c r="B87" s="61">
        <v>88316</v>
      </c>
      <c r="C87" s="52" t="str">
        <f>VLOOKUP(B87,'Insumos e Serviços'!$A:$F,2,0)</f>
        <v>SINAPI</v>
      </c>
      <c r="D87" s="62" t="str">
        <f>VLOOKUP(B87,'Insumos e Serviços'!$A:$F,4,0)</f>
        <v>SERVENTE COM ENCARGOS COMPLEMENTARES</v>
      </c>
      <c r="E87" s="61" t="str">
        <f>VLOOKUP(B87,'Insumos e Serviços'!$A:$F,5,0)</f>
        <v>H</v>
      </c>
      <c r="F87" s="63">
        <v>9</v>
      </c>
      <c r="G87" s="64">
        <f>VLOOKUP(B87,'Insumos e Serviços'!$A:$F,6,0)</f>
        <v>17.170000000000002</v>
      </c>
      <c r="H87" s="64">
        <f t="shared" si="15"/>
        <v>154.53</v>
      </c>
    </row>
    <row r="88" spans="1:8" x14ac:dyDescent="0.2">
      <c r="A88" s="61" t="str">
        <f>VLOOKUP(B88,'Insumos e Serviços'!$A:$F,3,0)</f>
        <v>Composição</v>
      </c>
      <c r="B88" s="61" t="s">
        <v>422</v>
      </c>
      <c r="C88" s="52" t="str">
        <f>VLOOKUP(B88,'Insumos e Serviços'!$A:$F,2,0)</f>
        <v>SINAPI</v>
      </c>
      <c r="D88" s="62" t="str">
        <f>VLOOKUP(B88,'Insumos e Serviços'!$A:$F,4,0)</f>
        <v>MONTADOR DE ESTRUTURA METÁLICA COM ENCARGOS COMPLEMENTARES</v>
      </c>
      <c r="E88" s="61" t="str">
        <f>VLOOKUP(B88,'Insumos e Serviços'!$A:$F,5,0)</f>
        <v>H</v>
      </c>
      <c r="F88" s="63">
        <v>9</v>
      </c>
      <c r="G88" s="64">
        <f>VLOOKUP(B88,'Insumos e Serviços'!$A:$F,6,0)</f>
        <v>17.739999999999998</v>
      </c>
      <c r="H88" s="64">
        <f t="shared" si="15"/>
        <v>159.66</v>
      </c>
    </row>
    <row r="89" spans="1:8" ht="23.25" thickBot="1" x14ac:dyDescent="0.25">
      <c r="A89" s="61" t="str">
        <f>VLOOKUP(B89,'Insumos e Serviços'!$A:$F,3,0)</f>
        <v>Composição</v>
      </c>
      <c r="B89" s="61" t="s">
        <v>41</v>
      </c>
      <c r="C89" s="52" t="str">
        <f>VLOOKUP(B89,'Insumos e Serviços'!$A:$F,2,0)</f>
        <v>SINAPI</v>
      </c>
      <c r="D89" s="62" t="str">
        <f>VLOOKUP(B89,'Insumos e Serviços'!$A:$F,4,0)</f>
        <v>LOCACAO DE ANDAIME METALICO TUBULAR DE ENCAIXE, TIPO DE TORRE, COM LARGURA DE 1 ATE 1,5 M E ALTURA DE *1,00* M</v>
      </c>
      <c r="E89" s="61" t="str">
        <f>VLOOKUP(B89,'Insumos e Serviços'!$A:$F,5,0)</f>
        <v>MXMES</v>
      </c>
      <c r="F89" s="63">
        <v>8</v>
      </c>
      <c r="G89" s="64" t="str">
        <f>VLOOKUP(B89,'Insumos e Serviços'!$A:$F,6,0)</f>
        <v xml:space="preserve"> 12,00</v>
      </c>
      <c r="H89" s="64">
        <f t="shared" si="15"/>
        <v>96</v>
      </c>
    </row>
    <row r="90" spans="1:8" ht="12" thickTop="1" x14ac:dyDescent="0.2">
      <c r="A90" s="20"/>
      <c r="B90" s="20"/>
      <c r="C90" s="20"/>
      <c r="D90" s="20"/>
      <c r="E90" s="20"/>
      <c r="F90" s="21"/>
      <c r="G90" s="21"/>
      <c r="H90" s="21"/>
    </row>
    <row r="91" spans="1:8" ht="22.5" x14ac:dyDescent="0.2">
      <c r="A91" s="56" t="s">
        <v>111</v>
      </c>
      <c r="B91" s="57" t="str">
        <f>VLOOKUP(A91,'Orçamento Sintético'!$A:$H,2,0)</f>
        <v xml:space="preserve"> MPDFT0583 </v>
      </c>
      <c r="C91" s="57" t="str">
        <f>VLOOKUP(A91,'Orçamento Sintético'!$A:$H,3,0)</f>
        <v>Próprio</v>
      </c>
      <c r="D91" s="58" t="str">
        <f>VLOOKUP(A91,'Orçamento Sintético'!$A:$H,4,0)</f>
        <v>Copia da SBC (022412) - Remoção de pintura textura em paredes internas e externas</v>
      </c>
      <c r="E91" s="57" t="str">
        <f>VLOOKUP(A91,'Orçamento Sintético'!$A:$H,5,0)</f>
        <v>m²</v>
      </c>
      <c r="F91" s="59"/>
      <c r="G91" s="60"/>
      <c r="H91" s="60">
        <f>H92</f>
        <v>5.3</v>
      </c>
    </row>
    <row r="92" spans="1:8" ht="12" thickBot="1" x14ac:dyDescent="0.25">
      <c r="A92" s="61" t="str">
        <f>VLOOKUP(B92,'Insumos e Serviços'!$A:$F,3,0)</f>
        <v>Composição</v>
      </c>
      <c r="B92" s="61">
        <v>88316</v>
      </c>
      <c r="C92" s="52" t="str">
        <f>VLOOKUP(B92,'Insumos e Serviços'!$A:$F,2,0)</f>
        <v>SINAPI</v>
      </c>
      <c r="D92" s="62" t="str">
        <f>VLOOKUP(B92,'Insumos e Serviços'!$A:$F,4,0)</f>
        <v>SERVENTE COM ENCARGOS COMPLEMENTARES</v>
      </c>
      <c r="E92" s="61" t="str">
        <f>VLOOKUP(B92,'Insumos e Serviços'!$A:$F,5,0)</f>
        <v>H</v>
      </c>
      <c r="F92" s="63">
        <v>0.309</v>
      </c>
      <c r="G92" s="64">
        <f>VLOOKUP(B92,'Insumos e Serviços'!$A:$F,6,0)</f>
        <v>17.170000000000002</v>
      </c>
      <c r="H92" s="64">
        <f t="shared" ref="H92" si="16">TRUNC(F92*G92,2)</f>
        <v>5.3</v>
      </c>
    </row>
    <row r="93" spans="1:8" ht="12" thickTop="1" x14ac:dyDescent="0.2">
      <c r="A93" s="20"/>
      <c r="B93" s="20"/>
      <c r="C93" s="20"/>
      <c r="D93" s="20"/>
      <c r="E93" s="20"/>
      <c r="F93" s="21"/>
      <c r="G93" s="21"/>
      <c r="H93" s="21"/>
    </row>
    <row r="94" spans="1:8" x14ac:dyDescent="0.2">
      <c r="A94" s="56" t="s">
        <v>114</v>
      </c>
      <c r="B94" s="57" t="str">
        <f>VLOOKUP(A94,'Orçamento Sintético'!$A:$H,2,0)</f>
        <v xml:space="preserve"> MPDFT0509 </v>
      </c>
      <c r="C94" s="57" t="str">
        <f>VLOOKUP(A94,'Orçamento Sintético'!$A:$H,3,0)</f>
        <v>Próprio</v>
      </c>
      <c r="D94" s="58" t="str">
        <f>VLOOKUP(A94,'Orçamento Sintético'!$A:$H,4,0)</f>
        <v>Transporte de material – bota-fora, D.M.T = 60,0 km</v>
      </c>
      <c r="E94" s="57" t="str">
        <f>VLOOKUP(A94,'Orçamento Sintético'!$A:$H,5,0)</f>
        <v>m³</v>
      </c>
      <c r="F94" s="59"/>
      <c r="G94" s="60"/>
      <c r="H94" s="60">
        <f>SUM(H95:H96)</f>
        <v>63.2</v>
      </c>
    </row>
    <row r="95" spans="1:8" ht="25.5" customHeight="1" x14ac:dyDescent="0.2">
      <c r="A95" s="61" t="str">
        <f>VLOOKUP(B95,'Insumos e Serviços'!$A:$F,3,0)</f>
        <v>Composição</v>
      </c>
      <c r="B95" s="61" t="s">
        <v>460</v>
      </c>
      <c r="C95" s="52" t="str">
        <f>VLOOKUP(B95,'Insumos e Serviços'!$A:$F,2,0)</f>
        <v>SINAPI</v>
      </c>
      <c r="D95" s="62" t="str">
        <f>VLOOKUP(B95,'Insumos e Serviços'!$A:$F,4,0)</f>
        <v>TRANSPORTE COM CAMINHÃO BASCULANTE DE 6 M3, EM VIA URBANA PAVIMENTADA, DMT ACIMA DE 30 KM (UNIDADE: M3XKM). AF_01/2018</v>
      </c>
      <c r="E95" s="61" t="str">
        <f>VLOOKUP(B95,'Insumos e Serviços'!$A:$F,5,0)</f>
        <v>M3XKM</v>
      </c>
      <c r="F95" s="63">
        <v>60</v>
      </c>
      <c r="G95" s="64">
        <f>VLOOKUP(B95,'Insumos e Serviços'!$A:$F,6,0)</f>
        <v>0.71</v>
      </c>
      <c r="H95" s="64">
        <f t="shared" ref="H95:H96" si="17">TRUNC(F95*G95,2)</f>
        <v>42.6</v>
      </c>
    </row>
    <row r="96" spans="1:8" ht="25.5" customHeight="1" thickBot="1" x14ac:dyDescent="0.25">
      <c r="A96" s="61" t="str">
        <f>VLOOKUP(B96,'Insumos e Serviços'!$A:$F,3,0)</f>
        <v>Composição</v>
      </c>
      <c r="B96" s="61">
        <v>88316</v>
      </c>
      <c r="C96" s="52" t="str">
        <f>VLOOKUP(B96,'Insumos e Serviços'!$A:$F,2,0)</f>
        <v>SINAPI</v>
      </c>
      <c r="D96" s="62" t="str">
        <f>VLOOKUP(B96,'Insumos e Serviços'!$A:$F,4,0)</f>
        <v>SERVENTE COM ENCARGOS COMPLEMENTARES</v>
      </c>
      <c r="E96" s="61" t="str">
        <f>VLOOKUP(B96,'Insumos e Serviços'!$A:$F,5,0)</f>
        <v>H</v>
      </c>
      <c r="F96" s="63">
        <v>1.2</v>
      </c>
      <c r="G96" s="64">
        <f>VLOOKUP(B96,'Insumos e Serviços'!$A:$F,6,0)</f>
        <v>17.170000000000002</v>
      </c>
      <c r="H96" s="64">
        <f t="shared" si="17"/>
        <v>20.6</v>
      </c>
    </row>
    <row r="97" spans="1:8" ht="12" thickTop="1" x14ac:dyDescent="0.2">
      <c r="A97" s="20"/>
      <c r="B97" s="20"/>
      <c r="C97" s="20"/>
      <c r="D97" s="20"/>
      <c r="E97" s="20"/>
      <c r="F97" s="21"/>
      <c r="G97" s="21"/>
      <c r="H97" s="21"/>
    </row>
    <row r="98" spans="1:8" x14ac:dyDescent="0.2">
      <c r="A98" s="12" t="s">
        <v>117</v>
      </c>
      <c r="B98" s="12"/>
      <c r="C98" s="12"/>
      <c r="D98" s="80" t="str">
        <f>VLOOKUP(A98,'Orçamento Sintético'!$A:$H,4,0)</f>
        <v>ARQUITETURA E ELEMENTOS DE URBANISMO</v>
      </c>
      <c r="E98" s="46"/>
      <c r="F98" s="24"/>
      <c r="G98" s="12"/>
      <c r="H98" s="7"/>
    </row>
    <row r="99" spans="1:8" x14ac:dyDescent="0.2">
      <c r="A99" s="56" t="s">
        <v>119</v>
      </c>
      <c r="B99" s="25"/>
      <c r="C99" s="25"/>
      <c r="D99" s="84" t="str">
        <f>VLOOKUP(A99,'Orçamento Sintético'!$A:$H,4,0)</f>
        <v>ARQUITETURA</v>
      </c>
      <c r="E99" s="48"/>
      <c r="F99" s="26"/>
      <c r="G99" s="27"/>
      <c r="H99" s="28"/>
    </row>
    <row r="100" spans="1:8" x14ac:dyDescent="0.2">
      <c r="A100" s="14" t="s">
        <v>126</v>
      </c>
      <c r="B100" s="14"/>
      <c r="C100" s="14"/>
      <c r="D100" s="81" t="str">
        <f>VLOOKUP(A100,'Orçamento Sintético'!$A:$H,4,0)</f>
        <v>Esquadria de alumínio</v>
      </c>
      <c r="E100" s="47"/>
      <c r="F100" s="29"/>
      <c r="G100" s="30"/>
      <c r="H100" s="31"/>
    </row>
    <row r="101" spans="1:8" ht="45" x14ac:dyDescent="0.2">
      <c r="A101" s="56" t="s">
        <v>128</v>
      </c>
      <c r="B101" s="57" t="str">
        <f>VLOOKUP(A101,'Orçamento Sintético'!$A:$H,2,0)</f>
        <v xml:space="preserve"> MPDFT0510 </v>
      </c>
      <c r="C101" s="57" t="str">
        <f>VLOOKUP(A101,'Orçamento Sintético'!$A:$H,3,0)</f>
        <v>Próprio</v>
      </c>
      <c r="D101" s="58" t="str">
        <f>VLOOKUP(A101,'Orçamento Sintético'!$A:$H,4,0)</f>
        <v>Alçapão em alumínio - tampa em chapa dobrada xadrez antiderrapante, DM 60x60 cm - incluso  batente e dobradiças em alumínio, borracha de vedação, cadeado e mureta de bordo (h=15cm) em alvenaria maciça - acab. Natural, modelo Inova marca Prolider</v>
      </c>
      <c r="E101" s="57" t="str">
        <f>VLOOKUP(A101,'Orçamento Sintético'!$A:$H,5,0)</f>
        <v>un</v>
      </c>
      <c r="F101" s="59"/>
      <c r="G101" s="60"/>
      <c r="H101" s="60">
        <f>SUM(H102:H108)</f>
        <v>432.45000000000005</v>
      </c>
    </row>
    <row r="102" spans="1:8" ht="25.5" customHeight="1" x14ac:dyDescent="0.2">
      <c r="A102" s="61" t="str">
        <f>VLOOKUP(B102,'Insumos e Serviços'!$A:$F,3,0)</f>
        <v>Composição</v>
      </c>
      <c r="B102" s="61" t="s">
        <v>463</v>
      </c>
      <c r="C102" s="52" t="str">
        <f>VLOOKUP(B102,'Insumos e Serviços'!$A:$F,2,0)</f>
        <v>SINAPI</v>
      </c>
      <c r="D102" s="62" t="str">
        <f>VLOOKUP(B102,'Insumos e Serviços'!$A:$F,4,0)</f>
        <v>DEMOLIÇÃO DE LAJES, DE FORMA MANUAL, SEM REAPROVEITAMENTO. AF_12/2017</v>
      </c>
      <c r="E102" s="61" t="str">
        <f>VLOOKUP(B102,'Insumos e Serviços'!$A:$F,5,0)</f>
        <v>m³</v>
      </c>
      <c r="F102" s="63">
        <v>0.42</v>
      </c>
      <c r="G102" s="64">
        <f>VLOOKUP(B102,'Insumos e Serviços'!$A:$F,6,0)</f>
        <v>223.09</v>
      </c>
      <c r="H102" s="64">
        <f t="shared" ref="H102:H108" si="18">TRUNC(F102*G102,2)</f>
        <v>93.69</v>
      </c>
    </row>
    <row r="103" spans="1:8" ht="22.5" x14ac:dyDescent="0.2">
      <c r="A103" s="61" t="str">
        <f>VLOOKUP(B103,'Insumos e Serviços'!$A:$F,3,0)</f>
        <v>Composição</v>
      </c>
      <c r="B103" s="61">
        <v>101159</v>
      </c>
      <c r="C103" s="52" t="str">
        <f>VLOOKUP(B103,'Insumos e Serviços'!$A:$F,2,0)</f>
        <v>SINAPI</v>
      </c>
      <c r="D103" s="62" t="str">
        <f>VLOOKUP(B103,'Insumos e Serviços'!$A:$F,4,0)</f>
        <v>ALVENARIA DE VEDAÇÃO DE BLOCOS CERÂMICOS MACIÇOS DE 5X10X20CM (ESPESSURA 10CM) E ARGAMASSA DE ASSENTAMENTO COM PREPARO EM BETONEIRA. AF_05/2020</v>
      </c>
      <c r="E103" s="61" t="str">
        <f>VLOOKUP(B103,'Insumos e Serviços'!$A:$F,5,0)</f>
        <v>m²</v>
      </c>
      <c r="F103" s="63">
        <v>0.36</v>
      </c>
      <c r="G103" s="64">
        <f>VLOOKUP(B103,'Insumos e Serviços'!$A:$F,6,0)</f>
        <v>123.95</v>
      </c>
      <c r="H103" s="64">
        <f t="shared" si="18"/>
        <v>44.62</v>
      </c>
    </row>
    <row r="104" spans="1:8" ht="38.25" customHeight="1" x14ac:dyDescent="0.2">
      <c r="A104" s="61" t="str">
        <f>VLOOKUP(B104,'Insumos e Serviços'!$A:$F,3,0)</f>
        <v>Composição</v>
      </c>
      <c r="B104" s="61" t="s">
        <v>182</v>
      </c>
      <c r="C104" s="52" t="str">
        <f>VLOOKUP(B104,'Insumos e Serviços'!$A:$F,2,0)</f>
        <v>SINAPI</v>
      </c>
      <c r="D104" s="62" t="str">
        <f>VLOOKUP(B104,'Insumos e Serviços'!$A:$F,4,0)</f>
        <v>CHAPISCO APLICADO EM ALVENARIAS E ESTRUTURAS DE CONCRETO INTERNAS, COM COLHER DE PEDREIRO.  ARGAMASSA TRAÇO 1:3 COM PREPARO EM BETONEIRA 400L. AF_06/2014</v>
      </c>
      <c r="E104" s="61" t="str">
        <f>VLOOKUP(B104,'Insumos e Serviços'!$A:$F,5,0)</f>
        <v>m²</v>
      </c>
      <c r="F104" s="63">
        <v>0.72</v>
      </c>
      <c r="G104" s="64">
        <f>VLOOKUP(B104,'Insumos e Serviços'!$A:$F,6,0)</f>
        <v>3.4</v>
      </c>
      <c r="H104" s="64">
        <f t="shared" si="18"/>
        <v>2.44</v>
      </c>
    </row>
    <row r="105" spans="1:8" ht="33.75" x14ac:dyDescent="0.2">
      <c r="A105" s="61" t="str">
        <f>VLOOKUP(B105,'Insumos e Serviços'!$A:$F,3,0)</f>
        <v>Composição</v>
      </c>
      <c r="B105" s="61" t="s">
        <v>465</v>
      </c>
      <c r="C105" s="52" t="str">
        <f>VLOOKUP(B105,'Insumos e Serviços'!$A:$F,2,0)</f>
        <v>SINAPI</v>
      </c>
      <c r="D105" s="62" t="str">
        <f>VLOOKUP(B105,'Insumos e Serviços'!$A:$F,4,0)</f>
        <v>EMBOÇO OU MASSA ÚNICA EM ARGAMASSA TRAÇO 1:2:8, PREPARO MECÂNICO COM BETONEIRA 400 L, APLICADA MANUALMENTE EM PANOS CEGOS DE FACHADA (SEM PRESENÇA DE VÃOS), ESPESSURA DE 25 MM. AF_06/2014</v>
      </c>
      <c r="E105" s="61" t="str">
        <f>VLOOKUP(B105,'Insumos e Serviços'!$A:$F,5,0)</f>
        <v>m²</v>
      </c>
      <c r="F105" s="63">
        <v>0.72</v>
      </c>
      <c r="G105" s="64">
        <f>VLOOKUP(B105,'Insumos e Serviços'!$A:$F,6,0)</f>
        <v>32.33</v>
      </c>
      <c r="H105" s="64">
        <f t="shared" si="18"/>
        <v>23.27</v>
      </c>
    </row>
    <row r="106" spans="1:8" ht="38.25" customHeight="1" x14ac:dyDescent="0.2">
      <c r="A106" s="61" t="str">
        <f>VLOOKUP(B106,'Insumos e Serviços'!$A:$F,3,0)</f>
        <v>Composição</v>
      </c>
      <c r="B106" s="61" t="s">
        <v>467</v>
      </c>
      <c r="C106" s="52" t="str">
        <f>VLOOKUP(B106,'Insumos e Serviços'!$A:$F,2,0)</f>
        <v>SINAPI</v>
      </c>
      <c r="D106" s="62" t="str">
        <f>VLOOKUP(B106,'Insumos e Serviços'!$A:$F,4,0)</f>
        <v>PORTA DE ALUMÍNIO DE ABRIR COM LAMBRI, COM GUARNIÇÃO, FIXAÇÃO COM PARAFUSOS - FORNECIMENTO E INSTALAÇÃO. AF_12/2019</v>
      </c>
      <c r="E106" s="61" t="str">
        <f>VLOOKUP(B106,'Insumos e Serviços'!$A:$F,5,0)</f>
        <v>m²</v>
      </c>
      <c r="F106" s="63">
        <v>0.36</v>
      </c>
      <c r="G106" s="64">
        <f>VLOOKUP(B106,'Insumos e Serviços'!$A:$F,6,0)</f>
        <v>645.23</v>
      </c>
      <c r="H106" s="64">
        <f t="shared" si="18"/>
        <v>232.28</v>
      </c>
    </row>
    <row r="107" spans="1:8" ht="22.5" x14ac:dyDescent="0.2">
      <c r="A107" s="61" t="str">
        <f>VLOOKUP(B107,'Insumos e Serviços'!$A:$F,3,0)</f>
        <v>Composição</v>
      </c>
      <c r="B107" s="61" t="s">
        <v>469</v>
      </c>
      <c r="C107" s="52" t="str">
        <f>VLOOKUP(B107,'Insumos e Serviços'!$A:$F,2,0)</f>
        <v>SINAPI</v>
      </c>
      <c r="D107" s="62" t="str">
        <f>VLOOKUP(B107,'Insumos e Serviços'!$A:$F,4,0)</f>
        <v>ARGAMASSA TRAÇO 1:3 (CIMENTO E AREIA MÉDIA) PARA CONTRAPISO, PREPARO MECÂNICO COM BETONEIRA 400 L. AF_06/2014</v>
      </c>
      <c r="E107" s="61" t="str">
        <f>VLOOKUP(B107,'Insumos e Serviços'!$A:$F,5,0)</f>
        <v>m³</v>
      </c>
      <c r="F107" s="63">
        <v>2.1000000000000001E-2</v>
      </c>
      <c r="G107" s="64">
        <f>VLOOKUP(B107,'Insumos e Serviços'!$A:$F,6,0)</f>
        <v>469.31</v>
      </c>
      <c r="H107" s="64">
        <f t="shared" si="18"/>
        <v>9.85</v>
      </c>
    </row>
    <row r="108" spans="1:8" ht="23.25" thickBot="1" x14ac:dyDescent="0.25">
      <c r="A108" s="61" t="str">
        <f>VLOOKUP(B108,'Insumos e Serviços'!$A:$F,3,0)</f>
        <v>Insumo</v>
      </c>
      <c r="B108" s="61" t="s">
        <v>471</v>
      </c>
      <c r="C108" s="52" t="str">
        <f>VLOOKUP(B108,'Insumos e Serviços'!$A:$F,2,0)</f>
        <v>SINAPI</v>
      </c>
      <c r="D108" s="62" t="str">
        <f>VLOOKUP(B108,'Insumos e Serviços'!$A:$F,4,0)</f>
        <v>CADEADO SIMPLES, EM LATAO MACICO CROMADO, LARGURA DE 35 MM,  HASTE DE ACO TEMPERADO, CEMENTADO (NAO LONGA), INCLUI 2 CHAVES</v>
      </c>
      <c r="E108" s="61" t="str">
        <f>VLOOKUP(B108,'Insumos e Serviços'!$A:$F,5,0)</f>
        <v>UN</v>
      </c>
      <c r="F108" s="63">
        <v>1</v>
      </c>
      <c r="G108" s="64">
        <f>VLOOKUP(B108,'Insumos e Serviços'!$A:$F,6,0)</f>
        <v>26.3</v>
      </c>
      <c r="H108" s="64">
        <f t="shared" si="18"/>
        <v>26.3</v>
      </c>
    </row>
    <row r="109" spans="1:8" ht="12" thickTop="1" x14ac:dyDescent="0.2">
      <c r="A109" s="20"/>
      <c r="B109" s="20"/>
      <c r="C109" s="20"/>
      <c r="D109" s="20"/>
      <c r="E109" s="20"/>
      <c r="F109" s="21"/>
      <c r="G109" s="21"/>
      <c r="H109" s="21"/>
    </row>
    <row r="110" spans="1:8" ht="45" x14ac:dyDescent="0.2">
      <c r="A110" s="56" t="s">
        <v>131</v>
      </c>
      <c r="B110" s="57" t="str">
        <f>VLOOKUP(A110,'Orçamento Sintético'!$A:$H,2,0)</f>
        <v xml:space="preserve"> MPDFT0511 </v>
      </c>
      <c r="C110" s="57" t="str">
        <f>VLOOKUP(A110,'Orçamento Sintético'!$A:$H,3,0)</f>
        <v>Próprio</v>
      </c>
      <c r="D110" s="58" t="str">
        <f>VLOOKUP(A110,'Orçamento Sintético'!$A:$H,4,0)</f>
        <v>Substituição de alçapão existente DN 70x70cm por Alçapão em alumínio - tampa em chapa dobrada xadrez antiderrapante, DN 60x60cm - incluso  batente e dobradiças em alumínio, boracha de vedação e cadeado - acab. Natural, modelo Inova marca Prolider</v>
      </c>
      <c r="E110" s="57" t="str">
        <f>VLOOKUP(A110,'Orçamento Sintético'!$A:$H,5,0)</f>
        <v>un</v>
      </c>
      <c r="F110" s="59"/>
      <c r="G110" s="60"/>
      <c r="H110" s="60">
        <f>SUM(H111:H116)</f>
        <v>338.76000000000005</v>
      </c>
    </row>
    <row r="111" spans="1:8" ht="22.5" x14ac:dyDescent="0.2">
      <c r="A111" s="61" t="str">
        <f>VLOOKUP(B111,'Insumos e Serviços'!$A:$F,3,0)</f>
        <v>Composição</v>
      </c>
      <c r="B111" s="61">
        <v>101159</v>
      </c>
      <c r="C111" s="52" t="str">
        <f>VLOOKUP(B111,'Insumos e Serviços'!$A:$F,2,0)</f>
        <v>SINAPI</v>
      </c>
      <c r="D111" s="62" t="str">
        <f>VLOOKUP(B111,'Insumos e Serviços'!$A:$F,4,0)</f>
        <v>ALVENARIA DE VEDAÇÃO DE BLOCOS CERÂMICOS MACIÇOS DE 5X10X20CM (ESPESSURA 10CM) E ARGAMASSA DE ASSENTAMENTO COM PREPARO EM BETONEIRA. AF_05/2020</v>
      </c>
      <c r="E111" s="61" t="str">
        <f>VLOOKUP(B111,'Insumos e Serviços'!$A:$F,5,0)</f>
        <v>m²</v>
      </c>
      <c r="F111" s="63">
        <v>0.36</v>
      </c>
      <c r="G111" s="64">
        <f>VLOOKUP(B111,'Insumos e Serviços'!$A:$F,6,0)</f>
        <v>123.95</v>
      </c>
      <c r="H111" s="64">
        <f t="shared" ref="H111:H116" si="19">TRUNC(F111*G111,2)</f>
        <v>44.62</v>
      </c>
    </row>
    <row r="112" spans="1:8" ht="38.25" customHeight="1" x14ac:dyDescent="0.2">
      <c r="A112" s="61" t="str">
        <f>VLOOKUP(B112,'Insumos e Serviços'!$A:$F,3,0)</f>
        <v>Composição</v>
      </c>
      <c r="B112" s="61" t="s">
        <v>182</v>
      </c>
      <c r="C112" s="52" t="str">
        <f>VLOOKUP(B112,'Insumos e Serviços'!$A:$F,2,0)</f>
        <v>SINAPI</v>
      </c>
      <c r="D112" s="62" t="str">
        <f>VLOOKUP(B112,'Insumos e Serviços'!$A:$F,4,0)</f>
        <v>CHAPISCO APLICADO EM ALVENARIAS E ESTRUTURAS DE CONCRETO INTERNAS, COM COLHER DE PEDREIRO.  ARGAMASSA TRAÇO 1:3 COM PREPARO EM BETONEIRA 400L. AF_06/2014</v>
      </c>
      <c r="E112" s="61" t="str">
        <f>VLOOKUP(B112,'Insumos e Serviços'!$A:$F,5,0)</f>
        <v>m²</v>
      </c>
      <c r="F112" s="63">
        <v>0.72</v>
      </c>
      <c r="G112" s="64">
        <f>VLOOKUP(B112,'Insumos e Serviços'!$A:$F,6,0)</f>
        <v>3.4</v>
      </c>
      <c r="H112" s="64">
        <f t="shared" si="19"/>
        <v>2.44</v>
      </c>
    </row>
    <row r="113" spans="1:8" ht="33.75" x14ac:dyDescent="0.2">
      <c r="A113" s="61" t="str">
        <f>VLOOKUP(B113,'Insumos e Serviços'!$A:$F,3,0)</f>
        <v>Composição</v>
      </c>
      <c r="B113" s="61" t="s">
        <v>465</v>
      </c>
      <c r="C113" s="52" t="str">
        <f>VLOOKUP(B113,'Insumos e Serviços'!$A:$F,2,0)</f>
        <v>SINAPI</v>
      </c>
      <c r="D113" s="62" t="str">
        <f>VLOOKUP(B113,'Insumos e Serviços'!$A:$F,4,0)</f>
        <v>EMBOÇO OU MASSA ÚNICA EM ARGAMASSA TRAÇO 1:2:8, PREPARO MECÂNICO COM BETONEIRA 400 L, APLICADA MANUALMENTE EM PANOS CEGOS DE FACHADA (SEM PRESENÇA DE VÃOS), ESPESSURA DE 25 MM. AF_06/2014</v>
      </c>
      <c r="E113" s="61" t="str">
        <f>VLOOKUP(B113,'Insumos e Serviços'!$A:$F,5,0)</f>
        <v>m²</v>
      </c>
      <c r="F113" s="63">
        <v>0.72</v>
      </c>
      <c r="G113" s="64">
        <f>VLOOKUP(B113,'Insumos e Serviços'!$A:$F,6,0)</f>
        <v>32.33</v>
      </c>
      <c r="H113" s="64">
        <f t="shared" si="19"/>
        <v>23.27</v>
      </c>
    </row>
    <row r="114" spans="1:8" ht="38.25" customHeight="1" x14ac:dyDescent="0.2">
      <c r="A114" s="61" t="str">
        <f>VLOOKUP(B114,'Insumos e Serviços'!$A:$F,3,0)</f>
        <v>Composição</v>
      </c>
      <c r="B114" s="61" t="s">
        <v>467</v>
      </c>
      <c r="C114" s="52" t="str">
        <f>VLOOKUP(B114,'Insumos e Serviços'!$A:$F,2,0)</f>
        <v>SINAPI</v>
      </c>
      <c r="D114" s="62" t="str">
        <f>VLOOKUP(B114,'Insumos e Serviços'!$A:$F,4,0)</f>
        <v>PORTA DE ALUMÍNIO DE ABRIR COM LAMBRI, COM GUARNIÇÃO, FIXAÇÃO COM PARAFUSOS - FORNECIMENTO E INSTALAÇÃO. AF_12/2019</v>
      </c>
      <c r="E114" s="61" t="str">
        <f>VLOOKUP(B114,'Insumos e Serviços'!$A:$F,5,0)</f>
        <v>m²</v>
      </c>
      <c r="F114" s="63">
        <v>0.36</v>
      </c>
      <c r="G114" s="64">
        <f>VLOOKUP(B114,'Insumos e Serviços'!$A:$F,6,0)</f>
        <v>645.23</v>
      </c>
      <c r="H114" s="64">
        <f t="shared" si="19"/>
        <v>232.28</v>
      </c>
    </row>
    <row r="115" spans="1:8" ht="22.5" x14ac:dyDescent="0.2">
      <c r="A115" s="61" t="str">
        <f>VLOOKUP(B115,'Insumos e Serviços'!$A:$F,3,0)</f>
        <v>Composição</v>
      </c>
      <c r="B115" s="61" t="s">
        <v>469</v>
      </c>
      <c r="C115" s="52" t="str">
        <f>VLOOKUP(B115,'Insumos e Serviços'!$A:$F,2,0)</f>
        <v>SINAPI</v>
      </c>
      <c r="D115" s="62" t="str">
        <f>VLOOKUP(B115,'Insumos e Serviços'!$A:$F,4,0)</f>
        <v>ARGAMASSA TRAÇO 1:3 (CIMENTO E AREIA MÉDIA) PARA CONTRAPISO, PREPARO MECÂNICO COM BETONEIRA 400 L. AF_06/2014</v>
      </c>
      <c r="E115" s="61" t="str">
        <f>VLOOKUP(B115,'Insumos e Serviços'!$A:$F,5,0)</f>
        <v>m³</v>
      </c>
      <c r="F115" s="63">
        <v>2.1000000000000001E-2</v>
      </c>
      <c r="G115" s="64">
        <f>VLOOKUP(B115,'Insumos e Serviços'!$A:$F,6,0)</f>
        <v>469.31</v>
      </c>
      <c r="H115" s="64">
        <f t="shared" si="19"/>
        <v>9.85</v>
      </c>
    </row>
    <row r="116" spans="1:8" ht="23.25" thickBot="1" x14ac:dyDescent="0.25">
      <c r="A116" s="61" t="str">
        <f>VLOOKUP(B116,'Insumos e Serviços'!$A:$F,3,0)</f>
        <v>Insumo</v>
      </c>
      <c r="B116" s="61" t="s">
        <v>471</v>
      </c>
      <c r="C116" s="52" t="str">
        <f>VLOOKUP(B116,'Insumos e Serviços'!$A:$F,2,0)</f>
        <v>SINAPI</v>
      </c>
      <c r="D116" s="62" t="str">
        <f>VLOOKUP(B116,'Insumos e Serviços'!$A:$F,4,0)</f>
        <v>CADEADO SIMPLES, EM LATAO MACICO CROMADO, LARGURA DE 35 MM,  HASTE DE ACO TEMPERADO, CEMENTADO (NAO LONGA), INCLUI 2 CHAVES</v>
      </c>
      <c r="E116" s="61" t="str">
        <f>VLOOKUP(B116,'Insumos e Serviços'!$A:$F,5,0)</f>
        <v>UN</v>
      </c>
      <c r="F116" s="63">
        <v>1</v>
      </c>
      <c r="G116" s="64">
        <f>VLOOKUP(B116,'Insumos e Serviços'!$A:$F,6,0)</f>
        <v>26.3</v>
      </c>
      <c r="H116" s="64">
        <f t="shared" si="19"/>
        <v>26.3</v>
      </c>
    </row>
    <row r="117" spans="1:8" ht="12" thickTop="1" x14ac:dyDescent="0.2">
      <c r="A117" s="20"/>
      <c r="B117" s="20"/>
      <c r="C117" s="20"/>
      <c r="D117" s="20"/>
      <c r="E117" s="20"/>
      <c r="F117" s="21"/>
      <c r="G117" s="21"/>
      <c r="H117" s="21"/>
    </row>
    <row r="118" spans="1:8" ht="22.5" x14ac:dyDescent="0.2">
      <c r="A118" s="56" t="s">
        <v>134</v>
      </c>
      <c r="B118" s="57" t="str">
        <f>VLOOKUP(A118,'Orçamento Sintético'!$A:$H,2,0)</f>
        <v xml:space="preserve"> MPDFT0610 </v>
      </c>
      <c r="C118" s="57" t="str">
        <f>VLOOKUP(A118,'Orçamento Sintético'!$A:$H,3,0)</f>
        <v>Próprio</v>
      </c>
      <c r="D118" s="58" t="str">
        <f>VLOOKUP(A118,'Orçamento Sintético'!$A:$H,4,0)</f>
        <v>Copia da SINAPI (100674) - TELA MOSQUITEIRA EM ARAME GALVANIZADO COM REQUADRO</v>
      </c>
      <c r="E118" s="57" t="str">
        <f>VLOOKUP(A118,'Orçamento Sintético'!$A:$H,5,0)</f>
        <v>m²</v>
      </c>
      <c r="F118" s="59"/>
      <c r="G118" s="60"/>
      <c r="H118" s="60">
        <f>SUM(H119:H123)</f>
        <v>441.04</v>
      </c>
    </row>
    <row r="119" spans="1:8" x14ac:dyDescent="0.2">
      <c r="A119" s="61" t="str">
        <f>VLOOKUP(B119,'Insumos e Serviços'!$A:$F,3,0)</f>
        <v>Composição</v>
      </c>
      <c r="B119" s="61" t="s">
        <v>442</v>
      </c>
      <c r="C119" s="52" t="str">
        <f>VLOOKUP(B119,'Insumos e Serviços'!$A:$F,2,0)</f>
        <v>SINAPI</v>
      </c>
      <c r="D119" s="62" t="str">
        <f>VLOOKUP(B119,'Insumos e Serviços'!$A:$F,4,0)</f>
        <v>PEDREIRO COM ENCARGOS COMPLEMENTARES</v>
      </c>
      <c r="E119" s="61" t="str">
        <f>VLOOKUP(B119,'Insumos e Serviços'!$A:$F,5,0)</f>
        <v>H</v>
      </c>
      <c r="F119" s="63">
        <v>0.72</v>
      </c>
      <c r="G119" s="64">
        <f>VLOOKUP(B119,'Insumos e Serviços'!$A:$F,6,0)</f>
        <v>23.25</v>
      </c>
      <c r="H119" s="64">
        <f t="shared" ref="H119:H123" si="20">TRUNC(F119*G119,2)</f>
        <v>16.739999999999998</v>
      </c>
    </row>
    <row r="120" spans="1:8" x14ac:dyDescent="0.2">
      <c r="A120" s="61" t="str">
        <f>VLOOKUP(B120,'Insumos e Serviços'!$A:$F,3,0)</f>
        <v>Composição</v>
      </c>
      <c r="B120" s="61">
        <v>88316</v>
      </c>
      <c r="C120" s="52" t="str">
        <f>VLOOKUP(B120,'Insumos e Serviços'!$A:$F,2,0)</f>
        <v>SINAPI</v>
      </c>
      <c r="D120" s="62" t="str">
        <f>VLOOKUP(B120,'Insumos e Serviços'!$A:$F,4,0)</f>
        <v>SERVENTE COM ENCARGOS COMPLEMENTARES</v>
      </c>
      <c r="E120" s="61" t="str">
        <f>VLOOKUP(B120,'Insumos e Serviços'!$A:$F,5,0)</f>
        <v>H</v>
      </c>
      <c r="F120" s="63">
        <v>0.36</v>
      </c>
      <c r="G120" s="64">
        <f>VLOOKUP(B120,'Insumos e Serviços'!$A:$F,6,0)</f>
        <v>17.170000000000002</v>
      </c>
      <c r="H120" s="64">
        <f t="shared" si="20"/>
        <v>6.18</v>
      </c>
    </row>
    <row r="121" spans="1:8" ht="22.5" x14ac:dyDescent="0.2">
      <c r="A121" s="61" t="str">
        <f>VLOOKUP(B121,'Insumos e Serviços'!$A:$F,3,0)</f>
        <v>Insumo</v>
      </c>
      <c r="B121" s="61" t="s">
        <v>473</v>
      </c>
      <c r="C121" s="52" t="str">
        <f>VLOOKUP(B121,'Insumos e Serviços'!$A:$F,2,0)</f>
        <v>SINAPI</v>
      </c>
      <c r="D121" s="62" t="str">
        <f>VLOOKUP(B121,'Insumos e Serviços'!$A:$F,4,0)</f>
        <v>PARAFUSO DE ACO ZINCADO COM ROSCA SOBERBA, CABECA CHATA E FENDA SIMPLES, DIAMETRO 4,2 MM, COMPRIMENTO * 32 * MM</v>
      </c>
      <c r="E121" s="61" t="str">
        <f>VLOOKUP(B121,'Insumos e Serviços'!$A:$F,5,0)</f>
        <v>UN</v>
      </c>
      <c r="F121" s="63">
        <v>17.413</v>
      </c>
      <c r="G121" s="64">
        <f>VLOOKUP(B121,'Insumos e Serviços'!$A:$F,6,0)</f>
        <v>0.08</v>
      </c>
      <c r="H121" s="64">
        <f t="shared" si="20"/>
        <v>1.39</v>
      </c>
    </row>
    <row r="122" spans="1:8" x14ac:dyDescent="0.2">
      <c r="A122" s="61" t="str">
        <f>VLOOKUP(B122,'Insumos e Serviços'!$A:$F,3,0)</f>
        <v>Insumo</v>
      </c>
      <c r="B122" s="61" t="s">
        <v>475</v>
      </c>
      <c r="C122" s="52" t="str">
        <f>VLOOKUP(B122,'Insumos e Serviços'!$A:$F,2,0)</f>
        <v>SINAPI</v>
      </c>
      <c r="D122" s="62" t="str">
        <f>VLOOKUP(B122,'Insumos e Serviços'!$A:$F,4,0)</f>
        <v>SILICONE ACETICO USO GERAL INCOLOR 280 G</v>
      </c>
      <c r="E122" s="61" t="str">
        <f>VLOOKUP(B122,'Insumos e Serviços'!$A:$F,5,0)</f>
        <v>UN</v>
      </c>
      <c r="F122" s="63">
        <v>0.42399999999999999</v>
      </c>
      <c r="G122" s="64">
        <f>VLOOKUP(B122,'Insumos e Serviços'!$A:$F,6,0)</f>
        <v>17.84</v>
      </c>
      <c r="H122" s="64">
        <f t="shared" si="20"/>
        <v>7.56</v>
      </c>
    </row>
    <row r="123" spans="1:8" ht="12" thickBot="1" x14ac:dyDescent="0.25">
      <c r="A123" s="61" t="str">
        <f>VLOOKUP(B123,'Insumos e Serviços'!$A:$F,3,0)</f>
        <v>Insumo</v>
      </c>
      <c r="B123" s="61" t="s">
        <v>477</v>
      </c>
      <c r="C123" s="52" t="str">
        <f>VLOOKUP(B123,'Insumos e Serviços'!$A:$F,2,0)</f>
        <v>Próprio</v>
      </c>
      <c r="D123" s="62" t="str">
        <f>VLOOKUP(B123,'Insumos e Serviços'!$A:$F,4,0)</f>
        <v>Tela arame galvanizado mosqueteira contra insetos</v>
      </c>
      <c r="E123" s="61" t="str">
        <f>VLOOKUP(B123,'Insumos e Serviços'!$A:$F,5,0)</f>
        <v>m²</v>
      </c>
      <c r="F123" s="63">
        <v>1</v>
      </c>
      <c r="G123" s="64">
        <f>VLOOKUP(B123,'Insumos e Serviços'!$A:$F,6,0)</f>
        <v>409.17</v>
      </c>
      <c r="H123" s="64">
        <f t="shared" si="20"/>
        <v>409.17</v>
      </c>
    </row>
    <row r="124" spans="1:8" ht="12" thickTop="1" x14ac:dyDescent="0.2">
      <c r="A124" s="244"/>
      <c r="B124" s="244"/>
      <c r="C124" s="244"/>
      <c r="D124" s="244"/>
      <c r="E124" s="244"/>
      <c r="F124" s="97"/>
      <c r="G124" s="97"/>
      <c r="H124" s="97"/>
    </row>
    <row r="125" spans="1:8" s="105" customFormat="1" ht="22.5" x14ac:dyDescent="0.2">
      <c r="A125" s="56" t="s">
        <v>687</v>
      </c>
      <c r="B125" s="57" t="str">
        <f>VLOOKUP(A125,'Orçamento Sintético'!$A:$H,2,0)</f>
        <v xml:space="preserve"> MPDFT0867 </v>
      </c>
      <c r="C125" s="57" t="str">
        <f>VLOOKUP(A125,'Orçamento Sintético'!$A:$H,3,0)</f>
        <v>Próprio</v>
      </c>
      <c r="D125" s="58" t="str">
        <f>VLOOKUP(A125,'Orçamento Sintético'!$A:$H,4,0)</f>
        <v>Substituição de borracha de vedação tipo gaxeta em EPDM, ref FAA-218 (GUA 2218 – pingadeira) - Belmetal-Atlanta</v>
      </c>
      <c r="E125" s="57" t="str">
        <f>VLOOKUP(A125,'Orçamento Sintético'!$A:$H,5,0)</f>
        <v>m</v>
      </c>
      <c r="F125" s="59"/>
      <c r="G125" s="60"/>
      <c r="H125" s="60">
        <f>SUM(H126:H128)</f>
        <v>5.52</v>
      </c>
    </row>
    <row r="126" spans="1:8" s="105" customFormat="1" x14ac:dyDescent="0.2">
      <c r="A126" s="61" t="str">
        <f>VLOOKUP(B126,'Insumos e Serviços'!$A:$F,3,0)</f>
        <v>Composição</v>
      </c>
      <c r="B126" s="52" t="s">
        <v>458</v>
      </c>
      <c r="C126" s="52" t="str">
        <f>VLOOKUP(B126,'Insumos e Serviços'!$A:$F,2,0)</f>
        <v>SINAPI</v>
      </c>
      <c r="D126" s="62" t="str">
        <f>VLOOKUP(B126,'Insumos e Serviços'!$A:$F,4,0)</f>
        <v>VIDRACEIRO COM ENCARGOS COMPLEMENTARES</v>
      </c>
      <c r="E126" s="61" t="str">
        <f>VLOOKUP(B126,'Insumos e Serviços'!$A:$F,5,0)</f>
        <v>H</v>
      </c>
      <c r="F126" s="63">
        <v>0.12</v>
      </c>
      <c r="G126" s="64">
        <f>VLOOKUP(B126,'Insumos e Serviços'!$A:$F,6,0)</f>
        <v>21.62</v>
      </c>
      <c r="H126" s="64">
        <f t="shared" ref="H126:H128" si="21">TRUNC(F126*G126,2)</f>
        <v>2.59</v>
      </c>
    </row>
    <row r="127" spans="1:8" s="105" customFormat="1" x14ac:dyDescent="0.2">
      <c r="A127" s="61" t="str">
        <f>VLOOKUP(B127,'Insumos e Serviços'!$A:$F,3,0)</f>
        <v>Composição</v>
      </c>
      <c r="B127" s="61">
        <v>88316</v>
      </c>
      <c r="C127" s="52" t="str">
        <f>VLOOKUP(B127,'Insumos e Serviços'!$A:$F,2,0)</f>
        <v>SINAPI</v>
      </c>
      <c r="D127" s="62" t="str">
        <f>VLOOKUP(B127,'Insumos e Serviços'!$A:$F,4,0)</f>
        <v>SERVENTE COM ENCARGOS COMPLEMENTARES</v>
      </c>
      <c r="E127" s="61" t="str">
        <f>VLOOKUP(B127,'Insumos e Serviços'!$A:$F,5,0)</f>
        <v>H</v>
      </c>
      <c r="F127" s="63">
        <v>0.06</v>
      </c>
      <c r="G127" s="64">
        <f>VLOOKUP(B127,'Insumos e Serviços'!$A:$F,6,0)</f>
        <v>17.170000000000002</v>
      </c>
      <c r="H127" s="64">
        <f t="shared" si="21"/>
        <v>1.03</v>
      </c>
    </row>
    <row r="128" spans="1:8" s="105" customFormat="1" ht="23.25" thickBot="1" x14ac:dyDescent="0.25">
      <c r="A128" s="61" t="str">
        <f>VLOOKUP(B128,'Insumos e Serviços'!$A:$F,3,0)</f>
        <v>Insumo</v>
      </c>
      <c r="B128" s="61" t="s">
        <v>671</v>
      </c>
      <c r="C128" s="52" t="str">
        <f>VLOOKUP(B128,'Insumos e Serviços'!$A:$F,2,0)</f>
        <v>Próprio</v>
      </c>
      <c r="D128" s="62" t="str">
        <f>VLOOKUP(B128,'Insumos e Serviços'!$A:$F,4,0)</f>
        <v>Borracha de vedação tipo gaxeta em EPDM, ref FAA-218 (GUA 2218 – pingadeira) - Belmetal-Atlanta</v>
      </c>
      <c r="E128" s="61" t="str">
        <f>VLOOKUP(B128,'Insumos e Serviços'!$A:$F,5,0)</f>
        <v>m</v>
      </c>
      <c r="F128" s="63">
        <v>1.05</v>
      </c>
      <c r="G128" s="64">
        <f>VLOOKUP(B128,'Insumos e Serviços'!$A:$F,6,0)</f>
        <v>1.81</v>
      </c>
      <c r="H128" s="64">
        <f t="shared" si="21"/>
        <v>1.9</v>
      </c>
    </row>
    <row r="129" spans="1:8" s="105" customFormat="1" ht="12" thickTop="1" x14ac:dyDescent="0.2">
      <c r="A129" s="244"/>
      <c r="B129" s="244"/>
      <c r="C129" s="244"/>
      <c r="D129" s="244"/>
      <c r="E129" s="244"/>
      <c r="F129" s="97"/>
      <c r="G129" s="97"/>
      <c r="H129" s="97"/>
    </row>
    <row r="130" spans="1:8" s="105" customFormat="1" ht="22.5" x14ac:dyDescent="0.2">
      <c r="A130" s="56" t="s">
        <v>689</v>
      </c>
      <c r="B130" s="57" t="str">
        <f>VLOOKUP(A130,'Orçamento Sintético'!$A:$H,2,0)</f>
        <v xml:space="preserve">  MPDFT0868  </v>
      </c>
      <c r="C130" s="57" t="str">
        <f>VLOOKUP(A130,'Orçamento Sintético'!$A:$H,3,0)</f>
        <v>Próprio</v>
      </c>
      <c r="D130" s="58" t="str">
        <f>VLOOKUP(A130,'Orçamento Sintético'!$A:$H,4,0)</f>
        <v>Substituição de borracha de vedação tipo gaxeta em EPDM, FAA-250 (GUA 2250 – GAXETA EXTERNA FLAP) - Belmetal-Atlanta</v>
      </c>
      <c r="E130" s="57" t="str">
        <f>VLOOKUP(A130,'Orçamento Sintético'!$A:$H,5,0)</f>
        <v>m</v>
      </c>
      <c r="F130" s="59"/>
      <c r="G130" s="60"/>
      <c r="H130" s="60">
        <f>SUM(H131:H133)</f>
        <v>4.58</v>
      </c>
    </row>
    <row r="131" spans="1:8" s="105" customFormat="1" x14ac:dyDescent="0.2">
      <c r="A131" s="61" t="str">
        <f>VLOOKUP(B131,'Insumos e Serviços'!$A:$F,3,0)</f>
        <v>Composição</v>
      </c>
      <c r="B131" s="52" t="s">
        <v>458</v>
      </c>
      <c r="C131" s="52" t="str">
        <f>VLOOKUP(B131,'Insumos e Serviços'!$A:$F,2,0)</f>
        <v>SINAPI</v>
      </c>
      <c r="D131" s="62" t="str">
        <f>VLOOKUP(B131,'Insumos e Serviços'!$A:$F,4,0)</f>
        <v>VIDRACEIRO COM ENCARGOS COMPLEMENTARES</v>
      </c>
      <c r="E131" s="61" t="str">
        <f>VLOOKUP(B131,'Insumos e Serviços'!$A:$F,5,0)</f>
        <v>H</v>
      </c>
      <c r="F131" s="63">
        <v>0.12</v>
      </c>
      <c r="G131" s="64">
        <f>VLOOKUP(B131,'Insumos e Serviços'!$A:$F,6,0)</f>
        <v>21.62</v>
      </c>
      <c r="H131" s="64">
        <f t="shared" ref="H131:H133" si="22">TRUNC(F131*G131,2)</f>
        <v>2.59</v>
      </c>
    </row>
    <row r="132" spans="1:8" s="105" customFormat="1" x14ac:dyDescent="0.2">
      <c r="A132" s="61" t="str">
        <f>VLOOKUP(B132,'Insumos e Serviços'!$A:$F,3,0)</f>
        <v>Composição</v>
      </c>
      <c r="B132" s="61">
        <v>88316</v>
      </c>
      <c r="C132" s="52" t="str">
        <f>VLOOKUP(B132,'Insumos e Serviços'!$A:$F,2,0)</f>
        <v>SINAPI</v>
      </c>
      <c r="D132" s="62" t="str">
        <f>VLOOKUP(B132,'Insumos e Serviços'!$A:$F,4,0)</f>
        <v>SERVENTE COM ENCARGOS COMPLEMENTARES</v>
      </c>
      <c r="E132" s="61" t="str">
        <f>VLOOKUP(B132,'Insumos e Serviços'!$A:$F,5,0)</f>
        <v>H</v>
      </c>
      <c r="F132" s="63">
        <v>0.06</v>
      </c>
      <c r="G132" s="64">
        <f>VLOOKUP(B132,'Insumos e Serviços'!$A:$F,6,0)</f>
        <v>17.170000000000002</v>
      </c>
      <c r="H132" s="64">
        <f t="shared" si="22"/>
        <v>1.03</v>
      </c>
    </row>
    <row r="133" spans="1:8" s="105" customFormat="1" ht="23.25" thickBot="1" x14ac:dyDescent="0.25">
      <c r="A133" s="61" t="str">
        <f>VLOOKUP(B133,'Insumos e Serviços'!$A:$F,3,0)</f>
        <v>Insumo</v>
      </c>
      <c r="B133" s="61" t="s">
        <v>672</v>
      </c>
      <c r="C133" s="52" t="str">
        <f>VLOOKUP(B133,'Insumos e Serviços'!$A:$F,2,0)</f>
        <v>Próprio</v>
      </c>
      <c r="D133" s="62" t="str">
        <f>VLOOKUP(B133,'Insumos e Serviços'!$A:$F,4,0)</f>
        <v>Borracha de vedação tipo gaxeta em EPDM, FAA-250 (GUA 2250 – GAXETA EXTERNA FLAP) - Belmetal-Atlanta</v>
      </c>
      <c r="E133" s="61" t="str">
        <f>VLOOKUP(B133,'Insumos e Serviços'!$A:$F,5,0)</f>
        <v>m</v>
      </c>
      <c r="F133" s="63">
        <v>1.05</v>
      </c>
      <c r="G133" s="64">
        <f>VLOOKUP(B133,'Insumos e Serviços'!$A:$F,6,0)</f>
        <v>0.92</v>
      </c>
      <c r="H133" s="64">
        <f t="shared" si="22"/>
        <v>0.96</v>
      </c>
    </row>
    <row r="134" spans="1:8" s="105" customFormat="1" ht="12" thickTop="1" x14ac:dyDescent="0.2">
      <c r="A134" s="244"/>
      <c r="B134" s="244"/>
      <c r="C134" s="244"/>
      <c r="D134" s="244"/>
      <c r="E134" s="244"/>
      <c r="F134" s="97"/>
      <c r="G134" s="97"/>
      <c r="H134" s="97"/>
    </row>
    <row r="135" spans="1:8" s="105" customFormat="1" x14ac:dyDescent="0.2">
      <c r="A135" s="56" t="s">
        <v>691</v>
      </c>
      <c r="B135" s="57" t="str">
        <f>VLOOKUP(A135,'Orçamento Sintético'!$A:$H,2,0)</f>
        <v xml:space="preserve"> MPDFT0108 </v>
      </c>
      <c r="C135" s="57" t="str">
        <f>VLOOKUP(A135,'Orçamento Sintético'!$A:$H,3,0)</f>
        <v>Próprio</v>
      </c>
      <c r="D135" s="58" t="str">
        <f>VLOOKUP(A135,'Orçamento Sintético'!$A:$H,4,0)</f>
        <v>Copia da ORSE (4715) - Remoção de vidro Laminado ou temperado</v>
      </c>
      <c r="E135" s="57" t="str">
        <f>VLOOKUP(A135,'Orçamento Sintético'!$A:$H,5,0)</f>
        <v>m²</v>
      </c>
      <c r="F135" s="59"/>
      <c r="G135" s="60"/>
      <c r="H135" s="60">
        <f>SUM(H136:H137)</f>
        <v>14.13</v>
      </c>
    </row>
    <row r="136" spans="1:8" s="105" customFormat="1" x14ac:dyDescent="0.2">
      <c r="A136" s="61" t="str">
        <f>VLOOKUP(B136,'Insumos e Serviços'!$A:$F,3,0)</f>
        <v>Composição</v>
      </c>
      <c r="B136" s="52" t="s">
        <v>442</v>
      </c>
      <c r="C136" s="52" t="str">
        <f>VLOOKUP(B136,'Insumos e Serviços'!$A:$F,2,0)</f>
        <v>SINAPI</v>
      </c>
      <c r="D136" s="62" t="str">
        <f>VLOOKUP(B136,'Insumos e Serviços'!$A:$F,4,0)</f>
        <v>PEDREIRO COM ENCARGOS COMPLEMENTARES</v>
      </c>
      <c r="E136" s="61" t="str">
        <f>VLOOKUP(B136,'Insumos e Serviços'!$A:$F,5,0)</f>
        <v>H</v>
      </c>
      <c r="F136" s="63">
        <v>0.35</v>
      </c>
      <c r="G136" s="64">
        <f>VLOOKUP(B136,'Insumos e Serviços'!$A:$F,6,0)</f>
        <v>23.25</v>
      </c>
      <c r="H136" s="64">
        <f t="shared" ref="H136:H137" si="23">TRUNC(F136*G136,2)</f>
        <v>8.1300000000000008</v>
      </c>
    </row>
    <row r="137" spans="1:8" s="105" customFormat="1" ht="12" thickBot="1" x14ac:dyDescent="0.25">
      <c r="A137" s="61" t="str">
        <f>VLOOKUP(B137,'Insumos e Serviços'!$A:$F,3,0)</f>
        <v>Composição</v>
      </c>
      <c r="B137" s="61">
        <v>88316</v>
      </c>
      <c r="C137" s="52" t="str">
        <f>VLOOKUP(B137,'Insumos e Serviços'!$A:$F,2,0)</f>
        <v>SINAPI</v>
      </c>
      <c r="D137" s="62" t="str">
        <f>VLOOKUP(B137,'Insumos e Serviços'!$A:$F,4,0)</f>
        <v>SERVENTE COM ENCARGOS COMPLEMENTARES</v>
      </c>
      <c r="E137" s="61" t="str">
        <f>VLOOKUP(B137,'Insumos e Serviços'!$A:$F,5,0)</f>
        <v>H</v>
      </c>
      <c r="F137" s="63">
        <v>0.35</v>
      </c>
      <c r="G137" s="64">
        <f>VLOOKUP(B137,'Insumos e Serviços'!$A:$F,6,0)</f>
        <v>17.170000000000002</v>
      </c>
      <c r="H137" s="64">
        <f t="shared" si="23"/>
        <v>6</v>
      </c>
    </row>
    <row r="138" spans="1:8" s="105" customFormat="1" ht="12" thickTop="1" x14ac:dyDescent="0.2">
      <c r="A138" s="244"/>
      <c r="B138" s="244"/>
      <c r="C138" s="244"/>
      <c r="D138" s="244"/>
      <c r="E138" s="244"/>
      <c r="F138" s="97"/>
      <c r="G138" s="97"/>
      <c r="H138" s="97"/>
    </row>
    <row r="139" spans="1:8" s="105" customFormat="1" ht="22.5" x14ac:dyDescent="0.2">
      <c r="A139" s="56" t="s">
        <v>693</v>
      </c>
      <c r="B139" s="57" t="str">
        <f>VLOOKUP(A139,'Orçamento Sintético'!$A:$H,2,0)</f>
        <v xml:space="preserve"> MPDFT0869 </v>
      </c>
      <c r="C139" s="57" t="str">
        <f>VLOOKUP(A139,'Orçamento Sintético'!$A:$H,3,0)</f>
        <v>Próprio</v>
      </c>
      <c r="D139" s="58" t="str">
        <f>VLOOKUP(A139,'Orçamento Sintético'!$A:$H,4,0)</f>
        <v>Copia da SINAPI (72120) - Recolocação de vidro laminado / temperado, inclusive massa / silicone</v>
      </c>
      <c r="E139" s="57" t="str">
        <f>VLOOKUP(A139,'Orçamento Sintético'!$A:$H,5,0)</f>
        <v>m²</v>
      </c>
      <c r="F139" s="59"/>
      <c r="G139" s="60"/>
      <c r="H139" s="60">
        <f>SUM(H140:H141)</f>
        <v>19.39</v>
      </c>
    </row>
    <row r="140" spans="1:8" s="105" customFormat="1" x14ac:dyDescent="0.2">
      <c r="A140" s="61" t="str">
        <f>VLOOKUP(B140,'Insumos e Serviços'!$A:$F,3,0)</f>
        <v>Composição</v>
      </c>
      <c r="B140" s="52" t="s">
        <v>458</v>
      </c>
      <c r="C140" s="52" t="str">
        <f>VLOOKUP(B140,'Insumos e Serviços'!$A:$F,2,0)</f>
        <v>SINAPI</v>
      </c>
      <c r="D140" s="62" t="str">
        <f>VLOOKUP(B140,'Insumos e Serviços'!$A:$F,4,0)</f>
        <v>VIDRACEIRO COM ENCARGOS COMPLEMENTARES</v>
      </c>
      <c r="E140" s="61" t="str">
        <f>VLOOKUP(B140,'Insumos e Serviços'!$A:$F,5,0)</f>
        <v>H</v>
      </c>
      <c r="F140" s="63">
        <v>0.5</v>
      </c>
      <c r="G140" s="64">
        <f>VLOOKUP(B140,'Insumos e Serviços'!$A:$F,6,0)</f>
        <v>21.62</v>
      </c>
      <c r="H140" s="64">
        <f t="shared" ref="H140:H141" si="24">TRUNC(F140*G140,2)</f>
        <v>10.81</v>
      </c>
    </row>
    <row r="141" spans="1:8" s="105" customFormat="1" ht="12" thickBot="1" x14ac:dyDescent="0.25">
      <c r="A141" s="61" t="str">
        <f>VLOOKUP(B141,'Insumos e Serviços'!$A:$F,3,0)</f>
        <v>Composição</v>
      </c>
      <c r="B141" s="61">
        <v>88316</v>
      </c>
      <c r="C141" s="52" t="str">
        <f>VLOOKUP(B141,'Insumos e Serviços'!$A:$F,2,0)</f>
        <v>SINAPI</v>
      </c>
      <c r="D141" s="62" t="str">
        <f>VLOOKUP(B141,'Insumos e Serviços'!$A:$F,4,0)</f>
        <v>SERVENTE COM ENCARGOS COMPLEMENTARES</v>
      </c>
      <c r="E141" s="61" t="str">
        <f>VLOOKUP(B141,'Insumos e Serviços'!$A:$F,5,0)</f>
        <v>H</v>
      </c>
      <c r="F141" s="63">
        <v>0.5</v>
      </c>
      <c r="G141" s="64">
        <f>VLOOKUP(B141,'Insumos e Serviços'!$A:$F,6,0)</f>
        <v>17.170000000000002</v>
      </c>
      <c r="H141" s="64">
        <f t="shared" si="24"/>
        <v>8.58</v>
      </c>
    </row>
    <row r="142" spans="1:8" s="105" customFormat="1" ht="12" thickTop="1" x14ac:dyDescent="0.2">
      <c r="A142" s="244"/>
      <c r="B142" s="244"/>
      <c r="C142" s="244"/>
      <c r="D142" s="244"/>
      <c r="E142" s="244"/>
      <c r="F142" s="97"/>
      <c r="G142" s="97"/>
      <c r="H142" s="97"/>
    </row>
    <row r="143" spans="1:8" s="105" customFormat="1" x14ac:dyDescent="0.2">
      <c r="A143" s="56" t="s">
        <v>695</v>
      </c>
      <c r="B143" s="57" t="str">
        <f>VLOOKUP(A143,'Orçamento Sintético'!$A:$H,2,0)</f>
        <v xml:space="preserve"> MPDFT0870 </v>
      </c>
      <c r="C143" s="57" t="str">
        <f>VLOOKUP(A143,'Orçamento Sintético'!$A:$H,3,0)</f>
        <v>Próprio</v>
      </c>
      <c r="D143" s="58" t="str">
        <f>VLOOKUP(A143,'Orçamento Sintético'!$A:$H,4,0)</f>
        <v>Aplicação de silicone / junta  / cordão e=1x1cm</v>
      </c>
      <c r="E143" s="57" t="str">
        <f>VLOOKUP(A143,'Orçamento Sintético'!$A:$H,5,0)</f>
        <v>m</v>
      </c>
      <c r="F143" s="59"/>
      <c r="G143" s="60"/>
      <c r="H143" s="60">
        <f>SUM(H144:H146)</f>
        <v>11.879999999999999</v>
      </c>
    </row>
    <row r="144" spans="1:8" s="105" customFormat="1" x14ac:dyDescent="0.2">
      <c r="A144" s="61" t="str">
        <f>VLOOKUP(B144,'Insumos e Serviços'!$A:$F,3,0)</f>
        <v>Composição</v>
      </c>
      <c r="B144" s="52" t="s">
        <v>458</v>
      </c>
      <c r="C144" s="52" t="str">
        <f>VLOOKUP(B144,'Insumos e Serviços'!$A:$F,2,0)</f>
        <v>SINAPI</v>
      </c>
      <c r="D144" s="62" t="str">
        <f>VLOOKUP(B144,'Insumos e Serviços'!$A:$F,4,0)</f>
        <v>VIDRACEIRO COM ENCARGOS COMPLEMENTARES</v>
      </c>
      <c r="E144" s="61" t="str">
        <f>VLOOKUP(B144,'Insumos e Serviços'!$A:$F,5,0)</f>
        <v>H</v>
      </c>
      <c r="F144" s="63">
        <v>0.37</v>
      </c>
      <c r="G144" s="64">
        <f>VLOOKUP(B144,'Insumos e Serviços'!$A:$F,6,0)</f>
        <v>21.62</v>
      </c>
      <c r="H144" s="64">
        <f t="shared" ref="H144:H146" si="25">TRUNC(F144*G144,2)</f>
        <v>7.99</v>
      </c>
    </row>
    <row r="145" spans="1:8" s="105" customFormat="1" x14ac:dyDescent="0.2">
      <c r="A145" s="61" t="str">
        <f>VLOOKUP(B145,'Insumos e Serviços'!$A:$F,3,0)</f>
        <v>Composição</v>
      </c>
      <c r="B145" s="61">
        <v>88316</v>
      </c>
      <c r="C145" s="52" t="str">
        <f>VLOOKUP(B145,'Insumos e Serviços'!$A:$F,2,0)</f>
        <v>SINAPI</v>
      </c>
      <c r="D145" s="62" t="str">
        <f>VLOOKUP(B145,'Insumos e Serviços'!$A:$F,4,0)</f>
        <v>SERVENTE COM ENCARGOS COMPLEMENTARES</v>
      </c>
      <c r="E145" s="61" t="str">
        <f>VLOOKUP(B145,'Insumos e Serviços'!$A:$F,5,0)</f>
        <v>H</v>
      </c>
      <c r="F145" s="63">
        <v>0.1</v>
      </c>
      <c r="G145" s="64">
        <f>VLOOKUP(B145,'Insumos e Serviços'!$A:$F,6,0)</f>
        <v>17.170000000000002</v>
      </c>
      <c r="H145" s="64">
        <f t="shared" si="25"/>
        <v>1.71</v>
      </c>
    </row>
    <row r="146" spans="1:8" s="105" customFormat="1" ht="23.25" thickBot="1" x14ac:dyDescent="0.25">
      <c r="A146" s="61" t="str">
        <f>VLOOKUP(B146,'Insumos e Serviços'!$A:$F,3,0)</f>
        <v>Insumo</v>
      </c>
      <c r="B146" s="52" t="s">
        <v>669</v>
      </c>
      <c r="C146" s="52" t="str">
        <f>VLOOKUP(B146,'Insumos e Serviços'!$A:$F,2,0)</f>
        <v>SINAPI</v>
      </c>
      <c r="D146" s="62" t="str">
        <f>VLOOKUP(B146,'Insumos e Serviços'!$A:$F,4,0)</f>
        <v>IMPERMEABILIZANTE INCOLOR PARA TRATAMENTO DE FACHADAS E TELHAS, BASE SILICONE</v>
      </c>
      <c r="E146" s="61" t="str">
        <f>VLOOKUP(B146,'Insumos e Serviços'!$A:$F,5,0)</f>
        <v>L</v>
      </c>
      <c r="F146" s="63">
        <v>0.1</v>
      </c>
      <c r="G146" s="64">
        <f>VLOOKUP(B146,'Insumos e Serviços'!$A:$F,6,0)</f>
        <v>21.84</v>
      </c>
      <c r="H146" s="64">
        <f t="shared" si="25"/>
        <v>2.1800000000000002</v>
      </c>
    </row>
    <row r="147" spans="1:8" s="105" customFormat="1" ht="12" thickTop="1" x14ac:dyDescent="0.2">
      <c r="A147" s="244"/>
      <c r="B147" s="244"/>
      <c r="C147" s="244"/>
      <c r="D147" s="244"/>
      <c r="E147" s="244"/>
      <c r="F147" s="97"/>
      <c r="G147" s="97"/>
      <c r="H147" s="97"/>
    </row>
    <row r="148" spans="1:8" x14ac:dyDescent="0.2">
      <c r="A148" s="14" t="s">
        <v>137</v>
      </c>
      <c r="B148" s="14"/>
      <c r="C148" s="14"/>
      <c r="D148" s="81" t="str">
        <f>VLOOKUP(A148,'Orçamento Sintético'!$A:$H,4,0)</f>
        <v>Cobertura e Fechamento Lateral</v>
      </c>
      <c r="E148" s="47"/>
      <c r="F148" s="29"/>
      <c r="G148" s="30"/>
      <c r="H148" s="31"/>
    </row>
    <row r="149" spans="1:8" s="79" customFormat="1" ht="45" x14ac:dyDescent="0.2">
      <c r="A149" s="56" t="s">
        <v>143</v>
      </c>
      <c r="B149" s="57" t="str">
        <f>VLOOKUP(A149,'Orçamento Sintético'!$A:$H,2,0)</f>
        <v xml:space="preserve"> MPDFT0597 </v>
      </c>
      <c r="C149" s="57" t="str">
        <f>VLOOKUP(A149,'Orçamento Sintético'!$A:$H,3,0)</f>
        <v>Próprio</v>
      </c>
      <c r="D149" s="58" t="str">
        <f>VLOOKUP(A149,'Orçamento Sintético'!$A:$H,4,0)</f>
        <v>Fechamento em sistema misto de steel frame não estrutural, inclusive tratamento de juntas, espessura final de aproximadamente  de 12 cm. Internamente com chapa de gesso acartonado e=12,5mm; externamente com placa cimentícia e=12,5 mm; membrana hidrófuga; e massa basecoat.</v>
      </c>
      <c r="E149" s="57" t="str">
        <f>VLOOKUP(A149,'Orçamento Sintético'!$A:$H,5,0)</f>
        <v>m²</v>
      </c>
      <c r="F149" s="59"/>
      <c r="G149" s="60"/>
      <c r="H149" s="60">
        <f>SUM(H150:H150)</f>
        <v>461.54</v>
      </c>
    </row>
    <row r="150" spans="1:8" s="79" customFormat="1" ht="45.75" thickBot="1" x14ac:dyDescent="0.25">
      <c r="A150" s="61" t="str">
        <f>VLOOKUP(B150,'Insumos e Serviços'!$A:$F,3,0)</f>
        <v>Insumo</v>
      </c>
      <c r="B150" s="61" t="s">
        <v>673</v>
      </c>
      <c r="C150" s="52" t="str">
        <f>VLOOKUP(B150,'Insumos e Serviços'!$A:$F,2,0)</f>
        <v>Próprio</v>
      </c>
      <c r="D150" s="62" t="str">
        <f>VLOOKUP(B150,'Insumos e Serviços'!$A:$F,4,0)</f>
        <v>Fechamento em sistema misto de steel frame não estrutural, inclusive tratamento de juntas, espessura final de aproximadamente de 12 cm. Internamente com chapa de gesso acartonado e=12,5mm; externamente com placa cimentícia e=12,5 mm; membrana hidrófuga; e massa basecoat.</v>
      </c>
      <c r="E150" s="61" t="str">
        <f>VLOOKUP(B150,'Insumos e Serviços'!$A:$F,5,0)</f>
        <v>m²</v>
      </c>
      <c r="F150" s="63">
        <v>1</v>
      </c>
      <c r="G150" s="64">
        <f>VLOOKUP(B150,'Insumos e Serviços'!$A:$F,6,0)</f>
        <v>461.54</v>
      </c>
      <c r="H150" s="64">
        <f t="shared" ref="H150" si="26">TRUNC(F150*G150,2)</f>
        <v>461.54</v>
      </c>
    </row>
    <row r="151" spans="1:8" s="79" customFormat="1" ht="12" thickTop="1" x14ac:dyDescent="0.2">
      <c r="A151" s="82"/>
      <c r="B151" s="82"/>
      <c r="C151" s="82"/>
      <c r="D151" s="82"/>
      <c r="E151" s="82"/>
      <c r="F151" s="83"/>
      <c r="G151" s="83"/>
      <c r="H151" s="83"/>
    </row>
    <row r="152" spans="1:8" ht="22.5" x14ac:dyDescent="0.2">
      <c r="A152" s="56" t="s">
        <v>145</v>
      </c>
      <c r="B152" s="57" t="str">
        <f>VLOOKUP(A152,'Orçamento Sintético'!$A:$H,2,0)</f>
        <v xml:space="preserve"> MPDFT0554 </v>
      </c>
      <c r="C152" s="57" t="str">
        <f>VLOOKUP(A152,'Orçamento Sintético'!$A:$H,3,0)</f>
        <v>Próprio</v>
      </c>
      <c r="D152" s="58" t="str">
        <f>VLOOKUP(A152,'Orçamento Sintético'!$A:$H,4,0)</f>
        <v>Calha em formato 'U', L=0,40m, moldada in loco, com alvenaria de blocos cerâmicos maciços</v>
      </c>
      <c r="E152" s="57" t="str">
        <f>VLOOKUP(A152,'Orçamento Sintético'!$A:$H,5,0)</f>
        <v>m</v>
      </c>
      <c r="F152" s="59"/>
      <c r="G152" s="60"/>
      <c r="H152" s="60">
        <f>SUM(H153:H156)</f>
        <v>115.36</v>
      </c>
    </row>
    <row r="153" spans="1:8" ht="22.5" x14ac:dyDescent="0.2">
      <c r="A153" s="61" t="str">
        <f>VLOOKUP(B153,'Insumos e Serviços'!$A:$F,3,0)</f>
        <v>Composição</v>
      </c>
      <c r="B153" s="61">
        <v>101159</v>
      </c>
      <c r="C153" s="52" t="str">
        <f>VLOOKUP(B153,'Insumos e Serviços'!$A:$F,2,0)</f>
        <v>SINAPI</v>
      </c>
      <c r="D153" s="62" t="str">
        <f>VLOOKUP(B153,'Insumos e Serviços'!$A:$F,4,0)</f>
        <v>ALVENARIA DE VEDAÇÃO DE BLOCOS CERÂMICOS MACIÇOS DE 5X10X20CM (ESPESSURA 10CM) E ARGAMASSA DE ASSENTAMENTO COM PREPARO EM BETONEIRA. AF_05/2020</v>
      </c>
      <c r="E153" s="61" t="str">
        <f>VLOOKUP(B153,'Insumos e Serviços'!$A:$F,5,0)</f>
        <v>m²</v>
      </c>
      <c r="F153" s="63">
        <v>0.315</v>
      </c>
      <c r="G153" s="64">
        <f>VLOOKUP(B153,'Insumos e Serviços'!$A:$F,6,0)</f>
        <v>123.95</v>
      </c>
      <c r="H153" s="64">
        <f t="shared" ref="H153:H156" si="27">TRUNC(F153*G153,2)</f>
        <v>39.04</v>
      </c>
    </row>
    <row r="154" spans="1:8" ht="33.75" x14ac:dyDescent="0.2">
      <c r="A154" s="61" t="str">
        <f>VLOOKUP(B154,'Insumos e Serviços'!$A:$F,3,0)</f>
        <v>Composição</v>
      </c>
      <c r="B154" s="61" t="s">
        <v>487</v>
      </c>
      <c r="C154" s="52" t="str">
        <f>VLOOKUP(B154,'Insumos e Serviços'!$A:$F,2,0)</f>
        <v>SINAPI</v>
      </c>
      <c r="D154" s="62" t="str">
        <f>VLOOKUP(B154,'Insumos e Serviços'!$A:$F,4,0)</f>
        <v>CONTRAPISO EM ARGAMASSA TRAÇO 1:4 (CIMENTO E AREIA), PREPARO MECÂNICO COM BETONEIRA 400 L, APLICADO EM ÁREAS SECAS SOBRE LAJE, NÃO ADERIDO, ESPESSURA 6CM. AF_06/2014</v>
      </c>
      <c r="E154" s="61" t="str">
        <f>VLOOKUP(B154,'Insumos e Serviços'!$A:$F,5,0)</f>
        <v>m²</v>
      </c>
      <c r="F154" s="63">
        <v>0.84</v>
      </c>
      <c r="G154" s="64">
        <f>VLOOKUP(B154,'Insumos e Serviços'!$A:$F,6,0)</f>
        <v>40.33</v>
      </c>
      <c r="H154" s="64">
        <f t="shared" si="27"/>
        <v>33.869999999999997</v>
      </c>
    </row>
    <row r="155" spans="1:8" ht="38.25" customHeight="1" x14ac:dyDescent="0.2">
      <c r="A155" s="61" t="str">
        <f>VLOOKUP(B155,'Insumos e Serviços'!$A:$F,3,0)</f>
        <v>Composição</v>
      </c>
      <c r="B155" s="61" t="s">
        <v>182</v>
      </c>
      <c r="C155" s="52" t="str">
        <f>VLOOKUP(B155,'Insumos e Serviços'!$A:$F,2,0)</f>
        <v>SINAPI</v>
      </c>
      <c r="D155" s="62" t="str">
        <f>VLOOKUP(B155,'Insumos e Serviços'!$A:$F,4,0)</f>
        <v>CHAPISCO APLICADO EM ALVENARIAS E ESTRUTURAS DE CONCRETO INTERNAS, COM COLHER DE PEDREIRO.  ARGAMASSA TRAÇO 1:3 COM PREPARO EM BETONEIRA 400L. AF_06/2014</v>
      </c>
      <c r="E155" s="61" t="str">
        <f>VLOOKUP(B155,'Insumos e Serviços'!$A:$F,5,0)</f>
        <v>m²</v>
      </c>
      <c r="F155" s="63">
        <v>1.26</v>
      </c>
      <c r="G155" s="64">
        <f>VLOOKUP(B155,'Insumos e Serviços'!$A:$F,6,0)</f>
        <v>3.4</v>
      </c>
      <c r="H155" s="64">
        <f t="shared" si="27"/>
        <v>4.28</v>
      </c>
    </row>
    <row r="156" spans="1:8" ht="34.5" thickBot="1" x14ac:dyDescent="0.25">
      <c r="A156" s="61" t="str">
        <f>VLOOKUP(B156,'Insumos e Serviços'!$A:$F,3,0)</f>
        <v>Composição</v>
      </c>
      <c r="B156" s="61" t="s">
        <v>489</v>
      </c>
      <c r="C156" s="52" t="str">
        <f>VLOOKUP(B156,'Insumos e Serviços'!$A:$F,2,0)</f>
        <v>SINAPI</v>
      </c>
      <c r="D156" s="62" t="str">
        <f>VLOOKUP(B156,'Insumos e Serviços'!$A:$F,4,0)</f>
        <v>MASSA ÚNICA, PARA RECEBIMENTO DE PINTURA, EM ARGAMASSA TRAÇO 1:2:8, PREPARO MECÂNICO COM BETONEIRA 400L, APLICADA MANUALMENTE EM FACES INTERNAS DE PAREDES, ESPESSURA DE 20MM, COM EXECUÇÃO DE TALISCAS. AF_06/2014</v>
      </c>
      <c r="E156" s="61" t="str">
        <f>VLOOKUP(B156,'Insumos e Serviços'!$A:$F,5,0)</f>
        <v>m²</v>
      </c>
      <c r="F156" s="63">
        <v>1.26</v>
      </c>
      <c r="G156" s="64">
        <f>VLOOKUP(B156,'Insumos e Serviços'!$A:$F,6,0)</f>
        <v>30.3</v>
      </c>
      <c r="H156" s="64">
        <f t="shared" si="27"/>
        <v>38.17</v>
      </c>
    </row>
    <row r="157" spans="1:8" ht="12" thickTop="1" x14ac:dyDescent="0.2">
      <c r="A157" s="20"/>
      <c r="B157" s="20"/>
      <c r="C157" s="20"/>
      <c r="D157" s="20"/>
      <c r="E157" s="20"/>
      <c r="F157" s="21"/>
      <c r="G157" s="21"/>
      <c r="H157" s="21"/>
    </row>
    <row r="158" spans="1:8" ht="22.5" x14ac:dyDescent="0.2">
      <c r="A158" s="56" t="s">
        <v>148</v>
      </c>
      <c r="B158" s="57" t="str">
        <f>VLOOKUP(A158,'Orçamento Sintético'!$A:$H,2,0)</f>
        <v xml:space="preserve"> MPDFT0055 </v>
      </c>
      <c r="C158" s="57" t="str">
        <f>VLOOKUP(A158,'Orçamento Sintético'!$A:$H,3,0)</f>
        <v>Próprio</v>
      </c>
      <c r="D158" s="58" t="str">
        <f>VLOOKUP(A158,'Orçamento Sintético'!$A:$H,4,0)</f>
        <v>Calha em formato 'U', L=0,80m, moldada in loco, com alvenaria de blocos cerâmicos maciços</v>
      </c>
      <c r="E158" s="57" t="str">
        <f>VLOOKUP(A158,'Orçamento Sintético'!$A:$H,5,0)</f>
        <v>m</v>
      </c>
      <c r="F158" s="59"/>
      <c r="G158" s="60"/>
      <c r="H158" s="60">
        <f>SUM(H159:H162)</f>
        <v>154.39999999999998</v>
      </c>
    </row>
    <row r="159" spans="1:8" ht="22.5" x14ac:dyDescent="0.2">
      <c r="A159" s="61" t="str">
        <f>VLOOKUP(B159,'Insumos e Serviços'!$A:$F,3,0)</f>
        <v>Composição</v>
      </c>
      <c r="B159" s="61">
        <v>101159</v>
      </c>
      <c r="C159" s="52" t="str">
        <f>VLOOKUP(B159,'Insumos e Serviços'!$A:$F,2,0)</f>
        <v>SINAPI</v>
      </c>
      <c r="D159" s="62" t="str">
        <f>VLOOKUP(B159,'Insumos e Serviços'!$A:$F,4,0)</f>
        <v>ALVENARIA DE VEDAÇÃO DE BLOCOS CERÂMICOS MACIÇOS DE 5X10X20CM (ESPESSURA 10CM) E ARGAMASSA DE ASSENTAMENTO COM PREPARO EM BETONEIRA. AF_05/2020</v>
      </c>
      <c r="E159" s="61" t="str">
        <f>VLOOKUP(B159,'Insumos e Serviços'!$A:$F,5,0)</f>
        <v>m²</v>
      </c>
      <c r="F159" s="63">
        <v>0.63</v>
      </c>
      <c r="G159" s="64">
        <f>VLOOKUP(B159,'Insumos e Serviços'!$A:$F,6,0)</f>
        <v>123.95</v>
      </c>
      <c r="H159" s="64">
        <f t="shared" ref="H159:H162" si="28">TRUNC(F159*G159,2)</f>
        <v>78.08</v>
      </c>
    </row>
    <row r="160" spans="1:8" ht="33.75" x14ac:dyDescent="0.2">
      <c r="A160" s="61" t="str">
        <f>VLOOKUP(B160,'Insumos e Serviços'!$A:$F,3,0)</f>
        <v>Composição</v>
      </c>
      <c r="B160" s="61" t="s">
        <v>487</v>
      </c>
      <c r="C160" s="52" t="str">
        <f>VLOOKUP(B160,'Insumos e Serviços'!$A:$F,2,0)</f>
        <v>SINAPI</v>
      </c>
      <c r="D160" s="62" t="str">
        <f>VLOOKUP(B160,'Insumos e Serviços'!$A:$F,4,0)</f>
        <v>CONTRAPISO EM ARGAMASSA TRAÇO 1:4 (CIMENTO E AREIA), PREPARO MECÂNICO COM BETONEIRA 400 L, APLICADO EM ÁREAS SECAS SOBRE LAJE, NÃO ADERIDO, ESPESSURA 6CM. AF_06/2014</v>
      </c>
      <c r="E160" s="61" t="str">
        <f>VLOOKUP(B160,'Insumos e Serviços'!$A:$F,5,0)</f>
        <v>m²</v>
      </c>
      <c r="F160" s="63">
        <v>0.84</v>
      </c>
      <c r="G160" s="64">
        <f>VLOOKUP(B160,'Insumos e Serviços'!$A:$F,6,0)</f>
        <v>40.33</v>
      </c>
      <c r="H160" s="64">
        <f t="shared" si="28"/>
        <v>33.869999999999997</v>
      </c>
    </row>
    <row r="161" spans="1:8" ht="38.25" customHeight="1" x14ac:dyDescent="0.2">
      <c r="A161" s="61" t="str">
        <f>VLOOKUP(B161,'Insumos e Serviços'!$A:$F,3,0)</f>
        <v>Composição</v>
      </c>
      <c r="B161" s="61" t="s">
        <v>182</v>
      </c>
      <c r="C161" s="52" t="str">
        <f>VLOOKUP(B161,'Insumos e Serviços'!$A:$F,2,0)</f>
        <v>SINAPI</v>
      </c>
      <c r="D161" s="62" t="str">
        <f>VLOOKUP(B161,'Insumos e Serviços'!$A:$F,4,0)</f>
        <v>CHAPISCO APLICADO EM ALVENARIAS E ESTRUTURAS DE CONCRETO INTERNAS, COM COLHER DE PEDREIRO.  ARGAMASSA TRAÇO 1:3 COM PREPARO EM BETONEIRA 400L. AF_06/2014</v>
      </c>
      <c r="E161" s="61" t="str">
        <f>VLOOKUP(B161,'Insumos e Serviços'!$A:$F,5,0)</f>
        <v>m²</v>
      </c>
      <c r="F161" s="63">
        <v>1.26</v>
      </c>
      <c r="G161" s="64">
        <f>VLOOKUP(B161,'Insumos e Serviços'!$A:$F,6,0)</f>
        <v>3.4</v>
      </c>
      <c r="H161" s="64">
        <f t="shared" si="28"/>
        <v>4.28</v>
      </c>
    </row>
    <row r="162" spans="1:8" ht="34.5" thickBot="1" x14ac:dyDescent="0.25">
      <c r="A162" s="61" t="str">
        <f>VLOOKUP(B162,'Insumos e Serviços'!$A:$F,3,0)</f>
        <v>Composição</v>
      </c>
      <c r="B162" s="61" t="s">
        <v>489</v>
      </c>
      <c r="C162" s="52" t="str">
        <f>VLOOKUP(B162,'Insumos e Serviços'!$A:$F,2,0)</f>
        <v>SINAPI</v>
      </c>
      <c r="D162" s="62" t="str">
        <f>VLOOKUP(B162,'Insumos e Serviços'!$A:$F,4,0)</f>
        <v>MASSA ÚNICA, PARA RECEBIMENTO DE PINTURA, EM ARGAMASSA TRAÇO 1:2:8, PREPARO MECÂNICO COM BETONEIRA 400L, APLICADA MANUALMENTE EM FACES INTERNAS DE PAREDES, ESPESSURA DE 20MM, COM EXECUÇÃO DE TALISCAS. AF_06/2014</v>
      </c>
      <c r="E162" s="61" t="str">
        <f>VLOOKUP(B162,'Insumos e Serviços'!$A:$F,5,0)</f>
        <v>m²</v>
      </c>
      <c r="F162" s="63">
        <v>1.26</v>
      </c>
      <c r="G162" s="64">
        <f>VLOOKUP(B162,'Insumos e Serviços'!$A:$F,6,0)</f>
        <v>30.3</v>
      </c>
      <c r="H162" s="64">
        <f t="shared" si="28"/>
        <v>38.17</v>
      </c>
    </row>
    <row r="163" spans="1:8" ht="12" thickTop="1" x14ac:dyDescent="0.2">
      <c r="A163" s="20"/>
      <c r="B163" s="20"/>
      <c r="C163" s="20"/>
      <c r="D163" s="20"/>
      <c r="E163" s="20"/>
      <c r="F163" s="21"/>
      <c r="G163" s="21"/>
      <c r="H163" s="21"/>
    </row>
    <row r="164" spans="1:8" ht="33.75" x14ac:dyDescent="0.2">
      <c r="A164" s="56" t="s">
        <v>151</v>
      </c>
      <c r="B164" s="57" t="str">
        <f>VLOOKUP(A164,'Orçamento Sintético'!$A:$H,2,0)</f>
        <v xml:space="preserve"> MPDFT0054 </v>
      </c>
      <c r="C164" s="57" t="str">
        <f>VLOOKUP(A164,'Orçamento Sintético'!$A:$H,3,0)</f>
        <v>Próprio</v>
      </c>
      <c r="D164" s="58" t="str">
        <f>VLOOKUP(A164,'Orçamento Sintético'!$A:$H,4,0)</f>
        <v>Copia da SINAPI (94216) - Telha termoacústica, tipo trapezoidal com núcleo isolante em PIR com espessura de 50mm, revestimento externo e interno de aço (0,50 / 0,43), pré printado na cor branca</v>
      </c>
      <c r="E164" s="57" t="str">
        <f>VLOOKUP(A164,'Orçamento Sintético'!$A:$H,5,0)</f>
        <v>m²</v>
      </c>
      <c r="F164" s="59"/>
      <c r="G164" s="60"/>
      <c r="H164" s="60">
        <f>SUM(H165:H169)</f>
        <v>191.44</v>
      </c>
    </row>
    <row r="165" spans="1:8" x14ac:dyDescent="0.2">
      <c r="A165" s="61" t="str">
        <f>VLOOKUP(B165,'Insumos e Serviços'!$A:$F,3,0)</f>
        <v>Composição</v>
      </c>
      <c r="B165" s="61">
        <v>88316</v>
      </c>
      <c r="C165" s="52" t="str">
        <f>VLOOKUP(B165,'Insumos e Serviços'!$A:$F,2,0)</f>
        <v>SINAPI</v>
      </c>
      <c r="D165" s="62" t="str">
        <f>VLOOKUP(B165,'Insumos e Serviços'!$A:$F,4,0)</f>
        <v>SERVENTE COM ENCARGOS COMPLEMENTARES</v>
      </c>
      <c r="E165" s="61" t="str">
        <f>VLOOKUP(B165,'Insumos e Serviços'!$A:$F,5,0)</f>
        <v>H</v>
      </c>
      <c r="F165" s="63">
        <v>6.2E-2</v>
      </c>
      <c r="G165" s="64">
        <f>VLOOKUP(B165,'Insumos e Serviços'!$A:$F,6,0)</f>
        <v>17.170000000000002</v>
      </c>
      <c r="H165" s="64">
        <f t="shared" ref="H165:H169" si="29">TRUNC(F165*G165,2)</f>
        <v>1.06</v>
      </c>
    </row>
    <row r="166" spans="1:8" x14ac:dyDescent="0.2">
      <c r="A166" s="61" t="str">
        <f>VLOOKUP(B166,'Insumos e Serviços'!$A:$F,3,0)</f>
        <v>Composição</v>
      </c>
      <c r="B166" s="61" t="s">
        <v>491</v>
      </c>
      <c r="C166" s="52" t="str">
        <f>VLOOKUP(B166,'Insumos e Serviços'!$A:$F,2,0)</f>
        <v>SINAPI</v>
      </c>
      <c r="D166" s="62" t="str">
        <f>VLOOKUP(B166,'Insumos e Serviços'!$A:$F,4,0)</f>
        <v>TELHADISTA COM ENCARGOS COMPLEMENTARES</v>
      </c>
      <c r="E166" s="61" t="str">
        <f>VLOOKUP(B166,'Insumos e Serviços'!$A:$F,5,0)</f>
        <v>H</v>
      </c>
      <c r="F166" s="63">
        <v>5.6000000000000001E-2</v>
      </c>
      <c r="G166" s="64">
        <f>VLOOKUP(B166,'Insumos e Serviços'!$A:$F,6,0)</f>
        <v>24.59</v>
      </c>
      <c r="H166" s="64">
        <f t="shared" si="29"/>
        <v>1.37</v>
      </c>
    </row>
    <row r="167" spans="1:8" ht="25.5" customHeight="1" x14ac:dyDescent="0.2">
      <c r="A167" s="61" t="str">
        <f>VLOOKUP(B167,'Insumos e Serviços'!$A:$F,3,0)</f>
        <v>Composição</v>
      </c>
      <c r="B167" s="61" t="s">
        <v>493</v>
      </c>
      <c r="C167" s="52" t="str">
        <f>VLOOKUP(B167,'Insumos e Serviços'!$A:$F,2,0)</f>
        <v>SINAPI</v>
      </c>
      <c r="D167" s="62" t="str">
        <f>VLOOKUP(B167,'Insumos e Serviços'!$A:$F,4,0)</f>
        <v>GUINCHO ELÉTRICO DE COLUNA, CAPACIDADE 400 KG, COM MOTO FREIO, MOTOR TRIFÁSICO DE 1,25 CV - CHP DIURNO. AF_03/2016</v>
      </c>
      <c r="E167" s="61" t="str">
        <f>VLOOKUP(B167,'Insumos e Serviços'!$A:$F,5,0)</f>
        <v>CHP</v>
      </c>
      <c r="F167" s="63">
        <v>8.9999999999999998E-4</v>
      </c>
      <c r="G167" s="64">
        <f>VLOOKUP(B167,'Insumos e Serviços'!$A:$F,6,0)</f>
        <v>19.309999999999999</v>
      </c>
      <c r="H167" s="64">
        <f t="shared" si="29"/>
        <v>0.01</v>
      </c>
    </row>
    <row r="168" spans="1:8" ht="25.5" customHeight="1" x14ac:dyDescent="0.2">
      <c r="A168" s="61" t="str">
        <f>VLOOKUP(B168,'Insumos e Serviços'!$A:$F,3,0)</f>
        <v>Composição</v>
      </c>
      <c r="B168" s="61" t="s">
        <v>495</v>
      </c>
      <c r="C168" s="52" t="str">
        <f>VLOOKUP(B168,'Insumos e Serviços'!$A:$F,2,0)</f>
        <v>SINAPI</v>
      </c>
      <c r="D168" s="62" t="str">
        <f>VLOOKUP(B168,'Insumos e Serviços'!$A:$F,4,0)</f>
        <v>GUINCHO ELÉTRICO DE COLUNA, CAPACIDADE 400 KG, COM MOTO FREIO, MOTOR TRIFÁSICO DE 1,25 CV - CHI DIURNO. AF_03/2016</v>
      </c>
      <c r="E168" s="61" t="str">
        <f>VLOOKUP(B168,'Insumos e Serviços'!$A:$F,5,0)</f>
        <v>CHI</v>
      </c>
      <c r="F168" s="63">
        <v>1.1999999999999999E-3</v>
      </c>
      <c r="G168" s="64">
        <f>VLOOKUP(B168,'Insumos e Serviços'!$A:$F,6,0)</f>
        <v>18.510000000000002</v>
      </c>
      <c r="H168" s="64">
        <f t="shared" si="29"/>
        <v>0.02</v>
      </c>
    </row>
    <row r="169" spans="1:8" ht="34.5" thickBot="1" x14ac:dyDescent="0.25">
      <c r="A169" s="61" t="str">
        <f>VLOOKUP(B169,'Insumos e Serviços'!$A:$F,3,0)</f>
        <v>Insumo</v>
      </c>
      <c r="B169" s="61" t="s">
        <v>610</v>
      </c>
      <c r="C169" s="52" t="str">
        <f>VLOOKUP(B169,'Insumos e Serviços'!$A:$F,2,0)</f>
        <v>Próprio</v>
      </c>
      <c r="D169" s="62" t="str">
        <f>VLOOKUP(B169,'Insumos e Serviços'!$A:$F,4,0)</f>
        <v>Telha termoacústica, tipo trapezoidal com núcleo isolante em PIR com espessura de 50mm, revestimento externo e interno de aço (0,50 / 0,43), pré printado na cor BRANCA, inclusive acessórios de fixação</v>
      </c>
      <c r="E169" s="61" t="str">
        <f>VLOOKUP(B169,'Insumos e Serviços'!$A:$F,5,0)</f>
        <v>m²</v>
      </c>
      <c r="F169" s="63">
        <v>1.1459999999999999</v>
      </c>
      <c r="G169" s="64">
        <f>VLOOKUP(B169,'Insumos e Serviços'!$A:$F,6,0)</f>
        <v>164.91</v>
      </c>
      <c r="H169" s="64">
        <f t="shared" si="29"/>
        <v>188.98</v>
      </c>
    </row>
    <row r="170" spans="1:8" ht="12" thickTop="1" x14ac:dyDescent="0.2">
      <c r="A170" s="20"/>
      <c r="B170" s="20"/>
      <c r="C170" s="20"/>
      <c r="D170" s="20"/>
      <c r="E170" s="20"/>
      <c r="F170" s="21"/>
      <c r="G170" s="21"/>
      <c r="H170" s="21"/>
    </row>
    <row r="171" spans="1:8" ht="33.75" x14ac:dyDescent="0.2">
      <c r="A171" s="56" t="s">
        <v>153</v>
      </c>
      <c r="B171" s="57" t="str">
        <f>VLOOKUP(A171,'Orçamento Sintético'!$A:$H,2,0)</f>
        <v xml:space="preserve"> MPDFT0512 </v>
      </c>
      <c r="C171" s="57" t="str">
        <f>VLOOKUP(A171,'Orçamento Sintético'!$A:$H,3,0)</f>
        <v>Próprio</v>
      </c>
      <c r="D171" s="58" t="str">
        <f>VLOOKUP(A171,'Orçamento Sintético'!$A:$H,4,0)</f>
        <v>Copia da SINAPI (94216) - Telha termoacústica, tipo trapezoidal com núcleo isolante em PIR com espessura de 50mm, revestimento externo e interno de aço (0,50 / 0,43), pré printado na cor marrom.</v>
      </c>
      <c r="E171" s="57" t="str">
        <f>VLOOKUP(A171,'Orçamento Sintético'!$A:$H,5,0)</f>
        <v>m²</v>
      </c>
      <c r="F171" s="59"/>
      <c r="G171" s="60"/>
      <c r="H171" s="60">
        <f>SUM(H172:H176)</f>
        <v>250.22</v>
      </c>
    </row>
    <row r="172" spans="1:8" x14ac:dyDescent="0.2">
      <c r="A172" s="61" t="str">
        <f>VLOOKUP(B172,'Insumos e Serviços'!$A:$F,3,0)</f>
        <v>Composição</v>
      </c>
      <c r="B172" s="61">
        <v>88316</v>
      </c>
      <c r="C172" s="52" t="str">
        <f>VLOOKUP(B172,'Insumos e Serviços'!$A:$F,2,0)</f>
        <v>SINAPI</v>
      </c>
      <c r="D172" s="62" t="str">
        <f>VLOOKUP(B172,'Insumos e Serviços'!$A:$F,4,0)</f>
        <v>SERVENTE COM ENCARGOS COMPLEMENTARES</v>
      </c>
      <c r="E172" s="61" t="str">
        <f>VLOOKUP(B172,'Insumos e Serviços'!$A:$F,5,0)</f>
        <v>H</v>
      </c>
      <c r="F172" s="63">
        <v>6.2E-2</v>
      </c>
      <c r="G172" s="64">
        <f>VLOOKUP(B172,'Insumos e Serviços'!$A:$F,6,0)</f>
        <v>17.170000000000002</v>
      </c>
      <c r="H172" s="64">
        <f t="shared" ref="H172:H176" si="30">TRUNC(F172*G172,2)</f>
        <v>1.06</v>
      </c>
    </row>
    <row r="173" spans="1:8" x14ac:dyDescent="0.2">
      <c r="A173" s="61" t="str">
        <f>VLOOKUP(B173,'Insumos e Serviços'!$A:$F,3,0)</f>
        <v>Composição</v>
      </c>
      <c r="B173" s="61" t="s">
        <v>491</v>
      </c>
      <c r="C173" s="52" t="str">
        <f>VLOOKUP(B173,'Insumos e Serviços'!$A:$F,2,0)</f>
        <v>SINAPI</v>
      </c>
      <c r="D173" s="62" t="str">
        <f>VLOOKUP(B173,'Insumos e Serviços'!$A:$F,4,0)</f>
        <v>TELHADISTA COM ENCARGOS COMPLEMENTARES</v>
      </c>
      <c r="E173" s="61" t="str">
        <f>VLOOKUP(B173,'Insumos e Serviços'!$A:$F,5,0)</f>
        <v>H</v>
      </c>
      <c r="F173" s="63">
        <v>5.6000000000000001E-2</v>
      </c>
      <c r="G173" s="64">
        <f>VLOOKUP(B173,'Insumos e Serviços'!$A:$F,6,0)</f>
        <v>24.59</v>
      </c>
      <c r="H173" s="64">
        <f t="shared" si="30"/>
        <v>1.37</v>
      </c>
    </row>
    <row r="174" spans="1:8" ht="25.5" customHeight="1" x14ac:dyDescent="0.2">
      <c r="A174" s="61" t="str">
        <f>VLOOKUP(B174,'Insumos e Serviços'!$A:$F,3,0)</f>
        <v>Composição</v>
      </c>
      <c r="B174" s="61" t="s">
        <v>493</v>
      </c>
      <c r="C174" s="52" t="str">
        <f>VLOOKUP(B174,'Insumos e Serviços'!$A:$F,2,0)</f>
        <v>SINAPI</v>
      </c>
      <c r="D174" s="62" t="str">
        <f>VLOOKUP(B174,'Insumos e Serviços'!$A:$F,4,0)</f>
        <v>GUINCHO ELÉTRICO DE COLUNA, CAPACIDADE 400 KG, COM MOTO FREIO, MOTOR TRIFÁSICO DE 1,25 CV - CHP DIURNO. AF_03/2016</v>
      </c>
      <c r="E174" s="61" t="str">
        <f>VLOOKUP(B174,'Insumos e Serviços'!$A:$F,5,0)</f>
        <v>CHP</v>
      </c>
      <c r="F174" s="63">
        <v>8.9999999999999998E-4</v>
      </c>
      <c r="G174" s="64">
        <f>VLOOKUP(B174,'Insumos e Serviços'!$A:$F,6,0)</f>
        <v>19.309999999999999</v>
      </c>
      <c r="H174" s="64">
        <f t="shared" si="30"/>
        <v>0.01</v>
      </c>
    </row>
    <row r="175" spans="1:8" ht="25.5" customHeight="1" x14ac:dyDescent="0.2">
      <c r="A175" s="61" t="str">
        <f>VLOOKUP(B175,'Insumos e Serviços'!$A:$F,3,0)</f>
        <v>Composição</v>
      </c>
      <c r="B175" s="61" t="s">
        <v>495</v>
      </c>
      <c r="C175" s="52" t="str">
        <f>VLOOKUP(B175,'Insumos e Serviços'!$A:$F,2,0)</f>
        <v>SINAPI</v>
      </c>
      <c r="D175" s="62" t="str">
        <f>VLOOKUP(B175,'Insumos e Serviços'!$A:$F,4,0)</f>
        <v>GUINCHO ELÉTRICO DE COLUNA, CAPACIDADE 400 KG, COM MOTO FREIO, MOTOR TRIFÁSICO DE 1,25 CV - CHI DIURNO. AF_03/2016</v>
      </c>
      <c r="E175" s="61" t="str">
        <f>VLOOKUP(B175,'Insumos e Serviços'!$A:$F,5,0)</f>
        <v>CHI</v>
      </c>
      <c r="F175" s="63">
        <v>1.1999999999999999E-3</v>
      </c>
      <c r="G175" s="64">
        <f>VLOOKUP(B175,'Insumos e Serviços'!$A:$F,6,0)</f>
        <v>18.510000000000002</v>
      </c>
      <c r="H175" s="64">
        <f t="shared" si="30"/>
        <v>0.02</v>
      </c>
    </row>
    <row r="176" spans="1:8" ht="34.5" thickBot="1" x14ac:dyDescent="0.25">
      <c r="A176" s="61" t="str">
        <f>VLOOKUP(B176,'Insumos e Serviços'!$A:$F,3,0)</f>
        <v>Insumo</v>
      </c>
      <c r="B176" s="61" t="s">
        <v>498</v>
      </c>
      <c r="C176" s="52" t="str">
        <f>VLOOKUP(B176,'Insumos e Serviços'!$A:$F,2,0)</f>
        <v>Próprio</v>
      </c>
      <c r="D176" s="62" t="str">
        <f>VLOOKUP(B176,'Insumos e Serviços'!$A:$F,4,0)</f>
        <v>Telha termoacústica, tipo trapezoidal com núcleo isolante em PIR com espessura de 50mm, revestimento externo e interno de aço (0,50 / 0,43), pré printado na cor MARROM, inclusive acessórios de fixação</v>
      </c>
      <c r="E176" s="61" t="str">
        <f>VLOOKUP(B176,'Insumos e Serviços'!$A:$F,5,0)</f>
        <v>m²</v>
      </c>
      <c r="F176" s="63">
        <v>1.1459999999999999</v>
      </c>
      <c r="G176" s="64">
        <f>VLOOKUP(B176,'Insumos e Serviços'!$A:$F,6,0)</f>
        <v>216.2</v>
      </c>
      <c r="H176" s="64">
        <f t="shared" si="30"/>
        <v>247.76</v>
      </c>
    </row>
    <row r="177" spans="1:8" ht="12" thickTop="1" x14ac:dyDescent="0.2">
      <c r="A177" s="20"/>
      <c r="B177" s="20"/>
      <c r="C177" s="20"/>
      <c r="D177" s="20"/>
      <c r="E177" s="20"/>
      <c r="F177" s="21"/>
      <c r="G177" s="21"/>
      <c r="H177" s="21"/>
    </row>
    <row r="178" spans="1:8" ht="22.5" x14ac:dyDescent="0.2">
      <c r="A178" s="56" t="s">
        <v>155</v>
      </c>
      <c r="B178" s="57" t="str">
        <f>VLOOKUP(A178,'Orçamento Sintético'!$A:$H,2,0)</f>
        <v xml:space="preserve"> MPDFT0514 </v>
      </c>
      <c r="C178" s="57" t="str">
        <f>VLOOKUP(A178,'Orçamento Sintético'!$A:$H,3,0)</f>
        <v>Próprio</v>
      </c>
      <c r="D178" s="58" t="str">
        <f>VLOOKUP(A178,'Orçamento Sintético'!$A:$H,4,0)</f>
        <v>Cumeeira branca l=60cm para telha termoacústica, incluso acessórios de fixação e içamento</v>
      </c>
      <c r="E178" s="57" t="str">
        <f>VLOOKUP(A178,'Orçamento Sintético'!$A:$H,5,0)</f>
        <v>m</v>
      </c>
      <c r="F178" s="59"/>
      <c r="G178" s="60"/>
      <c r="H178" s="60">
        <f>SUM(H179:H184)</f>
        <v>51.64</v>
      </c>
    </row>
    <row r="179" spans="1:8" x14ac:dyDescent="0.2">
      <c r="A179" s="61" t="str">
        <f>VLOOKUP(B179,'Insumos e Serviços'!$A:$F,3,0)</f>
        <v>Composição</v>
      </c>
      <c r="B179" s="61" t="s">
        <v>491</v>
      </c>
      <c r="C179" s="52" t="str">
        <f>VLOOKUP(B179,'Insumos e Serviços'!$A:$F,2,0)</f>
        <v>SINAPI</v>
      </c>
      <c r="D179" s="62" t="str">
        <f>VLOOKUP(B179,'Insumos e Serviços'!$A:$F,4,0)</f>
        <v>TELHADISTA COM ENCARGOS COMPLEMENTARES</v>
      </c>
      <c r="E179" s="61" t="str">
        <f>VLOOKUP(B179,'Insumos e Serviços'!$A:$F,5,0)</f>
        <v>H</v>
      </c>
      <c r="F179" s="63">
        <v>9.5000000000000001E-2</v>
      </c>
      <c r="G179" s="64">
        <f>VLOOKUP(B179,'Insumos e Serviços'!$A:$F,6,0)</f>
        <v>24.59</v>
      </c>
      <c r="H179" s="64">
        <f t="shared" ref="H179:H184" si="31">TRUNC(F179*G179,2)</f>
        <v>2.33</v>
      </c>
    </row>
    <row r="180" spans="1:8" x14ac:dyDescent="0.2">
      <c r="A180" s="61" t="str">
        <f>VLOOKUP(B180,'Insumos e Serviços'!$A:$F,3,0)</f>
        <v>Composição</v>
      </c>
      <c r="B180" s="61">
        <v>88316</v>
      </c>
      <c r="C180" s="52" t="str">
        <f>VLOOKUP(B180,'Insumos e Serviços'!$A:$F,2,0)</f>
        <v>SINAPI</v>
      </c>
      <c r="D180" s="62" t="str">
        <f>VLOOKUP(B180,'Insumos e Serviços'!$A:$F,4,0)</f>
        <v>SERVENTE COM ENCARGOS COMPLEMENTARES</v>
      </c>
      <c r="E180" s="61" t="str">
        <f>VLOOKUP(B180,'Insumos e Serviços'!$A:$F,5,0)</f>
        <v>H</v>
      </c>
      <c r="F180" s="63">
        <v>0.108</v>
      </c>
      <c r="G180" s="64">
        <f>VLOOKUP(B180,'Insumos e Serviços'!$A:$F,6,0)</f>
        <v>17.170000000000002</v>
      </c>
      <c r="H180" s="64">
        <f t="shared" si="31"/>
        <v>1.85</v>
      </c>
    </row>
    <row r="181" spans="1:8" ht="25.5" customHeight="1" x14ac:dyDescent="0.2">
      <c r="A181" s="61" t="str">
        <f>VLOOKUP(B181,'Insumos e Serviços'!$A:$F,3,0)</f>
        <v>Composição</v>
      </c>
      <c r="B181" s="61" t="s">
        <v>493</v>
      </c>
      <c r="C181" s="52" t="str">
        <f>VLOOKUP(B181,'Insumos e Serviços'!$A:$F,2,0)</f>
        <v>SINAPI</v>
      </c>
      <c r="D181" s="62" t="str">
        <f>VLOOKUP(B181,'Insumos e Serviços'!$A:$F,4,0)</f>
        <v>GUINCHO ELÉTRICO DE COLUNA, CAPACIDADE 400 KG, COM MOTO FREIO, MOTOR TRIFÁSICO DE 1,25 CV - CHP DIURNO. AF_03/2016</v>
      </c>
      <c r="E181" s="61" t="str">
        <f>VLOOKUP(B181,'Insumos e Serviços'!$A:$F,5,0)</f>
        <v>CHP</v>
      </c>
      <c r="F181" s="63">
        <v>8.9999999999999998E-4</v>
      </c>
      <c r="G181" s="64">
        <f>VLOOKUP(B181,'Insumos e Serviços'!$A:$F,6,0)</f>
        <v>19.309999999999999</v>
      </c>
      <c r="H181" s="64">
        <f t="shared" si="31"/>
        <v>0.01</v>
      </c>
    </row>
    <row r="182" spans="1:8" ht="25.5" customHeight="1" x14ac:dyDescent="0.2">
      <c r="A182" s="61" t="str">
        <f>VLOOKUP(B182,'Insumos e Serviços'!$A:$F,3,0)</f>
        <v>Composição</v>
      </c>
      <c r="B182" s="61" t="s">
        <v>495</v>
      </c>
      <c r="C182" s="52" t="str">
        <f>VLOOKUP(B182,'Insumos e Serviços'!$A:$F,2,0)</f>
        <v>SINAPI</v>
      </c>
      <c r="D182" s="62" t="str">
        <f>VLOOKUP(B182,'Insumos e Serviços'!$A:$F,4,0)</f>
        <v>GUINCHO ELÉTRICO DE COLUNA, CAPACIDADE 400 KG, COM MOTO FREIO, MOTOR TRIFÁSICO DE 1,25 CV - CHI DIURNO. AF_03/2016</v>
      </c>
      <c r="E182" s="61" t="str">
        <f>VLOOKUP(B182,'Insumos e Serviços'!$A:$F,5,0)</f>
        <v>CHI</v>
      </c>
      <c r="F182" s="63">
        <v>1.1999999999999999E-3</v>
      </c>
      <c r="G182" s="64">
        <f>VLOOKUP(B182,'Insumos e Serviços'!$A:$F,6,0)</f>
        <v>18.510000000000002</v>
      </c>
      <c r="H182" s="64">
        <f t="shared" si="31"/>
        <v>0.02</v>
      </c>
    </row>
    <row r="183" spans="1:8" x14ac:dyDescent="0.2">
      <c r="A183" s="61" t="str">
        <f>VLOOKUP(B183,'Insumos e Serviços'!$A:$F,3,0)</f>
        <v>Insumo</v>
      </c>
      <c r="B183" s="61" t="s">
        <v>499</v>
      </c>
      <c r="C183" s="52" t="str">
        <f>VLOOKUP(B183,'Insumos e Serviços'!$A:$F,2,0)</f>
        <v>SINAPI</v>
      </c>
      <c r="D183" s="62" t="str">
        <f>VLOOKUP(B183,'Insumos e Serviços'!$A:$F,4,0)</f>
        <v>REBITE DE ALUMINIO VAZADO DE REPUXO, 3,2 X 8 MM (1KG = 1025 UNIDADES)</v>
      </c>
      <c r="E183" s="61" t="str">
        <f>VLOOKUP(B183,'Insumos e Serviços'!$A:$F,5,0)</f>
        <v>KG</v>
      </c>
      <c r="F183" s="63">
        <v>1.0999999999999999E-2</v>
      </c>
      <c r="G183" s="64">
        <f>VLOOKUP(B183,'Insumos e Serviços'!$A:$F,6,0)</f>
        <v>58.29</v>
      </c>
      <c r="H183" s="64">
        <f t="shared" si="31"/>
        <v>0.64</v>
      </c>
    </row>
    <row r="184" spans="1:8" ht="12" thickBot="1" x14ac:dyDescent="0.25">
      <c r="A184" s="61" t="str">
        <f>VLOOKUP(B184,'Insumos e Serviços'!$A:$F,3,0)</f>
        <v>Insumo</v>
      </c>
      <c r="B184" s="61" t="s">
        <v>501</v>
      </c>
      <c r="C184" s="52" t="str">
        <f>VLOOKUP(B184,'Insumos e Serviços'!$A:$F,2,0)</f>
        <v>Próprio</v>
      </c>
      <c r="D184" s="62" t="str">
        <f>VLOOKUP(B184,'Insumos e Serviços'!$A:$F,4,0)</f>
        <v>Cumeeira branca l=60cm para telha termoacústica, incluso acessórios de fixação e içamento</v>
      </c>
      <c r="E184" s="61" t="str">
        <f>VLOOKUP(B184,'Insumos e Serviços'!$A:$F,5,0)</f>
        <v>m</v>
      </c>
      <c r="F184" s="63">
        <v>1</v>
      </c>
      <c r="G184" s="64">
        <f>VLOOKUP(B184,'Insumos e Serviços'!$A:$F,6,0)</f>
        <v>46.79</v>
      </c>
      <c r="H184" s="64">
        <f t="shared" si="31"/>
        <v>46.79</v>
      </c>
    </row>
    <row r="185" spans="1:8" ht="12" thickTop="1" x14ac:dyDescent="0.2">
      <c r="A185" s="20"/>
      <c r="B185" s="20"/>
      <c r="C185" s="20"/>
      <c r="D185" s="20"/>
      <c r="E185" s="20"/>
      <c r="F185" s="21"/>
      <c r="G185" s="21"/>
      <c r="H185" s="21"/>
    </row>
    <row r="186" spans="1:8" ht="22.5" x14ac:dyDescent="0.2">
      <c r="A186" s="56" t="s">
        <v>158</v>
      </c>
      <c r="B186" s="57" t="str">
        <f>VLOOKUP(A186,'Orçamento Sintético'!$A:$H,2,0)</f>
        <v xml:space="preserve"> MPDFT0515 </v>
      </c>
      <c r="C186" s="57" t="str">
        <f>VLOOKUP(A186,'Orçamento Sintético'!$A:$H,3,0)</f>
        <v>Próprio</v>
      </c>
      <c r="D186" s="58" t="str">
        <f>VLOOKUP(A186,'Orçamento Sintético'!$A:$H,4,0)</f>
        <v>Cumeeira marrom l=60cm para telha termoacústica, incluso acessórios de fixação e içamento</v>
      </c>
      <c r="E186" s="57" t="str">
        <f>VLOOKUP(A186,'Orçamento Sintético'!$A:$H,5,0)</f>
        <v>m</v>
      </c>
      <c r="F186" s="59"/>
      <c r="G186" s="60"/>
      <c r="H186" s="60">
        <f>SUM(H187:H192)</f>
        <v>83.19</v>
      </c>
    </row>
    <row r="187" spans="1:8" x14ac:dyDescent="0.2">
      <c r="A187" s="61" t="str">
        <f>VLOOKUP(B187,'Insumos e Serviços'!$A:$F,3,0)</f>
        <v>Composição</v>
      </c>
      <c r="B187" s="61" t="s">
        <v>491</v>
      </c>
      <c r="C187" s="52" t="str">
        <f>VLOOKUP(B187,'Insumos e Serviços'!$A:$F,2,0)</f>
        <v>SINAPI</v>
      </c>
      <c r="D187" s="62" t="str">
        <f>VLOOKUP(B187,'Insumos e Serviços'!$A:$F,4,0)</f>
        <v>TELHADISTA COM ENCARGOS COMPLEMENTARES</v>
      </c>
      <c r="E187" s="61" t="str">
        <f>VLOOKUP(B187,'Insumos e Serviços'!$A:$F,5,0)</f>
        <v>H</v>
      </c>
      <c r="F187" s="63">
        <v>9.5000000000000001E-2</v>
      </c>
      <c r="G187" s="64">
        <f>VLOOKUP(B187,'Insumos e Serviços'!$A:$F,6,0)</f>
        <v>24.59</v>
      </c>
      <c r="H187" s="64">
        <f t="shared" ref="H187:H192" si="32">TRUNC(F187*G187,2)</f>
        <v>2.33</v>
      </c>
    </row>
    <row r="188" spans="1:8" x14ac:dyDescent="0.2">
      <c r="A188" s="61" t="str">
        <f>VLOOKUP(B188,'Insumos e Serviços'!$A:$F,3,0)</f>
        <v>Composição</v>
      </c>
      <c r="B188" s="61">
        <v>88316</v>
      </c>
      <c r="C188" s="52" t="str">
        <f>VLOOKUP(B188,'Insumos e Serviços'!$A:$F,2,0)</f>
        <v>SINAPI</v>
      </c>
      <c r="D188" s="62" t="str">
        <f>VLOOKUP(B188,'Insumos e Serviços'!$A:$F,4,0)</f>
        <v>SERVENTE COM ENCARGOS COMPLEMENTARES</v>
      </c>
      <c r="E188" s="61" t="str">
        <f>VLOOKUP(B188,'Insumos e Serviços'!$A:$F,5,0)</f>
        <v>H</v>
      </c>
      <c r="F188" s="63">
        <v>0.108</v>
      </c>
      <c r="G188" s="64">
        <f>VLOOKUP(B188,'Insumos e Serviços'!$A:$F,6,0)</f>
        <v>17.170000000000002</v>
      </c>
      <c r="H188" s="64">
        <f t="shared" si="32"/>
        <v>1.85</v>
      </c>
    </row>
    <row r="189" spans="1:8" ht="25.5" customHeight="1" x14ac:dyDescent="0.2">
      <c r="A189" s="61" t="str">
        <f>VLOOKUP(B189,'Insumos e Serviços'!$A:$F,3,0)</f>
        <v>Composição</v>
      </c>
      <c r="B189" s="61" t="s">
        <v>493</v>
      </c>
      <c r="C189" s="52" t="str">
        <f>VLOOKUP(B189,'Insumos e Serviços'!$A:$F,2,0)</f>
        <v>SINAPI</v>
      </c>
      <c r="D189" s="62" t="str">
        <f>VLOOKUP(B189,'Insumos e Serviços'!$A:$F,4,0)</f>
        <v>GUINCHO ELÉTRICO DE COLUNA, CAPACIDADE 400 KG, COM MOTO FREIO, MOTOR TRIFÁSICO DE 1,25 CV - CHP DIURNO. AF_03/2016</v>
      </c>
      <c r="E189" s="61" t="str">
        <f>VLOOKUP(B189,'Insumos e Serviços'!$A:$F,5,0)</f>
        <v>CHP</v>
      </c>
      <c r="F189" s="63">
        <v>8.9999999999999998E-4</v>
      </c>
      <c r="G189" s="64">
        <f>VLOOKUP(B189,'Insumos e Serviços'!$A:$F,6,0)</f>
        <v>19.309999999999999</v>
      </c>
      <c r="H189" s="64">
        <f t="shared" si="32"/>
        <v>0.01</v>
      </c>
    </row>
    <row r="190" spans="1:8" ht="25.5" customHeight="1" x14ac:dyDescent="0.2">
      <c r="A190" s="61" t="str">
        <f>VLOOKUP(B190,'Insumos e Serviços'!$A:$F,3,0)</f>
        <v>Composição</v>
      </c>
      <c r="B190" s="61" t="s">
        <v>495</v>
      </c>
      <c r="C190" s="52" t="str">
        <f>VLOOKUP(B190,'Insumos e Serviços'!$A:$F,2,0)</f>
        <v>SINAPI</v>
      </c>
      <c r="D190" s="62" t="str">
        <f>VLOOKUP(B190,'Insumos e Serviços'!$A:$F,4,0)</f>
        <v>GUINCHO ELÉTRICO DE COLUNA, CAPACIDADE 400 KG, COM MOTO FREIO, MOTOR TRIFÁSICO DE 1,25 CV - CHI DIURNO. AF_03/2016</v>
      </c>
      <c r="E190" s="61" t="str">
        <f>VLOOKUP(B190,'Insumos e Serviços'!$A:$F,5,0)</f>
        <v>CHI</v>
      </c>
      <c r="F190" s="63">
        <v>1.1999999999999999E-3</v>
      </c>
      <c r="G190" s="64">
        <f>VLOOKUP(B190,'Insumos e Serviços'!$A:$F,6,0)</f>
        <v>18.510000000000002</v>
      </c>
      <c r="H190" s="64">
        <f t="shared" si="32"/>
        <v>0.02</v>
      </c>
    </row>
    <row r="191" spans="1:8" x14ac:dyDescent="0.2">
      <c r="A191" s="61" t="str">
        <f>VLOOKUP(B191,'Insumos e Serviços'!$A:$F,3,0)</f>
        <v>Insumo</v>
      </c>
      <c r="B191" s="61" t="s">
        <v>502</v>
      </c>
      <c r="C191" s="52" t="str">
        <f>VLOOKUP(B191,'Insumos e Serviços'!$A:$F,2,0)</f>
        <v>Próprio</v>
      </c>
      <c r="D191" s="62" t="str">
        <f>VLOOKUP(B191,'Insumos e Serviços'!$A:$F,4,0)</f>
        <v>Cumeeira marrom l=60cm para telha termoacústica, incluso acessórios de fixação e içamento</v>
      </c>
      <c r="E191" s="61" t="str">
        <f>VLOOKUP(B191,'Insumos e Serviços'!$A:$F,5,0)</f>
        <v>m</v>
      </c>
      <c r="F191" s="63">
        <v>1</v>
      </c>
      <c r="G191" s="64">
        <f>VLOOKUP(B191,'Insumos e Serviços'!$A:$F,6,0)</f>
        <v>78.34</v>
      </c>
      <c r="H191" s="64">
        <f t="shared" si="32"/>
        <v>78.34</v>
      </c>
    </row>
    <row r="192" spans="1:8" ht="12" thickBot="1" x14ac:dyDescent="0.25">
      <c r="A192" s="61" t="str">
        <f>VLOOKUP(B192,'Insumos e Serviços'!$A:$F,3,0)</f>
        <v>Insumo</v>
      </c>
      <c r="B192" s="61" t="s">
        <v>499</v>
      </c>
      <c r="C192" s="52" t="str">
        <f>VLOOKUP(B192,'Insumos e Serviços'!$A:$F,2,0)</f>
        <v>SINAPI</v>
      </c>
      <c r="D192" s="62" t="str">
        <f>VLOOKUP(B192,'Insumos e Serviços'!$A:$F,4,0)</f>
        <v>REBITE DE ALUMINIO VAZADO DE REPUXO, 3,2 X 8 MM (1KG = 1025 UNIDADES)</v>
      </c>
      <c r="E192" s="61" t="str">
        <f>VLOOKUP(B192,'Insumos e Serviços'!$A:$F,5,0)</f>
        <v>KG</v>
      </c>
      <c r="F192" s="63">
        <v>1.0999999999999999E-2</v>
      </c>
      <c r="G192" s="64">
        <f>VLOOKUP(B192,'Insumos e Serviços'!$A:$F,6,0)</f>
        <v>58.29</v>
      </c>
      <c r="H192" s="64">
        <f t="shared" si="32"/>
        <v>0.64</v>
      </c>
    </row>
    <row r="193" spans="1:8" ht="12" thickTop="1" x14ac:dyDescent="0.2">
      <c r="A193" s="20"/>
      <c r="B193" s="20"/>
      <c r="C193" s="20"/>
      <c r="D193" s="20"/>
      <c r="E193" s="20"/>
      <c r="F193" s="21"/>
      <c r="G193" s="21"/>
      <c r="H193" s="21"/>
    </row>
    <row r="194" spans="1:8" x14ac:dyDescent="0.2">
      <c r="A194" s="56" t="s">
        <v>161</v>
      </c>
      <c r="B194" s="57" t="str">
        <f>VLOOKUP(A194,'Orçamento Sintético'!$A:$H,2,0)</f>
        <v xml:space="preserve"> MPDFT0516 </v>
      </c>
      <c r="C194" s="57" t="str">
        <f>VLOOKUP(A194,'Orçamento Sintético'!$A:$H,3,0)</f>
        <v>Próprio</v>
      </c>
      <c r="D194" s="58" t="str">
        <f>VLOOKUP(A194,'Orçamento Sintético'!$A:$H,4,0)</f>
        <v>Arremate de fechamento frontal marrom para telha termoacústica</v>
      </c>
      <c r="E194" s="57" t="str">
        <f>VLOOKUP(A194,'Orçamento Sintético'!$A:$H,5,0)</f>
        <v>m</v>
      </c>
      <c r="F194" s="59"/>
      <c r="G194" s="60"/>
      <c r="H194" s="60">
        <f>SUM(H195:H200)</f>
        <v>20</v>
      </c>
    </row>
    <row r="195" spans="1:8" x14ac:dyDescent="0.2">
      <c r="A195" s="61" t="str">
        <f>VLOOKUP(B195,'Insumos e Serviços'!$A:$F,3,0)</f>
        <v>Composição</v>
      </c>
      <c r="B195" s="61" t="s">
        <v>491</v>
      </c>
      <c r="C195" s="52" t="str">
        <f>VLOOKUP(B195,'Insumos e Serviços'!$A:$F,2,0)</f>
        <v>SINAPI</v>
      </c>
      <c r="D195" s="62" t="str">
        <f>VLOOKUP(B195,'Insumos e Serviços'!$A:$F,4,0)</f>
        <v>TELHADISTA COM ENCARGOS COMPLEMENTARES</v>
      </c>
      <c r="E195" s="61" t="str">
        <f>VLOOKUP(B195,'Insumos e Serviços'!$A:$F,5,0)</f>
        <v>H</v>
      </c>
      <c r="F195" s="63">
        <v>9.5000000000000001E-2</v>
      </c>
      <c r="G195" s="64">
        <f>VLOOKUP(B195,'Insumos e Serviços'!$A:$F,6,0)</f>
        <v>24.59</v>
      </c>
      <c r="H195" s="64">
        <f t="shared" ref="H195:H200" si="33">TRUNC(F195*G195,2)</f>
        <v>2.33</v>
      </c>
    </row>
    <row r="196" spans="1:8" x14ac:dyDescent="0.2">
      <c r="A196" s="61" t="str">
        <f>VLOOKUP(B196,'Insumos e Serviços'!$A:$F,3,0)</f>
        <v>Composição</v>
      </c>
      <c r="B196" s="61">
        <v>88316</v>
      </c>
      <c r="C196" s="52" t="str">
        <f>VLOOKUP(B196,'Insumos e Serviços'!$A:$F,2,0)</f>
        <v>SINAPI</v>
      </c>
      <c r="D196" s="62" t="str">
        <f>VLOOKUP(B196,'Insumos e Serviços'!$A:$F,4,0)</f>
        <v>SERVENTE COM ENCARGOS COMPLEMENTARES</v>
      </c>
      <c r="E196" s="61" t="str">
        <f>VLOOKUP(B196,'Insumos e Serviços'!$A:$F,5,0)</f>
        <v>H</v>
      </c>
      <c r="F196" s="63">
        <v>0.108</v>
      </c>
      <c r="G196" s="64">
        <f>VLOOKUP(B196,'Insumos e Serviços'!$A:$F,6,0)</f>
        <v>17.170000000000002</v>
      </c>
      <c r="H196" s="64">
        <f t="shared" si="33"/>
        <v>1.85</v>
      </c>
    </row>
    <row r="197" spans="1:8" ht="25.5" customHeight="1" x14ac:dyDescent="0.2">
      <c r="A197" s="61" t="str">
        <f>VLOOKUP(B197,'Insumos e Serviços'!$A:$F,3,0)</f>
        <v>Composição</v>
      </c>
      <c r="B197" s="61" t="s">
        <v>493</v>
      </c>
      <c r="C197" s="52" t="str">
        <f>VLOOKUP(B197,'Insumos e Serviços'!$A:$F,2,0)</f>
        <v>SINAPI</v>
      </c>
      <c r="D197" s="62" t="str">
        <f>VLOOKUP(B197,'Insumos e Serviços'!$A:$F,4,0)</f>
        <v>GUINCHO ELÉTRICO DE COLUNA, CAPACIDADE 400 KG, COM MOTO FREIO, MOTOR TRIFÁSICO DE 1,25 CV - CHP DIURNO. AF_03/2016</v>
      </c>
      <c r="E197" s="61" t="str">
        <f>VLOOKUP(B197,'Insumos e Serviços'!$A:$F,5,0)</f>
        <v>CHP</v>
      </c>
      <c r="F197" s="63">
        <v>8.9999999999999998E-4</v>
      </c>
      <c r="G197" s="64">
        <f>VLOOKUP(B197,'Insumos e Serviços'!$A:$F,6,0)</f>
        <v>19.309999999999999</v>
      </c>
      <c r="H197" s="64">
        <f t="shared" si="33"/>
        <v>0.01</v>
      </c>
    </row>
    <row r="198" spans="1:8" ht="25.5" customHeight="1" x14ac:dyDescent="0.2">
      <c r="A198" s="61" t="str">
        <f>VLOOKUP(B198,'Insumos e Serviços'!$A:$F,3,0)</f>
        <v>Composição</v>
      </c>
      <c r="B198" s="61" t="s">
        <v>495</v>
      </c>
      <c r="C198" s="52" t="str">
        <f>VLOOKUP(B198,'Insumos e Serviços'!$A:$F,2,0)</f>
        <v>SINAPI</v>
      </c>
      <c r="D198" s="62" t="str">
        <f>VLOOKUP(B198,'Insumos e Serviços'!$A:$F,4,0)</f>
        <v>GUINCHO ELÉTRICO DE COLUNA, CAPACIDADE 400 KG, COM MOTO FREIO, MOTOR TRIFÁSICO DE 1,25 CV - CHI DIURNO. AF_03/2016</v>
      </c>
      <c r="E198" s="61" t="str">
        <f>VLOOKUP(B198,'Insumos e Serviços'!$A:$F,5,0)</f>
        <v>CHI</v>
      </c>
      <c r="F198" s="63">
        <v>1.1999999999999999E-3</v>
      </c>
      <c r="G198" s="64">
        <f>VLOOKUP(B198,'Insumos e Serviços'!$A:$F,6,0)</f>
        <v>18.510000000000002</v>
      </c>
      <c r="H198" s="64">
        <f t="shared" si="33"/>
        <v>0.02</v>
      </c>
    </row>
    <row r="199" spans="1:8" ht="22.5" x14ac:dyDescent="0.2">
      <c r="A199" s="61" t="str">
        <f>VLOOKUP(B199,'Insumos e Serviços'!$A:$F,3,0)</f>
        <v>Insumo</v>
      </c>
      <c r="B199" s="61" t="s">
        <v>503</v>
      </c>
      <c r="C199" s="52" t="str">
        <f>VLOOKUP(B199,'Insumos e Serviços'!$A:$F,2,0)</f>
        <v>Próprio</v>
      </c>
      <c r="D199" s="62" t="str">
        <f>VLOOKUP(B199,'Insumos e Serviços'!$A:$F,4,0)</f>
        <v>Arremate de fechamento frontal marrom para telha termoacústica, incluso acessórios de fixação e içamento</v>
      </c>
      <c r="E199" s="61" t="str">
        <f>VLOOKUP(B199,'Insumos e Serviços'!$A:$F,5,0)</f>
        <v>un</v>
      </c>
      <c r="F199" s="63">
        <v>1</v>
      </c>
      <c r="G199" s="64">
        <f>VLOOKUP(B199,'Insumos e Serviços'!$A:$F,6,0)</f>
        <v>15.15</v>
      </c>
      <c r="H199" s="64">
        <f t="shared" si="33"/>
        <v>15.15</v>
      </c>
    </row>
    <row r="200" spans="1:8" ht="12" thickBot="1" x14ac:dyDescent="0.25">
      <c r="A200" s="61" t="str">
        <f>VLOOKUP(B200,'Insumos e Serviços'!$A:$F,3,0)</f>
        <v>Insumo</v>
      </c>
      <c r="B200" s="61" t="s">
        <v>499</v>
      </c>
      <c r="C200" s="52" t="str">
        <f>VLOOKUP(B200,'Insumos e Serviços'!$A:$F,2,0)</f>
        <v>SINAPI</v>
      </c>
      <c r="D200" s="62" t="str">
        <f>VLOOKUP(B200,'Insumos e Serviços'!$A:$F,4,0)</f>
        <v>REBITE DE ALUMINIO VAZADO DE REPUXO, 3,2 X 8 MM (1KG = 1025 UNIDADES)</v>
      </c>
      <c r="E200" s="61" t="str">
        <f>VLOOKUP(B200,'Insumos e Serviços'!$A:$F,5,0)</f>
        <v>KG</v>
      </c>
      <c r="F200" s="63">
        <v>1.0999999999999999E-2</v>
      </c>
      <c r="G200" s="64">
        <f>VLOOKUP(B200,'Insumos e Serviços'!$A:$F,6,0)</f>
        <v>58.29</v>
      </c>
      <c r="H200" s="64">
        <f t="shared" si="33"/>
        <v>0.64</v>
      </c>
    </row>
    <row r="201" spans="1:8" ht="12" thickTop="1" x14ac:dyDescent="0.2">
      <c r="A201" s="20"/>
      <c r="B201" s="20"/>
      <c r="C201" s="20"/>
      <c r="D201" s="20"/>
      <c r="E201" s="20"/>
      <c r="F201" s="21"/>
      <c r="G201" s="21"/>
      <c r="H201" s="21"/>
    </row>
    <row r="202" spans="1:8" ht="22.5" x14ac:dyDescent="0.2">
      <c r="A202" s="56" t="s">
        <v>164</v>
      </c>
      <c r="B202" s="57" t="str">
        <f>VLOOKUP(A202,'Orçamento Sintético'!$A:$H,2,0)</f>
        <v xml:space="preserve"> MPDFT0169 </v>
      </c>
      <c r="C202" s="57" t="str">
        <f>VLOOKUP(A202,'Orçamento Sintético'!$A:$H,3,0)</f>
        <v>Próprio</v>
      </c>
      <c r="D202" s="58" t="str">
        <f>VLOOKUP(A202,'Orçamento Sintético'!$A:$H,4,0)</f>
        <v>Cópia SINAPI (94231) - Rufo metálico em chapa de aço galvanizado # 24 desenvolvimento 50cm</v>
      </c>
      <c r="E202" s="57" t="str">
        <f>VLOOKUP(A202,'Orçamento Sintético'!$A:$H,5,0)</f>
        <v>m</v>
      </c>
      <c r="F202" s="59"/>
      <c r="G202" s="60"/>
      <c r="H202" s="60">
        <f>SUM(H203:H204)</f>
        <v>83.98</v>
      </c>
    </row>
    <row r="203" spans="1:8" ht="22.5" x14ac:dyDescent="0.2">
      <c r="A203" s="61" t="str">
        <f>VLOOKUP(B203,'Insumos e Serviços'!$A:$F,3,0)</f>
        <v>Composição</v>
      </c>
      <c r="B203" s="61" t="s">
        <v>505</v>
      </c>
      <c r="C203" s="52" t="str">
        <f>VLOOKUP(B203,'Insumos e Serviços'!$A:$F,2,0)</f>
        <v>SINAPI</v>
      </c>
      <c r="D203" s="62" t="str">
        <f>VLOOKUP(B203,'Insumos e Serviços'!$A:$F,4,0)</f>
        <v>RUFO EM CHAPA DE AÇO GALVANIZADO NÚMERO 24, CORTE DE 25 CM, INCLUSO TRANSPORTE VERTICAL. AF_07/2019</v>
      </c>
      <c r="E203" s="61" t="str">
        <f>VLOOKUP(B203,'Insumos e Serviços'!$A:$F,5,0)</f>
        <v>M</v>
      </c>
      <c r="F203" s="63">
        <v>2</v>
      </c>
      <c r="G203" s="64">
        <f>VLOOKUP(B203,'Insumos e Serviços'!$A:$F,6,0)</f>
        <v>40.64</v>
      </c>
      <c r="H203" s="64">
        <f t="shared" ref="H203:H204" si="34">TRUNC(F203*G203,2)</f>
        <v>81.28</v>
      </c>
    </row>
    <row r="204" spans="1:8" ht="23.25" thickBot="1" x14ac:dyDescent="0.25">
      <c r="A204" s="61" t="str">
        <f>VLOOKUP(B204,'Insumos e Serviços'!$A:$F,3,0)</f>
        <v>Insumo</v>
      </c>
      <c r="B204" s="61" t="s">
        <v>483</v>
      </c>
      <c r="C204" s="52" t="str">
        <f>VLOOKUP(B204,'Insumos e Serviços'!$A:$F,2,0)</f>
        <v>SINAPI</v>
      </c>
      <c r="D204" s="62" t="str">
        <f>VLOOKUP(B204,'Insumos e Serviços'!$A:$F,4,0)</f>
        <v>SELANTE ELASTICO MONOCOMPONENTE A BASE DE POLIURETANO PARA JUNTAS DIVERSAS</v>
      </c>
      <c r="E204" s="61" t="str">
        <f>VLOOKUP(B204,'Insumos e Serviços'!$A:$F,5,0)</f>
        <v>310ML</v>
      </c>
      <c r="F204" s="63">
        <v>0.1</v>
      </c>
      <c r="G204" s="64">
        <f>VLOOKUP(B204,'Insumos e Serviços'!$A:$F,6,0)</f>
        <v>27</v>
      </c>
      <c r="H204" s="64">
        <f t="shared" si="34"/>
        <v>2.7</v>
      </c>
    </row>
    <row r="205" spans="1:8" ht="12" thickTop="1" x14ac:dyDescent="0.2">
      <c r="A205" s="20"/>
      <c r="B205" s="20"/>
      <c r="C205" s="20"/>
      <c r="D205" s="20"/>
      <c r="E205" s="20"/>
      <c r="F205" s="21"/>
      <c r="G205" s="21"/>
      <c r="H205" s="21"/>
    </row>
    <row r="206" spans="1:8" ht="33.75" x14ac:dyDescent="0.2">
      <c r="A206" s="56" t="s">
        <v>167</v>
      </c>
      <c r="B206" s="57" t="str">
        <f>VLOOKUP(A206,'Orçamento Sintético'!$A:$H,2,0)</f>
        <v xml:space="preserve"> MPDFT0543 </v>
      </c>
      <c r="C206" s="57" t="str">
        <f>VLOOKUP(A206,'Orçamento Sintético'!$A:$H,3,0)</f>
        <v>Próprio</v>
      </c>
      <c r="D206" s="58" t="str">
        <f>VLOOKUP(A206,'Orçamento Sintético'!$A:$H,4,0)</f>
        <v>Cópia SINAPI 100327 - Rufo capa com aba dupla em aço galvanizado #26, L=75cm (nova cobertura termoacústica) - incluso acab. com fundo preparador e duas demãos pintura esmalte sintético fosco</v>
      </c>
      <c r="E206" s="57" t="str">
        <f>VLOOKUP(A206,'Orçamento Sintético'!$A:$H,5,0)</f>
        <v>m</v>
      </c>
      <c r="F206" s="59"/>
      <c r="G206" s="60"/>
      <c r="H206" s="60">
        <f>SUM(H207:H208)</f>
        <v>139.31</v>
      </c>
    </row>
    <row r="207" spans="1:8" ht="22.5" x14ac:dyDescent="0.2">
      <c r="A207" s="61" t="str">
        <f>VLOOKUP(B207,'Insumos e Serviços'!$A:$F,3,0)</f>
        <v>Composição</v>
      </c>
      <c r="B207" s="61" t="s">
        <v>507</v>
      </c>
      <c r="C207" s="52" t="str">
        <f>VLOOKUP(B207,'Insumos e Serviços'!$A:$F,2,0)</f>
        <v>SINAPI</v>
      </c>
      <c r="D207" s="62" t="str">
        <f>VLOOKUP(B207,'Insumos e Serviços'!$A:$F,4,0)</f>
        <v>RUFO EXTERNO/INTERNO EM CHAPA DE AÇO GALVANIZADO NÚMERO 26, CORTE DE 33 CM, INCLUSO IÇAMENTO. AF_07/2019</v>
      </c>
      <c r="E207" s="61" t="str">
        <f>VLOOKUP(B207,'Insumos e Serviços'!$A:$F,5,0)</f>
        <v>M</v>
      </c>
      <c r="F207" s="63">
        <v>2.2726999999999999</v>
      </c>
      <c r="G207" s="64">
        <f>VLOOKUP(B207,'Insumos e Serviços'!$A:$F,6,0)</f>
        <v>45.38</v>
      </c>
      <c r="H207" s="64">
        <f t="shared" ref="H207:H208" si="35">TRUNC(F207*G207,2)</f>
        <v>103.13</v>
      </c>
    </row>
    <row r="208" spans="1:8" ht="34.5" thickBot="1" x14ac:dyDescent="0.25">
      <c r="A208" s="61" t="str">
        <f>VLOOKUP(B208,'Insumos e Serviços'!$A:$F,3,0)</f>
        <v>Composição</v>
      </c>
      <c r="B208" s="61" t="s">
        <v>225</v>
      </c>
      <c r="C208" s="52" t="str">
        <f>VLOOKUP(B208,'Insumos e Serviços'!$A:$F,2,0)</f>
        <v>SINAPI</v>
      </c>
      <c r="D208" s="62" t="str">
        <f>VLOOKUP(B208,'Insumos e Serviços'!$A:$F,4,0)</f>
        <v>PINTURA COM TINTA ALQUÍDICA DE FUNDO E ACABAMENTO (ESMALTE SINTÉTICO GRAFITE) APLICADA A ROLO OU PINCEL SOBRE SUPERFÍCIES METÁLICAS (EXCETO PERFIL) EXECUTADO EM OBRA (POR DEMÃO). AF_01/2020</v>
      </c>
      <c r="E208" s="61" t="str">
        <f>VLOOKUP(B208,'Insumos e Serviços'!$A:$F,5,0)</f>
        <v>m²</v>
      </c>
      <c r="F208" s="63">
        <v>1.66</v>
      </c>
      <c r="G208" s="64">
        <f>VLOOKUP(B208,'Insumos e Serviços'!$A:$F,6,0)</f>
        <v>21.8</v>
      </c>
      <c r="H208" s="64">
        <f t="shared" si="35"/>
        <v>36.18</v>
      </c>
    </row>
    <row r="209" spans="1:8" ht="12" thickTop="1" x14ac:dyDescent="0.2">
      <c r="A209" s="20"/>
      <c r="B209" s="20"/>
      <c r="C209" s="20"/>
      <c r="D209" s="20"/>
      <c r="E209" s="20"/>
      <c r="F209" s="21"/>
      <c r="G209" s="21"/>
      <c r="H209" s="21"/>
    </row>
    <row r="210" spans="1:8" ht="33.75" x14ac:dyDescent="0.2">
      <c r="A210" s="56" t="s">
        <v>170</v>
      </c>
      <c r="B210" s="57" t="str">
        <f>VLOOKUP(A210,'Orçamento Sintético'!$A:$H,2,0)</f>
        <v xml:space="preserve"> MPDFT0544 </v>
      </c>
      <c r="C210" s="57" t="str">
        <f>VLOOKUP(A210,'Orçamento Sintético'!$A:$H,3,0)</f>
        <v>Próprio</v>
      </c>
      <c r="D210" s="58" t="str">
        <f>VLOOKUP(A210,'Orçamento Sintético'!$A:$H,4,0)</f>
        <v>Cópia SINAPI 100327 - Rufo  em aço galvanizado #26, L=30cm (todo telhado), incluso acab. com fundo preparador e pintura esmalte sintético fosco e aplicação de selante de silicone</v>
      </c>
      <c r="E210" s="57" t="str">
        <f>VLOOKUP(A210,'Orçamento Sintético'!$A:$H,5,0)</f>
        <v>m</v>
      </c>
      <c r="F210" s="59"/>
      <c r="G210" s="60"/>
      <c r="H210" s="60">
        <f>SUM(H211:H213)</f>
        <v>59.64</v>
      </c>
    </row>
    <row r="211" spans="1:8" ht="22.5" x14ac:dyDescent="0.2">
      <c r="A211" s="61" t="str">
        <f>VLOOKUP(B211,'Insumos e Serviços'!$A:$F,3,0)</f>
        <v>Composição</v>
      </c>
      <c r="B211" s="61" t="s">
        <v>507</v>
      </c>
      <c r="C211" s="52" t="str">
        <f>VLOOKUP(B211,'Insumos e Serviços'!$A:$F,2,0)</f>
        <v>SINAPI</v>
      </c>
      <c r="D211" s="62" t="str">
        <f>VLOOKUP(B211,'Insumos e Serviços'!$A:$F,4,0)</f>
        <v>RUFO EXTERNO/INTERNO EM CHAPA DE AÇO GALVANIZADO NÚMERO 26, CORTE DE 33 CM, INCLUSO IÇAMENTO. AF_07/2019</v>
      </c>
      <c r="E211" s="61" t="str">
        <f>VLOOKUP(B211,'Insumos e Serviços'!$A:$F,5,0)</f>
        <v>M</v>
      </c>
      <c r="F211" s="63">
        <v>0.90910000000000002</v>
      </c>
      <c r="G211" s="64">
        <f>VLOOKUP(B211,'Insumos e Serviços'!$A:$F,6,0)</f>
        <v>45.38</v>
      </c>
      <c r="H211" s="64">
        <f t="shared" ref="H211:H213" si="36">TRUNC(F211*G211,2)</f>
        <v>41.25</v>
      </c>
    </row>
    <row r="212" spans="1:8" ht="33.75" x14ac:dyDescent="0.2">
      <c r="A212" s="61" t="str">
        <f>VLOOKUP(B212,'Insumos e Serviços'!$A:$F,3,0)</f>
        <v>Composição</v>
      </c>
      <c r="B212" s="61" t="s">
        <v>225</v>
      </c>
      <c r="C212" s="52" t="str">
        <f>VLOOKUP(B212,'Insumos e Serviços'!$A:$F,2,0)</f>
        <v>SINAPI</v>
      </c>
      <c r="D212" s="62" t="str">
        <f>VLOOKUP(B212,'Insumos e Serviços'!$A:$F,4,0)</f>
        <v>PINTURA COM TINTA ALQUÍDICA DE FUNDO E ACABAMENTO (ESMALTE SINTÉTICO GRAFITE) APLICADA A ROLO OU PINCEL SOBRE SUPERFÍCIES METÁLICAS (EXCETO PERFIL) EXECUTADO EM OBRA (POR DEMÃO). AF_01/2020</v>
      </c>
      <c r="E212" s="61" t="str">
        <f>VLOOKUP(B212,'Insumos e Serviços'!$A:$F,5,0)</f>
        <v>m²</v>
      </c>
      <c r="F212" s="63">
        <v>0.72</v>
      </c>
      <c r="G212" s="64">
        <f>VLOOKUP(B212,'Insumos e Serviços'!$A:$F,6,0)</f>
        <v>21.8</v>
      </c>
      <c r="H212" s="64">
        <f t="shared" si="36"/>
        <v>15.69</v>
      </c>
    </row>
    <row r="213" spans="1:8" ht="23.25" thickBot="1" x14ac:dyDescent="0.25">
      <c r="A213" s="61" t="str">
        <f>VLOOKUP(B213,'Insumos e Serviços'!$A:$F,3,0)</f>
        <v>Insumo</v>
      </c>
      <c r="B213" s="61" t="s">
        <v>483</v>
      </c>
      <c r="C213" s="52" t="str">
        <f>VLOOKUP(B213,'Insumos e Serviços'!$A:$F,2,0)</f>
        <v>SINAPI</v>
      </c>
      <c r="D213" s="62" t="str">
        <f>VLOOKUP(B213,'Insumos e Serviços'!$A:$F,4,0)</f>
        <v>SELANTE ELASTICO MONOCOMPONENTE A BASE DE POLIURETANO PARA JUNTAS DIVERSAS</v>
      </c>
      <c r="E213" s="61" t="str">
        <f>VLOOKUP(B213,'Insumos e Serviços'!$A:$F,5,0)</f>
        <v>310ML</v>
      </c>
      <c r="F213" s="63">
        <v>0.1</v>
      </c>
      <c r="G213" s="64">
        <f>VLOOKUP(B213,'Insumos e Serviços'!$A:$F,6,0)</f>
        <v>27</v>
      </c>
      <c r="H213" s="64">
        <f t="shared" si="36"/>
        <v>2.7</v>
      </c>
    </row>
    <row r="214" spans="1:8" ht="12" thickTop="1" x14ac:dyDescent="0.2">
      <c r="A214" s="20"/>
      <c r="B214" s="20"/>
      <c r="C214" s="20"/>
      <c r="D214" s="20"/>
      <c r="E214" s="20"/>
      <c r="F214" s="21"/>
      <c r="G214" s="21"/>
      <c r="H214" s="21"/>
    </row>
    <row r="215" spans="1:8" x14ac:dyDescent="0.2">
      <c r="A215" s="14" t="s">
        <v>173</v>
      </c>
      <c r="B215" s="14"/>
      <c r="C215" s="14"/>
      <c r="D215" s="81" t="str">
        <f>VLOOKUP(A215,'Orçamento Sintético'!$A:$H,4,0)</f>
        <v>Revestimentos de pisos</v>
      </c>
      <c r="E215" s="47"/>
      <c r="F215" s="29"/>
      <c r="G215" s="30"/>
      <c r="H215" s="31"/>
    </row>
    <row r="216" spans="1:8" x14ac:dyDescent="0.2">
      <c r="A216" s="56" t="s">
        <v>176</v>
      </c>
      <c r="B216" s="57" t="str">
        <f>VLOOKUP(A216,'Orçamento Sintético'!$A:$H,2,0)</f>
        <v xml:space="preserve"> MPDFT0557 </v>
      </c>
      <c r="C216" s="57" t="str">
        <f>VLOOKUP(A216,'Orçamento Sintético'!$A:$H,3,0)</f>
        <v>Próprio</v>
      </c>
      <c r="D216" s="58" t="str">
        <f>VLOOKUP(A216,'Orçamento Sintético'!$A:$H,4,0)</f>
        <v>Copia da SINAPI 84666- Polimento de piso em granitina da área externa</v>
      </c>
      <c r="E216" s="57" t="str">
        <f>VLOOKUP(A216,'Orçamento Sintético'!$A:$H,5,0)</f>
        <v>m²</v>
      </c>
      <c r="F216" s="59"/>
      <c r="G216" s="60"/>
      <c r="H216" s="60">
        <f>SUM(H217:H218)</f>
        <v>6.16</v>
      </c>
    </row>
    <row r="217" spans="1:8" x14ac:dyDescent="0.2">
      <c r="A217" s="61" t="str">
        <f>VLOOKUP(B217,'Insumos e Serviços'!$A:$F,3,0)</f>
        <v>Composição</v>
      </c>
      <c r="B217" s="61" t="s">
        <v>509</v>
      </c>
      <c r="C217" s="52" t="str">
        <f>VLOOKUP(B217,'Insumos e Serviços'!$A:$F,2,0)</f>
        <v>SINAPI</v>
      </c>
      <c r="D217" s="62" t="str">
        <f>VLOOKUP(B217,'Insumos e Serviços'!$A:$F,4,0)</f>
        <v>OPERADOR DE MÁQUINAS E EQUIPAMENTOS COM ENCARGOS COMPLEMENTARES</v>
      </c>
      <c r="E217" s="61" t="str">
        <f>VLOOKUP(B217,'Insumos e Serviços'!$A:$F,5,0)</f>
        <v>H</v>
      </c>
      <c r="F217" s="63">
        <v>0.3</v>
      </c>
      <c r="G217" s="64">
        <f>VLOOKUP(B217,'Insumos e Serviços'!$A:$F,6,0)</f>
        <v>18.149999999999999</v>
      </c>
      <c r="H217" s="64">
        <f t="shared" ref="H217:H218" si="37">TRUNC(F217*G217,2)</f>
        <v>5.44</v>
      </c>
    </row>
    <row r="218" spans="1:8" ht="25.5" customHeight="1" thickBot="1" x14ac:dyDescent="0.25">
      <c r="A218" s="61" t="str">
        <f>VLOOKUP(B218,'Insumos e Serviços'!$A:$F,3,0)</f>
        <v>Composição</v>
      </c>
      <c r="B218" s="61" t="s">
        <v>511</v>
      </c>
      <c r="C218" s="52" t="str">
        <f>VLOOKUP(B218,'Insumos e Serviços'!$A:$F,2,0)</f>
        <v>SINAPI</v>
      </c>
      <c r="D218" s="62" t="str">
        <f>VLOOKUP(B218,'Insumos e Serviços'!$A:$F,4,0)</f>
        <v>POLIDORA DE PISO (POLITRIZ), PESO DE 100KG, DIÂMETRO 450 MM, MOTOR ELÉTRICO, POTÊNCIA 4 HP - CHP DIURNO. AF_09/2016</v>
      </c>
      <c r="E218" s="61" t="str">
        <f>VLOOKUP(B218,'Insumos e Serviços'!$A:$F,5,0)</f>
        <v>CHP</v>
      </c>
      <c r="F218" s="63">
        <v>0.3</v>
      </c>
      <c r="G218" s="64">
        <f>VLOOKUP(B218,'Insumos e Serviços'!$A:$F,6,0)</f>
        <v>2.42</v>
      </c>
      <c r="H218" s="64">
        <f t="shared" si="37"/>
        <v>0.72</v>
      </c>
    </row>
    <row r="219" spans="1:8" ht="12" thickTop="1" x14ac:dyDescent="0.2">
      <c r="A219" s="20"/>
      <c r="B219" s="20"/>
      <c r="C219" s="20"/>
      <c r="D219" s="20"/>
      <c r="E219" s="20"/>
      <c r="F219" s="21"/>
      <c r="G219" s="21"/>
      <c r="H219" s="21"/>
    </row>
    <row r="220" spans="1:8" x14ac:dyDescent="0.2">
      <c r="A220" s="14" t="s">
        <v>179</v>
      </c>
      <c r="B220" s="14"/>
      <c r="C220" s="14"/>
      <c r="D220" s="81" t="str">
        <f>VLOOKUP(A220,'Orçamento Sintético'!$A:$H,4,0)</f>
        <v>Revestimentos de paredes</v>
      </c>
      <c r="E220" s="47"/>
      <c r="F220" s="29"/>
      <c r="G220" s="30"/>
      <c r="H220" s="31"/>
    </row>
    <row r="221" spans="1:8" ht="33.75" x14ac:dyDescent="0.2">
      <c r="A221" s="56" t="s">
        <v>190</v>
      </c>
      <c r="B221" s="57" t="str">
        <f>VLOOKUP(A221,'Orçamento Sintético'!$A:$H,2,0)</f>
        <v xml:space="preserve"> MPDFT1047 </v>
      </c>
      <c r="C221" s="57" t="str">
        <f>VLOOKUP(A221,'Orçamento Sintético'!$A:$H,3,0)</f>
        <v>Próprio</v>
      </c>
      <c r="D221" s="58" t="str">
        <f>VLOOKUP(A221,'Orçamento Sintético'!$A:$H,4,0)</f>
        <v>Cópia SINAPI (87242) - Pastilha de porcelana 5,0x5,0cm, linha Engenharia, cor Barents, fab. Atlas (ref.M6329), assentada com argamassa pré-fabricada, incluindo rejuntamento</v>
      </c>
      <c r="E221" s="57" t="str">
        <f>VLOOKUP(A221,'Orçamento Sintético'!$A:$H,5,0)</f>
        <v>m²</v>
      </c>
      <c r="F221" s="59"/>
      <c r="G221" s="60"/>
      <c r="H221" s="60">
        <f>SUM(H222:H225)</f>
        <v>127.02999999999999</v>
      </c>
    </row>
    <row r="222" spans="1:8" x14ac:dyDescent="0.2">
      <c r="A222" s="61" t="str">
        <f>VLOOKUP(B222,'Insumos e Serviços'!$A:$F,3,0)</f>
        <v>Composição</v>
      </c>
      <c r="B222" s="61" t="s">
        <v>440</v>
      </c>
      <c r="C222" s="52" t="str">
        <f>VLOOKUP(B222,'Insumos e Serviços'!$A:$F,2,0)</f>
        <v>SINAPI</v>
      </c>
      <c r="D222" s="62" t="str">
        <f>VLOOKUP(B222,'Insumos e Serviços'!$A:$F,4,0)</f>
        <v>AZULEJISTA OU LADRILHISTA COM ENCARGOS COMPLEMENTARES</v>
      </c>
      <c r="E222" s="61" t="str">
        <f>VLOOKUP(B222,'Insumos e Serviços'!$A:$F,5,0)</f>
        <v>H</v>
      </c>
      <c r="F222" s="63">
        <v>1.29</v>
      </c>
      <c r="G222" s="64">
        <f>VLOOKUP(B222,'Insumos e Serviços'!$A:$F,6,0)</f>
        <v>23.17</v>
      </c>
      <c r="H222" s="64">
        <f t="shared" ref="H222:H225" si="38">TRUNC(F222*G222,2)</f>
        <v>29.88</v>
      </c>
    </row>
    <row r="223" spans="1:8" x14ac:dyDescent="0.2">
      <c r="A223" s="61" t="str">
        <f>VLOOKUP(B223,'Insumos e Serviços'!$A:$F,3,0)</f>
        <v>Composição</v>
      </c>
      <c r="B223" s="61">
        <v>88316</v>
      </c>
      <c r="C223" s="52" t="str">
        <f>VLOOKUP(B223,'Insumos e Serviços'!$A:$F,2,0)</f>
        <v>SINAPI</v>
      </c>
      <c r="D223" s="62" t="str">
        <f>VLOOKUP(B223,'Insumos e Serviços'!$A:$F,4,0)</f>
        <v>SERVENTE COM ENCARGOS COMPLEMENTARES</v>
      </c>
      <c r="E223" s="61" t="str">
        <f>VLOOKUP(B223,'Insumos e Serviços'!$A:$F,5,0)</f>
        <v>H</v>
      </c>
      <c r="F223" s="63">
        <v>0.65</v>
      </c>
      <c r="G223" s="64">
        <f>VLOOKUP(B223,'Insumos e Serviços'!$A:$F,6,0)</f>
        <v>17.170000000000002</v>
      </c>
      <c r="H223" s="64">
        <f t="shared" si="38"/>
        <v>11.16</v>
      </c>
    </row>
    <row r="224" spans="1:8" x14ac:dyDescent="0.2">
      <c r="A224" s="61" t="str">
        <f>VLOOKUP(B224,'Insumos e Serviços'!$A:$F,3,0)</f>
        <v>Insumo</v>
      </c>
      <c r="B224" s="61" t="s">
        <v>513</v>
      </c>
      <c r="C224" s="52" t="str">
        <f>VLOOKUP(B224,'Insumos e Serviços'!$A:$F,2,0)</f>
        <v>Próprio</v>
      </c>
      <c r="D224" s="62" t="str">
        <f>VLOOKUP(B224,'Insumos e Serviços'!$A:$F,4,0)</f>
        <v>Pastilha de porcelana 5,0x5,0cm, linha Engenharia, cor Barents, fab. Atlas (ref.M6329)</v>
      </c>
      <c r="E224" s="61" t="str">
        <f>VLOOKUP(B224,'Insumos e Serviços'!$A:$F,5,0)</f>
        <v>m²</v>
      </c>
      <c r="F224" s="63">
        <v>1.1599999999999999</v>
      </c>
      <c r="G224" s="64">
        <f>VLOOKUP(B224,'Insumos e Serviços'!$A:$F,6,0)</f>
        <v>64.989999999999995</v>
      </c>
      <c r="H224" s="64">
        <f t="shared" si="38"/>
        <v>75.38</v>
      </c>
    </row>
    <row r="225" spans="1:8" ht="12" thickBot="1" x14ac:dyDescent="0.25">
      <c r="A225" s="61" t="str">
        <f>VLOOKUP(B225,'Insumos e Serviços'!$A:$F,3,0)</f>
        <v>Insumo</v>
      </c>
      <c r="B225" s="61" t="s">
        <v>515</v>
      </c>
      <c r="C225" s="52" t="str">
        <f>VLOOKUP(B225,'Insumos e Serviços'!$A:$F,2,0)</f>
        <v>SINAPI</v>
      </c>
      <c r="D225" s="62" t="str">
        <f>VLOOKUP(B225,'Insumos e Serviços'!$A:$F,4,0)</f>
        <v>ARGAMASSA COLANTE TIPO ACIII</v>
      </c>
      <c r="E225" s="61" t="str">
        <f>VLOOKUP(B225,'Insumos e Serviços'!$A:$F,5,0)</f>
        <v>KG</v>
      </c>
      <c r="F225" s="63">
        <v>7.69</v>
      </c>
      <c r="G225" s="64">
        <f>VLOOKUP(B225,'Insumos e Serviços'!$A:$F,6,0)</f>
        <v>1.38</v>
      </c>
      <c r="H225" s="64">
        <f t="shared" si="38"/>
        <v>10.61</v>
      </c>
    </row>
    <row r="226" spans="1:8" ht="12" thickTop="1" x14ac:dyDescent="0.2">
      <c r="A226" s="20"/>
      <c r="B226" s="20"/>
      <c r="C226" s="20"/>
      <c r="D226" s="20"/>
      <c r="E226" s="20"/>
      <c r="F226" s="21"/>
      <c r="G226" s="21"/>
      <c r="H226" s="21"/>
    </row>
    <row r="227" spans="1:8" ht="33.75" x14ac:dyDescent="0.2">
      <c r="A227" s="56" t="s">
        <v>193</v>
      </c>
      <c r="B227" s="57" t="str">
        <f>VLOOKUP(A227,'Orçamento Sintético'!$A:$H,2,0)</f>
        <v xml:space="preserve"> MPDFT1048 </v>
      </c>
      <c r="C227" s="57" t="str">
        <f>VLOOKUP(A227,'Orçamento Sintético'!$A:$H,3,0)</f>
        <v>Próprio</v>
      </c>
      <c r="D227" s="58" t="str">
        <f>VLOOKUP(A227,'Orçamento Sintético'!$A:$H,4,0)</f>
        <v>Cópia SINAPI (87242) - Pastilha de porcelana 5,0x5,0cm, linha Engenharia, cor Areia, fab. Atlas (ref.M4330), assentada com argamassa pré-fabricada, incluindo rejuntamento</v>
      </c>
      <c r="E227" s="57" t="str">
        <f>VLOOKUP(A227,'Orçamento Sintético'!$A:$H,5,0)</f>
        <v>m²</v>
      </c>
      <c r="F227" s="59"/>
      <c r="G227" s="60"/>
      <c r="H227" s="60">
        <f>SUM(H228:H231)</f>
        <v>127.02999999999999</v>
      </c>
    </row>
    <row r="228" spans="1:8" x14ac:dyDescent="0.2">
      <c r="A228" s="61" t="str">
        <f>VLOOKUP(B228,'Insumos e Serviços'!$A:$F,3,0)</f>
        <v>Composição</v>
      </c>
      <c r="B228" s="61" t="s">
        <v>440</v>
      </c>
      <c r="C228" s="52" t="str">
        <f>VLOOKUP(B228,'Insumos e Serviços'!$A:$F,2,0)</f>
        <v>SINAPI</v>
      </c>
      <c r="D228" s="62" t="str">
        <f>VLOOKUP(B228,'Insumos e Serviços'!$A:$F,4,0)</f>
        <v>AZULEJISTA OU LADRILHISTA COM ENCARGOS COMPLEMENTARES</v>
      </c>
      <c r="E228" s="61" t="str">
        <f>VLOOKUP(B228,'Insumos e Serviços'!$A:$F,5,0)</f>
        <v>H</v>
      </c>
      <c r="F228" s="63">
        <v>1.29</v>
      </c>
      <c r="G228" s="64">
        <f>VLOOKUP(B228,'Insumos e Serviços'!$A:$F,6,0)</f>
        <v>23.17</v>
      </c>
      <c r="H228" s="64">
        <f t="shared" ref="H228:H231" si="39">TRUNC(F228*G228,2)</f>
        <v>29.88</v>
      </c>
    </row>
    <row r="229" spans="1:8" x14ac:dyDescent="0.2">
      <c r="A229" s="61" t="str">
        <f>VLOOKUP(B229,'Insumos e Serviços'!$A:$F,3,0)</f>
        <v>Composição</v>
      </c>
      <c r="B229" s="61">
        <v>88316</v>
      </c>
      <c r="C229" s="52" t="str">
        <f>VLOOKUP(B229,'Insumos e Serviços'!$A:$F,2,0)</f>
        <v>SINAPI</v>
      </c>
      <c r="D229" s="62" t="str">
        <f>VLOOKUP(B229,'Insumos e Serviços'!$A:$F,4,0)</f>
        <v>SERVENTE COM ENCARGOS COMPLEMENTARES</v>
      </c>
      <c r="E229" s="61" t="str">
        <f>VLOOKUP(B229,'Insumos e Serviços'!$A:$F,5,0)</f>
        <v>H</v>
      </c>
      <c r="F229" s="63">
        <v>0.65</v>
      </c>
      <c r="G229" s="64">
        <f>VLOOKUP(B229,'Insumos e Serviços'!$A:$F,6,0)</f>
        <v>17.170000000000002</v>
      </c>
      <c r="H229" s="64">
        <f t="shared" si="39"/>
        <v>11.16</v>
      </c>
    </row>
    <row r="230" spans="1:8" x14ac:dyDescent="0.2">
      <c r="A230" s="61" t="str">
        <f>VLOOKUP(B230,'Insumos e Serviços'!$A:$F,3,0)</f>
        <v>Insumo</v>
      </c>
      <c r="B230" s="61" t="s">
        <v>517</v>
      </c>
      <c r="C230" s="52" t="str">
        <f>VLOOKUP(B230,'Insumos e Serviços'!$A:$F,2,0)</f>
        <v>Próprio</v>
      </c>
      <c r="D230" s="62" t="str">
        <f>VLOOKUP(B230,'Insumos e Serviços'!$A:$F,4,0)</f>
        <v>Pastilha de porcelana 5,0x5,0cm, linha Engenharia, cor Areia, fab. Atlas (ref.M4330)</v>
      </c>
      <c r="E230" s="61" t="str">
        <f>VLOOKUP(B230,'Insumos e Serviços'!$A:$F,5,0)</f>
        <v>m²</v>
      </c>
      <c r="F230" s="63">
        <v>1.1599999999999999</v>
      </c>
      <c r="G230" s="64">
        <f>VLOOKUP(B230,'Insumos e Serviços'!$A:$F,6,0)</f>
        <v>64.989999999999995</v>
      </c>
      <c r="H230" s="64">
        <f t="shared" si="39"/>
        <v>75.38</v>
      </c>
    </row>
    <row r="231" spans="1:8" ht="12" thickBot="1" x14ac:dyDescent="0.25">
      <c r="A231" s="61" t="str">
        <f>VLOOKUP(B231,'Insumos e Serviços'!$A:$F,3,0)</f>
        <v>Insumo</v>
      </c>
      <c r="B231" s="61" t="s">
        <v>515</v>
      </c>
      <c r="C231" s="52" t="str">
        <f>VLOOKUP(B231,'Insumos e Serviços'!$A:$F,2,0)</f>
        <v>SINAPI</v>
      </c>
      <c r="D231" s="62" t="str">
        <f>VLOOKUP(B231,'Insumos e Serviços'!$A:$F,4,0)</f>
        <v>ARGAMASSA COLANTE TIPO ACIII</v>
      </c>
      <c r="E231" s="61" t="str">
        <f>VLOOKUP(B231,'Insumos e Serviços'!$A:$F,5,0)</f>
        <v>KG</v>
      </c>
      <c r="F231" s="63">
        <v>7.69</v>
      </c>
      <c r="G231" s="64">
        <f>VLOOKUP(B231,'Insumos e Serviços'!$A:$F,6,0)</f>
        <v>1.38</v>
      </c>
      <c r="H231" s="64">
        <f t="shared" si="39"/>
        <v>10.61</v>
      </c>
    </row>
    <row r="232" spans="1:8" ht="12" thickTop="1" x14ac:dyDescent="0.2">
      <c r="A232" s="20"/>
      <c r="B232" s="20"/>
      <c r="C232" s="20"/>
      <c r="D232" s="20"/>
      <c r="E232" s="20"/>
      <c r="F232" s="21"/>
      <c r="G232" s="21"/>
      <c r="H232" s="21"/>
    </row>
    <row r="233" spans="1:8" x14ac:dyDescent="0.2">
      <c r="A233" s="14" t="s">
        <v>196</v>
      </c>
      <c r="B233" s="14"/>
      <c r="C233" s="14"/>
      <c r="D233" s="81" t="str">
        <f>VLOOKUP(A233,'Orçamento Sintético'!$A:$H,4,0)</f>
        <v>Revestimentos de forro</v>
      </c>
      <c r="E233" s="47"/>
      <c r="F233" s="29"/>
      <c r="G233" s="30"/>
      <c r="H233" s="31"/>
    </row>
    <row r="234" spans="1:8" x14ac:dyDescent="0.2">
      <c r="A234" s="56" t="s">
        <v>201</v>
      </c>
      <c r="B234" s="57" t="str">
        <f>VLOOKUP(A234,'Orçamento Sintético'!$A:$H,2,0)</f>
        <v xml:space="preserve"> MPDFT1052 </v>
      </c>
      <c r="C234" s="57" t="str">
        <f>VLOOKUP(A234,'Orçamento Sintético'!$A:$H,3,0)</f>
        <v>Próprio</v>
      </c>
      <c r="D234" s="58" t="str">
        <f>VLOOKUP(A234,'Orçamento Sintético'!$A:$H,4,0)</f>
        <v>Tabica metálica pré pintada, para forro em gesso acartonado</v>
      </c>
      <c r="E234" s="57" t="str">
        <f>VLOOKUP(A234,'Orçamento Sintético'!$A:$H,5,0)</f>
        <v>m</v>
      </c>
      <c r="F234" s="59"/>
      <c r="G234" s="60"/>
      <c r="H234" s="60">
        <f>H235</f>
        <v>12.35</v>
      </c>
    </row>
    <row r="235" spans="1:8" ht="12" thickBot="1" x14ac:dyDescent="0.25">
      <c r="A235" s="61" t="str">
        <f>VLOOKUP(B235,'Insumos e Serviços'!$A:$F,3,0)</f>
        <v>Insumo</v>
      </c>
      <c r="B235" s="61" t="s">
        <v>519</v>
      </c>
      <c r="C235" s="52" t="str">
        <f>VLOOKUP(B235,'Insumos e Serviços'!$A:$F,2,0)</f>
        <v>Próprio</v>
      </c>
      <c r="D235" s="62" t="str">
        <f>VLOOKUP(B235,'Insumos e Serviços'!$A:$F,4,0)</f>
        <v>Fornecimento e instalação de tabica metálica pré pintada, para forro em gesso acartonado</v>
      </c>
      <c r="E235" s="61" t="str">
        <f>VLOOKUP(B235,'Insumos e Serviços'!$A:$F,5,0)</f>
        <v>m</v>
      </c>
      <c r="F235" s="63">
        <v>1</v>
      </c>
      <c r="G235" s="64">
        <f>VLOOKUP(B235,'Insumos e Serviços'!$A:$F,6,0)</f>
        <v>12.35</v>
      </c>
      <c r="H235" s="64">
        <f t="shared" ref="H235" si="40">TRUNC(F235*G235,2)</f>
        <v>12.35</v>
      </c>
    </row>
    <row r="236" spans="1:8" ht="12" thickTop="1" x14ac:dyDescent="0.2">
      <c r="A236" s="20"/>
      <c r="B236" s="20"/>
      <c r="C236" s="20"/>
      <c r="D236" s="20"/>
      <c r="E236" s="20"/>
      <c r="F236" s="21"/>
      <c r="G236" s="21"/>
      <c r="H236" s="21"/>
    </row>
    <row r="237" spans="1:8" x14ac:dyDescent="0.2">
      <c r="A237" s="14" t="s">
        <v>230</v>
      </c>
      <c r="B237" s="14"/>
      <c r="C237" s="14"/>
      <c r="D237" s="81" t="str">
        <f>VLOOKUP(A237,'Orçamento Sintético'!$A:$H,4,0)</f>
        <v>Impermeabilizações</v>
      </c>
      <c r="E237" s="47"/>
      <c r="F237" s="29"/>
      <c r="G237" s="30"/>
      <c r="H237" s="31"/>
    </row>
    <row r="238" spans="1:8" ht="22.5" x14ac:dyDescent="0.2">
      <c r="A238" s="56" t="s">
        <v>235</v>
      </c>
      <c r="B238" s="57" t="str">
        <f>VLOOKUP(A238,'Orçamento Sintético'!$A:$H,2,0)</f>
        <v xml:space="preserve"> MPDFT0029 </v>
      </c>
      <c r="C238" s="57" t="str">
        <f>VLOOKUP(A238,'Orçamento Sintético'!$A:$H,3,0)</f>
        <v>Próprio</v>
      </c>
      <c r="D238" s="58" t="str">
        <f>VLOOKUP(A238,'Orçamento Sintético'!$A:$H,4,0)</f>
        <v>Copia da SINAPI (87640) - Regularização / preparação de superfície horizontal com argamassa, traço 1:3 (cimento e areia), preparo mecânico, espessura média 4cm</v>
      </c>
      <c r="E238" s="57" t="str">
        <f>VLOOKUP(A238,'Orçamento Sintético'!$A:$H,5,0)</f>
        <v>m²</v>
      </c>
      <c r="F238" s="59"/>
      <c r="G238" s="60"/>
      <c r="H238" s="60">
        <f>SUM(H239:H243)</f>
        <v>41.899999999999991</v>
      </c>
    </row>
    <row r="239" spans="1:8" x14ac:dyDescent="0.2">
      <c r="A239" s="61" t="str">
        <f>VLOOKUP(B239,'Insumos e Serviços'!$A:$F,3,0)</f>
        <v>Composição</v>
      </c>
      <c r="B239" s="61" t="s">
        <v>442</v>
      </c>
      <c r="C239" s="52" t="str">
        <f>VLOOKUP(B239,'Insumos e Serviços'!$A:$F,2,0)</f>
        <v>SINAPI</v>
      </c>
      <c r="D239" s="62" t="str">
        <f>VLOOKUP(B239,'Insumos e Serviços'!$A:$F,4,0)</f>
        <v>PEDREIRO COM ENCARGOS COMPLEMENTARES</v>
      </c>
      <c r="E239" s="61" t="str">
        <f>VLOOKUP(B239,'Insumos e Serviços'!$A:$F,5,0)</f>
        <v>H</v>
      </c>
      <c r="F239" s="63">
        <v>0.36</v>
      </c>
      <c r="G239" s="64">
        <f>VLOOKUP(B239,'Insumos e Serviços'!$A:$F,6,0)</f>
        <v>23.25</v>
      </c>
      <c r="H239" s="64">
        <f t="shared" ref="H239:H243" si="41">TRUNC(F239*G239,2)</f>
        <v>8.3699999999999992</v>
      </c>
    </row>
    <row r="240" spans="1:8" x14ac:dyDescent="0.2">
      <c r="A240" s="61" t="str">
        <f>VLOOKUP(B240,'Insumos e Serviços'!$A:$F,3,0)</f>
        <v>Composição</v>
      </c>
      <c r="B240" s="61">
        <v>88316</v>
      </c>
      <c r="C240" s="52" t="str">
        <f>VLOOKUP(B240,'Insumos e Serviços'!$A:$F,2,0)</f>
        <v>SINAPI</v>
      </c>
      <c r="D240" s="62" t="str">
        <f>VLOOKUP(B240,'Insumos e Serviços'!$A:$F,4,0)</f>
        <v>SERVENTE COM ENCARGOS COMPLEMENTARES</v>
      </c>
      <c r="E240" s="61" t="str">
        <f>VLOOKUP(B240,'Insumos e Serviços'!$A:$F,5,0)</f>
        <v>H</v>
      </c>
      <c r="F240" s="63">
        <v>0.18</v>
      </c>
      <c r="G240" s="64">
        <f>VLOOKUP(B240,'Insumos e Serviços'!$A:$F,6,0)</f>
        <v>17.170000000000002</v>
      </c>
      <c r="H240" s="64">
        <f t="shared" si="41"/>
        <v>3.09</v>
      </c>
    </row>
    <row r="241" spans="1:8" ht="22.5" x14ac:dyDescent="0.2">
      <c r="A241" s="61" t="str">
        <f>VLOOKUP(B241,'Insumos e Serviços'!$A:$F,3,0)</f>
        <v>Composição</v>
      </c>
      <c r="B241" s="61" t="s">
        <v>469</v>
      </c>
      <c r="C241" s="52" t="str">
        <f>VLOOKUP(B241,'Insumos e Serviços'!$A:$F,2,0)</f>
        <v>SINAPI</v>
      </c>
      <c r="D241" s="62" t="str">
        <f>VLOOKUP(B241,'Insumos e Serviços'!$A:$F,4,0)</f>
        <v>ARGAMASSA TRAÇO 1:3 (CIMENTO E AREIA MÉDIA) PARA CONTRAPISO, PREPARO MECÂNICO COM BETONEIRA 400 L. AF_06/2014</v>
      </c>
      <c r="E241" s="61" t="str">
        <f>VLOOKUP(B241,'Insumos e Serviços'!$A:$F,5,0)</f>
        <v>m³</v>
      </c>
      <c r="F241" s="63">
        <v>5.2999999999999999E-2</v>
      </c>
      <c r="G241" s="64">
        <f>VLOOKUP(B241,'Insumos e Serviços'!$A:$F,6,0)</f>
        <v>469.31</v>
      </c>
      <c r="H241" s="64">
        <f t="shared" si="41"/>
        <v>24.87</v>
      </c>
    </row>
    <row r="242" spans="1:8" x14ac:dyDescent="0.2">
      <c r="A242" s="61" t="str">
        <f>VLOOKUP(B242,'Insumos e Serviços'!$A:$F,3,0)</f>
        <v>Insumo</v>
      </c>
      <c r="B242" s="61" t="s">
        <v>522</v>
      </c>
      <c r="C242" s="52" t="str">
        <f>VLOOKUP(B242,'Insumos e Serviços'!$A:$F,2,0)</f>
        <v>SINAPI</v>
      </c>
      <c r="D242" s="62" t="str">
        <f>VLOOKUP(B242,'Insumos e Serviços'!$A:$F,4,0)</f>
        <v>CIMENTO PORTLAND COMPOSTO CP II-32</v>
      </c>
      <c r="E242" s="61" t="str">
        <f>VLOOKUP(B242,'Insumos e Serviços'!$A:$F,5,0)</f>
        <v>KG</v>
      </c>
      <c r="F242" s="63">
        <v>0.5</v>
      </c>
      <c r="G242" s="64" t="str">
        <f>VLOOKUP(B242,'Insumos e Serviços'!$A:$F,6,0)</f>
        <v xml:space="preserve"> 0,47</v>
      </c>
      <c r="H242" s="64">
        <f t="shared" si="41"/>
        <v>0.23</v>
      </c>
    </row>
    <row r="243" spans="1:8" ht="12" thickBot="1" x14ac:dyDescent="0.25">
      <c r="A243" s="61" t="str">
        <f>VLOOKUP(B243,'Insumos e Serviços'!$A:$F,3,0)</f>
        <v>Composição</v>
      </c>
      <c r="B243" s="61" t="s">
        <v>524</v>
      </c>
      <c r="C243" s="52" t="str">
        <f>VLOOKUP(B243,'Insumos e Serviços'!$A:$F,2,0)</f>
        <v>SINAPI</v>
      </c>
      <c r="D243" s="62" t="str">
        <f>VLOOKUP(B243,'Insumos e Serviços'!$A:$F,4,0)</f>
        <v>ADITIVO ADESIVO LIQUIDO PARA ARGAMASSAS DE REVESTIMENTOS CIMENTICIOS</v>
      </c>
      <c r="E243" s="61" t="str">
        <f>VLOOKUP(B243,'Insumos e Serviços'!$A:$F,5,0)</f>
        <v>L</v>
      </c>
      <c r="F243" s="63">
        <v>0.435</v>
      </c>
      <c r="G243" s="64">
        <f>VLOOKUP(B243,'Insumos e Serviços'!$A:$F,6,0)</f>
        <v>12.29</v>
      </c>
      <c r="H243" s="64">
        <f t="shared" si="41"/>
        <v>5.34</v>
      </c>
    </row>
    <row r="244" spans="1:8" ht="12" thickTop="1" x14ac:dyDescent="0.2">
      <c r="A244" s="20"/>
      <c r="B244" s="20"/>
      <c r="C244" s="20"/>
      <c r="D244" s="20"/>
      <c r="E244" s="20"/>
      <c r="F244" s="21"/>
      <c r="G244" s="21"/>
      <c r="H244" s="21"/>
    </row>
    <row r="245" spans="1:8" ht="22.5" x14ac:dyDescent="0.2">
      <c r="A245" s="56" t="s">
        <v>238</v>
      </c>
      <c r="B245" s="57" t="str">
        <f>VLOOKUP(A245,'Orçamento Sintético'!$A:$H,2,0)</f>
        <v xml:space="preserve"> MPDFT0546 </v>
      </c>
      <c r="C245" s="57" t="str">
        <f>VLOOKUP(A245,'Orçamento Sintético'!$A:$H,3,0)</f>
        <v>Próprio</v>
      </c>
      <c r="D245" s="58" t="str">
        <f>VLOOKUP(A245,'Orçamento Sintético'!$A:$H,4,0)</f>
        <v>Copia da SINAPI (87640) - Regularização / preparação de superfície vertical com argamassa, traço 1:3 (cimento e areia), preparo mecânico, espessura média 4cm</v>
      </c>
      <c r="E245" s="57" t="str">
        <f>VLOOKUP(A245,'Orçamento Sintético'!$A:$H,5,0)</f>
        <v>m²</v>
      </c>
      <c r="F245" s="59"/>
      <c r="G245" s="60"/>
      <c r="H245" s="60">
        <f>SUM(H246:H251)</f>
        <v>60.379999999999995</v>
      </c>
    </row>
    <row r="246" spans="1:8" x14ac:dyDescent="0.2">
      <c r="A246" s="61" t="str">
        <f>VLOOKUP(B246,'Insumos e Serviços'!$A:$F,3,0)</f>
        <v>Composição</v>
      </c>
      <c r="B246" s="61" t="s">
        <v>442</v>
      </c>
      <c r="C246" s="52" t="str">
        <f>VLOOKUP(B246,'Insumos e Serviços'!$A:$F,2,0)</f>
        <v>SINAPI</v>
      </c>
      <c r="D246" s="62" t="str">
        <f>VLOOKUP(B246,'Insumos e Serviços'!$A:$F,4,0)</f>
        <v>PEDREIRO COM ENCARGOS COMPLEMENTARES</v>
      </c>
      <c r="E246" s="61" t="str">
        <f>VLOOKUP(B246,'Insumos e Serviços'!$A:$F,5,0)</f>
        <v>H</v>
      </c>
      <c r="F246" s="63">
        <v>0.36</v>
      </c>
      <c r="G246" s="64">
        <f>VLOOKUP(B246,'Insumos e Serviços'!$A:$F,6,0)</f>
        <v>23.25</v>
      </c>
      <c r="H246" s="64">
        <f t="shared" ref="H246:H251" si="42">TRUNC(F246*G246,2)</f>
        <v>8.3699999999999992</v>
      </c>
    </row>
    <row r="247" spans="1:8" x14ac:dyDescent="0.2">
      <c r="A247" s="61" t="str">
        <f>VLOOKUP(B247,'Insumos e Serviços'!$A:$F,3,0)</f>
        <v>Composição</v>
      </c>
      <c r="B247" s="61">
        <v>88316</v>
      </c>
      <c r="C247" s="52" t="str">
        <f>VLOOKUP(B247,'Insumos e Serviços'!$A:$F,2,0)</f>
        <v>SINAPI</v>
      </c>
      <c r="D247" s="62" t="str">
        <f>VLOOKUP(B247,'Insumos e Serviços'!$A:$F,4,0)</f>
        <v>SERVENTE COM ENCARGOS COMPLEMENTARES</v>
      </c>
      <c r="E247" s="61" t="str">
        <f>VLOOKUP(B247,'Insumos e Serviços'!$A:$F,5,0)</f>
        <v>H</v>
      </c>
      <c r="F247" s="63">
        <v>0.18</v>
      </c>
      <c r="G247" s="64">
        <f>VLOOKUP(B247,'Insumos e Serviços'!$A:$F,6,0)</f>
        <v>17.170000000000002</v>
      </c>
      <c r="H247" s="64">
        <f t="shared" si="42"/>
        <v>3.09</v>
      </c>
    </row>
    <row r="248" spans="1:8" ht="33.75" x14ac:dyDescent="0.2">
      <c r="A248" s="61" t="str">
        <f>VLOOKUP(B248,'Insumos e Serviços'!$A:$F,3,0)</f>
        <v>Composição</v>
      </c>
      <c r="B248" s="61" t="s">
        <v>185</v>
      </c>
      <c r="C248" s="52" t="str">
        <f>VLOOKUP(B248,'Insumos e Serviços'!$A:$F,2,0)</f>
        <v>SINAPI</v>
      </c>
      <c r="D248" s="62" t="str">
        <f>VLOOKUP(B248,'Insumos e Serviços'!$A:$F,4,0)</f>
        <v>EMBOÇO OU MASSA ÚNICA EM ARGAMASSA TRAÇO 1:2:8, PREPARO MECÂNICO COM BETONEIRA 400 L, APLICADA MANUALMENTE EM PANOS CEGOS DE FACHADA (SEM PRESENÇA DE VÃOS), ESPESSURA DE 35 MM. AF_06/2014</v>
      </c>
      <c r="E248" s="61" t="str">
        <f>VLOOKUP(B248,'Insumos e Serviços'!$A:$F,5,0)</f>
        <v>m²</v>
      </c>
      <c r="F248" s="63">
        <v>1</v>
      </c>
      <c r="G248" s="64">
        <f>VLOOKUP(B248,'Insumos e Serviços'!$A:$F,6,0)</f>
        <v>39.950000000000003</v>
      </c>
      <c r="H248" s="64">
        <f t="shared" si="42"/>
        <v>39.950000000000003</v>
      </c>
    </row>
    <row r="249" spans="1:8" ht="38.25" customHeight="1" x14ac:dyDescent="0.2">
      <c r="A249" s="61" t="str">
        <f>VLOOKUP(B249,'Insumos e Serviços'!$A:$F,3,0)</f>
        <v>Composição</v>
      </c>
      <c r="B249" s="61" t="s">
        <v>182</v>
      </c>
      <c r="C249" s="52" t="str">
        <f>VLOOKUP(B249,'Insumos e Serviços'!$A:$F,2,0)</f>
        <v>SINAPI</v>
      </c>
      <c r="D249" s="62" t="str">
        <f>VLOOKUP(B249,'Insumos e Serviços'!$A:$F,4,0)</f>
        <v>CHAPISCO APLICADO EM ALVENARIAS E ESTRUTURAS DE CONCRETO INTERNAS, COM COLHER DE PEDREIRO.  ARGAMASSA TRAÇO 1:3 COM PREPARO EM BETONEIRA 400L. AF_06/2014</v>
      </c>
      <c r="E249" s="61" t="str">
        <f>VLOOKUP(B249,'Insumos e Serviços'!$A:$F,5,0)</f>
        <v>m²</v>
      </c>
      <c r="F249" s="63">
        <v>1</v>
      </c>
      <c r="G249" s="64">
        <f>VLOOKUP(B249,'Insumos e Serviços'!$A:$F,6,0)</f>
        <v>3.4</v>
      </c>
      <c r="H249" s="64">
        <f t="shared" si="42"/>
        <v>3.4</v>
      </c>
    </row>
    <row r="250" spans="1:8" x14ac:dyDescent="0.2">
      <c r="A250" s="61" t="str">
        <f>VLOOKUP(B250,'Insumos e Serviços'!$A:$F,3,0)</f>
        <v>Insumo</v>
      </c>
      <c r="B250" s="61" t="s">
        <v>522</v>
      </c>
      <c r="C250" s="52" t="str">
        <f>VLOOKUP(B250,'Insumos e Serviços'!$A:$F,2,0)</f>
        <v>SINAPI</v>
      </c>
      <c r="D250" s="62" t="str">
        <f>VLOOKUP(B250,'Insumos e Serviços'!$A:$F,4,0)</f>
        <v>CIMENTO PORTLAND COMPOSTO CP II-32</v>
      </c>
      <c r="E250" s="61" t="str">
        <f>VLOOKUP(B250,'Insumos e Serviços'!$A:$F,5,0)</f>
        <v>KG</v>
      </c>
      <c r="F250" s="63">
        <v>0.5</v>
      </c>
      <c r="G250" s="64" t="str">
        <f>VLOOKUP(B250,'Insumos e Serviços'!$A:$F,6,0)</f>
        <v xml:space="preserve"> 0,47</v>
      </c>
      <c r="H250" s="64">
        <f t="shared" si="42"/>
        <v>0.23</v>
      </c>
    </row>
    <row r="251" spans="1:8" ht="12" thickBot="1" x14ac:dyDescent="0.25">
      <c r="A251" s="61" t="str">
        <f>VLOOKUP(B251,'Insumos e Serviços'!$A:$F,3,0)</f>
        <v>Composição</v>
      </c>
      <c r="B251" s="61" t="s">
        <v>524</v>
      </c>
      <c r="C251" s="52" t="str">
        <f>VLOOKUP(B251,'Insumos e Serviços'!$A:$F,2,0)</f>
        <v>SINAPI</v>
      </c>
      <c r="D251" s="62" t="str">
        <f>VLOOKUP(B251,'Insumos e Serviços'!$A:$F,4,0)</f>
        <v>ADITIVO ADESIVO LIQUIDO PARA ARGAMASSAS DE REVESTIMENTOS CIMENTICIOS</v>
      </c>
      <c r="E251" s="61" t="str">
        <f>VLOOKUP(B251,'Insumos e Serviços'!$A:$F,5,0)</f>
        <v>L</v>
      </c>
      <c r="F251" s="63">
        <v>0.435</v>
      </c>
      <c r="G251" s="64">
        <f>VLOOKUP(B251,'Insumos e Serviços'!$A:$F,6,0)</f>
        <v>12.29</v>
      </c>
      <c r="H251" s="64">
        <f t="shared" si="42"/>
        <v>5.34</v>
      </c>
    </row>
    <row r="252" spans="1:8" ht="12" thickTop="1" x14ac:dyDescent="0.2">
      <c r="A252" s="20"/>
      <c r="B252" s="20"/>
      <c r="C252" s="20"/>
      <c r="D252" s="20"/>
      <c r="E252" s="20"/>
      <c r="F252" s="21"/>
      <c r="G252" s="21"/>
      <c r="H252" s="21"/>
    </row>
    <row r="253" spans="1:8" ht="22.5" x14ac:dyDescent="0.2">
      <c r="A253" s="56" t="s">
        <v>241</v>
      </c>
      <c r="B253" s="52" t="s">
        <v>242</v>
      </c>
      <c r="C253" s="57" t="str">
        <f>VLOOKUP(A253,'Orçamento Sintético'!$A:$H,3,0)</f>
        <v>Próprio</v>
      </c>
      <c r="D253" s="58" t="str">
        <f>VLOOKUP(A253,'Orçamento Sintético'!$A:$H,4,0)</f>
        <v>Copia da SINAPI (98546) - Impermeabilização de superfície com manta asfáltica (com polímeros elastoméricos), e=4mm, ref. Torodin Extra, colada com asfalto derretido</v>
      </c>
      <c r="E253" s="57" t="str">
        <f>VLOOKUP(A253,'Orçamento Sintético'!$A:$H,5,0)</f>
        <v>m²</v>
      </c>
      <c r="F253" s="59"/>
      <c r="G253" s="60"/>
      <c r="H253" s="60">
        <f>SUM(H254:H259)</f>
        <v>95.25</v>
      </c>
    </row>
    <row r="254" spans="1:8" x14ac:dyDescent="0.2">
      <c r="A254" s="61" t="str">
        <f>VLOOKUP(B254,'Insumos e Serviços'!$A:$F,3,0)</f>
        <v>Composição</v>
      </c>
      <c r="B254" s="61" t="s">
        <v>526</v>
      </c>
      <c r="C254" s="52" t="str">
        <f>VLOOKUP(B254,'Insumos e Serviços'!$A:$F,2,0)</f>
        <v>SINAPI</v>
      </c>
      <c r="D254" s="62" t="str">
        <f>VLOOKUP(B254,'Insumos e Serviços'!$A:$F,4,0)</f>
        <v>AJUDANTE ESPECIALIZADO COM ENCARGOS COMPLEMENTARES</v>
      </c>
      <c r="E254" s="61" t="str">
        <f>VLOOKUP(B254,'Insumos e Serviços'!$A:$F,5,0)</f>
        <v>H</v>
      </c>
      <c r="F254" s="63">
        <v>2.4E-2</v>
      </c>
      <c r="G254" s="64">
        <f>VLOOKUP(B254,'Insumos e Serviços'!$A:$F,6,0)</f>
        <v>20.39</v>
      </c>
      <c r="H254" s="64">
        <f t="shared" ref="H254:H259" si="43">TRUNC(F254*G254,2)</f>
        <v>0.48</v>
      </c>
    </row>
    <row r="255" spans="1:8" x14ac:dyDescent="0.2">
      <c r="A255" s="61" t="str">
        <f>VLOOKUP(B255,'Insumos e Serviços'!$A:$F,3,0)</f>
        <v>Composição</v>
      </c>
      <c r="B255" s="61" t="s">
        <v>528</v>
      </c>
      <c r="C255" s="52" t="str">
        <f>VLOOKUP(B255,'Insumos e Serviços'!$A:$F,2,0)</f>
        <v>SINAPI</v>
      </c>
      <c r="D255" s="62" t="str">
        <f>VLOOKUP(B255,'Insumos e Serviços'!$A:$F,4,0)</f>
        <v>IMPERMEABILIZADOR COM ENCARGOS COMPLEMENTARES</v>
      </c>
      <c r="E255" s="61" t="str">
        <f>VLOOKUP(B255,'Insumos e Serviços'!$A:$F,5,0)</f>
        <v>H</v>
      </c>
      <c r="F255" s="63">
        <v>0.11799999999999999</v>
      </c>
      <c r="G255" s="64">
        <f>VLOOKUP(B255,'Insumos e Serviços'!$A:$F,6,0)</f>
        <v>23.25</v>
      </c>
      <c r="H255" s="64">
        <f t="shared" si="43"/>
        <v>2.74</v>
      </c>
    </row>
    <row r="256" spans="1:8" ht="22.5" x14ac:dyDescent="0.2">
      <c r="A256" s="61" t="str">
        <f>VLOOKUP(B256,'Insumos e Serviços'!$A:$F,3,0)</f>
        <v>Insumo</v>
      </c>
      <c r="B256" s="61" t="s">
        <v>530</v>
      </c>
      <c r="C256" s="52" t="str">
        <f>VLOOKUP(B256,'Insumos e Serviços'!$A:$F,2,0)</f>
        <v>SINAPI</v>
      </c>
      <c r="D256" s="62" t="str">
        <f>VLOOKUP(B256,'Insumos e Serviços'!$A:$F,4,0)</f>
        <v>MANTA ASFALTICA ELASTOMERICA EM POLIESTER 4 MM, TIPO III, CLASSE B, ACABAMENTO PP (NBR 9952)</v>
      </c>
      <c r="E256" s="61" t="str">
        <f>VLOOKUP(B256,'Insumos e Serviços'!$A:$F,5,0)</f>
        <v>m²</v>
      </c>
      <c r="F256" s="63">
        <v>1.125</v>
      </c>
      <c r="G256" s="64">
        <f>VLOOKUP(B256,'Insumos e Serviços'!$A:$F,6,0)</f>
        <v>41.74</v>
      </c>
      <c r="H256" s="64">
        <f t="shared" si="43"/>
        <v>46.95</v>
      </c>
    </row>
    <row r="257" spans="1:8" x14ac:dyDescent="0.2">
      <c r="A257" s="61" t="str">
        <f>VLOOKUP(B257,'Insumos e Serviços'!$A:$F,3,0)</f>
        <v>Composição</v>
      </c>
      <c r="B257" s="61" t="s">
        <v>532</v>
      </c>
      <c r="C257" s="52" t="str">
        <f>VLOOKUP(B257,'Insumos e Serviços'!$A:$F,2,0)</f>
        <v>SINAPI</v>
      </c>
      <c r="D257" s="62" t="str">
        <f>VLOOKUP(B257,'Insumos e Serviços'!$A:$F,4,0)</f>
        <v>GAS DE COZINHA - GLP</v>
      </c>
      <c r="E257" s="61" t="str">
        <f>VLOOKUP(B257,'Insumos e Serviços'!$A:$F,5,0)</f>
        <v>KG</v>
      </c>
      <c r="F257" s="63">
        <v>0.10100000000000001</v>
      </c>
      <c r="G257" s="64">
        <f>VLOOKUP(B257,'Insumos e Serviços'!$A:$F,6,0)</f>
        <v>5.73</v>
      </c>
      <c r="H257" s="64">
        <f t="shared" si="43"/>
        <v>0.56999999999999995</v>
      </c>
    </row>
    <row r="258" spans="1:8" ht="22.5" x14ac:dyDescent="0.2">
      <c r="A258" s="61" t="str">
        <f>VLOOKUP(B258,'Insumos e Serviços'!$A:$F,3,0)</f>
        <v>Insumo</v>
      </c>
      <c r="B258" s="61" t="s">
        <v>534</v>
      </c>
      <c r="C258" s="52" t="str">
        <f>VLOOKUP(B258,'Insumos e Serviços'!$A:$F,2,0)</f>
        <v>SINAPI</v>
      </c>
      <c r="D258" s="62" t="str">
        <f>VLOOKUP(B258,'Insumos e Serviços'!$A:$F,4,0)</f>
        <v>PRIMER PARA MANTA ASFALTICA A BASE DE ASFALTO MODIFICADO DILUIDO EM SOLVENTE, APLICACAO A FRIO</v>
      </c>
      <c r="E258" s="61" t="str">
        <f>VLOOKUP(B258,'Insumos e Serviços'!$A:$F,5,0)</f>
        <v>L</v>
      </c>
      <c r="F258" s="63">
        <v>0.61499999999999999</v>
      </c>
      <c r="G258" s="64">
        <f>VLOOKUP(B258,'Insumos e Serviços'!$A:$F,6,0)</f>
        <v>14.63</v>
      </c>
      <c r="H258" s="64">
        <f t="shared" si="43"/>
        <v>8.99</v>
      </c>
    </row>
    <row r="259" spans="1:8" ht="23.25" thickBot="1" x14ac:dyDescent="0.25">
      <c r="A259" s="61" t="str">
        <f>VLOOKUP(B259,'Insumos e Serviços'!$A:$F,3,0)</f>
        <v>Insumo</v>
      </c>
      <c r="B259" s="61" t="s">
        <v>536</v>
      </c>
      <c r="C259" s="52" t="str">
        <f>VLOOKUP(B259,'Insumos e Serviços'!$A:$F,2,0)</f>
        <v>SINAPI</v>
      </c>
      <c r="D259" s="62" t="str">
        <f>VLOOKUP(B259,'Insumos e Serviços'!$A:$F,4,0)</f>
        <v>ASFALTO MODIFICADO TIPO II - NBR 9910 (ASFALTO OXIDADO PARA IMPERMEABILIZACAO, COEFICIENTE DE PENETRACAO 20-35)</v>
      </c>
      <c r="E259" s="61" t="str">
        <f>VLOOKUP(B259,'Insumos e Serviços'!$A:$F,5,0)</f>
        <v>KG</v>
      </c>
      <c r="F259" s="63">
        <v>3</v>
      </c>
      <c r="G259" s="64">
        <f>VLOOKUP(B259,'Insumos e Serviços'!$A:$F,6,0)</f>
        <v>11.84</v>
      </c>
      <c r="H259" s="64">
        <f t="shared" si="43"/>
        <v>35.520000000000003</v>
      </c>
    </row>
    <row r="260" spans="1:8" ht="12" thickTop="1" x14ac:dyDescent="0.2">
      <c r="A260" s="20"/>
      <c r="B260" s="20"/>
      <c r="C260" s="20"/>
      <c r="D260" s="20"/>
      <c r="E260" s="20"/>
      <c r="F260" s="21"/>
      <c r="G260" s="21"/>
      <c r="H260" s="21"/>
    </row>
    <row r="261" spans="1:8" ht="22.5" x14ac:dyDescent="0.2">
      <c r="A261" s="56" t="s">
        <v>244</v>
      </c>
      <c r="B261" s="57" t="str">
        <f>VLOOKUP(A261,'Orçamento Sintético'!$A:$H,2,0)</f>
        <v xml:space="preserve"> MPDFT1055 </v>
      </c>
      <c r="C261" s="57" t="str">
        <f>VLOOKUP(A261,'Orçamento Sintético'!$A:$H,3,0)</f>
        <v>Próprio</v>
      </c>
      <c r="D261" s="58" t="str">
        <f>VLOOKUP(A261,'Orçamento Sintético'!$A:$H,4,0)</f>
        <v>Copia da SINAPI (98546) - Impermeabilização de superfície com manta asfáltica (com polímeros elastoméricos), e=4mm, ref. Torodin Extra e aplicação de primer</v>
      </c>
      <c r="E261" s="57" t="str">
        <f>VLOOKUP(A261,'Orçamento Sintético'!$A:$H,5,0)</f>
        <v>m²</v>
      </c>
      <c r="F261" s="59"/>
      <c r="G261" s="60"/>
      <c r="H261" s="60">
        <f>SUM(H262:H266)</f>
        <v>83.37</v>
      </c>
    </row>
    <row r="262" spans="1:8" x14ac:dyDescent="0.2">
      <c r="A262" s="61" t="str">
        <f>VLOOKUP(B262,'Insumos e Serviços'!$A:$F,3,0)</f>
        <v>Composição</v>
      </c>
      <c r="B262" s="61" t="s">
        <v>526</v>
      </c>
      <c r="C262" s="52" t="str">
        <f>VLOOKUP(B262,'Insumos e Serviços'!$A:$F,2,0)</f>
        <v>SINAPI</v>
      </c>
      <c r="D262" s="62" t="str">
        <f>VLOOKUP(B262,'Insumos e Serviços'!$A:$F,4,0)</f>
        <v>AJUDANTE ESPECIALIZADO COM ENCARGOS COMPLEMENTARES</v>
      </c>
      <c r="E262" s="61" t="str">
        <f>VLOOKUP(B262,'Insumos e Serviços'!$A:$F,5,0)</f>
        <v>H</v>
      </c>
      <c r="F262" s="63">
        <v>0.192</v>
      </c>
      <c r="G262" s="64">
        <f>VLOOKUP(B262,'Insumos e Serviços'!$A:$F,6,0)</f>
        <v>20.39</v>
      </c>
      <c r="H262" s="64">
        <f t="shared" ref="H262:H266" si="44">TRUNC(F262*G262,2)</f>
        <v>3.91</v>
      </c>
    </row>
    <row r="263" spans="1:8" x14ac:dyDescent="0.2">
      <c r="A263" s="61" t="str">
        <f>VLOOKUP(B263,'Insumos e Serviços'!$A:$F,3,0)</f>
        <v>Composição</v>
      </c>
      <c r="B263" s="61" t="s">
        <v>528</v>
      </c>
      <c r="C263" s="52" t="str">
        <f>VLOOKUP(B263,'Insumos e Serviços'!$A:$F,2,0)</f>
        <v>SINAPI</v>
      </c>
      <c r="D263" s="62" t="str">
        <f>VLOOKUP(B263,'Insumos e Serviços'!$A:$F,4,0)</f>
        <v>IMPERMEABILIZADOR COM ENCARGOS COMPLEMENTARES</v>
      </c>
      <c r="E263" s="61" t="str">
        <f>VLOOKUP(B263,'Insumos e Serviços'!$A:$F,5,0)</f>
        <v>H</v>
      </c>
      <c r="F263" s="63">
        <v>0.94799999999999995</v>
      </c>
      <c r="G263" s="64">
        <f>VLOOKUP(B263,'Insumos e Serviços'!$A:$F,6,0)</f>
        <v>23.25</v>
      </c>
      <c r="H263" s="64">
        <f t="shared" si="44"/>
        <v>22.04</v>
      </c>
    </row>
    <row r="264" spans="1:8" ht="22.5" x14ac:dyDescent="0.2">
      <c r="A264" s="61" t="str">
        <f>VLOOKUP(B264,'Insumos e Serviços'!$A:$F,3,0)</f>
        <v>Insumo</v>
      </c>
      <c r="B264" s="61" t="s">
        <v>530</v>
      </c>
      <c r="C264" s="52" t="str">
        <f>VLOOKUP(B264,'Insumos e Serviços'!$A:$F,2,0)</f>
        <v>SINAPI</v>
      </c>
      <c r="D264" s="62" t="str">
        <f>VLOOKUP(B264,'Insumos e Serviços'!$A:$F,4,0)</f>
        <v>MANTA ASFALTICA ELASTOMERICA EM POLIESTER 4 MM, TIPO III, CLASSE B, ACABAMENTO PP (NBR 9952)</v>
      </c>
      <c r="E264" s="61" t="str">
        <f>VLOOKUP(B264,'Insumos e Serviços'!$A:$F,5,0)</f>
        <v>m²</v>
      </c>
      <c r="F264" s="63">
        <v>1.125</v>
      </c>
      <c r="G264" s="64">
        <f>VLOOKUP(B264,'Insumos e Serviços'!$A:$F,6,0)</f>
        <v>41.74</v>
      </c>
      <c r="H264" s="64">
        <f t="shared" si="44"/>
        <v>46.95</v>
      </c>
    </row>
    <row r="265" spans="1:8" x14ac:dyDescent="0.2">
      <c r="A265" s="61" t="str">
        <f>VLOOKUP(B265,'Insumos e Serviços'!$A:$F,3,0)</f>
        <v>Composição</v>
      </c>
      <c r="B265" s="61" t="s">
        <v>532</v>
      </c>
      <c r="C265" s="52" t="str">
        <f>VLOOKUP(B265,'Insumos e Serviços'!$A:$F,2,0)</f>
        <v>SINAPI</v>
      </c>
      <c r="D265" s="62" t="str">
        <f>VLOOKUP(B265,'Insumos e Serviços'!$A:$F,4,0)</f>
        <v>GAS DE COZINHA - GLP</v>
      </c>
      <c r="E265" s="61" t="str">
        <f>VLOOKUP(B265,'Insumos e Serviços'!$A:$F,5,0)</f>
        <v>KG</v>
      </c>
      <c r="F265" s="63">
        <v>0.26</v>
      </c>
      <c r="G265" s="64">
        <f>VLOOKUP(B265,'Insumos e Serviços'!$A:$F,6,0)</f>
        <v>5.73</v>
      </c>
      <c r="H265" s="64">
        <f t="shared" si="44"/>
        <v>1.48</v>
      </c>
    </row>
    <row r="266" spans="1:8" ht="23.25" thickBot="1" x14ac:dyDescent="0.25">
      <c r="A266" s="61" t="str">
        <f>VLOOKUP(B266,'Insumos e Serviços'!$A:$F,3,0)</f>
        <v>Insumo</v>
      </c>
      <c r="B266" s="61" t="s">
        <v>534</v>
      </c>
      <c r="C266" s="52" t="str">
        <f>VLOOKUP(B266,'Insumos e Serviços'!$A:$F,2,0)</f>
        <v>SINAPI</v>
      </c>
      <c r="D266" s="62" t="str">
        <f>VLOOKUP(B266,'Insumos e Serviços'!$A:$F,4,0)</f>
        <v>PRIMER PARA MANTA ASFALTICA A BASE DE ASFALTO MODIFICADO DILUIDO EM SOLVENTE, APLICACAO A FRIO</v>
      </c>
      <c r="E266" s="61" t="str">
        <f>VLOOKUP(B266,'Insumos e Serviços'!$A:$F,5,0)</f>
        <v>L</v>
      </c>
      <c r="F266" s="63">
        <v>0.61499999999999999</v>
      </c>
      <c r="G266" s="64">
        <f>VLOOKUP(B266,'Insumos e Serviços'!$A:$F,6,0)</f>
        <v>14.63</v>
      </c>
      <c r="H266" s="64">
        <f t="shared" si="44"/>
        <v>8.99</v>
      </c>
    </row>
    <row r="267" spans="1:8" ht="12" thickTop="1" x14ac:dyDescent="0.2">
      <c r="A267" s="20"/>
      <c r="B267" s="20"/>
      <c r="C267" s="20"/>
      <c r="D267" s="20"/>
      <c r="E267" s="20"/>
      <c r="F267" s="21"/>
      <c r="G267" s="21"/>
      <c r="H267" s="21"/>
    </row>
    <row r="268" spans="1:8" ht="33.75" x14ac:dyDescent="0.2">
      <c r="A268" s="56" t="s">
        <v>247</v>
      </c>
      <c r="B268" s="57" t="str">
        <f>VLOOKUP(A268,'Orçamento Sintético'!$A:$H,2,0)</f>
        <v xml:space="preserve"> MPDFT0547 </v>
      </c>
      <c r="C268" s="57" t="str">
        <f>VLOOKUP(A268,'Orçamento Sintético'!$A:$H,3,0)</f>
        <v>Próprio</v>
      </c>
      <c r="D268" s="58" t="str">
        <f>VLOOKUP(A268,'Orçamento Sintético'!$A:$H,4,0)</f>
        <v>Copia da SINAPI (98546) - Impermeabilização de ralos ou ponto emergente com manta asfáltica (com polímeros elastoméricos), e=4mm, ref. Torodin Extra, colada com asfalto derretido</v>
      </c>
      <c r="E268" s="57" t="str">
        <f>VLOOKUP(A268,'Orçamento Sintético'!$A:$H,5,0)</f>
        <v>un</v>
      </c>
      <c r="F268" s="59"/>
      <c r="G268" s="60"/>
      <c r="H268" s="60">
        <f>SUM(H269:H273)</f>
        <v>32.69</v>
      </c>
    </row>
    <row r="269" spans="1:8" x14ac:dyDescent="0.2">
      <c r="A269" s="61" t="str">
        <f>VLOOKUP(B269,'Insumos e Serviços'!$A:$F,3,0)</f>
        <v>Composição</v>
      </c>
      <c r="B269" s="61" t="s">
        <v>526</v>
      </c>
      <c r="C269" s="52" t="str">
        <f>VLOOKUP(B269,'Insumos e Serviços'!$A:$F,2,0)</f>
        <v>SINAPI</v>
      </c>
      <c r="D269" s="62" t="str">
        <f>VLOOKUP(B269,'Insumos e Serviços'!$A:$F,4,0)</f>
        <v>AJUDANTE ESPECIALIZADO COM ENCARGOS COMPLEMENTARES</v>
      </c>
      <c r="E269" s="61" t="str">
        <f>VLOOKUP(B269,'Insumos e Serviços'!$A:$F,5,0)</f>
        <v>H</v>
      </c>
      <c r="F269" s="63">
        <v>8.5000000000000006E-2</v>
      </c>
      <c r="G269" s="64">
        <f>VLOOKUP(B269,'Insumos e Serviços'!$A:$F,6,0)</f>
        <v>20.39</v>
      </c>
      <c r="H269" s="64">
        <f t="shared" ref="H269:H273" si="45">TRUNC(F269*G269,2)</f>
        <v>1.73</v>
      </c>
    </row>
    <row r="270" spans="1:8" x14ac:dyDescent="0.2">
      <c r="A270" s="61" t="str">
        <f>VLOOKUP(B270,'Insumos e Serviços'!$A:$F,3,0)</f>
        <v>Composição</v>
      </c>
      <c r="B270" s="61" t="s">
        <v>528</v>
      </c>
      <c r="C270" s="52" t="str">
        <f>VLOOKUP(B270,'Insumos e Serviços'!$A:$F,2,0)</f>
        <v>SINAPI</v>
      </c>
      <c r="D270" s="62" t="str">
        <f>VLOOKUP(B270,'Insumos e Serviços'!$A:$F,4,0)</f>
        <v>IMPERMEABILIZADOR COM ENCARGOS COMPLEMENTARES</v>
      </c>
      <c r="E270" s="61" t="str">
        <f>VLOOKUP(B270,'Insumos e Serviços'!$A:$F,5,0)</f>
        <v>H</v>
      </c>
      <c r="F270" s="63">
        <v>0.41799999999999998</v>
      </c>
      <c r="G270" s="64">
        <f>VLOOKUP(B270,'Insumos e Serviços'!$A:$F,6,0)</f>
        <v>23.25</v>
      </c>
      <c r="H270" s="64">
        <f t="shared" si="45"/>
        <v>9.7100000000000009</v>
      </c>
    </row>
    <row r="271" spans="1:8" ht="22.5" x14ac:dyDescent="0.2">
      <c r="A271" s="61" t="str">
        <f>VLOOKUP(B271,'Insumos e Serviços'!$A:$F,3,0)</f>
        <v>Insumo</v>
      </c>
      <c r="B271" s="61" t="s">
        <v>530</v>
      </c>
      <c r="C271" s="52" t="str">
        <f>VLOOKUP(B271,'Insumos e Serviços'!$A:$F,2,0)</f>
        <v>SINAPI</v>
      </c>
      <c r="D271" s="62" t="str">
        <f>VLOOKUP(B271,'Insumos e Serviços'!$A:$F,4,0)</f>
        <v>MANTA ASFALTICA ELASTOMERICA EM POLIESTER 4 MM, TIPO III, CLASSE B, ACABAMENTO PP (NBR 9952)</v>
      </c>
      <c r="E271" s="61" t="str">
        <f>VLOOKUP(B271,'Insumos e Serviços'!$A:$F,5,0)</f>
        <v>m²</v>
      </c>
      <c r="F271" s="63">
        <v>0.29699999999999999</v>
      </c>
      <c r="G271" s="64">
        <f>VLOOKUP(B271,'Insumos e Serviços'!$A:$F,6,0)</f>
        <v>41.74</v>
      </c>
      <c r="H271" s="64">
        <f t="shared" si="45"/>
        <v>12.39</v>
      </c>
    </row>
    <row r="272" spans="1:8" x14ac:dyDescent="0.2">
      <c r="A272" s="61" t="str">
        <f>VLOOKUP(B272,'Insumos e Serviços'!$A:$F,3,0)</f>
        <v>Composição</v>
      </c>
      <c r="B272" s="61" t="s">
        <v>532</v>
      </c>
      <c r="C272" s="52" t="str">
        <f>VLOOKUP(B272,'Insumos e Serviços'!$A:$F,2,0)</f>
        <v>SINAPI</v>
      </c>
      <c r="D272" s="62" t="str">
        <f>VLOOKUP(B272,'Insumos e Serviços'!$A:$F,4,0)</f>
        <v>GAS DE COZINHA - GLP</v>
      </c>
      <c r="E272" s="61" t="str">
        <f>VLOOKUP(B272,'Insumos e Serviços'!$A:$F,5,0)</f>
        <v>KG</v>
      </c>
      <c r="F272" s="63">
        <v>0.55500000000000005</v>
      </c>
      <c r="G272" s="64">
        <f>VLOOKUP(B272,'Insumos e Serviços'!$A:$F,6,0)</f>
        <v>5.73</v>
      </c>
      <c r="H272" s="64">
        <f t="shared" si="45"/>
        <v>3.18</v>
      </c>
    </row>
    <row r="273" spans="1:8" ht="23.25" thickBot="1" x14ac:dyDescent="0.25">
      <c r="A273" s="61" t="str">
        <f>VLOOKUP(B273,'Insumos e Serviços'!$A:$F,3,0)</f>
        <v>Insumo</v>
      </c>
      <c r="B273" s="61" t="s">
        <v>536</v>
      </c>
      <c r="C273" s="52" t="str">
        <f>VLOOKUP(B273,'Insumos e Serviços'!$A:$F,2,0)</f>
        <v>SINAPI</v>
      </c>
      <c r="D273" s="62" t="str">
        <f>VLOOKUP(B273,'Insumos e Serviços'!$A:$F,4,0)</f>
        <v>ASFALTO MODIFICADO TIPO II - NBR 9910 (ASFALTO OXIDADO PARA IMPERMEABILIZACAO, COEFICIENTE DE PENETRACAO 20-35)</v>
      </c>
      <c r="E273" s="61" t="str">
        <f>VLOOKUP(B273,'Insumos e Serviços'!$A:$F,5,0)</f>
        <v>KG</v>
      </c>
      <c r="F273" s="63">
        <v>0.48</v>
      </c>
      <c r="G273" s="64">
        <f>VLOOKUP(B273,'Insumos e Serviços'!$A:$F,6,0)</f>
        <v>11.84</v>
      </c>
      <c r="H273" s="64">
        <f t="shared" si="45"/>
        <v>5.68</v>
      </c>
    </row>
    <row r="274" spans="1:8" ht="12" thickTop="1" x14ac:dyDescent="0.2">
      <c r="A274" s="20"/>
      <c r="B274" s="20"/>
      <c r="C274" s="20"/>
      <c r="D274" s="20"/>
      <c r="E274" s="20"/>
      <c r="F274" s="21"/>
      <c r="G274" s="21"/>
      <c r="H274" s="21"/>
    </row>
    <row r="275" spans="1:8" ht="33.75" x14ac:dyDescent="0.2">
      <c r="A275" s="56" t="s">
        <v>250</v>
      </c>
      <c r="B275" s="57" t="str">
        <f>VLOOKUP(A275,'Orçamento Sintético'!$A:$H,2,0)</f>
        <v xml:space="preserve"> MPDFT1061 </v>
      </c>
      <c r="C275" s="57" t="str">
        <f>VLOOKUP(A275,'Orçamento Sintético'!$A:$H,3,0)</f>
        <v>Próprio</v>
      </c>
      <c r="D275" s="58" t="str">
        <f>VLOOKUP(A275,'Orçamento Sintético'!$A:$H,4,0)</f>
        <v>Copia da SINAPI (98565) - Proteção mecânica horizontal com argamassa traço 1:4 (cimento e areia), preparo mecânico, espessura 3cm, incluso camada separadora geotextil e junta de dilatação com asfalto modificado</v>
      </c>
      <c r="E275" s="57" t="str">
        <f>VLOOKUP(A275,'Orçamento Sintético'!$A:$H,5,0)</f>
        <v>m²</v>
      </c>
      <c r="F275" s="59"/>
      <c r="G275" s="60"/>
      <c r="H275" s="60">
        <f>SUM(H276:H280)</f>
        <v>59.67</v>
      </c>
    </row>
    <row r="276" spans="1:8" x14ac:dyDescent="0.2">
      <c r="A276" s="61" t="str">
        <f>VLOOKUP(B276,'Insumos e Serviços'!$A:$F,3,0)</f>
        <v>Composição</v>
      </c>
      <c r="B276" s="61" t="s">
        <v>442</v>
      </c>
      <c r="C276" s="52" t="str">
        <f>VLOOKUP(B276,'Insumos e Serviços'!$A:$F,2,0)</f>
        <v>SINAPI</v>
      </c>
      <c r="D276" s="62" t="str">
        <f>VLOOKUP(B276,'Insumos e Serviços'!$A:$F,4,0)</f>
        <v>PEDREIRO COM ENCARGOS COMPLEMENTARES</v>
      </c>
      <c r="E276" s="61" t="str">
        <f>VLOOKUP(B276,'Insumos e Serviços'!$A:$F,5,0)</f>
        <v>H</v>
      </c>
      <c r="F276" s="63">
        <v>0.91300000000000003</v>
      </c>
      <c r="G276" s="64">
        <f>VLOOKUP(B276,'Insumos e Serviços'!$A:$F,6,0)</f>
        <v>23.25</v>
      </c>
      <c r="H276" s="64">
        <f t="shared" ref="H276:H280" si="46">TRUNC(F276*G276,2)</f>
        <v>21.22</v>
      </c>
    </row>
    <row r="277" spans="1:8" x14ac:dyDescent="0.2">
      <c r="A277" s="61" t="str">
        <f>VLOOKUP(B277,'Insumos e Serviços'!$A:$F,3,0)</f>
        <v>Composição</v>
      </c>
      <c r="B277" s="61">
        <v>88316</v>
      </c>
      <c r="C277" s="52" t="str">
        <f>VLOOKUP(B277,'Insumos e Serviços'!$A:$F,2,0)</f>
        <v>SINAPI</v>
      </c>
      <c r="D277" s="62" t="str">
        <f>VLOOKUP(B277,'Insumos e Serviços'!$A:$F,4,0)</f>
        <v>SERVENTE COM ENCARGOS COMPLEMENTARES</v>
      </c>
      <c r="E277" s="61" t="str">
        <f>VLOOKUP(B277,'Insumos e Serviços'!$A:$F,5,0)</f>
        <v>H</v>
      </c>
      <c r="F277" s="63">
        <v>0.43030000000000002</v>
      </c>
      <c r="G277" s="64">
        <f>VLOOKUP(B277,'Insumos e Serviços'!$A:$F,6,0)</f>
        <v>17.170000000000002</v>
      </c>
      <c r="H277" s="64">
        <f t="shared" si="46"/>
        <v>7.38</v>
      </c>
    </row>
    <row r="278" spans="1:8" ht="22.5" x14ac:dyDescent="0.2">
      <c r="A278" s="61" t="str">
        <f>VLOOKUP(B278,'Insumos e Serviços'!$A:$F,3,0)</f>
        <v>Composição</v>
      </c>
      <c r="B278" s="61" t="s">
        <v>538</v>
      </c>
      <c r="C278" s="52" t="str">
        <f>VLOOKUP(B278,'Insumos e Serviços'!$A:$F,2,0)</f>
        <v>SINAPI</v>
      </c>
      <c r="D278" s="62" t="str">
        <f>VLOOKUP(B278,'Insumos e Serviços'!$A:$F,4,0)</f>
        <v>ARGAMASSA TRAÇO 1:4 (CIMENTO E AREIA MÉDIA) PARA CONTRAPISO, PREPARO MECÂNICO COM BETONEIRA 400 L. AF_06/2014</v>
      </c>
      <c r="E278" s="61" t="str">
        <f>VLOOKUP(B278,'Insumos e Serviços'!$A:$F,5,0)</f>
        <v>m³</v>
      </c>
      <c r="F278" s="63">
        <v>3.5000000000000003E-2</v>
      </c>
      <c r="G278" s="64">
        <f>VLOOKUP(B278,'Insumos e Serviços'!$A:$F,6,0)</f>
        <v>432.1</v>
      </c>
      <c r="H278" s="64">
        <f t="shared" si="46"/>
        <v>15.12</v>
      </c>
    </row>
    <row r="279" spans="1:8" ht="22.5" x14ac:dyDescent="0.2">
      <c r="A279" s="61" t="str">
        <f>VLOOKUP(B279,'Insumos e Serviços'!$A:$F,3,0)</f>
        <v>Composição</v>
      </c>
      <c r="B279" s="61" t="s">
        <v>540</v>
      </c>
      <c r="C279" s="52" t="str">
        <f>VLOOKUP(B279,'Insumos e Serviços'!$A:$F,2,0)</f>
        <v>SINAPI</v>
      </c>
      <c r="D279" s="62" t="str">
        <f>VLOOKUP(B279,'Insumos e Serviços'!$A:$F,4,0)</f>
        <v>GEOTEXTIL NAO TECIDO AGULHADO DE FILAMENTOS CONTINUOS 100% POLIESTER, RESITENCIA A TRACAO = 14 KN/M</v>
      </c>
      <c r="E279" s="61" t="str">
        <f>VLOOKUP(B279,'Insumos e Serviços'!$A:$F,5,0)</f>
        <v>m²</v>
      </c>
      <c r="F279" s="63">
        <v>1.04</v>
      </c>
      <c r="G279" s="64">
        <f>VLOOKUP(B279,'Insumos e Serviços'!$A:$F,6,0)</f>
        <v>5.98</v>
      </c>
      <c r="H279" s="64">
        <f t="shared" si="46"/>
        <v>6.21</v>
      </c>
    </row>
    <row r="280" spans="1:8" ht="23.25" thickBot="1" x14ac:dyDescent="0.25">
      <c r="A280" s="61" t="str">
        <f>VLOOKUP(B280,'Insumos e Serviços'!$A:$F,3,0)</f>
        <v>Composição</v>
      </c>
      <c r="B280" s="61" t="s">
        <v>542</v>
      </c>
      <c r="C280" s="52" t="str">
        <f>VLOOKUP(B280,'Insumos e Serviços'!$A:$F,2,0)</f>
        <v>SINAPI</v>
      </c>
      <c r="D280" s="62" t="str">
        <f>VLOOKUP(B280,'Insumos e Serviços'!$A:$F,4,0)</f>
        <v>ASFALTO MODIFICADO TIPO III - NBR 9910 (ASFALTO OXIDADO PARA IMPERMEABILIZACAO, COEFICIENTE DE PENETRACAO 15-25)</v>
      </c>
      <c r="E280" s="61" t="str">
        <f>VLOOKUP(B280,'Insumos e Serviços'!$A:$F,5,0)</f>
        <v>KG</v>
      </c>
      <c r="F280" s="63">
        <v>0.73329999999999995</v>
      </c>
      <c r="G280" s="64">
        <f>VLOOKUP(B280,'Insumos e Serviços'!$A:$F,6,0)</f>
        <v>13.29</v>
      </c>
      <c r="H280" s="64">
        <f t="shared" si="46"/>
        <v>9.74</v>
      </c>
    </row>
    <row r="281" spans="1:8" ht="12" thickTop="1" x14ac:dyDescent="0.2">
      <c r="A281" s="20"/>
      <c r="B281" s="20"/>
      <c r="C281" s="20"/>
      <c r="D281" s="20"/>
      <c r="E281" s="20"/>
      <c r="F281" s="21"/>
      <c r="G281" s="21"/>
      <c r="H281" s="21"/>
    </row>
    <row r="282" spans="1:8" ht="22.5" x14ac:dyDescent="0.2">
      <c r="A282" s="56" t="s">
        <v>253</v>
      </c>
      <c r="B282" s="57" t="str">
        <f>VLOOKUP(A282,'Orçamento Sintético'!$A:$H,2,0)</f>
        <v xml:space="preserve"> MPDFT0033 </v>
      </c>
      <c r="C282" s="57" t="str">
        <f>VLOOKUP(A282,'Orçamento Sintético'!$A:$H,3,0)</f>
        <v>Próprio</v>
      </c>
      <c r="D282" s="58" t="str">
        <f>VLOOKUP(A282,'Orçamento Sintético'!$A:$H,4,0)</f>
        <v>Copia da FDE (11.04.004) - Junta de dilatação com selante elástico monocomponente a base de poliuretano, dimensões 1x2cm, inclusive delimitador de profundidade</v>
      </c>
      <c r="E282" s="57" t="str">
        <f>VLOOKUP(A282,'Orçamento Sintético'!$A:$H,5,0)</f>
        <v>m</v>
      </c>
      <c r="F282" s="59"/>
      <c r="G282" s="60"/>
      <c r="H282" s="60">
        <f>SUM(H283:H285)</f>
        <v>31.84</v>
      </c>
    </row>
    <row r="283" spans="1:8" x14ac:dyDescent="0.2">
      <c r="A283" s="61" t="str">
        <f>VLOOKUP(B283,'Insumos e Serviços'!$A:$F,3,0)</f>
        <v>Composição</v>
      </c>
      <c r="B283" s="61" t="s">
        <v>442</v>
      </c>
      <c r="C283" s="52" t="str">
        <f>VLOOKUP(B283,'Insumos e Serviços'!$A:$F,2,0)</f>
        <v>SINAPI</v>
      </c>
      <c r="D283" s="62" t="str">
        <f>VLOOKUP(B283,'Insumos e Serviços'!$A:$F,4,0)</f>
        <v>PEDREIRO COM ENCARGOS COMPLEMENTARES</v>
      </c>
      <c r="E283" s="61" t="str">
        <f>VLOOKUP(B283,'Insumos e Serviços'!$A:$F,5,0)</f>
        <v>H</v>
      </c>
      <c r="F283" s="63">
        <v>0.6</v>
      </c>
      <c r="G283" s="64">
        <f>VLOOKUP(B283,'Insumos e Serviços'!$A:$F,6,0)</f>
        <v>23.25</v>
      </c>
      <c r="H283" s="64">
        <f t="shared" ref="H283:H285" si="47">TRUNC(F283*G283,2)</f>
        <v>13.95</v>
      </c>
    </row>
    <row r="284" spans="1:8" ht="22.5" x14ac:dyDescent="0.2">
      <c r="A284" s="61" t="str">
        <f>VLOOKUP(B284,'Insumos e Serviços'!$A:$F,3,0)</f>
        <v>Insumo</v>
      </c>
      <c r="B284" s="61" t="s">
        <v>483</v>
      </c>
      <c r="C284" s="52" t="str">
        <f>VLOOKUP(B284,'Insumos e Serviços'!$A:$F,2,0)</f>
        <v>SINAPI</v>
      </c>
      <c r="D284" s="62" t="str">
        <f>VLOOKUP(B284,'Insumos e Serviços'!$A:$F,4,0)</f>
        <v>SELANTE ELASTICO MONOCOMPONENTE A BASE DE POLIURETANO PARA JUNTAS DIVERSAS</v>
      </c>
      <c r="E284" s="61" t="str">
        <f>VLOOKUP(B284,'Insumos e Serviços'!$A:$F,5,0)</f>
        <v>310ML</v>
      </c>
      <c r="F284" s="63">
        <v>0.6452</v>
      </c>
      <c r="G284" s="64">
        <f>VLOOKUP(B284,'Insumos e Serviços'!$A:$F,6,0)</f>
        <v>27</v>
      </c>
      <c r="H284" s="64">
        <f t="shared" si="47"/>
        <v>17.420000000000002</v>
      </c>
    </row>
    <row r="285" spans="1:8" ht="12" thickBot="1" x14ac:dyDescent="0.25">
      <c r="A285" s="61" t="str">
        <f>VLOOKUP(B285,'Insumos e Serviços'!$A:$F,3,0)</f>
        <v>Insumo</v>
      </c>
      <c r="B285" s="61" t="s">
        <v>486</v>
      </c>
      <c r="C285" s="52" t="str">
        <f>VLOOKUP(B285,'Insumos e Serviços'!$A:$F,2,0)</f>
        <v>Próprio</v>
      </c>
      <c r="D285" s="62" t="str">
        <f>VLOOKUP(B285,'Insumos e Serviços'!$A:$F,4,0)</f>
        <v>Delimitador de profundidade (Tarucel) Ø 6mm</v>
      </c>
      <c r="E285" s="61" t="str">
        <f>VLOOKUP(B285,'Insumos e Serviços'!$A:$F,5,0)</f>
        <v>m</v>
      </c>
      <c r="F285" s="63">
        <v>1.05</v>
      </c>
      <c r="G285" s="64">
        <f>VLOOKUP(B285,'Insumos e Serviços'!$A:$F,6,0)</f>
        <v>0.45</v>
      </c>
      <c r="H285" s="64">
        <f t="shared" si="47"/>
        <v>0.47</v>
      </c>
    </row>
    <row r="286" spans="1:8" ht="12" thickTop="1" x14ac:dyDescent="0.2">
      <c r="A286" s="20"/>
      <c r="B286" s="20"/>
      <c r="C286" s="20"/>
      <c r="D286" s="20"/>
      <c r="E286" s="20"/>
      <c r="F286" s="21"/>
      <c r="G286" s="21"/>
      <c r="H286" s="21"/>
    </row>
    <row r="287" spans="1:8" x14ac:dyDescent="0.2">
      <c r="A287" s="14" t="s">
        <v>256</v>
      </c>
      <c r="B287" s="14"/>
      <c r="C287" s="14"/>
      <c r="D287" s="14" t="str">
        <f>VLOOKUP(A287,'Orçamento Sintético'!$A:$H,4,0)</f>
        <v>Acabamentos e Arremates</v>
      </c>
      <c r="E287" s="47"/>
      <c r="F287" s="29"/>
      <c r="G287" s="30"/>
      <c r="H287" s="31"/>
    </row>
    <row r="288" spans="1:8" ht="22.5" x14ac:dyDescent="0.2">
      <c r="A288" s="56" t="s">
        <v>258</v>
      </c>
      <c r="B288" s="57" t="str">
        <f>VLOOKUP(A288,'Orçamento Sintético'!$A:$H,2,0)</f>
        <v xml:space="preserve"> MPDFT0562 </v>
      </c>
      <c r="C288" s="57" t="str">
        <f>VLOOKUP(A288,'Orçamento Sintético'!$A:$H,3,0)</f>
        <v>Próprio</v>
      </c>
      <c r="D288" s="58" t="str">
        <f>VLOOKUP(A288,'Orçamento Sintético'!$A:$H,4,0)</f>
        <v>Rufo em granito polido Branco Itaúna, largura 21 cm, e=2cm, com friso pingadeira dupla</v>
      </c>
      <c r="E288" s="57" t="str">
        <f>VLOOKUP(A288,'Orçamento Sintético'!$A:$H,5,0)</f>
        <v>m</v>
      </c>
      <c r="F288" s="59"/>
      <c r="G288" s="60"/>
      <c r="H288" s="60">
        <f>SUM(H289:H296)</f>
        <v>123.53</v>
      </c>
    </row>
    <row r="289" spans="1:8" x14ac:dyDescent="0.2">
      <c r="A289" s="61" t="str">
        <f>VLOOKUP(B289,'Insumos e Serviços'!$A:$F,3,0)</f>
        <v>Composição</v>
      </c>
      <c r="B289" s="61" t="s">
        <v>528</v>
      </c>
      <c r="C289" s="52" t="str">
        <f>VLOOKUP(B289,'Insumos e Serviços'!$A:$F,2,0)</f>
        <v>SINAPI</v>
      </c>
      <c r="D289" s="62" t="str">
        <f>VLOOKUP(B289,'Insumos e Serviços'!$A:$F,4,0)</f>
        <v>IMPERMEABILIZADOR COM ENCARGOS COMPLEMENTARES</v>
      </c>
      <c r="E289" s="61" t="str">
        <f>VLOOKUP(B289,'Insumos e Serviços'!$A:$F,5,0)</f>
        <v>H</v>
      </c>
      <c r="F289" s="63">
        <v>5.67E-2</v>
      </c>
      <c r="G289" s="64">
        <f>VLOOKUP(B289,'Insumos e Serviços'!$A:$F,6,0)</f>
        <v>23.25</v>
      </c>
      <c r="H289" s="64">
        <f t="shared" ref="H289:H296" si="48">TRUNC(F289*G289,2)</f>
        <v>1.31</v>
      </c>
    </row>
    <row r="290" spans="1:8" x14ac:dyDescent="0.2">
      <c r="A290" s="61" t="str">
        <f>VLOOKUP(B290,'Insumos e Serviços'!$A:$F,3,0)</f>
        <v>Composição</v>
      </c>
      <c r="B290" s="61" t="s">
        <v>544</v>
      </c>
      <c r="C290" s="52" t="str">
        <f>VLOOKUP(B290,'Insumos e Serviços'!$A:$F,2,0)</f>
        <v>SINAPI</v>
      </c>
      <c r="D290" s="62" t="str">
        <f>VLOOKUP(B290,'Insumos e Serviços'!$A:$F,4,0)</f>
        <v>MARMORISTA/GRANITEIRO COM ENCARGOS COMPLEMENTARES</v>
      </c>
      <c r="E290" s="61" t="str">
        <f>VLOOKUP(B290,'Insumos e Serviços'!$A:$F,5,0)</f>
        <v>H</v>
      </c>
      <c r="F290" s="63">
        <v>0.54700000000000004</v>
      </c>
      <c r="G290" s="64">
        <f>VLOOKUP(B290,'Insumos e Serviços'!$A:$F,6,0)</f>
        <v>19.39</v>
      </c>
      <c r="H290" s="64">
        <f t="shared" si="48"/>
        <v>10.6</v>
      </c>
    </row>
    <row r="291" spans="1:8" x14ac:dyDescent="0.2">
      <c r="A291" s="61" t="str">
        <f>VLOOKUP(B291,'Insumos e Serviços'!$A:$F,3,0)</f>
        <v>Composição</v>
      </c>
      <c r="B291" s="61">
        <v>88316</v>
      </c>
      <c r="C291" s="52" t="str">
        <f>VLOOKUP(B291,'Insumos e Serviços'!$A:$F,2,0)</f>
        <v>SINAPI</v>
      </c>
      <c r="D291" s="62" t="str">
        <f>VLOOKUP(B291,'Insumos e Serviços'!$A:$F,4,0)</f>
        <v>SERVENTE COM ENCARGOS COMPLEMENTARES</v>
      </c>
      <c r="E291" s="61" t="str">
        <f>VLOOKUP(B291,'Insumos e Serviços'!$A:$F,5,0)</f>
        <v>H</v>
      </c>
      <c r="F291" s="63">
        <v>0.27300000000000002</v>
      </c>
      <c r="G291" s="64">
        <f>VLOOKUP(B291,'Insumos e Serviços'!$A:$F,6,0)</f>
        <v>17.170000000000002</v>
      </c>
      <c r="H291" s="64">
        <f t="shared" si="48"/>
        <v>4.68</v>
      </c>
    </row>
    <row r="292" spans="1:8" x14ac:dyDescent="0.2">
      <c r="A292" s="61" t="str">
        <f>VLOOKUP(B292,'Insumos e Serviços'!$A:$F,3,0)</f>
        <v>Insumo</v>
      </c>
      <c r="B292" s="61" t="s">
        <v>546</v>
      </c>
      <c r="C292" s="52" t="str">
        <f>VLOOKUP(B292,'Insumos e Serviços'!$A:$F,2,0)</f>
        <v>Próprio</v>
      </c>
      <c r="D292" s="62" t="str">
        <f>VLOOKUP(B292,'Insumos e Serviços'!$A:$F,4,0)</f>
        <v>Granito Branco Itaúna, ou equivalente, e=2cm, acabamento polido</v>
      </c>
      <c r="E292" s="61" t="str">
        <f>VLOOKUP(B292,'Insumos e Serviços'!$A:$F,5,0)</f>
        <v>m²</v>
      </c>
      <c r="F292" s="63">
        <v>0.21</v>
      </c>
      <c r="G292" s="64">
        <f>VLOOKUP(B292,'Insumos e Serviços'!$A:$F,6,0)</f>
        <v>252.68</v>
      </c>
      <c r="H292" s="64">
        <f t="shared" si="48"/>
        <v>53.06</v>
      </c>
    </row>
    <row r="293" spans="1:8" x14ac:dyDescent="0.2">
      <c r="A293" s="61" t="str">
        <f>VLOOKUP(B293,'Insumos e Serviços'!$A:$F,3,0)</f>
        <v>Insumo</v>
      </c>
      <c r="B293" s="61" t="s">
        <v>548</v>
      </c>
      <c r="C293" s="52" t="str">
        <f>VLOOKUP(B293,'Insumos e Serviços'!$A:$F,2,0)</f>
        <v>SINAPI</v>
      </c>
      <c r="D293" s="62" t="str">
        <f>VLOOKUP(B293,'Insumos e Serviços'!$A:$F,4,0)</f>
        <v>ARGAMASSA COLANTE AC-II</v>
      </c>
      <c r="E293" s="61" t="str">
        <f>VLOOKUP(B293,'Insumos e Serviços'!$A:$F,5,0)</f>
        <v>KG</v>
      </c>
      <c r="F293" s="63">
        <v>1.29</v>
      </c>
      <c r="G293" s="64">
        <f>VLOOKUP(B293,'Insumos e Serviços'!$A:$F,6,0)</f>
        <v>0.83</v>
      </c>
      <c r="H293" s="64">
        <f t="shared" si="48"/>
        <v>1.07</v>
      </c>
    </row>
    <row r="294" spans="1:8" x14ac:dyDescent="0.2">
      <c r="A294" s="61" t="str">
        <f>VLOOKUP(B294,'Insumos e Serviços'!$A:$F,3,0)</f>
        <v>Insumo</v>
      </c>
      <c r="B294" s="61" t="s">
        <v>550</v>
      </c>
      <c r="C294" s="52" t="str">
        <f>VLOOKUP(B294,'Insumos e Serviços'!$A:$F,2,0)</f>
        <v>Próprio</v>
      </c>
      <c r="D294" s="62" t="str">
        <f>VLOOKUP(B294,'Insumos e Serviços'!$A:$F,4,0)</f>
        <v>Friso para pingadeira (granito)</v>
      </c>
      <c r="E294" s="61" t="str">
        <f>VLOOKUP(B294,'Insumos e Serviços'!$A:$F,5,0)</f>
        <v>m</v>
      </c>
      <c r="F294" s="63">
        <v>2</v>
      </c>
      <c r="G294" s="64" t="str">
        <f>VLOOKUP(B294,'Insumos e Serviços'!$A:$F,6,0)</f>
        <v xml:space="preserve"> 5,00</v>
      </c>
      <c r="H294" s="64">
        <f t="shared" si="48"/>
        <v>10</v>
      </c>
    </row>
    <row r="295" spans="1:8" x14ac:dyDescent="0.2">
      <c r="A295" s="61" t="str">
        <f>VLOOKUP(B295,'Insumos e Serviços'!$A:$F,3,0)</f>
        <v>Insumo</v>
      </c>
      <c r="B295" s="61" t="s">
        <v>552</v>
      </c>
      <c r="C295" s="52" t="str">
        <f>VLOOKUP(B295,'Insumos e Serviços'!$A:$F,2,0)</f>
        <v>Próprio</v>
      </c>
      <c r="D295" s="62" t="str">
        <f>VLOOKUP(B295,'Insumos e Serviços'!$A:$F,4,0)</f>
        <v>Acabamento reto (granito)</v>
      </c>
      <c r="E295" s="61" t="str">
        <f>VLOOKUP(B295,'Insumos e Serviços'!$A:$F,5,0)</f>
        <v>m</v>
      </c>
      <c r="F295" s="63">
        <v>2</v>
      </c>
      <c r="G295" s="64" t="str">
        <f>VLOOKUP(B295,'Insumos e Serviços'!$A:$F,6,0)</f>
        <v xml:space="preserve"> 20,00</v>
      </c>
      <c r="H295" s="64">
        <f t="shared" si="48"/>
        <v>40</v>
      </c>
    </row>
    <row r="296" spans="1:8" ht="12" thickBot="1" x14ac:dyDescent="0.25">
      <c r="A296" s="61" t="str">
        <f>VLOOKUP(B296,'Insumos e Serviços'!$A:$F,3,0)</f>
        <v>Insumo</v>
      </c>
      <c r="B296" s="61" t="s">
        <v>554</v>
      </c>
      <c r="C296" s="52" t="str">
        <f>VLOOKUP(B296,'Insumos e Serviços'!$A:$F,2,0)</f>
        <v>Próprio</v>
      </c>
      <c r="D296" s="62" t="str">
        <f>VLOOKUP(B296,'Insumos e Serviços'!$A:$F,4,0)</f>
        <v>Solução hidrofugante à base de silano-siloxano Nitroprimer 40, fab. Anchortec Quartzolit</v>
      </c>
      <c r="E296" s="61" t="str">
        <f>VLOOKUP(B296,'Insumos e Serviços'!$A:$F,5,0)</f>
        <v>l</v>
      </c>
      <c r="F296" s="63">
        <v>6.3E-2</v>
      </c>
      <c r="G296" s="64">
        <f>VLOOKUP(B296,'Insumos e Serviços'!$A:$F,6,0)</f>
        <v>44.68</v>
      </c>
      <c r="H296" s="64">
        <f t="shared" si="48"/>
        <v>2.81</v>
      </c>
    </row>
    <row r="297" spans="1:8" ht="12" thickTop="1" x14ac:dyDescent="0.2">
      <c r="A297" s="20"/>
      <c r="B297" s="20"/>
      <c r="C297" s="20"/>
      <c r="D297" s="20"/>
      <c r="E297" s="20"/>
      <c r="F297" s="21"/>
      <c r="G297" s="21"/>
      <c r="H297" s="21"/>
    </row>
    <row r="298" spans="1:8" ht="22.5" x14ac:dyDescent="0.2">
      <c r="A298" s="56" t="s">
        <v>261</v>
      </c>
      <c r="B298" s="57" t="str">
        <f>VLOOKUP(A298,'Orçamento Sintético'!$A:$H,2,0)</f>
        <v xml:space="preserve"> MPDFT0563 </v>
      </c>
      <c r="C298" s="57" t="str">
        <f>VLOOKUP(A298,'Orçamento Sintético'!$A:$H,3,0)</f>
        <v>Próprio</v>
      </c>
      <c r="D298" s="58" t="str">
        <f>VLOOKUP(A298,'Orçamento Sintético'!$A:$H,4,0)</f>
        <v>Rufo em granito polido Branco Itaúna, largura 20 cm, e=2cm, com friso pingadeira única</v>
      </c>
      <c r="E298" s="57" t="str">
        <f>VLOOKUP(A298,'Orçamento Sintético'!$A:$H,5,0)</f>
        <v>m</v>
      </c>
      <c r="F298" s="59"/>
      <c r="G298" s="60"/>
      <c r="H298" s="60">
        <f>SUM(H299:H306)</f>
        <v>115.75000000000001</v>
      </c>
    </row>
    <row r="299" spans="1:8" x14ac:dyDescent="0.2">
      <c r="A299" s="61" t="str">
        <f>VLOOKUP(B299,'Insumos e Serviços'!$A:$F,3,0)</f>
        <v>Composição</v>
      </c>
      <c r="B299" s="61" t="s">
        <v>528</v>
      </c>
      <c r="C299" s="52" t="str">
        <f>VLOOKUP(B299,'Insumos e Serviços'!$A:$F,2,0)</f>
        <v>SINAPI</v>
      </c>
      <c r="D299" s="62" t="str">
        <f>VLOOKUP(B299,'Insumos e Serviços'!$A:$F,4,0)</f>
        <v>IMPERMEABILIZADOR COM ENCARGOS COMPLEMENTARES</v>
      </c>
      <c r="E299" s="61" t="str">
        <f>VLOOKUP(B299,'Insumos e Serviços'!$A:$F,5,0)</f>
        <v>H</v>
      </c>
      <c r="F299" s="63">
        <v>5.3999999999999999E-2</v>
      </c>
      <c r="G299" s="64">
        <f>VLOOKUP(B299,'Insumos e Serviços'!$A:$F,6,0)</f>
        <v>23.25</v>
      </c>
      <c r="H299" s="64">
        <f t="shared" ref="H299:H306" si="49">TRUNC(F299*G299,2)</f>
        <v>1.25</v>
      </c>
    </row>
    <row r="300" spans="1:8" x14ac:dyDescent="0.2">
      <c r="A300" s="61" t="str">
        <f>VLOOKUP(B300,'Insumos e Serviços'!$A:$F,3,0)</f>
        <v>Composição</v>
      </c>
      <c r="B300" s="61" t="s">
        <v>544</v>
      </c>
      <c r="C300" s="52" t="str">
        <f>VLOOKUP(B300,'Insumos e Serviços'!$A:$F,2,0)</f>
        <v>SINAPI</v>
      </c>
      <c r="D300" s="62" t="str">
        <f>VLOOKUP(B300,'Insumos e Serviços'!$A:$F,4,0)</f>
        <v>MARMORISTA/GRANITEIRO COM ENCARGOS COMPLEMENTARES</v>
      </c>
      <c r="E300" s="61" t="str">
        <f>VLOOKUP(B300,'Insumos e Serviços'!$A:$F,5,0)</f>
        <v>H</v>
      </c>
      <c r="F300" s="63">
        <v>0.54700000000000004</v>
      </c>
      <c r="G300" s="64">
        <f>VLOOKUP(B300,'Insumos e Serviços'!$A:$F,6,0)</f>
        <v>19.39</v>
      </c>
      <c r="H300" s="64">
        <f t="shared" si="49"/>
        <v>10.6</v>
      </c>
    </row>
    <row r="301" spans="1:8" x14ac:dyDescent="0.2">
      <c r="A301" s="61" t="str">
        <f>VLOOKUP(B301,'Insumos e Serviços'!$A:$F,3,0)</f>
        <v>Composição</v>
      </c>
      <c r="B301" s="61">
        <v>88316</v>
      </c>
      <c r="C301" s="52" t="str">
        <f>VLOOKUP(B301,'Insumos e Serviços'!$A:$F,2,0)</f>
        <v>SINAPI</v>
      </c>
      <c r="D301" s="62" t="str">
        <f>VLOOKUP(B301,'Insumos e Serviços'!$A:$F,4,0)</f>
        <v>SERVENTE COM ENCARGOS COMPLEMENTARES</v>
      </c>
      <c r="E301" s="61" t="str">
        <f>VLOOKUP(B301,'Insumos e Serviços'!$A:$F,5,0)</f>
        <v>H</v>
      </c>
      <c r="F301" s="63">
        <v>0.27300000000000002</v>
      </c>
      <c r="G301" s="64">
        <f>VLOOKUP(B301,'Insumos e Serviços'!$A:$F,6,0)</f>
        <v>17.170000000000002</v>
      </c>
      <c r="H301" s="64">
        <f t="shared" si="49"/>
        <v>4.68</v>
      </c>
    </row>
    <row r="302" spans="1:8" x14ac:dyDescent="0.2">
      <c r="A302" s="61" t="str">
        <f>VLOOKUP(B302,'Insumos e Serviços'!$A:$F,3,0)</f>
        <v>Insumo</v>
      </c>
      <c r="B302" s="61" t="s">
        <v>546</v>
      </c>
      <c r="C302" s="52" t="str">
        <f>VLOOKUP(B302,'Insumos e Serviços'!$A:$F,2,0)</f>
        <v>Próprio</v>
      </c>
      <c r="D302" s="62" t="str">
        <f>VLOOKUP(B302,'Insumos e Serviços'!$A:$F,4,0)</f>
        <v>Granito Branco Itaúna, ou equivalente, e=2cm, acabamento polido</v>
      </c>
      <c r="E302" s="61" t="str">
        <f>VLOOKUP(B302,'Insumos e Serviços'!$A:$F,5,0)</f>
        <v>m²</v>
      </c>
      <c r="F302" s="63">
        <v>0.2</v>
      </c>
      <c r="G302" s="64">
        <f>VLOOKUP(B302,'Insumos e Serviços'!$A:$F,6,0)</f>
        <v>252.68</v>
      </c>
      <c r="H302" s="64">
        <f t="shared" si="49"/>
        <v>50.53</v>
      </c>
    </row>
    <row r="303" spans="1:8" x14ac:dyDescent="0.2">
      <c r="A303" s="61" t="str">
        <f>VLOOKUP(B303,'Insumos e Serviços'!$A:$F,3,0)</f>
        <v>Insumo</v>
      </c>
      <c r="B303" s="61" t="s">
        <v>548</v>
      </c>
      <c r="C303" s="52" t="str">
        <f>VLOOKUP(B303,'Insumos e Serviços'!$A:$F,2,0)</f>
        <v>SINAPI</v>
      </c>
      <c r="D303" s="62" t="str">
        <f>VLOOKUP(B303,'Insumos e Serviços'!$A:$F,4,0)</f>
        <v>ARGAMASSA COLANTE AC-II</v>
      </c>
      <c r="E303" s="61" t="str">
        <f>VLOOKUP(B303,'Insumos e Serviços'!$A:$F,5,0)</f>
        <v>KG</v>
      </c>
      <c r="F303" s="63">
        <v>1.2285999999999999</v>
      </c>
      <c r="G303" s="64">
        <f>VLOOKUP(B303,'Insumos e Serviços'!$A:$F,6,0)</f>
        <v>0.83</v>
      </c>
      <c r="H303" s="64">
        <f t="shared" si="49"/>
        <v>1.01</v>
      </c>
    </row>
    <row r="304" spans="1:8" x14ac:dyDescent="0.2">
      <c r="A304" s="61" t="str">
        <f>VLOOKUP(B304,'Insumos e Serviços'!$A:$F,3,0)</f>
        <v>Insumo</v>
      </c>
      <c r="B304" s="61" t="s">
        <v>550</v>
      </c>
      <c r="C304" s="52" t="str">
        <f>VLOOKUP(B304,'Insumos e Serviços'!$A:$F,2,0)</f>
        <v>Próprio</v>
      </c>
      <c r="D304" s="62" t="str">
        <f>VLOOKUP(B304,'Insumos e Serviços'!$A:$F,4,0)</f>
        <v>Friso para pingadeira (granito)</v>
      </c>
      <c r="E304" s="61" t="str">
        <f>VLOOKUP(B304,'Insumos e Serviços'!$A:$F,5,0)</f>
        <v>m</v>
      </c>
      <c r="F304" s="63">
        <v>1</v>
      </c>
      <c r="G304" s="64" t="str">
        <f>VLOOKUP(B304,'Insumos e Serviços'!$A:$F,6,0)</f>
        <v xml:space="preserve"> 5,00</v>
      </c>
      <c r="H304" s="64">
        <f t="shared" si="49"/>
        <v>5</v>
      </c>
    </row>
    <row r="305" spans="1:8" x14ac:dyDescent="0.2">
      <c r="A305" s="61" t="str">
        <f>VLOOKUP(B305,'Insumos e Serviços'!$A:$F,3,0)</f>
        <v>Insumo</v>
      </c>
      <c r="B305" s="61" t="s">
        <v>552</v>
      </c>
      <c r="C305" s="52" t="str">
        <f>VLOOKUP(B305,'Insumos e Serviços'!$A:$F,2,0)</f>
        <v>Próprio</v>
      </c>
      <c r="D305" s="62" t="str">
        <f>VLOOKUP(B305,'Insumos e Serviços'!$A:$F,4,0)</f>
        <v>Acabamento reto (granito)</v>
      </c>
      <c r="E305" s="61" t="str">
        <f>VLOOKUP(B305,'Insumos e Serviços'!$A:$F,5,0)</f>
        <v>m</v>
      </c>
      <c r="F305" s="63">
        <v>2</v>
      </c>
      <c r="G305" s="64" t="str">
        <f>VLOOKUP(B305,'Insumos e Serviços'!$A:$F,6,0)</f>
        <v xml:space="preserve"> 20,00</v>
      </c>
      <c r="H305" s="64">
        <f t="shared" si="49"/>
        <v>40</v>
      </c>
    </row>
    <row r="306" spans="1:8" ht="12" thickBot="1" x14ac:dyDescent="0.25">
      <c r="A306" s="61" t="str">
        <f>VLOOKUP(B306,'Insumos e Serviços'!$A:$F,3,0)</f>
        <v>Insumo</v>
      </c>
      <c r="B306" s="61" t="s">
        <v>554</v>
      </c>
      <c r="C306" s="52" t="str">
        <f>VLOOKUP(B306,'Insumos e Serviços'!$A:$F,2,0)</f>
        <v>Próprio</v>
      </c>
      <c r="D306" s="62" t="str">
        <f>VLOOKUP(B306,'Insumos e Serviços'!$A:$F,4,0)</f>
        <v>Solução hidrofugante à base de silano-siloxano Nitroprimer 40, fab. Anchortec Quartzolit</v>
      </c>
      <c r="E306" s="61" t="str">
        <f>VLOOKUP(B306,'Insumos e Serviços'!$A:$F,5,0)</f>
        <v>l</v>
      </c>
      <c r="F306" s="63">
        <v>0.06</v>
      </c>
      <c r="G306" s="64">
        <f>VLOOKUP(B306,'Insumos e Serviços'!$A:$F,6,0)</f>
        <v>44.68</v>
      </c>
      <c r="H306" s="64">
        <f t="shared" si="49"/>
        <v>2.68</v>
      </c>
    </row>
    <row r="307" spans="1:8" ht="12" thickTop="1" x14ac:dyDescent="0.2">
      <c r="A307" s="20"/>
      <c r="B307" s="20"/>
      <c r="C307" s="20"/>
      <c r="D307" s="20"/>
      <c r="E307" s="20"/>
      <c r="F307" s="21"/>
      <c r="G307" s="21"/>
      <c r="H307" s="21"/>
    </row>
    <row r="308" spans="1:8" x14ac:dyDescent="0.2">
      <c r="A308" s="12" t="s">
        <v>264</v>
      </c>
      <c r="B308" s="12"/>
      <c r="C308" s="12"/>
      <c r="D308" s="80" t="str">
        <f>VLOOKUP(A308,'Orçamento Sintético'!$A:$H,4,0)</f>
        <v>INSTALAÇÕES ELÉTRICAS E ELETRÔNICAS</v>
      </c>
      <c r="E308" s="46"/>
      <c r="F308" s="24"/>
      <c r="G308" s="12"/>
      <c r="H308" s="7"/>
    </row>
    <row r="309" spans="1:8" x14ac:dyDescent="0.2">
      <c r="A309" s="14" t="s">
        <v>266</v>
      </c>
      <c r="B309" s="14"/>
      <c r="C309" s="14"/>
      <c r="D309" s="81" t="str">
        <f>VLOOKUP(A309,'Orçamento Sintético'!$A:$H,4,0)</f>
        <v>SERVIÇOS DIVERSOS</v>
      </c>
      <c r="E309" s="47"/>
      <c r="F309" s="29"/>
      <c r="G309" s="30"/>
      <c r="H309" s="31"/>
    </row>
    <row r="310" spans="1:8" x14ac:dyDescent="0.2">
      <c r="A310" s="56" t="s">
        <v>268</v>
      </c>
      <c r="B310" s="57" t="str">
        <f>VLOOKUP(A310,'Orçamento Sintético'!$A:$H,2,0)</f>
        <v xml:space="preserve"> MPDFT0593 </v>
      </c>
      <c r="C310" s="57" t="str">
        <f>VLOOKUP(A310,'Orçamento Sintético'!$A:$H,3,0)</f>
        <v>Próprio</v>
      </c>
      <c r="D310" s="58" t="str">
        <f>VLOOKUP(A310,'Orçamento Sintético'!$A:$H,4,0)</f>
        <v>Reinstalação do sistema de proteção contra descargas atmosféricas</v>
      </c>
      <c r="E310" s="57" t="str">
        <f>VLOOKUP(A310,'Orçamento Sintético'!$A:$H,5,0)</f>
        <v>sv</v>
      </c>
      <c r="F310" s="59"/>
      <c r="G310" s="60"/>
      <c r="H310" s="60">
        <f>SUM(H311:H314)</f>
        <v>2193.33</v>
      </c>
    </row>
    <row r="311" spans="1:8" x14ac:dyDescent="0.2">
      <c r="A311" s="61" t="str">
        <f>VLOOKUP(B311,'Insumos e Serviços'!$A:$F,3,0)</f>
        <v>Composição</v>
      </c>
      <c r="B311" s="61" t="s">
        <v>454</v>
      </c>
      <c r="C311" s="52" t="str">
        <f>VLOOKUP(B311,'Insumos e Serviços'!$A:$F,2,0)</f>
        <v>SINAPI</v>
      </c>
      <c r="D311" s="62" t="str">
        <f>VLOOKUP(B311,'Insumos e Serviços'!$A:$F,4,0)</f>
        <v>ELETRICISTA COM ENCARGOS COMPLEMENTARES</v>
      </c>
      <c r="E311" s="61" t="str">
        <f>VLOOKUP(B311,'Insumos e Serviços'!$A:$F,5,0)</f>
        <v>H</v>
      </c>
      <c r="F311" s="63">
        <v>34.200000000000003</v>
      </c>
      <c r="G311" s="64">
        <f>VLOOKUP(B311,'Insumos e Serviços'!$A:$F,6,0)</f>
        <v>23.44</v>
      </c>
      <c r="H311" s="64">
        <f t="shared" ref="H311:H314" si="50">TRUNC(F311*G311,2)</f>
        <v>801.64</v>
      </c>
    </row>
    <row r="312" spans="1:8" x14ac:dyDescent="0.2">
      <c r="A312" s="61" t="str">
        <f>VLOOKUP(B312,'Insumos e Serviços'!$A:$F,3,0)</f>
        <v>Composição</v>
      </c>
      <c r="B312" s="61" t="s">
        <v>456</v>
      </c>
      <c r="C312" s="52" t="str">
        <f>VLOOKUP(B312,'Insumos e Serviços'!$A:$F,2,0)</f>
        <v>SINAPI</v>
      </c>
      <c r="D312" s="62" t="str">
        <f>VLOOKUP(B312,'Insumos e Serviços'!$A:$F,4,0)</f>
        <v>AUXILIAR DE ELETRICISTA COM ENCARGOS COMPLEMENTARES</v>
      </c>
      <c r="E312" s="61" t="str">
        <f>VLOOKUP(B312,'Insumos e Serviços'!$A:$F,5,0)</f>
        <v>H</v>
      </c>
      <c r="F312" s="63">
        <v>64.8</v>
      </c>
      <c r="G312" s="64">
        <f>VLOOKUP(B312,'Insumos e Serviços'!$A:$F,6,0)</f>
        <v>18.28</v>
      </c>
      <c r="H312" s="64">
        <f t="shared" si="50"/>
        <v>1184.54</v>
      </c>
    </row>
    <row r="313" spans="1:8" ht="22.5" x14ac:dyDescent="0.2">
      <c r="A313" s="61" t="str">
        <f>VLOOKUP(B313,'Insumos e Serviços'!$A:$F,3,0)</f>
        <v>Insumo</v>
      </c>
      <c r="B313" s="61" t="s">
        <v>557</v>
      </c>
      <c r="C313" s="52" t="str">
        <f>VLOOKUP(B313,'Insumos e Serviços'!$A:$F,2,0)</f>
        <v>SINAPI</v>
      </c>
      <c r="D313" s="62" t="str">
        <f>VLOOKUP(B313,'Insumos e Serviços'!$A:$F,4,0)</f>
        <v>SUPORTE ISOLADOR REFORCADO DIAMETRO NOMINAL 5/16", COM ROSCA SOBERBA E BUCHA</v>
      </c>
      <c r="E313" s="61" t="str">
        <f>VLOOKUP(B313,'Insumos e Serviços'!$A:$F,5,0)</f>
        <v>UN</v>
      </c>
      <c r="F313" s="63">
        <v>15</v>
      </c>
      <c r="G313" s="64">
        <f>VLOOKUP(B313,'Insumos e Serviços'!$A:$F,6,0)</f>
        <v>8.9</v>
      </c>
      <c r="H313" s="64">
        <f t="shared" si="50"/>
        <v>133.5</v>
      </c>
    </row>
    <row r="314" spans="1:8" ht="23.25" thickBot="1" x14ac:dyDescent="0.25">
      <c r="A314" s="61" t="str">
        <f>VLOOKUP(B314,'Insumos e Serviços'!$A:$F,3,0)</f>
        <v>Insumo</v>
      </c>
      <c r="B314" s="61" t="s">
        <v>559</v>
      </c>
      <c r="C314" s="52" t="str">
        <f>VLOOKUP(B314,'Insumos e Serviços'!$A:$F,2,0)</f>
        <v>SINAPI</v>
      </c>
      <c r="D314" s="62" t="str">
        <f>VLOOKUP(B314,'Insumos e Serviços'!$A:$F,4,0)</f>
        <v>GRAMPO METALICO TIPO OLHAL PARA HASTE DE ATERRAMENTO DE 5/8'', CONDUTOR DE *10* A 50 MM2</v>
      </c>
      <c r="E314" s="61" t="str">
        <f>VLOOKUP(B314,'Insumos e Serviços'!$A:$F,5,0)</f>
        <v>UN</v>
      </c>
      <c r="F314" s="63">
        <v>15</v>
      </c>
      <c r="G314" s="64">
        <f>VLOOKUP(B314,'Insumos e Serviços'!$A:$F,6,0)</f>
        <v>4.91</v>
      </c>
      <c r="H314" s="64">
        <f t="shared" si="50"/>
        <v>73.650000000000006</v>
      </c>
    </row>
    <row r="315" spans="1:8" ht="12" thickTop="1" x14ac:dyDescent="0.2">
      <c r="A315" s="20"/>
      <c r="B315" s="20"/>
      <c r="C315" s="20"/>
      <c r="D315" s="20"/>
      <c r="E315" s="20"/>
      <c r="F315" s="21"/>
      <c r="G315" s="21"/>
      <c r="H315" s="21"/>
    </row>
    <row r="316" spans="1:8" x14ac:dyDescent="0.2">
      <c r="A316" s="56" t="s">
        <v>271</v>
      </c>
      <c r="B316" s="57" t="str">
        <f>VLOOKUP(A316,'Orçamento Sintético'!$A:$H,2,0)</f>
        <v xml:space="preserve"> MPDFT0594 </v>
      </c>
      <c r="C316" s="57" t="str">
        <f>VLOOKUP(A316,'Orçamento Sintético'!$A:$H,3,0)</f>
        <v>Próprio</v>
      </c>
      <c r="D316" s="58" t="str">
        <f>VLOOKUP(A316,'Orçamento Sintético'!$A:$H,4,0)</f>
        <v>Revitalização e reinstalação do letreiro de fachada</v>
      </c>
      <c r="E316" s="57" t="str">
        <f>VLOOKUP(A316,'Orçamento Sintético'!$A:$H,5,0)</f>
        <v>sv</v>
      </c>
      <c r="F316" s="59"/>
      <c r="G316" s="60"/>
      <c r="H316" s="60">
        <f>SUM(H317:H320)</f>
        <v>533.08000000000004</v>
      </c>
    </row>
    <row r="317" spans="1:8" ht="33.75" x14ac:dyDescent="0.2">
      <c r="A317" s="61" t="str">
        <f>VLOOKUP(B317,'Insumos e Serviços'!$A:$F,3,0)</f>
        <v>Composição</v>
      </c>
      <c r="B317" s="52" t="s">
        <v>225</v>
      </c>
      <c r="C317" s="52" t="str">
        <f>VLOOKUP(B317,'Insumos e Serviços'!$A:$F,2,0)</f>
        <v>SINAPI</v>
      </c>
      <c r="D317" s="62" t="str">
        <f>VLOOKUP(B317,'Insumos e Serviços'!$A:$F,4,0)</f>
        <v>PINTURA COM TINTA ALQUÍDICA DE FUNDO E ACABAMENTO (ESMALTE SINTÉTICO GRAFITE) APLICADA A ROLO OU PINCEL SOBRE SUPERFÍCIES METÁLICAS (EXCETO PERFIL) EXECUTADO EM OBRA (POR DEMÃO). AF_01/2020</v>
      </c>
      <c r="E317" s="61" t="str">
        <f>VLOOKUP(B317,'Insumos e Serviços'!$A:$F,5,0)</f>
        <v>m²</v>
      </c>
      <c r="F317" s="63">
        <v>8</v>
      </c>
      <c r="G317" s="64">
        <f>VLOOKUP(B317,'Insumos e Serviços'!$A:$F,6,0)</f>
        <v>21.8</v>
      </c>
      <c r="H317" s="64">
        <f t="shared" ref="H317:H320" si="51">TRUNC(F317*G317,2)</f>
        <v>174.4</v>
      </c>
    </row>
    <row r="318" spans="1:8" x14ac:dyDescent="0.2">
      <c r="A318" s="61" t="str">
        <f>VLOOKUP(B318,'Insumos e Serviços'!$A:$F,3,0)</f>
        <v>Composição</v>
      </c>
      <c r="B318" s="61">
        <v>88316</v>
      </c>
      <c r="C318" s="52" t="str">
        <f>VLOOKUP(B318,'Insumos e Serviços'!$A:$F,2,0)</f>
        <v>SINAPI</v>
      </c>
      <c r="D318" s="62" t="str">
        <f>VLOOKUP(B318,'Insumos e Serviços'!$A:$F,4,0)</f>
        <v>SERVENTE COM ENCARGOS COMPLEMENTARES</v>
      </c>
      <c r="E318" s="61" t="str">
        <f>VLOOKUP(B318,'Insumos e Serviços'!$A:$F,5,0)</f>
        <v>H</v>
      </c>
      <c r="F318" s="63">
        <v>6</v>
      </c>
      <c r="G318" s="64">
        <f>VLOOKUP(B318,'Insumos e Serviços'!$A:$F,6,0)</f>
        <v>17.170000000000002</v>
      </c>
      <c r="H318" s="64">
        <f t="shared" si="51"/>
        <v>103.02</v>
      </c>
    </row>
    <row r="319" spans="1:8" x14ac:dyDescent="0.2">
      <c r="A319" s="61" t="str">
        <f>VLOOKUP(B319,'Insumos e Serviços'!$A:$F,3,0)</f>
        <v>Composição</v>
      </c>
      <c r="B319" s="61" t="s">
        <v>422</v>
      </c>
      <c r="C319" s="52" t="str">
        <f>VLOOKUP(B319,'Insumos e Serviços'!$A:$F,2,0)</f>
        <v>SINAPI</v>
      </c>
      <c r="D319" s="62" t="str">
        <f>VLOOKUP(B319,'Insumos e Serviços'!$A:$F,4,0)</f>
        <v>MONTADOR DE ESTRUTURA METÁLICA COM ENCARGOS COMPLEMENTARES</v>
      </c>
      <c r="E319" s="61" t="str">
        <f>VLOOKUP(B319,'Insumos e Serviços'!$A:$F,5,0)</f>
        <v>H</v>
      </c>
      <c r="F319" s="63">
        <v>9</v>
      </c>
      <c r="G319" s="64">
        <f>VLOOKUP(B319,'Insumos e Serviços'!$A:$F,6,0)</f>
        <v>17.739999999999998</v>
      </c>
      <c r="H319" s="64">
        <f t="shared" si="51"/>
        <v>159.66</v>
      </c>
    </row>
    <row r="320" spans="1:8" ht="23.25" thickBot="1" x14ac:dyDescent="0.25">
      <c r="A320" s="61" t="str">
        <f>VLOOKUP(B320,'Insumos e Serviços'!$A:$F,3,0)</f>
        <v>Composição</v>
      </c>
      <c r="B320" s="61" t="s">
        <v>41</v>
      </c>
      <c r="C320" s="52" t="str">
        <f>VLOOKUP(B320,'Insumos e Serviços'!$A:$F,2,0)</f>
        <v>SINAPI</v>
      </c>
      <c r="D320" s="62" t="str">
        <f>VLOOKUP(B320,'Insumos e Serviços'!$A:$F,4,0)</f>
        <v>LOCACAO DE ANDAIME METALICO TUBULAR DE ENCAIXE, TIPO DE TORRE, COM LARGURA DE 1 ATE 1,5 M E ALTURA DE *1,00* M</v>
      </c>
      <c r="E320" s="61" t="str">
        <f>VLOOKUP(B320,'Insumos e Serviços'!$A:$F,5,0)</f>
        <v>MXMES</v>
      </c>
      <c r="F320" s="63">
        <v>8</v>
      </c>
      <c r="G320" s="64" t="str">
        <f>VLOOKUP(B320,'Insumos e Serviços'!$A:$F,6,0)</f>
        <v xml:space="preserve"> 12,00</v>
      </c>
      <c r="H320" s="64">
        <f t="shared" si="51"/>
        <v>96</v>
      </c>
    </row>
    <row r="321" spans="1:8" ht="12" thickTop="1" x14ac:dyDescent="0.2">
      <c r="A321" s="20"/>
      <c r="B321" s="20"/>
      <c r="C321" s="20"/>
      <c r="D321" s="20"/>
      <c r="E321" s="20"/>
      <c r="F321" s="21"/>
      <c r="G321" s="21"/>
      <c r="H321" s="21"/>
    </row>
    <row r="322" spans="1:8" x14ac:dyDescent="0.2">
      <c r="A322" s="56" t="s">
        <v>274</v>
      </c>
      <c r="B322" s="57" t="str">
        <f>VLOOKUP(A322,'Orçamento Sintético'!$A:$H,2,0)</f>
        <v xml:space="preserve"> MPDFT0595 </v>
      </c>
      <c r="C322" s="57" t="str">
        <f>VLOOKUP(A322,'Orçamento Sintético'!$A:$H,3,0)</f>
        <v>Próprio</v>
      </c>
      <c r="D322" s="58" t="str">
        <f>VLOOKUP(A322,'Orçamento Sintético'!$A:$H,4,0)</f>
        <v>Reinstalação de luminárias dos hall de entrada e social</v>
      </c>
      <c r="E322" s="57" t="str">
        <f>VLOOKUP(A322,'Orçamento Sintético'!$A:$H,5,0)</f>
        <v>sv</v>
      </c>
      <c r="F322" s="59"/>
      <c r="G322" s="60"/>
      <c r="H322" s="60">
        <f>SUM(H323:H325)</f>
        <v>382.52</v>
      </c>
    </row>
    <row r="323" spans="1:8" x14ac:dyDescent="0.2">
      <c r="A323" s="61" t="str">
        <f>VLOOKUP(B323,'Insumos e Serviços'!$A:$F,3,0)</f>
        <v>Composição</v>
      </c>
      <c r="B323" s="61" t="s">
        <v>456</v>
      </c>
      <c r="C323" s="52" t="str">
        <f>VLOOKUP(B323,'Insumos e Serviços'!$A:$F,2,0)</f>
        <v>SINAPI</v>
      </c>
      <c r="D323" s="62" t="str">
        <f>VLOOKUP(B323,'Insumos e Serviços'!$A:$F,4,0)</f>
        <v>AUXILIAR DE ELETRICISTA COM ENCARGOS COMPLEMENTARES</v>
      </c>
      <c r="E323" s="61" t="str">
        <f>VLOOKUP(B323,'Insumos e Serviços'!$A:$F,5,0)</f>
        <v>H</v>
      </c>
      <c r="F323" s="63">
        <v>4</v>
      </c>
      <c r="G323" s="64">
        <f>VLOOKUP(B323,'Insumos e Serviços'!$A:$F,6,0)</f>
        <v>18.28</v>
      </c>
      <c r="H323" s="64">
        <f t="shared" ref="H323:H325" si="52">TRUNC(F323*G323,2)</f>
        <v>73.12</v>
      </c>
    </row>
    <row r="324" spans="1:8" x14ac:dyDescent="0.2">
      <c r="A324" s="61" t="str">
        <f>VLOOKUP(B324,'Insumos e Serviços'!$A:$F,3,0)</f>
        <v>Composição</v>
      </c>
      <c r="B324" s="61" t="s">
        <v>450</v>
      </c>
      <c r="C324" s="52" t="str">
        <f>VLOOKUP(B324,'Insumos e Serviços'!$A:$F,2,0)</f>
        <v>SINAPI</v>
      </c>
      <c r="D324" s="62" t="str">
        <f>VLOOKUP(B324,'Insumos e Serviços'!$A:$F,4,0)</f>
        <v>AUXILIAR DE SERRALHEIRO COM ENCARGOS COMPLEMENTARES</v>
      </c>
      <c r="E324" s="61" t="str">
        <f>VLOOKUP(B324,'Insumos e Serviços'!$A:$F,5,0)</f>
        <v>H</v>
      </c>
      <c r="F324" s="63">
        <v>9</v>
      </c>
      <c r="G324" s="64">
        <f>VLOOKUP(B324,'Insumos e Serviços'!$A:$F,6,0)</f>
        <v>18.84</v>
      </c>
      <c r="H324" s="64">
        <f t="shared" si="52"/>
        <v>169.56</v>
      </c>
    </row>
    <row r="325" spans="1:8" ht="12" thickBot="1" x14ac:dyDescent="0.25">
      <c r="A325" s="61" t="str">
        <f>VLOOKUP(B325,'Insumos e Serviços'!$A:$F,3,0)</f>
        <v>Composição</v>
      </c>
      <c r="B325" s="61" t="s">
        <v>561</v>
      </c>
      <c r="C325" s="52" t="str">
        <f>VLOOKUP(B325,'Insumos e Serviços'!$A:$F,2,0)</f>
        <v>SINAPI</v>
      </c>
      <c r="D325" s="62" t="str">
        <f>VLOOKUP(B325,'Insumos e Serviços'!$A:$F,4,0)</f>
        <v>PARAFUSO DE ACO TIPO CHUMBADOR PARABOLT, DIAMETRO 1/2", COMPRIMENTO 75 MM</v>
      </c>
      <c r="E325" s="61" t="str">
        <f>VLOOKUP(B325,'Insumos e Serviços'!$A:$F,5,0)</f>
        <v>UN</v>
      </c>
      <c r="F325" s="63">
        <v>32</v>
      </c>
      <c r="G325" s="64">
        <f>VLOOKUP(B325,'Insumos e Serviços'!$A:$F,6,0)</f>
        <v>4.37</v>
      </c>
      <c r="H325" s="64">
        <f t="shared" si="52"/>
        <v>139.84</v>
      </c>
    </row>
    <row r="326" spans="1:8" ht="12" thickTop="1" x14ac:dyDescent="0.2">
      <c r="A326" s="20"/>
      <c r="B326" s="20"/>
      <c r="C326" s="20"/>
      <c r="D326" s="20"/>
      <c r="E326" s="20"/>
      <c r="F326" s="21"/>
      <c r="G326" s="21"/>
      <c r="H326" s="21"/>
    </row>
    <row r="327" spans="1:8" x14ac:dyDescent="0.2">
      <c r="A327" s="56" t="s">
        <v>277</v>
      </c>
      <c r="B327" s="57" t="str">
        <f>VLOOKUP(A327,'Orçamento Sintético'!$A:$H,2,0)</f>
        <v xml:space="preserve"> MPDFT0596 </v>
      </c>
      <c r="C327" s="57" t="str">
        <f>VLOOKUP(A327,'Orçamento Sintético'!$A:$H,3,0)</f>
        <v>Próprio</v>
      </c>
      <c r="D327" s="58" t="str">
        <f>VLOOKUP(A327,'Orçamento Sintético'!$A:$H,4,0)</f>
        <v>Reinstalação de escadas metálicas e antena</v>
      </c>
      <c r="E327" s="57" t="str">
        <f>VLOOKUP(A327,'Orçamento Sintético'!$A:$H,5,0)</f>
        <v>sv</v>
      </c>
      <c r="F327" s="59"/>
      <c r="G327" s="60"/>
      <c r="H327" s="60">
        <f>SUM(H328:H330)</f>
        <v>448.18000000000006</v>
      </c>
    </row>
    <row r="328" spans="1:8" x14ac:dyDescent="0.2">
      <c r="A328" s="61" t="str">
        <f>VLOOKUP(B328,'Insumos e Serviços'!$A:$F,3,0)</f>
        <v>Composição</v>
      </c>
      <c r="B328" s="61" t="s">
        <v>448</v>
      </c>
      <c r="C328" s="52" t="str">
        <f>VLOOKUP(B328,'Insumos e Serviços'!$A:$F,2,0)</f>
        <v>SINAPI</v>
      </c>
      <c r="D328" s="62" t="str">
        <f>VLOOKUP(B328,'Insumos e Serviços'!$A:$F,4,0)</f>
        <v>SERRALHEIRO COM ENCARGOS COMPLEMENTARES</v>
      </c>
      <c r="E328" s="61" t="str">
        <f>VLOOKUP(B328,'Insumos e Serviços'!$A:$F,5,0)</f>
        <v>H</v>
      </c>
      <c r="F328" s="63">
        <v>6</v>
      </c>
      <c r="G328" s="64">
        <f>VLOOKUP(B328,'Insumos e Serviços'!$A:$F,6,0)</f>
        <v>23.13</v>
      </c>
      <c r="H328" s="64">
        <f t="shared" ref="H328:H330" si="53">TRUNC(F328*G328,2)</f>
        <v>138.78</v>
      </c>
    </row>
    <row r="329" spans="1:8" x14ac:dyDescent="0.2">
      <c r="A329" s="61" t="str">
        <f>VLOOKUP(B329,'Insumos e Serviços'!$A:$F,3,0)</f>
        <v>Composição</v>
      </c>
      <c r="B329" s="61" t="s">
        <v>450</v>
      </c>
      <c r="C329" s="52" t="str">
        <f>VLOOKUP(B329,'Insumos e Serviços'!$A:$F,2,0)</f>
        <v>SINAPI</v>
      </c>
      <c r="D329" s="62" t="str">
        <f>VLOOKUP(B329,'Insumos e Serviços'!$A:$F,4,0)</f>
        <v>AUXILIAR DE SERRALHEIRO COM ENCARGOS COMPLEMENTARES</v>
      </c>
      <c r="E329" s="61" t="str">
        <f>VLOOKUP(B329,'Insumos e Serviços'!$A:$F,5,0)</f>
        <v>H</v>
      </c>
      <c r="F329" s="63">
        <v>9</v>
      </c>
      <c r="G329" s="64">
        <f>VLOOKUP(B329,'Insumos e Serviços'!$A:$F,6,0)</f>
        <v>18.84</v>
      </c>
      <c r="H329" s="64">
        <f t="shared" si="53"/>
        <v>169.56</v>
      </c>
    </row>
    <row r="330" spans="1:8" ht="12" thickBot="1" x14ac:dyDescent="0.25">
      <c r="A330" s="61" t="str">
        <f>VLOOKUP(B330,'Insumos e Serviços'!$A:$F,3,0)</f>
        <v>Composição</v>
      </c>
      <c r="B330" s="61" t="s">
        <v>561</v>
      </c>
      <c r="C330" s="52" t="str">
        <f>VLOOKUP(B330,'Insumos e Serviços'!$A:$F,2,0)</f>
        <v>SINAPI</v>
      </c>
      <c r="D330" s="62" t="str">
        <f>VLOOKUP(B330,'Insumos e Serviços'!$A:$F,4,0)</f>
        <v>PARAFUSO DE ACO TIPO CHUMBADOR PARABOLT, DIAMETRO 1/2", COMPRIMENTO 75 MM</v>
      </c>
      <c r="E330" s="61" t="str">
        <f>VLOOKUP(B330,'Insumos e Serviços'!$A:$F,5,0)</f>
        <v>UN</v>
      </c>
      <c r="F330" s="63">
        <v>32</v>
      </c>
      <c r="G330" s="64">
        <f>VLOOKUP(B330,'Insumos e Serviços'!$A:$F,6,0)</f>
        <v>4.37</v>
      </c>
      <c r="H330" s="64">
        <f t="shared" si="53"/>
        <v>139.84</v>
      </c>
    </row>
    <row r="331" spans="1:8" ht="12" thickTop="1" x14ac:dyDescent="0.2">
      <c r="A331" s="20"/>
      <c r="B331" s="20"/>
      <c r="C331" s="20"/>
      <c r="D331" s="20"/>
      <c r="E331" s="20"/>
      <c r="F331" s="21"/>
      <c r="G331" s="21"/>
      <c r="H331" s="21"/>
    </row>
    <row r="332" spans="1:8" x14ac:dyDescent="0.2">
      <c r="A332" s="56" t="s">
        <v>280</v>
      </c>
      <c r="B332" s="57" t="str">
        <f>VLOOKUP(A332,'Orçamento Sintético'!$A:$H,2,0)</f>
        <v xml:space="preserve"> MPDFT0598 </v>
      </c>
      <c r="C332" s="57" t="str">
        <f>VLOOKUP(A332,'Orçamento Sintético'!$A:$H,3,0)</f>
        <v>Próprio</v>
      </c>
      <c r="D332" s="58" t="str">
        <f>VLOOKUP(A332,'Orçamento Sintético'!$A:$H,4,0)</f>
        <v>Substituição de ralo abacaxi, inclusive conexões</v>
      </c>
      <c r="E332" s="57" t="str">
        <f>VLOOKUP(A332,'Orçamento Sintético'!$A:$H,5,0)</f>
        <v>un</v>
      </c>
      <c r="F332" s="59"/>
      <c r="G332" s="60"/>
      <c r="H332" s="60">
        <f>SUM(H333:H341)</f>
        <v>156.64000000000001</v>
      </c>
    </row>
    <row r="333" spans="1:8" ht="38.25" customHeight="1" x14ac:dyDescent="0.2">
      <c r="A333" s="61" t="str">
        <f>VLOOKUP(B333,'Insumos e Serviços'!$A:$F,3,0)</f>
        <v>Composição</v>
      </c>
      <c r="B333" s="61" t="s">
        <v>563</v>
      </c>
      <c r="C333" s="52" t="str">
        <f>VLOOKUP(B333,'Insumos e Serviços'!$A:$F,2,0)</f>
        <v>SINAPI</v>
      </c>
      <c r="D333" s="62" t="str">
        <f>VLOOKUP(B333,'Insumos e Serviços'!$A:$F,4,0)</f>
        <v>LUVA SIMPLES, PVC, SERIE NORMAL, ESGOTO PREDIAL, DN 100 MM, JUNTA ELÁSTICA, FORNECIDO E INSTALADO EM PRUMADA DE ESGOTO SANITÁRIO OU VENTILAÇÃO. AF_12/2014</v>
      </c>
      <c r="E333" s="61" t="str">
        <f>VLOOKUP(B333,'Insumos e Serviços'!$A:$F,5,0)</f>
        <v>UN</v>
      </c>
      <c r="F333" s="63">
        <v>1</v>
      </c>
      <c r="G333" s="64">
        <f>VLOOKUP(B333,'Insumos e Serviços'!$A:$F,6,0)</f>
        <v>12.81</v>
      </c>
      <c r="H333" s="64">
        <f t="shared" ref="H333:H341" si="54">TRUNC(F333*G333,2)</f>
        <v>12.81</v>
      </c>
    </row>
    <row r="334" spans="1:8" ht="38.25" customHeight="1" x14ac:dyDescent="0.2">
      <c r="A334" s="61" t="str">
        <f>VLOOKUP(B334,'Insumos e Serviços'!$A:$F,3,0)</f>
        <v>Composição</v>
      </c>
      <c r="B334" s="61" t="s">
        <v>565</v>
      </c>
      <c r="C334" s="52" t="str">
        <f>VLOOKUP(B334,'Insumos e Serviços'!$A:$F,2,0)</f>
        <v>SINAPI</v>
      </c>
      <c r="D334" s="62" t="str">
        <f>VLOOKUP(B334,'Insumos e Serviços'!$A:$F,4,0)</f>
        <v>REDUÇÃO EXCÊNTRICA, PVC, SERIE R, ÁGUA PLUVIAL, DN 100 X 75 MM, JUNTA ELÁSTICA, FORNECIDO E INSTALADO EM CONDUTORES VERTICAIS DE ÁGUAS PLUVIAIS. AF_12/2014</v>
      </c>
      <c r="E334" s="61" t="str">
        <f>VLOOKUP(B334,'Insumos e Serviços'!$A:$F,5,0)</f>
        <v>UN</v>
      </c>
      <c r="F334" s="63">
        <v>1</v>
      </c>
      <c r="G334" s="64">
        <f>VLOOKUP(B334,'Insumos e Serviços'!$A:$F,6,0)</f>
        <v>22.76</v>
      </c>
      <c r="H334" s="64">
        <f t="shared" si="54"/>
        <v>22.76</v>
      </c>
    </row>
    <row r="335" spans="1:8" ht="38.25" customHeight="1" x14ac:dyDescent="0.2">
      <c r="A335" s="61" t="str">
        <f>VLOOKUP(B335,'Insumos e Serviços'!$A:$F,3,0)</f>
        <v>Composição</v>
      </c>
      <c r="B335" s="61" t="s">
        <v>567</v>
      </c>
      <c r="C335" s="52" t="str">
        <f>VLOOKUP(B335,'Insumos e Serviços'!$A:$F,2,0)</f>
        <v>SINAPI</v>
      </c>
      <c r="D335" s="62" t="str">
        <f>VLOOKUP(B335,'Insumos e Serviços'!$A:$F,4,0)</f>
        <v>CURVA CURTA 90 GRAUS, PVC, SERIE NORMAL, ESGOTO PREDIAL, DN 75 MM, JUNTA ELÁSTICA, FORNECIDO E INSTALADO EM PRUMADA DE ESGOTO SANITÁRIO OU VENTILAÇÃO. AF_12/2014</v>
      </c>
      <c r="E335" s="61" t="str">
        <f>VLOOKUP(B335,'Insumos e Serviços'!$A:$F,5,0)</f>
        <v>UN</v>
      </c>
      <c r="F335" s="63">
        <v>1</v>
      </c>
      <c r="G335" s="64">
        <f>VLOOKUP(B335,'Insumos e Serviços'!$A:$F,6,0)</f>
        <v>22.79</v>
      </c>
      <c r="H335" s="64">
        <f t="shared" si="54"/>
        <v>22.79</v>
      </c>
    </row>
    <row r="336" spans="1:8" ht="25.5" customHeight="1" x14ac:dyDescent="0.2">
      <c r="A336" s="61" t="str">
        <f>VLOOKUP(B336,'Insumos e Serviços'!$A:$F,3,0)</f>
        <v>Composição</v>
      </c>
      <c r="B336" s="61" t="s">
        <v>569</v>
      </c>
      <c r="C336" s="52" t="str">
        <f>VLOOKUP(B336,'Insumos e Serviços'!$A:$F,2,0)</f>
        <v>SINAPI</v>
      </c>
      <c r="D336" s="62" t="str">
        <f>VLOOKUP(B336,'Insumos e Serviços'!$A:$F,4,0)</f>
        <v>REMOÇÃO DE FORRO DE GESSO, DE FORMA MANUAL, SEM REAPROVEITAMENTO. AF_12/2017</v>
      </c>
      <c r="E336" s="61" t="str">
        <f>VLOOKUP(B336,'Insumos e Serviços'!$A:$F,5,0)</f>
        <v>m²</v>
      </c>
      <c r="F336" s="63">
        <v>1</v>
      </c>
      <c r="G336" s="64">
        <f>VLOOKUP(B336,'Insumos e Serviços'!$A:$F,6,0)</f>
        <v>4.04</v>
      </c>
      <c r="H336" s="64">
        <f t="shared" si="54"/>
        <v>4.04</v>
      </c>
    </row>
    <row r="337" spans="1:8" ht="25.5" customHeight="1" x14ac:dyDescent="0.2">
      <c r="A337" s="61" t="str">
        <f>VLOOKUP(B337,'Insumos e Serviços'!$A:$F,3,0)</f>
        <v>Composição</v>
      </c>
      <c r="B337" s="61" t="s">
        <v>199</v>
      </c>
      <c r="C337" s="52" t="str">
        <f>VLOOKUP(B337,'Insumos e Serviços'!$A:$F,2,0)</f>
        <v>SINAPI</v>
      </c>
      <c r="D337" s="62" t="str">
        <f>VLOOKUP(B337,'Insumos e Serviços'!$A:$F,4,0)</f>
        <v>FORRO EM DRYWALL, PARA AMBIENTES COMERCIAIS, INCLUSIVE ESTRUTURA DE FIXAÇÃO. AF_05/2017_P</v>
      </c>
      <c r="E337" s="61" t="str">
        <f>VLOOKUP(B337,'Insumos e Serviços'!$A:$F,5,0)</f>
        <v>m²</v>
      </c>
      <c r="F337" s="63">
        <v>1</v>
      </c>
      <c r="G337" s="64">
        <f>VLOOKUP(B337,'Insumos e Serviços'!$A:$F,6,0)</f>
        <v>48.66</v>
      </c>
      <c r="H337" s="64">
        <f t="shared" si="54"/>
        <v>48.66</v>
      </c>
    </row>
    <row r="338" spans="1:8" ht="22.5" x14ac:dyDescent="0.2">
      <c r="A338" s="61" t="str">
        <f>VLOOKUP(B338,'Insumos e Serviços'!$A:$F,3,0)</f>
        <v>Composição</v>
      </c>
      <c r="B338" s="61" t="s">
        <v>571</v>
      </c>
      <c r="C338" s="52" t="str">
        <f>VLOOKUP(B338,'Insumos e Serviços'!$A:$F,2,0)</f>
        <v>SINAPI</v>
      </c>
      <c r="D338" s="62" t="str">
        <f>VLOOKUP(B338,'Insumos e Serviços'!$A:$F,4,0)</f>
        <v>GRAUTE FGK=15 MPA; TRAÇO 1:0,04:2,0:2,4 (CIMENTO/ CAL/ AREIA GROSSA/ BRITA 0) - PREPARO MECÂNICO COM BETONEIRA 400 L. AF_02/2015</v>
      </c>
      <c r="E338" s="61" t="str">
        <f>VLOOKUP(B338,'Insumos e Serviços'!$A:$F,5,0)</f>
        <v>m³</v>
      </c>
      <c r="F338" s="63">
        <v>7.0000000000000007E-2</v>
      </c>
      <c r="G338" s="64">
        <f>VLOOKUP(B338,'Insumos e Serviços'!$A:$F,6,0)</f>
        <v>357.1</v>
      </c>
      <c r="H338" s="64">
        <f t="shared" si="54"/>
        <v>24.99</v>
      </c>
    </row>
    <row r="339" spans="1:8" x14ac:dyDescent="0.2">
      <c r="A339" s="61" t="str">
        <f>VLOOKUP(B339,'Insumos e Serviços'!$A:$F,3,0)</f>
        <v>Composição</v>
      </c>
      <c r="B339" s="61" t="s">
        <v>573</v>
      </c>
      <c r="C339" s="52" t="str">
        <f>VLOOKUP(B339,'Insumos e Serviços'!$A:$F,2,0)</f>
        <v>SINAPI</v>
      </c>
      <c r="D339" s="62" t="str">
        <f>VLOOKUP(B339,'Insumos e Serviços'!$A:$F,4,0)</f>
        <v>AUXILIAR DE ENCANADOR OU BOMBEIRO HIDRÁULICO COM ENCARGOS COMPLEMENTARES</v>
      </c>
      <c r="E339" s="61" t="str">
        <f>VLOOKUP(B339,'Insumos e Serviços'!$A:$F,5,0)</f>
        <v>H</v>
      </c>
      <c r="F339" s="63">
        <v>3.5000000000000003E-2</v>
      </c>
      <c r="G339" s="64">
        <f>VLOOKUP(B339,'Insumos e Serviços'!$A:$F,6,0)</f>
        <v>17.78</v>
      </c>
      <c r="H339" s="64">
        <f t="shared" si="54"/>
        <v>0.62</v>
      </c>
    </row>
    <row r="340" spans="1:8" x14ac:dyDescent="0.2">
      <c r="A340" s="61" t="str">
        <f>VLOOKUP(B340,'Insumos e Serviços'!$A:$F,3,0)</f>
        <v>Composição</v>
      </c>
      <c r="B340" s="61" t="s">
        <v>598</v>
      </c>
      <c r="C340" s="52" t="str">
        <f>VLOOKUP(B340,'Insumos e Serviços'!$A:$F,2,0)</f>
        <v>SINAPI</v>
      </c>
      <c r="D340" s="62" t="str">
        <f>VLOOKUP(B340,'Insumos e Serviços'!$A:$F,4,0)</f>
        <v>ENCANADOR OU BOMBEIRO HIDRÁULICO COM ENCARGOS COMPLEMENTARES</v>
      </c>
      <c r="E340" s="61" t="str">
        <f>VLOOKUP(B340,'Insumos e Serviços'!$A:$F,5,0)</f>
        <v>H</v>
      </c>
      <c r="F340" s="63">
        <v>3.5000000000000003E-2</v>
      </c>
      <c r="G340" s="64">
        <f>VLOOKUP(B340,'Insumos e Serviços'!$A:$F,6,0)</f>
        <v>22.76</v>
      </c>
      <c r="H340" s="64">
        <f t="shared" si="54"/>
        <v>0.79</v>
      </c>
    </row>
    <row r="341" spans="1:8" ht="12" thickBot="1" x14ac:dyDescent="0.25">
      <c r="A341" s="61" t="str">
        <f>VLOOKUP(B341,'Insumos e Serviços'!$A:$F,3,0)</f>
        <v>Insumo</v>
      </c>
      <c r="B341" s="61" t="s">
        <v>576</v>
      </c>
      <c r="C341" s="52" t="str">
        <f>VLOOKUP(B341,'Insumos e Serviços'!$A:$F,2,0)</f>
        <v>SINAPI</v>
      </c>
      <c r="D341" s="62" t="str">
        <f>VLOOKUP(B341,'Insumos e Serviços'!$A:$F,4,0)</f>
        <v>RALO FOFO SEMIESFERICO, 100 MM, PARA LAJES/ CALHAS</v>
      </c>
      <c r="E341" s="61" t="str">
        <f>VLOOKUP(B341,'Insumos e Serviços'!$A:$F,5,0)</f>
        <v>UN</v>
      </c>
      <c r="F341" s="63">
        <v>1</v>
      </c>
      <c r="G341" s="64">
        <f>VLOOKUP(B341,'Insumos e Serviços'!$A:$F,6,0)</f>
        <v>19.18</v>
      </c>
      <c r="H341" s="64">
        <f t="shared" si="54"/>
        <v>19.18</v>
      </c>
    </row>
    <row r="342" spans="1:8" ht="12" thickTop="1" x14ac:dyDescent="0.2">
      <c r="A342" s="96"/>
      <c r="B342" s="96"/>
      <c r="C342" s="96"/>
      <c r="D342" s="96"/>
      <c r="E342" s="96"/>
      <c r="F342" s="97"/>
      <c r="G342" s="97"/>
      <c r="H342" s="97"/>
    </row>
    <row r="343" spans="1:8" x14ac:dyDescent="0.2">
      <c r="A343" s="75" t="s">
        <v>283</v>
      </c>
      <c r="B343" s="94"/>
      <c r="C343" s="94"/>
      <c r="D343" s="94" t="str">
        <f>VLOOKUP(A343,'Orçamento Sintético'!$A:$H,4,0)</f>
        <v>SERVIÇOS COMPLEMENTARES</v>
      </c>
      <c r="E343" s="94"/>
      <c r="F343" s="98"/>
      <c r="G343" s="94"/>
      <c r="H343" s="93"/>
    </row>
    <row r="344" spans="1:8" x14ac:dyDescent="0.2">
      <c r="A344" s="65" t="s">
        <v>285</v>
      </c>
      <c r="B344" s="95"/>
      <c r="C344" s="95"/>
      <c r="D344" s="95" t="str">
        <f>VLOOKUP(A344,'Orçamento Sintético'!$A:$H,4,0)</f>
        <v>LIMPEZA DE OBRAS</v>
      </c>
      <c r="E344" s="95"/>
      <c r="F344" s="99"/>
      <c r="G344" s="100"/>
      <c r="H344" s="101"/>
    </row>
    <row r="345" spans="1:8" x14ac:dyDescent="0.2">
      <c r="A345" s="56" t="s">
        <v>299</v>
      </c>
      <c r="B345" s="57" t="str">
        <f>VLOOKUP(A345,'Orçamento Sintético'!$A:$H,2,0)</f>
        <v xml:space="preserve"> MPDFT0488 </v>
      </c>
      <c r="C345" s="57" t="str">
        <f>VLOOKUP(A345,'Orçamento Sintético'!$A:$H,3,0)</f>
        <v>Próprio</v>
      </c>
      <c r="D345" s="58" t="str">
        <f>VLOOKUP(A345,'Orçamento Sintético'!$A:$H,4,0)</f>
        <v>Transporte, carga e descarga de container</v>
      </c>
      <c r="E345" s="57" t="str">
        <f>VLOOKUP(A345,'Orçamento Sintético'!$A:$H,5,0)</f>
        <v>sv</v>
      </c>
      <c r="F345" s="59"/>
      <c r="G345" s="60"/>
      <c r="H345" s="60">
        <f>SUM(H346:H348)</f>
        <v>480.58</v>
      </c>
    </row>
    <row r="346" spans="1:8" ht="33.75" x14ac:dyDescent="0.2">
      <c r="A346" s="61" t="str">
        <f>VLOOKUP(B346,'Insumos e Serviços'!$A:$F,3,0)</f>
        <v>Composição</v>
      </c>
      <c r="B346" s="61" t="s">
        <v>417</v>
      </c>
      <c r="C346" s="52" t="str">
        <f>VLOOKUP(B346,'Insumos e Serviços'!$A:$F,2,0)</f>
        <v>SINAPI</v>
      </c>
      <c r="D346" s="62" t="str">
        <f>VLOOKUP(B346,'Insumos e Serviços'!$A:$F,4,0)</f>
        <v>GUINDAUTO HIDRÁULICO, CAPACIDADE MÁXIMA DE CARGA 6200 KG, MOMENTO MÁXIMO DE CARGA 11,7 TM, ALCANCE MÁXIMO HORIZONTAL 9,70 M, INCLUSIVE CAMINHÃO TOCO PBT 16.000 KG, POTÊNCIA DE 189 CV - CHP DIURNO. AF_06/2014</v>
      </c>
      <c r="E346" s="61" t="str">
        <f>VLOOKUP(B346,'Insumos e Serviços'!$A:$F,5,0)</f>
        <v>CHP</v>
      </c>
      <c r="F346" s="63">
        <v>1</v>
      </c>
      <c r="G346" s="64">
        <f>VLOOKUP(B346,'Insumos e Serviços'!$A:$F,6,0)</f>
        <v>152.02000000000001</v>
      </c>
      <c r="H346" s="64">
        <f t="shared" ref="H346:H348" si="55">TRUNC(F346*G346,2)</f>
        <v>152.02000000000001</v>
      </c>
    </row>
    <row r="347" spans="1:8" ht="11.25" customHeight="1" x14ac:dyDescent="0.2">
      <c r="A347" s="61" t="str">
        <f>VLOOKUP(B347,'Insumos e Serviços'!$A:$F,3,0)</f>
        <v>Composição</v>
      </c>
      <c r="B347" s="61">
        <v>5930</v>
      </c>
      <c r="C347" s="52" t="str">
        <f>VLOOKUP(B347,'Insumos e Serviços'!$A:$F,2,0)</f>
        <v>SINAPI</v>
      </c>
      <c r="D347" s="62" t="str">
        <f>VLOOKUP(B347,'Insumos e Serviços'!$A:$F,4,0)</f>
        <v>GUINDAUTO HIDRÁULICO, CAPACIDADE MÁXIMA DE CARGA 6200 KG, MOMENTO MÁXIMO DE CARGA 11,7 TM, ALCANCE MÁXIMO HORIZONTAL 9,70 M, INCLUSIVE CAMINHÃO TOCO PBT 16.000 KG, POTÊNCIA DE 189 CV - CHI DIURNO. AF_06/2014</v>
      </c>
      <c r="E347" s="61" t="str">
        <f>VLOOKUP(B347,'Insumos e Serviços'!$A:$F,5,0)</f>
        <v>CHI</v>
      </c>
      <c r="F347" s="63">
        <v>7</v>
      </c>
      <c r="G347" s="64">
        <f>VLOOKUP(B347,'Insumos e Serviços'!$A:$F,6,0)</f>
        <v>32.22</v>
      </c>
      <c r="H347" s="64">
        <f t="shared" si="55"/>
        <v>225.54</v>
      </c>
    </row>
    <row r="348" spans="1:8" x14ac:dyDescent="0.2">
      <c r="A348" s="61" t="str">
        <f>VLOOKUP(B348,'Insumos e Serviços'!$A:$F,3,0)</f>
        <v>Composição</v>
      </c>
      <c r="B348" s="61">
        <v>88316</v>
      </c>
      <c r="C348" s="52" t="str">
        <f>VLOOKUP(B348,'Insumos e Serviços'!$A:$F,2,0)</f>
        <v>SINAPI</v>
      </c>
      <c r="D348" s="62" t="str">
        <f>VLOOKUP(B348,'Insumos e Serviços'!$A:$F,4,0)</f>
        <v>SERVENTE COM ENCARGOS COMPLEMENTARES</v>
      </c>
      <c r="E348" s="61" t="str">
        <f>VLOOKUP(B348,'Insumos e Serviços'!$A:$F,5,0)</f>
        <v>H</v>
      </c>
      <c r="F348" s="63">
        <v>6</v>
      </c>
      <c r="G348" s="64">
        <f>VLOOKUP(B348,'Insumos e Serviços'!$A:$F,6,0)</f>
        <v>17.170000000000002</v>
      </c>
      <c r="H348" s="64">
        <f t="shared" si="55"/>
        <v>103.02</v>
      </c>
    </row>
  </sheetData>
  <mergeCells count="13">
    <mergeCell ref="G1:H1"/>
    <mergeCell ref="A2:B2"/>
    <mergeCell ref="E2:F2"/>
    <mergeCell ref="G2:H2"/>
    <mergeCell ref="A4:B4"/>
    <mergeCell ref="C4:D4"/>
    <mergeCell ref="E4:F4"/>
    <mergeCell ref="G4:H4"/>
    <mergeCell ref="A7:H7"/>
    <mergeCell ref="A6:B6"/>
    <mergeCell ref="C6:D6"/>
    <mergeCell ref="E6:F6"/>
    <mergeCell ref="G6:H6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7" fitToHeight="0" orientation="landscape" r:id="rId1"/>
  <headerFooter>
    <oddHeader>&amp;L &amp;C &amp;R</oddHeader>
    <oddFooter>&amp;L &amp;C 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7"/>
  <sheetViews>
    <sheetView showGridLines="0" showOutlineSymbols="0" showWhiteSpace="0" zoomScaleNormal="100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I9" sqref="I9"/>
    </sheetView>
  </sheetViews>
  <sheetFormatPr defaultRowHeight="11.25" x14ac:dyDescent="0.2"/>
  <cols>
    <col min="1" max="1" width="9.625" style="5" customWidth="1"/>
    <col min="2" max="2" width="7.625" style="11" bestFit="1" customWidth="1"/>
    <col min="3" max="3" width="8.625" style="5" customWidth="1"/>
    <col min="4" max="4" width="45.625" style="5" customWidth="1"/>
    <col min="5" max="5" width="7.625" style="5" customWidth="1"/>
    <col min="6" max="8" width="12.75" style="5" customWidth="1"/>
    <col min="9" max="16384" width="9" style="5"/>
  </cols>
  <sheetData>
    <row r="1" spans="1:8" s="11" customFormat="1" ht="15" customHeight="1" x14ac:dyDescent="0.2">
      <c r="A1" s="156" t="str">
        <f>'Orçamento Sintético'!A1</f>
        <v>P. Execução:</v>
      </c>
      <c r="B1" s="163"/>
      <c r="C1" s="156" t="str">
        <f>'Orçamento Sintético'!C1</f>
        <v>Licitação:</v>
      </c>
      <c r="D1" s="159" t="str">
        <f>'Orçamento Sintético'!D1</f>
        <v>Objeto: Revitalização de fachada, impermeabilização e cobertura - PJGA</v>
      </c>
      <c r="E1" s="156" t="str">
        <f>'Orçamento Sintético'!E1</f>
        <v>Data:</v>
      </c>
      <c r="F1" s="157"/>
      <c r="G1" s="219"/>
      <c r="H1" s="199"/>
    </row>
    <row r="2" spans="1:8" s="11" customFormat="1" ht="15" customHeight="1" x14ac:dyDescent="0.2">
      <c r="A2" s="194" t="str">
        <f>'Orçamento Sintético'!A2:B2</f>
        <v>A</v>
      </c>
      <c r="B2" s="195"/>
      <c r="C2" s="161" t="str">
        <f>'Orçamento Sintético'!C2</f>
        <v>B</v>
      </c>
      <c r="D2" s="162" t="str">
        <f>'Orçamento Sintético'!D2</f>
        <v>Local: Quadra 1, - Setor Industrial (Gama), Lotes 860, 880 e 900</v>
      </c>
      <c r="E2" s="220">
        <f>'Orçamento Sintético'!E2:F2</f>
        <v>1</v>
      </c>
      <c r="F2" s="221"/>
      <c r="G2" s="196"/>
      <c r="H2" s="197"/>
    </row>
    <row r="3" spans="1:8" s="11" customFormat="1" ht="15" customHeight="1" x14ac:dyDescent="0.2">
      <c r="A3" s="169" t="str">
        <f>'Orçamento Sintético'!A3</f>
        <v>P. Validade:</v>
      </c>
      <c r="B3" s="172"/>
      <c r="C3" s="169" t="str">
        <f>'Orçamento Sintético'!C3</f>
        <v>Razão Social:</v>
      </c>
      <c r="D3" s="157"/>
      <c r="E3" s="156" t="str">
        <f>'Orçamento Sintético'!E3</f>
        <v>Telefone:</v>
      </c>
      <c r="F3" s="157"/>
      <c r="G3" s="164"/>
      <c r="H3" s="165"/>
    </row>
    <row r="4" spans="1:8" s="11" customFormat="1" ht="15" customHeight="1" x14ac:dyDescent="0.2">
      <c r="A4" s="194" t="str">
        <f>'Orçamento Sintético'!A4:B4</f>
        <v>C</v>
      </c>
      <c r="B4" s="195"/>
      <c r="C4" s="194" t="str">
        <f>'Orçamento Sintético'!C4:D4</f>
        <v>D</v>
      </c>
      <c r="D4" s="200"/>
      <c r="E4" s="194" t="str">
        <f>'Orçamento Sintético'!E4:F4</f>
        <v>E</v>
      </c>
      <c r="F4" s="200"/>
      <c r="G4" s="196"/>
      <c r="H4" s="197"/>
    </row>
    <row r="5" spans="1:8" s="11" customFormat="1" ht="15" customHeight="1" x14ac:dyDescent="0.2">
      <c r="A5" s="156" t="str">
        <f>'Orçamento Sintético'!A5</f>
        <v>P. Garantia:</v>
      </c>
      <c r="B5" s="163"/>
      <c r="C5" s="156" t="str">
        <f>'Orçamento Sintético'!C5</f>
        <v>CNPJ:</v>
      </c>
      <c r="D5" s="157"/>
      <c r="E5" s="156" t="str">
        <f>'Orçamento Sintético'!E5</f>
        <v>E-mail:</v>
      </c>
      <c r="F5" s="157"/>
      <c r="G5" s="164"/>
      <c r="H5" s="165"/>
    </row>
    <row r="6" spans="1:8" s="11" customFormat="1" ht="15" customHeight="1" x14ac:dyDescent="0.2">
      <c r="A6" s="194" t="str">
        <f>'Orçamento Sintético'!A6:B6</f>
        <v>F</v>
      </c>
      <c r="B6" s="195"/>
      <c r="C6" s="194" t="str">
        <f>'Orçamento Sintético'!C6:D6</f>
        <v>G</v>
      </c>
      <c r="D6" s="200"/>
      <c r="E6" s="194" t="str">
        <f>'Orçamento Sintético'!E6:F6</f>
        <v>H</v>
      </c>
      <c r="F6" s="200"/>
      <c r="G6" s="203"/>
      <c r="H6" s="204"/>
    </row>
    <row r="7" spans="1:8" ht="15" customHeight="1" x14ac:dyDescent="0.25">
      <c r="A7" s="222" t="s">
        <v>578</v>
      </c>
      <c r="B7" s="222"/>
      <c r="C7" s="222"/>
      <c r="D7" s="222"/>
      <c r="E7" s="222"/>
      <c r="F7" s="222"/>
    </row>
    <row r="8" spans="1:8" ht="22.5" x14ac:dyDescent="0.2">
      <c r="A8" s="103" t="s">
        <v>2</v>
      </c>
      <c r="B8" s="103" t="s">
        <v>3</v>
      </c>
      <c r="C8" s="103" t="s">
        <v>579</v>
      </c>
      <c r="D8" s="103" t="s">
        <v>4</v>
      </c>
      <c r="E8" s="103" t="s">
        <v>5</v>
      </c>
      <c r="F8" s="103" t="s">
        <v>7</v>
      </c>
      <c r="G8" s="78" t="s">
        <v>664</v>
      </c>
      <c r="H8" s="78" t="s">
        <v>665</v>
      </c>
    </row>
    <row r="9" spans="1:8" ht="22.5" x14ac:dyDescent="0.2">
      <c r="A9" s="52" t="s">
        <v>483</v>
      </c>
      <c r="B9" s="52" t="s">
        <v>32</v>
      </c>
      <c r="C9" s="52" t="s">
        <v>412</v>
      </c>
      <c r="D9" s="51" t="s">
        <v>484</v>
      </c>
      <c r="E9" s="52" t="s">
        <v>485</v>
      </c>
      <c r="F9" s="53">
        <v>27</v>
      </c>
      <c r="G9" s="173"/>
      <c r="H9" s="173"/>
    </row>
    <row r="10" spans="1:8" s="105" customFormat="1" ht="22.5" x14ac:dyDescent="0.2">
      <c r="A10" s="52" t="s">
        <v>669</v>
      </c>
      <c r="B10" s="52" t="s">
        <v>32</v>
      </c>
      <c r="C10" s="52" t="s">
        <v>412</v>
      </c>
      <c r="D10" s="51" t="s">
        <v>670</v>
      </c>
      <c r="E10" s="52" t="s">
        <v>521</v>
      </c>
      <c r="F10" s="53">
        <v>21.84</v>
      </c>
      <c r="G10" s="173"/>
      <c r="H10" s="173"/>
    </row>
    <row r="11" spans="1:8" ht="22.5" x14ac:dyDescent="0.2">
      <c r="A11" s="52" t="s">
        <v>559</v>
      </c>
      <c r="B11" s="52" t="s">
        <v>32</v>
      </c>
      <c r="C11" s="52" t="s">
        <v>412</v>
      </c>
      <c r="D11" s="51" t="s">
        <v>560</v>
      </c>
      <c r="E11" s="52" t="s">
        <v>434</v>
      </c>
      <c r="F11" s="53">
        <v>4.91</v>
      </c>
      <c r="G11" s="173" t="s">
        <v>666</v>
      </c>
      <c r="H11" s="173" t="s">
        <v>667</v>
      </c>
    </row>
    <row r="12" spans="1:8" ht="22.5" x14ac:dyDescent="0.2">
      <c r="A12" s="52" t="s">
        <v>534</v>
      </c>
      <c r="B12" s="52" t="s">
        <v>32</v>
      </c>
      <c r="C12" s="52" t="s">
        <v>412</v>
      </c>
      <c r="D12" s="51" t="s">
        <v>535</v>
      </c>
      <c r="E12" s="52" t="s">
        <v>521</v>
      </c>
      <c r="F12" s="53">
        <v>14.63</v>
      </c>
      <c r="G12" s="173"/>
      <c r="H12" s="173"/>
    </row>
    <row r="13" spans="1:8" ht="22.5" x14ac:dyDescent="0.2">
      <c r="A13" s="52" t="s">
        <v>536</v>
      </c>
      <c r="B13" s="52" t="s">
        <v>32</v>
      </c>
      <c r="C13" s="52" t="s">
        <v>412</v>
      </c>
      <c r="D13" s="51" t="s">
        <v>537</v>
      </c>
      <c r="E13" s="52" t="s">
        <v>142</v>
      </c>
      <c r="F13" s="53">
        <v>11.84</v>
      </c>
      <c r="G13" s="173"/>
      <c r="H13" s="173"/>
    </row>
    <row r="14" spans="1:8" ht="12.75" x14ac:dyDescent="0.2">
      <c r="A14" s="52" t="s">
        <v>522</v>
      </c>
      <c r="B14" s="52" t="s">
        <v>32</v>
      </c>
      <c r="C14" s="52" t="s">
        <v>412</v>
      </c>
      <c r="D14" s="51" t="s">
        <v>523</v>
      </c>
      <c r="E14" s="52" t="s">
        <v>142</v>
      </c>
      <c r="F14" s="53" t="s">
        <v>590</v>
      </c>
      <c r="G14" s="173"/>
      <c r="H14" s="173"/>
    </row>
    <row r="15" spans="1:8" ht="12.75" x14ac:dyDescent="0.2">
      <c r="A15" s="52" t="s">
        <v>452</v>
      </c>
      <c r="B15" s="52" t="s">
        <v>32</v>
      </c>
      <c r="C15" s="52" t="s">
        <v>412</v>
      </c>
      <c r="D15" s="51" t="s">
        <v>453</v>
      </c>
      <c r="E15" s="52" t="s">
        <v>51</v>
      </c>
      <c r="F15" s="53">
        <v>0.92</v>
      </c>
      <c r="G15" s="173" t="s">
        <v>666</v>
      </c>
      <c r="H15" s="173" t="s">
        <v>667</v>
      </c>
    </row>
    <row r="16" spans="1:8" ht="22.5" x14ac:dyDescent="0.2">
      <c r="A16" s="52" t="s">
        <v>530</v>
      </c>
      <c r="B16" s="52" t="s">
        <v>32</v>
      </c>
      <c r="C16" s="52" t="s">
        <v>412</v>
      </c>
      <c r="D16" s="51" t="s">
        <v>531</v>
      </c>
      <c r="E16" s="52" t="s">
        <v>51</v>
      </c>
      <c r="F16" s="53">
        <v>41.74</v>
      </c>
      <c r="G16" s="173"/>
      <c r="H16" s="173"/>
    </row>
    <row r="17" spans="1:8" ht="22.5" x14ac:dyDescent="0.2">
      <c r="A17" s="52" t="s">
        <v>473</v>
      </c>
      <c r="B17" s="52" t="s">
        <v>32</v>
      </c>
      <c r="C17" s="52" t="s">
        <v>412</v>
      </c>
      <c r="D17" s="51" t="s">
        <v>474</v>
      </c>
      <c r="E17" s="52" t="s">
        <v>434</v>
      </c>
      <c r="F17" s="53">
        <v>0.08</v>
      </c>
      <c r="G17" s="173" t="s">
        <v>666</v>
      </c>
      <c r="H17" s="173" t="s">
        <v>667</v>
      </c>
    </row>
    <row r="18" spans="1:8" ht="33.75" x14ac:dyDescent="0.2">
      <c r="A18" s="52" t="s">
        <v>471</v>
      </c>
      <c r="B18" s="52" t="s">
        <v>32</v>
      </c>
      <c r="C18" s="52" t="s">
        <v>412</v>
      </c>
      <c r="D18" s="51" t="s">
        <v>472</v>
      </c>
      <c r="E18" s="52" t="s">
        <v>434</v>
      </c>
      <c r="F18" s="53">
        <v>26.3</v>
      </c>
      <c r="G18" s="173" t="s">
        <v>666</v>
      </c>
      <c r="H18" s="173" t="s">
        <v>667</v>
      </c>
    </row>
    <row r="19" spans="1:8" ht="22.5" x14ac:dyDescent="0.2">
      <c r="A19" s="52" t="s">
        <v>499</v>
      </c>
      <c r="B19" s="52" t="s">
        <v>32</v>
      </c>
      <c r="C19" s="52" t="s">
        <v>412</v>
      </c>
      <c r="D19" s="51" t="s">
        <v>500</v>
      </c>
      <c r="E19" s="52" t="s">
        <v>142</v>
      </c>
      <c r="F19" s="53">
        <v>58.29</v>
      </c>
      <c r="G19" s="173" t="s">
        <v>666</v>
      </c>
      <c r="H19" s="173" t="s">
        <v>667</v>
      </c>
    </row>
    <row r="20" spans="1:8" ht="22.5" x14ac:dyDescent="0.2">
      <c r="A20" s="52" t="s">
        <v>557</v>
      </c>
      <c r="B20" s="52" t="s">
        <v>32</v>
      </c>
      <c r="C20" s="52" t="s">
        <v>412</v>
      </c>
      <c r="D20" s="51" t="s">
        <v>558</v>
      </c>
      <c r="E20" s="52" t="s">
        <v>434</v>
      </c>
      <c r="F20" s="53">
        <v>8.9</v>
      </c>
      <c r="G20" s="173" t="s">
        <v>666</v>
      </c>
      <c r="H20" s="173" t="s">
        <v>667</v>
      </c>
    </row>
    <row r="21" spans="1:8" ht="33.75" x14ac:dyDescent="0.2">
      <c r="A21" s="52">
        <v>10775</v>
      </c>
      <c r="B21" s="52" t="s">
        <v>32</v>
      </c>
      <c r="C21" s="52" t="s">
        <v>412</v>
      </c>
      <c r="D21" s="51" t="s">
        <v>608</v>
      </c>
      <c r="E21" s="52" t="s">
        <v>609</v>
      </c>
      <c r="F21" s="53">
        <v>545</v>
      </c>
      <c r="G21" s="173" t="s">
        <v>666</v>
      </c>
      <c r="H21" s="173" t="s">
        <v>667</v>
      </c>
    </row>
    <row r="22" spans="1:8" ht="22.5" x14ac:dyDescent="0.2">
      <c r="A22" s="52" t="s">
        <v>426</v>
      </c>
      <c r="B22" s="52" t="s">
        <v>32</v>
      </c>
      <c r="C22" s="52" t="s">
        <v>412</v>
      </c>
      <c r="D22" s="51" t="s">
        <v>427</v>
      </c>
      <c r="E22" s="52" t="s">
        <v>51</v>
      </c>
      <c r="F22" s="53">
        <v>11.19</v>
      </c>
      <c r="G22" s="173" t="s">
        <v>666</v>
      </c>
      <c r="H22" s="173" t="s">
        <v>667</v>
      </c>
    </row>
    <row r="23" spans="1:8" ht="12.75" x14ac:dyDescent="0.2">
      <c r="A23" s="52" t="s">
        <v>576</v>
      </c>
      <c r="B23" s="52" t="s">
        <v>32</v>
      </c>
      <c r="C23" s="52" t="s">
        <v>412</v>
      </c>
      <c r="D23" s="51" t="s">
        <v>577</v>
      </c>
      <c r="E23" s="52" t="s">
        <v>434</v>
      </c>
      <c r="F23" s="53">
        <v>19.18</v>
      </c>
      <c r="G23" s="173" t="s">
        <v>666</v>
      </c>
      <c r="H23" s="173" t="s">
        <v>667</v>
      </c>
    </row>
    <row r="24" spans="1:8" ht="12.75" x14ac:dyDescent="0.2">
      <c r="A24" s="52" t="s">
        <v>548</v>
      </c>
      <c r="B24" s="52" t="s">
        <v>32</v>
      </c>
      <c r="C24" s="52" t="s">
        <v>412</v>
      </c>
      <c r="D24" s="51" t="s">
        <v>549</v>
      </c>
      <c r="E24" s="52" t="s">
        <v>142</v>
      </c>
      <c r="F24" s="53">
        <v>0.83</v>
      </c>
      <c r="G24" s="173"/>
      <c r="H24" s="173"/>
    </row>
    <row r="25" spans="1:8" ht="12.75" x14ac:dyDescent="0.2">
      <c r="A25" s="52" t="s">
        <v>515</v>
      </c>
      <c r="B25" s="52" t="s">
        <v>32</v>
      </c>
      <c r="C25" s="52" t="s">
        <v>412</v>
      </c>
      <c r="D25" s="51" t="s">
        <v>516</v>
      </c>
      <c r="E25" s="52" t="s">
        <v>142</v>
      </c>
      <c r="F25" s="53">
        <v>1.38</v>
      </c>
      <c r="G25" s="173"/>
      <c r="H25" s="173"/>
    </row>
    <row r="26" spans="1:8" ht="12.75" x14ac:dyDescent="0.2">
      <c r="A26" s="52" t="s">
        <v>475</v>
      </c>
      <c r="B26" s="52" t="s">
        <v>32</v>
      </c>
      <c r="C26" s="52" t="s">
        <v>412</v>
      </c>
      <c r="D26" s="51" t="s">
        <v>476</v>
      </c>
      <c r="E26" s="52" t="s">
        <v>434</v>
      </c>
      <c r="F26" s="53">
        <v>17.84</v>
      </c>
      <c r="G26" s="173"/>
      <c r="H26" s="173"/>
    </row>
    <row r="27" spans="1:8" ht="22.5" x14ac:dyDescent="0.2">
      <c r="A27" s="52" t="s">
        <v>542</v>
      </c>
      <c r="B27" s="52" t="s">
        <v>32</v>
      </c>
      <c r="C27" s="52" t="s">
        <v>411</v>
      </c>
      <c r="D27" s="51" t="s">
        <v>543</v>
      </c>
      <c r="E27" s="52" t="s">
        <v>142</v>
      </c>
      <c r="F27" s="53">
        <v>13.29</v>
      </c>
      <c r="G27" s="173"/>
      <c r="H27" s="173"/>
    </row>
    <row r="28" spans="1:8" ht="22.5" x14ac:dyDescent="0.2">
      <c r="A28" s="52" t="s">
        <v>432</v>
      </c>
      <c r="B28" s="52" t="s">
        <v>32</v>
      </c>
      <c r="C28" s="52" t="s">
        <v>411</v>
      </c>
      <c r="D28" s="51" t="s">
        <v>433</v>
      </c>
      <c r="E28" s="52" t="s">
        <v>434</v>
      </c>
      <c r="F28" s="53">
        <v>30.6</v>
      </c>
      <c r="G28" s="173" t="s">
        <v>666</v>
      </c>
      <c r="H28" s="173" t="s">
        <v>667</v>
      </c>
    </row>
    <row r="29" spans="1:8" ht="22.5" x14ac:dyDescent="0.2">
      <c r="A29" s="52" t="s">
        <v>540</v>
      </c>
      <c r="B29" s="52" t="s">
        <v>32</v>
      </c>
      <c r="C29" s="52" t="s">
        <v>411</v>
      </c>
      <c r="D29" s="51" t="s">
        <v>541</v>
      </c>
      <c r="E29" s="52" t="s">
        <v>51</v>
      </c>
      <c r="F29" s="53">
        <v>5.98</v>
      </c>
      <c r="G29" s="173" t="s">
        <v>666</v>
      </c>
      <c r="H29" s="173" t="s">
        <v>667</v>
      </c>
    </row>
    <row r="30" spans="1:8" ht="12.75" x14ac:dyDescent="0.2">
      <c r="A30" s="52" t="s">
        <v>532</v>
      </c>
      <c r="B30" s="52" t="s">
        <v>32</v>
      </c>
      <c r="C30" s="52" t="s">
        <v>411</v>
      </c>
      <c r="D30" s="51" t="s">
        <v>533</v>
      </c>
      <c r="E30" s="52" t="s">
        <v>142</v>
      </c>
      <c r="F30" s="53">
        <v>5.73</v>
      </c>
      <c r="G30" s="173" t="s">
        <v>666</v>
      </c>
      <c r="H30" s="173" t="s">
        <v>667</v>
      </c>
    </row>
    <row r="31" spans="1:8" ht="22.5" x14ac:dyDescent="0.2">
      <c r="A31" s="52" t="s">
        <v>435</v>
      </c>
      <c r="B31" s="52" t="s">
        <v>32</v>
      </c>
      <c r="C31" s="52" t="s">
        <v>411</v>
      </c>
      <c r="D31" s="51" t="s">
        <v>436</v>
      </c>
      <c r="E31" s="52" t="s">
        <v>437</v>
      </c>
      <c r="F31" s="53">
        <v>5.42</v>
      </c>
      <c r="G31" s="173" t="s">
        <v>666</v>
      </c>
      <c r="H31" s="173" t="s">
        <v>667</v>
      </c>
    </row>
    <row r="32" spans="1:8" ht="22.5" x14ac:dyDescent="0.2">
      <c r="A32" s="52" t="s">
        <v>479</v>
      </c>
      <c r="B32" s="52" t="s">
        <v>32</v>
      </c>
      <c r="C32" s="52" t="s">
        <v>411</v>
      </c>
      <c r="D32" s="51" t="s">
        <v>480</v>
      </c>
      <c r="E32" s="52" t="s">
        <v>142</v>
      </c>
      <c r="F32" s="53">
        <v>6.3</v>
      </c>
      <c r="G32" s="173" t="s">
        <v>666</v>
      </c>
      <c r="H32" s="173" t="s">
        <v>667</v>
      </c>
    </row>
    <row r="33" spans="1:8" ht="12.75" x14ac:dyDescent="0.2">
      <c r="A33" s="52" t="s">
        <v>438</v>
      </c>
      <c r="B33" s="52" t="s">
        <v>32</v>
      </c>
      <c r="C33" s="52" t="s">
        <v>411</v>
      </c>
      <c r="D33" s="51" t="s">
        <v>439</v>
      </c>
      <c r="E33" s="52" t="s">
        <v>142</v>
      </c>
      <c r="F33" s="53">
        <v>14.9</v>
      </c>
      <c r="G33" s="173" t="s">
        <v>666</v>
      </c>
      <c r="H33" s="173" t="s">
        <v>667</v>
      </c>
    </row>
    <row r="34" spans="1:8" ht="45" x14ac:dyDescent="0.2">
      <c r="A34" s="52" t="s">
        <v>417</v>
      </c>
      <c r="B34" s="52" t="s">
        <v>32</v>
      </c>
      <c r="C34" s="52" t="s">
        <v>411</v>
      </c>
      <c r="D34" s="51" t="s">
        <v>418</v>
      </c>
      <c r="E34" s="52" t="s">
        <v>419</v>
      </c>
      <c r="F34" s="53">
        <v>152.02000000000001</v>
      </c>
      <c r="G34" s="173" t="s">
        <v>666</v>
      </c>
      <c r="H34" s="173" t="s">
        <v>667</v>
      </c>
    </row>
    <row r="35" spans="1:8" ht="45" x14ac:dyDescent="0.2">
      <c r="A35" s="52">
        <v>5930</v>
      </c>
      <c r="B35" s="52" t="s">
        <v>32</v>
      </c>
      <c r="C35" s="52" t="s">
        <v>411</v>
      </c>
      <c r="D35" s="51" t="s">
        <v>420</v>
      </c>
      <c r="E35" s="52" t="s">
        <v>421</v>
      </c>
      <c r="F35" s="53">
        <v>32.22</v>
      </c>
      <c r="G35" s="173" t="s">
        <v>666</v>
      </c>
      <c r="H35" s="173" t="s">
        <v>667</v>
      </c>
    </row>
    <row r="36" spans="1:8" ht="22.5" x14ac:dyDescent="0.2">
      <c r="A36" s="52" t="s">
        <v>524</v>
      </c>
      <c r="B36" s="52" t="s">
        <v>32</v>
      </c>
      <c r="C36" s="52" t="s">
        <v>411</v>
      </c>
      <c r="D36" s="51" t="s">
        <v>525</v>
      </c>
      <c r="E36" s="52" t="s">
        <v>521</v>
      </c>
      <c r="F36" s="53">
        <v>12.29</v>
      </c>
      <c r="G36" s="173"/>
      <c r="H36" s="173"/>
    </row>
    <row r="37" spans="1:8" ht="22.5" x14ac:dyDescent="0.2">
      <c r="A37" s="52" t="s">
        <v>41</v>
      </c>
      <c r="B37" s="52" t="s">
        <v>32</v>
      </c>
      <c r="C37" s="52" t="s">
        <v>411</v>
      </c>
      <c r="D37" s="51" t="s">
        <v>42</v>
      </c>
      <c r="E37" s="52" t="s">
        <v>43</v>
      </c>
      <c r="F37" s="53" t="s">
        <v>593</v>
      </c>
      <c r="G37" s="173" t="s">
        <v>666</v>
      </c>
      <c r="H37" s="173" t="s">
        <v>667</v>
      </c>
    </row>
    <row r="38" spans="1:8" ht="12.75" x14ac:dyDescent="0.2">
      <c r="A38" s="52" t="s">
        <v>481</v>
      </c>
      <c r="B38" s="52" t="s">
        <v>32</v>
      </c>
      <c r="C38" s="52" t="s">
        <v>411</v>
      </c>
      <c r="D38" s="51" t="s">
        <v>482</v>
      </c>
      <c r="E38" s="52" t="s">
        <v>51</v>
      </c>
      <c r="F38" s="53">
        <v>59.67</v>
      </c>
      <c r="G38" s="173"/>
      <c r="H38" s="173"/>
    </row>
    <row r="39" spans="1:8" ht="22.5" x14ac:dyDescent="0.2">
      <c r="A39" s="52" t="s">
        <v>561</v>
      </c>
      <c r="B39" s="52" t="s">
        <v>32</v>
      </c>
      <c r="C39" s="52" t="s">
        <v>411</v>
      </c>
      <c r="D39" s="51" t="s">
        <v>562</v>
      </c>
      <c r="E39" s="52" t="s">
        <v>434</v>
      </c>
      <c r="F39" s="53">
        <v>4.37</v>
      </c>
      <c r="G39" s="173" t="s">
        <v>666</v>
      </c>
      <c r="H39" s="173" t="s">
        <v>667</v>
      </c>
    </row>
    <row r="40" spans="1:8" ht="33.75" x14ac:dyDescent="0.2">
      <c r="A40" s="52" t="s">
        <v>45</v>
      </c>
      <c r="B40" s="52" t="s">
        <v>32</v>
      </c>
      <c r="C40" s="52" t="s">
        <v>411</v>
      </c>
      <c r="D40" s="51" t="s">
        <v>46</v>
      </c>
      <c r="E40" s="52" t="s">
        <v>47</v>
      </c>
      <c r="F40" s="53">
        <v>3.99</v>
      </c>
      <c r="G40" s="173" t="s">
        <v>666</v>
      </c>
      <c r="H40" s="173" t="s">
        <v>667</v>
      </c>
    </row>
    <row r="41" spans="1:8" s="105" customFormat="1" ht="67.5" x14ac:dyDescent="0.2">
      <c r="A41" s="52">
        <v>43071</v>
      </c>
      <c r="B41" s="52" t="s">
        <v>32</v>
      </c>
      <c r="C41" s="52" t="s">
        <v>411</v>
      </c>
      <c r="D41" s="51" t="s">
        <v>497</v>
      </c>
      <c r="E41" s="52" t="s">
        <v>51</v>
      </c>
      <c r="F41" s="53">
        <v>230.24</v>
      </c>
      <c r="G41" s="173"/>
      <c r="H41" s="173"/>
    </row>
    <row r="42" spans="1:8" s="105" customFormat="1" ht="33.75" x14ac:dyDescent="0.2">
      <c r="A42" s="52" t="s">
        <v>469</v>
      </c>
      <c r="B42" s="52" t="s">
        <v>32</v>
      </c>
      <c r="C42" s="52" t="s">
        <v>411</v>
      </c>
      <c r="D42" s="51" t="s">
        <v>470</v>
      </c>
      <c r="E42" s="52" t="s">
        <v>87</v>
      </c>
      <c r="F42" s="53">
        <v>469.31</v>
      </c>
      <c r="G42" s="173" t="s">
        <v>666</v>
      </c>
      <c r="H42" s="173" t="s">
        <v>667</v>
      </c>
    </row>
    <row r="43" spans="1:8" ht="33.75" x14ac:dyDescent="0.2">
      <c r="A43" s="52" t="s">
        <v>538</v>
      </c>
      <c r="B43" s="52" t="s">
        <v>32</v>
      </c>
      <c r="C43" s="52" t="s">
        <v>411</v>
      </c>
      <c r="D43" s="51" t="s">
        <v>539</v>
      </c>
      <c r="E43" s="52" t="s">
        <v>87</v>
      </c>
      <c r="F43" s="53">
        <v>432.1</v>
      </c>
      <c r="G43" s="173" t="s">
        <v>666</v>
      </c>
      <c r="H43" s="173" t="s">
        <v>667</v>
      </c>
    </row>
    <row r="44" spans="1:8" ht="45" x14ac:dyDescent="0.2">
      <c r="A44" s="52" t="s">
        <v>489</v>
      </c>
      <c r="B44" s="52" t="s">
        <v>32</v>
      </c>
      <c r="C44" s="52" t="s">
        <v>411</v>
      </c>
      <c r="D44" s="51" t="s">
        <v>490</v>
      </c>
      <c r="E44" s="52" t="s">
        <v>51</v>
      </c>
      <c r="F44" s="53">
        <v>30.3</v>
      </c>
      <c r="G44" s="173" t="s">
        <v>666</v>
      </c>
      <c r="H44" s="173" t="s">
        <v>667</v>
      </c>
    </row>
    <row r="45" spans="1:8" ht="33.75" x14ac:dyDescent="0.2">
      <c r="A45" s="52" t="s">
        <v>487</v>
      </c>
      <c r="B45" s="52" t="s">
        <v>32</v>
      </c>
      <c r="C45" s="52" t="s">
        <v>411</v>
      </c>
      <c r="D45" s="51" t="s">
        <v>488</v>
      </c>
      <c r="E45" s="52" t="s">
        <v>51</v>
      </c>
      <c r="F45" s="53">
        <v>40.33</v>
      </c>
      <c r="G45" s="173" t="s">
        <v>666</v>
      </c>
      <c r="H45" s="173" t="s">
        <v>667</v>
      </c>
    </row>
    <row r="46" spans="1:8" ht="45" x14ac:dyDescent="0.2">
      <c r="A46" s="52" t="s">
        <v>188</v>
      </c>
      <c r="B46" s="52" t="s">
        <v>32</v>
      </c>
      <c r="C46" s="52" t="s">
        <v>411</v>
      </c>
      <c r="D46" s="51" t="s">
        <v>189</v>
      </c>
      <c r="E46" s="52" t="s">
        <v>51</v>
      </c>
      <c r="F46" s="53">
        <v>48.2</v>
      </c>
      <c r="G46" s="173" t="s">
        <v>666</v>
      </c>
      <c r="H46" s="173" t="s">
        <v>667</v>
      </c>
    </row>
    <row r="47" spans="1:8" ht="45" x14ac:dyDescent="0.2">
      <c r="A47" s="52" t="s">
        <v>465</v>
      </c>
      <c r="B47" s="52" t="s">
        <v>32</v>
      </c>
      <c r="C47" s="52" t="s">
        <v>411</v>
      </c>
      <c r="D47" s="51" t="s">
        <v>466</v>
      </c>
      <c r="E47" s="52" t="s">
        <v>51</v>
      </c>
      <c r="F47" s="53">
        <v>32.33</v>
      </c>
      <c r="G47" s="173" t="s">
        <v>666</v>
      </c>
      <c r="H47" s="173" t="s">
        <v>667</v>
      </c>
    </row>
    <row r="48" spans="1:8" ht="45" x14ac:dyDescent="0.2">
      <c r="A48" s="52" t="s">
        <v>185</v>
      </c>
      <c r="B48" s="52" t="s">
        <v>32</v>
      </c>
      <c r="C48" s="52" t="s">
        <v>411</v>
      </c>
      <c r="D48" s="51" t="s">
        <v>186</v>
      </c>
      <c r="E48" s="52" t="s">
        <v>51</v>
      </c>
      <c r="F48" s="53">
        <v>39.950000000000003</v>
      </c>
      <c r="G48" s="173" t="s">
        <v>666</v>
      </c>
      <c r="H48" s="173" t="s">
        <v>667</v>
      </c>
    </row>
    <row r="49" spans="1:8" ht="33.75" x14ac:dyDescent="0.2">
      <c r="A49" s="52" t="s">
        <v>182</v>
      </c>
      <c r="B49" s="52" t="s">
        <v>32</v>
      </c>
      <c r="C49" s="52" t="s">
        <v>411</v>
      </c>
      <c r="D49" s="51" t="s">
        <v>183</v>
      </c>
      <c r="E49" s="52" t="s">
        <v>51</v>
      </c>
      <c r="F49" s="53">
        <v>3.4</v>
      </c>
      <c r="G49" s="173" t="s">
        <v>666</v>
      </c>
      <c r="H49" s="173" t="s">
        <v>667</v>
      </c>
    </row>
    <row r="50" spans="1:8" ht="22.5" x14ac:dyDescent="0.2">
      <c r="A50" s="52" t="s">
        <v>601</v>
      </c>
      <c r="B50" s="52" t="s">
        <v>32</v>
      </c>
      <c r="C50" s="52" t="s">
        <v>411</v>
      </c>
      <c r="D50" s="51" t="s">
        <v>602</v>
      </c>
      <c r="E50" s="52" t="s">
        <v>306</v>
      </c>
      <c r="F50" s="53">
        <v>18.39</v>
      </c>
      <c r="G50" s="173" t="s">
        <v>666</v>
      </c>
      <c r="H50" s="173" t="s">
        <v>667</v>
      </c>
    </row>
    <row r="51" spans="1:8" ht="12.75" x14ac:dyDescent="0.2">
      <c r="A51" s="52" t="s">
        <v>526</v>
      </c>
      <c r="B51" s="52" t="s">
        <v>32</v>
      </c>
      <c r="C51" s="52" t="s">
        <v>411</v>
      </c>
      <c r="D51" s="51" t="s">
        <v>527</v>
      </c>
      <c r="E51" s="52" t="s">
        <v>306</v>
      </c>
      <c r="F51" s="53">
        <v>20.39</v>
      </c>
      <c r="G51" s="173" t="s">
        <v>666</v>
      </c>
      <c r="H51" s="173" t="s">
        <v>667</v>
      </c>
    </row>
    <row r="52" spans="1:8" ht="12.75" x14ac:dyDescent="0.2">
      <c r="A52" s="52" t="s">
        <v>456</v>
      </c>
      <c r="B52" s="52" t="s">
        <v>32</v>
      </c>
      <c r="C52" s="52" t="s">
        <v>411</v>
      </c>
      <c r="D52" s="51" t="s">
        <v>457</v>
      </c>
      <c r="E52" s="52" t="s">
        <v>306</v>
      </c>
      <c r="F52" s="53">
        <v>18.28</v>
      </c>
      <c r="G52" s="173" t="s">
        <v>666</v>
      </c>
      <c r="H52" s="173" t="s">
        <v>667</v>
      </c>
    </row>
    <row r="53" spans="1:8" ht="22.5" x14ac:dyDescent="0.2">
      <c r="A53" s="52" t="s">
        <v>573</v>
      </c>
      <c r="B53" s="52" t="s">
        <v>32</v>
      </c>
      <c r="C53" s="52" t="s">
        <v>411</v>
      </c>
      <c r="D53" s="51" t="s">
        <v>574</v>
      </c>
      <c r="E53" s="52" t="s">
        <v>306</v>
      </c>
      <c r="F53" s="53">
        <v>17.78</v>
      </c>
      <c r="G53" s="173" t="s">
        <v>666</v>
      </c>
      <c r="H53" s="173" t="s">
        <v>667</v>
      </c>
    </row>
    <row r="54" spans="1:8" ht="12.75" x14ac:dyDescent="0.2">
      <c r="A54" s="52" t="s">
        <v>450</v>
      </c>
      <c r="B54" s="52" t="s">
        <v>32</v>
      </c>
      <c r="C54" s="52" t="s">
        <v>411</v>
      </c>
      <c r="D54" s="51" t="s">
        <v>451</v>
      </c>
      <c r="E54" s="52" t="s">
        <v>306</v>
      </c>
      <c r="F54" s="53">
        <v>18.84</v>
      </c>
      <c r="G54" s="173" t="s">
        <v>666</v>
      </c>
      <c r="H54" s="173" t="s">
        <v>667</v>
      </c>
    </row>
    <row r="55" spans="1:8" ht="12.75" x14ac:dyDescent="0.2">
      <c r="A55" s="52" t="s">
        <v>440</v>
      </c>
      <c r="B55" s="52" t="s">
        <v>32</v>
      </c>
      <c r="C55" s="52" t="s">
        <v>411</v>
      </c>
      <c r="D55" s="51" t="s">
        <v>441</v>
      </c>
      <c r="E55" s="52" t="s">
        <v>306</v>
      </c>
      <c r="F55" s="53">
        <v>23.17</v>
      </c>
      <c r="G55" s="173" t="s">
        <v>666</v>
      </c>
      <c r="H55" s="173" t="s">
        <v>667</v>
      </c>
    </row>
    <row r="56" spans="1:8" ht="12.75" x14ac:dyDescent="0.2">
      <c r="A56" s="52" t="s">
        <v>430</v>
      </c>
      <c r="B56" s="52" t="s">
        <v>32</v>
      </c>
      <c r="C56" s="52" t="s">
        <v>411</v>
      </c>
      <c r="D56" s="51" t="s">
        <v>431</v>
      </c>
      <c r="E56" s="52" t="s">
        <v>306</v>
      </c>
      <c r="F56" s="53">
        <v>23.03</v>
      </c>
      <c r="G56" s="173" t="s">
        <v>666</v>
      </c>
      <c r="H56" s="173" t="s">
        <v>667</v>
      </c>
    </row>
    <row r="57" spans="1:8" ht="12.75" x14ac:dyDescent="0.2">
      <c r="A57" s="52" t="s">
        <v>454</v>
      </c>
      <c r="B57" s="52" t="s">
        <v>32</v>
      </c>
      <c r="C57" s="52" t="s">
        <v>411</v>
      </c>
      <c r="D57" s="51" t="s">
        <v>455</v>
      </c>
      <c r="E57" s="52" t="s">
        <v>306</v>
      </c>
      <c r="F57" s="53">
        <v>23.44</v>
      </c>
      <c r="G57" s="173" t="s">
        <v>666</v>
      </c>
      <c r="H57" s="173" t="s">
        <v>667</v>
      </c>
    </row>
    <row r="58" spans="1:8" ht="22.5" x14ac:dyDescent="0.2">
      <c r="A58" s="52" t="s">
        <v>598</v>
      </c>
      <c r="B58" s="52" t="s">
        <v>32</v>
      </c>
      <c r="C58" s="52" t="s">
        <v>411</v>
      </c>
      <c r="D58" s="51" t="s">
        <v>575</v>
      </c>
      <c r="E58" s="52" t="s">
        <v>306</v>
      </c>
      <c r="F58" s="53">
        <v>22.76</v>
      </c>
      <c r="G58" s="173" t="s">
        <v>666</v>
      </c>
      <c r="H58" s="173" t="s">
        <v>667</v>
      </c>
    </row>
    <row r="59" spans="1:8" ht="12.75" x14ac:dyDescent="0.2">
      <c r="A59" s="52" t="s">
        <v>528</v>
      </c>
      <c r="B59" s="52" t="s">
        <v>32</v>
      </c>
      <c r="C59" s="52" t="s">
        <v>411</v>
      </c>
      <c r="D59" s="51" t="s">
        <v>529</v>
      </c>
      <c r="E59" s="52" t="s">
        <v>306</v>
      </c>
      <c r="F59" s="53">
        <v>23.25</v>
      </c>
      <c r="G59" s="173" t="s">
        <v>666</v>
      </c>
      <c r="H59" s="173" t="s">
        <v>667</v>
      </c>
    </row>
    <row r="60" spans="1:8" ht="12.75" x14ac:dyDescent="0.2">
      <c r="A60" s="52" t="s">
        <v>544</v>
      </c>
      <c r="B60" s="52" t="s">
        <v>32</v>
      </c>
      <c r="C60" s="52" t="s">
        <v>411</v>
      </c>
      <c r="D60" s="51" t="s">
        <v>545</v>
      </c>
      <c r="E60" s="52" t="s">
        <v>306</v>
      </c>
      <c r="F60" s="53">
        <v>19.39</v>
      </c>
      <c r="G60" s="173" t="s">
        <v>666</v>
      </c>
      <c r="H60" s="173" t="s">
        <v>667</v>
      </c>
    </row>
    <row r="61" spans="1:8" ht="22.5" x14ac:dyDescent="0.2">
      <c r="A61" s="52" t="s">
        <v>422</v>
      </c>
      <c r="B61" s="52" t="s">
        <v>32</v>
      </c>
      <c r="C61" s="52" t="s">
        <v>411</v>
      </c>
      <c r="D61" s="51" t="s">
        <v>423</v>
      </c>
      <c r="E61" s="52" t="s">
        <v>306</v>
      </c>
      <c r="F61" s="53">
        <v>17.739999999999998</v>
      </c>
      <c r="G61" s="173" t="s">
        <v>666</v>
      </c>
      <c r="H61" s="173" t="s">
        <v>667</v>
      </c>
    </row>
    <row r="62" spans="1:8" ht="22.5" x14ac:dyDescent="0.2">
      <c r="A62" s="52" t="s">
        <v>509</v>
      </c>
      <c r="B62" s="52" t="s">
        <v>32</v>
      </c>
      <c r="C62" s="52" t="s">
        <v>411</v>
      </c>
      <c r="D62" s="51" t="s">
        <v>510</v>
      </c>
      <c r="E62" s="52" t="s">
        <v>306</v>
      </c>
      <c r="F62" s="53">
        <v>18.149999999999999</v>
      </c>
      <c r="G62" s="173" t="s">
        <v>666</v>
      </c>
      <c r="H62" s="173" t="s">
        <v>667</v>
      </c>
    </row>
    <row r="63" spans="1:8" ht="12.75" x14ac:dyDescent="0.2">
      <c r="A63" s="52" t="s">
        <v>442</v>
      </c>
      <c r="B63" s="52" t="s">
        <v>32</v>
      </c>
      <c r="C63" s="52" t="s">
        <v>411</v>
      </c>
      <c r="D63" s="51" t="s">
        <v>443</v>
      </c>
      <c r="E63" s="52" t="s">
        <v>306</v>
      </c>
      <c r="F63" s="53">
        <v>23.25</v>
      </c>
      <c r="G63" s="173" t="s">
        <v>666</v>
      </c>
      <c r="H63" s="173" t="s">
        <v>667</v>
      </c>
    </row>
    <row r="64" spans="1:8" ht="12.75" x14ac:dyDescent="0.2">
      <c r="A64" s="52" t="s">
        <v>448</v>
      </c>
      <c r="B64" s="52" t="s">
        <v>32</v>
      </c>
      <c r="C64" s="52" t="s">
        <v>411</v>
      </c>
      <c r="D64" s="51" t="s">
        <v>449</v>
      </c>
      <c r="E64" s="52" t="s">
        <v>306</v>
      </c>
      <c r="F64" s="53">
        <v>23.13</v>
      </c>
      <c r="G64" s="173" t="s">
        <v>666</v>
      </c>
      <c r="H64" s="173" t="s">
        <v>667</v>
      </c>
    </row>
    <row r="65" spans="1:8" ht="12.75" x14ac:dyDescent="0.2">
      <c r="A65" s="52">
        <v>88316</v>
      </c>
      <c r="B65" s="52" t="s">
        <v>32</v>
      </c>
      <c r="C65" s="52" t="s">
        <v>411</v>
      </c>
      <c r="D65" s="51" t="s">
        <v>305</v>
      </c>
      <c r="E65" s="52" t="s">
        <v>306</v>
      </c>
      <c r="F65" s="53">
        <v>17.170000000000002</v>
      </c>
      <c r="G65" s="173" t="s">
        <v>666</v>
      </c>
      <c r="H65" s="173" t="s">
        <v>667</v>
      </c>
    </row>
    <row r="66" spans="1:8" ht="12.75" x14ac:dyDescent="0.2">
      <c r="A66" s="52" t="s">
        <v>491</v>
      </c>
      <c r="B66" s="52" t="s">
        <v>32</v>
      </c>
      <c r="C66" s="52" t="s">
        <v>411</v>
      </c>
      <c r="D66" s="51" t="s">
        <v>492</v>
      </c>
      <c r="E66" s="52" t="s">
        <v>306</v>
      </c>
      <c r="F66" s="53">
        <v>24.59</v>
      </c>
      <c r="G66" s="173" t="s">
        <v>666</v>
      </c>
      <c r="H66" s="173" t="s">
        <v>667</v>
      </c>
    </row>
    <row r="67" spans="1:8" ht="12.75" x14ac:dyDescent="0.2">
      <c r="A67" s="52" t="s">
        <v>458</v>
      </c>
      <c r="B67" s="52" t="s">
        <v>32</v>
      </c>
      <c r="C67" s="52" t="s">
        <v>411</v>
      </c>
      <c r="D67" s="51" t="s">
        <v>459</v>
      </c>
      <c r="E67" s="52" t="s">
        <v>306</v>
      </c>
      <c r="F67" s="53">
        <v>21.62</v>
      </c>
      <c r="G67" s="173" t="s">
        <v>666</v>
      </c>
      <c r="H67" s="173" t="s">
        <v>667</v>
      </c>
    </row>
    <row r="68" spans="1:8" ht="22.5" x14ac:dyDescent="0.2">
      <c r="A68" s="52" t="s">
        <v>222</v>
      </c>
      <c r="B68" s="52" t="s">
        <v>32</v>
      </c>
      <c r="C68" s="52" t="s">
        <v>411</v>
      </c>
      <c r="D68" s="51" t="s">
        <v>223</v>
      </c>
      <c r="E68" s="52" t="s">
        <v>51</v>
      </c>
      <c r="F68" s="53">
        <v>17.27</v>
      </c>
      <c r="G68" s="173"/>
      <c r="H68" s="173"/>
    </row>
    <row r="69" spans="1:8" ht="22.5" x14ac:dyDescent="0.2">
      <c r="A69" s="52" t="s">
        <v>207</v>
      </c>
      <c r="B69" s="52" t="s">
        <v>32</v>
      </c>
      <c r="C69" s="52" t="s">
        <v>411</v>
      </c>
      <c r="D69" s="51" t="s">
        <v>208</v>
      </c>
      <c r="E69" s="52" t="s">
        <v>51</v>
      </c>
      <c r="F69" s="53">
        <v>2.88</v>
      </c>
      <c r="G69" s="173"/>
      <c r="H69" s="173"/>
    </row>
    <row r="70" spans="1:8" ht="22.5" x14ac:dyDescent="0.2">
      <c r="A70" s="52" t="s">
        <v>216</v>
      </c>
      <c r="B70" s="52" t="s">
        <v>32</v>
      </c>
      <c r="C70" s="52" t="s">
        <v>411</v>
      </c>
      <c r="D70" s="51" t="s">
        <v>217</v>
      </c>
      <c r="E70" s="52" t="s">
        <v>51</v>
      </c>
      <c r="F70" s="53">
        <v>14.21</v>
      </c>
      <c r="G70" s="173"/>
      <c r="H70" s="173"/>
    </row>
    <row r="71" spans="1:8" ht="22.5" x14ac:dyDescent="0.2">
      <c r="A71" s="52" t="s">
        <v>219</v>
      </c>
      <c r="B71" s="52" t="s">
        <v>32</v>
      </c>
      <c r="C71" s="52" t="s">
        <v>411</v>
      </c>
      <c r="D71" s="51" t="s">
        <v>220</v>
      </c>
      <c r="E71" s="52" t="s">
        <v>51</v>
      </c>
      <c r="F71" s="53">
        <v>12.49</v>
      </c>
      <c r="G71" s="173"/>
      <c r="H71" s="173"/>
    </row>
    <row r="72" spans="1:8" ht="22.5" x14ac:dyDescent="0.2">
      <c r="A72" s="52" t="s">
        <v>210</v>
      </c>
      <c r="B72" s="52" t="s">
        <v>32</v>
      </c>
      <c r="C72" s="52" t="s">
        <v>411</v>
      </c>
      <c r="D72" s="51" t="s">
        <v>211</v>
      </c>
      <c r="E72" s="52" t="s">
        <v>51</v>
      </c>
      <c r="F72" s="53">
        <v>24.43</v>
      </c>
      <c r="G72" s="173"/>
      <c r="H72" s="173"/>
    </row>
    <row r="73" spans="1:8" ht="22.5" x14ac:dyDescent="0.2">
      <c r="A73" s="52" t="s">
        <v>213</v>
      </c>
      <c r="B73" s="52" t="s">
        <v>32</v>
      </c>
      <c r="C73" s="52" t="s">
        <v>411</v>
      </c>
      <c r="D73" s="51" t="s">
        <v>214</v>
      </c>
      <c r="E73" s="52" t="s">
        <v>51</v>
      </c>
      <c r="F73" s="53">
        <v>13.42</v>
      </c>
      <c r="G73" s="173"/>
      <c r="H73" s="173"/>
    </row>
    <row r="74" spans="1:8" ht="45" x14ac:dyDescent="0.2">
      <c r="A74" s="52" t="s">
        <v>124</v>
      </c>
      <c r="B74" s="52" t="s">
        <v>32</v>
      </c>
      <c r="C74" s="52" t="s">
        <v>411</v>
      </c>
      <c r="D74" s="51" t="s">
        <v>125</v>
      </c>
      <c r="E74" s="52" t="s">
        <v>51</v>
      </c>
      <c r="F74" s="53">
        <v>81.209999999999994</v>
      </c>
      <c r="G74" s="173" t="s">
        <v>666</v>
      </c>
      <c r="H74" s="173" t="s">
        <v>667</v>
      </c>
    </row>
    <row r="75" spans="1:8" ht="33.75" x14ac:dyDescent="0.2">
      <c r="A75" s="52" t="s">
        <v>565</v>
      </c>
      <c r="B75" s="52" t="s">
        <v>32</v>
      </c>
      <c r="C75" s="52" t="s">
        <v>411</v>
      </c>
      <c r="D75" s="51" t="s">
        <v>566</v>
      </c>
      <c r="E75" s="52" t="s">
        <v>434</v>
      </c>
      <c r="F75" s="53">
        <v>22.76</v>
      </c>
      <c r="G75" s="173" t="s">
        <v>666</v>
      </c>
      <c r="H75" s="173" t="s">
        <v>667</v>
      </c>
    </row>
    <row r="76" spans="1:8" ht="33.75" x14ac:dyDescent="0.2">
      <c r="A76" s="52" t="s">
        <v>567</v>
      </c>
      <c r="B76" s="52" t="s">
        <v>32</v>
      </c>
      <c r="C76" s="52" t="s">
        <v>411</v>
      </c>
      <c r="D76" s="51" t="s">
        <v>568</v>
      </c>
      <c r="E76" s="52" t="s">
        <v>434</v>
      </c>
      <c r="F76" s="53">
        <v>22.79</v>
      </c>
      <c r="G76" s="173" t="s">
        <v>666</v>
      </c>
      <c r="H76" s="173" t="s">
        <v>667</v>
      </c>
    </row>
    <row r="77" spans="1:8" ht="33.75" x14ac:dyDescent="0.2">
      <c r="A77" s="52" t="s">
        <v>563</v>
      </c>
      <c r="B77" s="52" t="s">
        <v>32</v>
      </c>
      <c r="C77" s="52" t="s">
        <v>411</v>
      </c>
      <c r="D77" s="51" t="s">
        <v>564</v>
      </c>
      <c r="E77" s="52" t="s">
        <v>434</v>
      </c>
      <c r="F77" s="53">
        <v>12.81</v>
      </c>
      <c r="G77" s="173" t="s">
        <v>666</v>
      </c>
      <c r="H77" s="173" t="s">
        <v>667</v>
      </c>
    </row>
    <row r="78" spans="1:8" ht="33.75" x14ac:dyDescent="0.2">
      <c r="A78" s="52" t="s">
        <v>571</v>
      </c>
      <c r="B78" s="52" t="s">
        <v>32</v>
      </c>
      <c r="C78" s="52" t="s">
        <v>411</v>
      </c>
      <c r="D78" s="51" t="s">
        <v>572</v>
      </c>
      <c r="E78" s="52" t="s">
        <v>87</v>
      </c>
      <c r="F78" s="53">
        <v>357.1</v>
      </c>
      <c r="G78" s="173" t="s">
        <v>666</v>
      </c>
      <c r="H78" s="173" t="s">
        <v>667</v>
      </c>
    </row>
    <row r="79" spans="1:8" ht="22.5" x14ac:dyDescent="0.2">
      <c r="A79" s="52" t="s">
        <v>444</v>
      </c>
      <c r="B79" s="52" t="s">
        <v>32</v>
      </c>
      <c r="C79" s="52" t="s">
        <v>411</v>
      </c>
      <c r="D79" s="51" t="s">
        <v>445</v>
      </c>
      <c r="E79" s="52" t="s">
        <v>434</v>
      </c>
      <c r="F79" s="53">
        <v>53.52</v>
      </c>
      <c r="G79" s="173" t="s">
        <v>666</v>
      </c>
      <c r="H79" s="173" t="s">
        <v>667</v>
      </c>
    </row>
    <row r="80" spans="1:8" ht="22.5" x14ac:dyDescent="0.2">
      <c r="A80" s="52" t="s">
        <v>311</v>
      </c>
      <c r="B80" s="52" t="s">
        <v>32</v>
      </c>
      <c r="C80" s="52" t="s">
        <v>411</v>
      </c>
      <c r="D80" s="51" t="s">
        <v>312</v>
      </c>
      <c r="E80" s="52" t="s">
        <v>306</v>
      </c>
      <c r="F80" s="53">
        <v>105.61</v>
      </c>
      <c r="G80" s="173" t="s">
        <v>666</v>
      </c>
      <c r="H80" s="173" t="s">
        <v>667</v>
      </c>
    </row>
    <row r="81" spans="1:8" ht="33.75" x14ac:dyDescent="0.2">
      <c r="A81" s="52" t="s">
        <v>467</v>
      </c>
      <c r="B81" s="52" t="s">
        <v>32</v>
      </c>
      <c r="C81" s="52" t="s">
        <v>411</v>
      </c>
      <c r="D81" s="51" t="s">
        <v>468</v>
      </c>
      <c r="E81" s="52" t="s">
        <v>51</v>
      </c>
      <c r="F81" s="53">
        <v>645.23</v>
      </c>
      <c r="G81" s="173" t="s">
        <v>666</v>
      </c>
      <c r="H81" s="173" t="s">
        <v>667</v>
      </c>
    </row>
    <row r="82" spans="1:8" ht="22.5" x14ac:dyDescent="0.2">
      <c r="A82" s="52" t="s">
        <v>493</v>
      </c>
      <c r="B82" s="52" t="s">
        <v>32</v>
      </c>
      <c r="C82" s="52" t="s">
        <v>411</v>
      </c>
      <c r="D82" s="51" t="s">
        <v>494</v>
      </c>
      <c r="E82" s="52" t="s">
        <v>419</v>
      </c>
      <c r="F82" s="53">
        <v>19.309999999999999</v>
      </c>
      <c r="G82" s="173" t="s">
        <v>666</v>
      </c>
      <c r="H82" s="173" t="s">
        <v>667</v>
      </c>
    </row>
    <row r="83" spans="1:8" ht="22.5" x14ac:dyDescent="0.2">
      <c r="A83" s="52" t="s">
        <v>495</v>
      </c>
      <c r="B83" s="52" t="s">
        <v>32</v>
      </c>
      <c r="C83" s="52" t="s">
        <v>411</v>
      </c>
      <c r="D83" s="51" t="s">
        <v>496</v>
      </c>
      <c r="E83" s="52" t="s">
        <v>421</v>
      </c>
      <c r="F83" s="53">
        <v>18.510000000000002</v>
      </c>
      <c r="G83" s="173" t="s">
        <v>666</v>
      </c>
      <c r="H83" s="173" t="s">
        <v>667</v>
      </c>
    </row>
    <row r="84" spans="1:8" ht="22.5" x14ac:dyDescent="0.2">
      <c r="A84" s="52" t="s">
        <v>308</v>
      </c>
      <c r="B84" s="52" t="s">
        <v>32</v>
      </c>
      <c r="C84" s="52" t="s">
        <v>411</v>
      </c>
      <c r="D84" s="51" t="s">
        <v>309</v>
      </c>
      <c r="E84" s="52" t="s">
        <v>33</v>
      </c>
      <c r="F84" s="53">
        <v>3349.71</v>
      </c>
      <c r="G84" s="173" t="s">
        <v>666</v>
      </c>
      <c r="H84" s="173" t="s">
        <v>667</v>
      </c>
    </row>
    <row r="85" spans="1:8" ht="22.5" x14ac:dyDescent="0.2">
      <c r="A85" s="52" t="s">
        <v>505</v>
      </c>
      <c r="B85" s="52" t="s">
        <v>32</v>
      </c>
      <c r="C85" s="52" t="s">
        <v>411</v>
      </c>
      <c r="D85" s="51" t="s">
        <v>506</v>
      </c>
      <c r="E85" s="52" t="s">
        <v>437</v>
      </c>
      <c r="F85" s="53">
        <v>40.64</v>
      </c>
      <c r="G85" s="173" t="s">
        <v>666</v>
      </c>
      <c r="H85" s="173" t="s">
        <v>667</v>
      </c>
    </row>
    <row r="86" spans="1:8" ht="22.5" x14ac:dyDescent="0.2">
      <c r="A86" s="52" t="s">
        <v>511</v>
      </c>
      <c r="B86" s="52" t="s">
        <v>32</v>
      </c>
      <c r="C86" s="52" t="s">
        <v>411</v>
      </c>
      <c r="D86" s="51" t="s">
        <v>512</v>
      </c>
      <c r="E86" s="52" t="s">
        <v>419</v>
      </c>
      <c r="F86" s="53">
        <v>2.42</v>
      </c>
      <c r="G86" s="173" t="s">
        <v>666</v>
      </c>
      <c r="H86" s="173" t="s">
        <v>667</v>
      </c>
    </row>
    <row r="87" spans="1:8" ht="22.5" x14ac:dyDescent="0.2">
      <c r="A87" s="52" t="s">
        <v>199</v>
      </c>
      <c r="B87" s="52" t="s">
        <v>32</v>
      </c>
      <c r="C87" s="52" t="s">
        <v>411</v>
      </c>
      <c r="D87" s="51" t="s">
        <v>200</v>
      </c>
      <c r="E87" s="52" t="s">
        <v>51</v>
      </c>
      <c r="F87" s="53">
        <v>48.66</v>
      </c>
      <c r="G87" s="173"/>
      <c r="H87" s="173"/>
    </row>
    <row r="88" spans="1:8" ht="12.75" x14ac:dyDescent="0.2">
      <c r="A88" s="52" t="s">
        <v>424</v>
      </c>
      <c r="B88" s="52" t="s">
        <v>32</v>
      </c>
      <c r="C88" s="52" t="s">
        <v>411</v>
      </c>
      <c r="D88" s="51" t="s">
        <v>425</v>
      </c>
      <c r="E88" s="52" t="s">
        <v>51</v>
      </c>
      <c r="F88" s="53">
        <v>5.63</v>
      </c>
      <c r="G88" s="173" t="s">
        <v>666</v>
      </c>
      <c r="H88" s="173" t="s">
        <v>667</v>
      </c>
    </row>
    <row r="89" spans="1:8" ht="33.75" x14ac:dyDescent="0.2">
      <c r="A89" s="52" t="s">
        <v>49</v>
      </c>
      <c r="B89" s="52" t="s">
        <v>32</v>
      </c>
      <c r="C89" s="52" t="s">
        <v>411</v>
      </c>
      <c r="D89" s="51" t="s">
        <v>50</v>
      </c>
      <c r="E89" s="52" t="s">
        <v>51</v>
      </c>
      <c r="F89" s="53">
        <v>7.99</v>
      </c>
      <c r="G89" s="173" t="s">
        <v>666</v>
      </c>
      <c r="H89" s="173" t="s">
        <v>667</v>
      </c>
    </row>
    <row r="90" spans="1:8" ht="22.5" x14ac:dyDescent="0.2">
      <c r="A90" s="52" t="s">
        <v>85</v>
      </c>
      <c r="B90" s="52" t="s">
        <v>32</v>
      </c>
      <c r="C90" s="52" t="s">
        <v>411</v>
      </c>
      <c r="D90" s="51" t="s">
        <v>86</v>
      </c>
      <c r="E90" s="52" t="s">
        <v>87</v>
      </c>
      <c r="F90" s="53">
        <v>84.87</v>
      </c>
      <c r="G90" s="173" t="s">
        <v>666</v>
      </c>
      <c r="H90" s="173" t="s">
        <v>667</v>
      </c>
    </row>
    <row r="91" spans="1:8" ht="22.5" x14ac:dyDescent="0.2">
      <c r="A91" s="52" t="s">
        <v>463</v>
      </c>
      <c r="B91" s="52" t="s">
        <v>32</v>
      </c>
      <c r="C91" s="52" t="s">
        <v>411</v>
      </c>
      <c r="D91" s="51" t="s">
        <v>464</v>
      </c>
      <c r="E91" s="52" t="s">
        <v>87</v>
      </c>
      <c r="F91" s="53">
        <v>223.09</v>
      </c>
      <c r="G91" s="173" t="s">
        <v>666</v>
      </c>
      <c r="H91" s="173" t="s">
        <v>667</v>
      </c>
    </row>
    <row r="92" spans="1:8" ht="22.5" x14ac:dyDescent="0.2">
      <c r="A92" s="52" t="s">
        <v>75</v>
      </c>
      <c r="B92" s="52" t="s">
        <v>32</v>
      </c>
      <c r="C92" s="52" t="s">
        <v>411</v>
      </c>
      <c r="D92" s="51" t="s">
        <v>76</v>
      </c>
      <c r="E92" s="52" t="s">
        <v>51</v>
      </c>
      <c r="F92" s="53">
        <v>2.66</v>
      </c>
      <c r="G92" s="173" t="s">
        <v>666</v>
      </c>
      <c r="H92" s="173" t="s">
        <v>667</v>
      </c>
    </row>
    <row r="93" spans="1:8" ht="22.5" x14ac:dyDescent="0.2">
      <c r="A93" s="52" t="s">
        <v>72</v>
      </c>
      <c r="B93" s="52" t="s">
        <v>32</v>
      </c>
      <c r="C93" s="52" t="s">
        <v>411</v>
      </c>
      <c r="D93" s="51" t="s">
        <v>73</v>
      </c>
      <c r="E93" s="52" t="s">
        <v>51</v>
      </c>
      <c r="F93" s="53">
        <v>9.9600000000000009</v>
      </c>
      <c r="G93" s="173" t="s">
        <v>666</v>
      </c>
      <c r="H93" s="173" t="s">
        <v>667</v>
      </c>
    </row>
    <row r="94" spans="1:8" ht="22.5" x14ac:dyDescent="0.2">
      <c r="A94" s="52" t="s">
        <v>569</v>
      </c>
      <c r="B94" s="52" t="s">
        <v>32</v>
      </c>
      <c r="C94" s="52" t="s">
        <v>411</v>
      </c>
      <c r="D94" s="51" t="s">
        <v>570</v>
      </c>
      <c r="E94" s="52" t="s">
        <v>51</v>
      </c>
      <c r="F94" s="53">
        <v>4.04</v>
      </c>
      <c r="G94" s="173" t="s">
        <v>666</v>
      </c>
      <c r="H94" s="173" t="s">
        <v>667</v>
      </c>
    </row>
    <row r="95" spans="1:8" ht="22.5" x14ac:dyDescent="0.2">
      <c r="A95" s="52" t="s">
        <v>446</v>
      </c>
      <c r="B95" s="52" t="s">
        <v>32</v>
      </c>
      <c r="C95" s="52" t="s">
        <v>411</v>
      </c>
      <c r="D95" s="51" t="s">
        <v>447</v>
      </c>
      <c r="E95" s="52" t="s">
        <v>51</v>
      </c>
      <c r="F95" s="53">
        <v>2.87</v>
      </c>
      <c r="G95" s="173" t="s">
        <v>666</v>
      </c>
      <c r="H95" s="173" t="s">
        <v>667</v>
      </c>
    </row>
    <row r="96" spans="1:8" ht="33.75" x14ac:dyDescent="0.2">
      <c r="A96" s="52" t="s">
        <v>460</v>
      </c>
      <c r="B96" s="52" t="s">
        <v>32</v>
      </c>
      <c r="C96" s="52" t="s">
        <v>411</v>
      </c>
      <c r="D96" s="51" t="s">
        <v>461</v>
      </c>
      <c r="E96" s="52" t="s">
        <v>462</v>
      </c>
      <c r="F96" s="53">
        <v>0.71</v>
      </c>
      <c r="G96" s="173" t="s">
        <v>666</v>
      </c>
      <c r="H96" s="173" t="s">
        <v>667</v>
      </c>
    </row>
    <row r="97" spans="1:8" ht="12.75" x14ac:dyDescent="0.2">
      <c r="A97" s="52" t="s">
        <v>428</v>
      </c>
      <c r="B97" s="52" t="s">
        <v>32</v>
      </c>
      <c r="C97" s="52" t="s">
        <v>411</v>
      </c>
      <c r="D97" s="51" t="s">
        <v>429</v>
      </c>
      <c r="E97" s="52" t="s">
        <v>51</v>
      </c>
      <c r="F97" s="53">
        <v>97.48</v>
      </c>
      <c r="G97" s="173" t="s">
        <v>666</v>
      </c>
      <c r="H97" s="173" t="s">
        <v>667</v>
      </c>
    </row>
    <row r="98" spans="1:8" ht="22.5" x14ac:dyDescent="0.2">
      <c r="A98" s="52" t="s">
        <v>291</v>
      </c>
      <c r="B98" s="52" t="s">
        <v>32</v>
      </c>
      <c r="C98" s="52" t="s">
        <v>411</v>
      </c>
      <c r="D98" s="51" t="s">
        <v>292</v>
      </c>
      <c r="E98" s="52" t="s">
        <v>51</v>
      </c>
      <c r="F98" s="53">
        <v>0.42</v>
      </c>
      <c r="G98" s="173" t="s">
        <v>666</v>
      </c>
      <c r="H98" s="173" t="s">
        <v>667</v>
      </c>
    </row>
    <row r="99" spans="1:8" ht="22.5" x14ac:dyDescent="0.2">
      <c r="A99" s="52" t="s">
        <v>294</v>
      </c>
      <c r="B99" s="52" t="s">
        <v>32</v>
      </c>
      <c r="C99" s="52" t="s">
        <v>411</v>
      </c>
      <c r="D99" s="51" t="s">
        <v>295</v>
      </c>
      <c r="E99" s="52" t="s">
        <v>51</v>
      </c>
      <c r="F99" s="53">
        <v>1.66</v>
      </c>
      <c r="G99" s="173" t="s">
        <v>666</v>
      </c>
      <c r="H99" s="173" t="s">
        <v>667</v>
      </c>
    </row>
    <row r="100" spans="1:8" ht="22.5" x14ac:dyDescent="0.2">
      <c r="A100" s="52" t="s">
        <v>297</v>
      </c>
      <c r="B100" s="52" t="s">
        <v>32</v>
      </c>
      <c r="C100" s="52" t="s">
        <v>411</v>
      </c>
      <c r="D100" s="51" t="s">
        <v>298</v>
      </c>
      <c r="E100" s="52" t="s">
        <v>51</v>
      </c>
      <c r="F100" s="53">
        <v>0.68</v>
      </c>
      <c r="G100" s="173" t="s">
        <v>666</v>
      </c>
      <c r="H100" s="173" t="s">
        <v>667</v>
      </c>
    </row>
    <row r="101" spans="1:8" ht="12.75" x14ac:dyDescent="0.2">
      <c r="A101" s="52" t="s">
        <v>288</v>
      </c>
      <c r="B101" s="52" t="s">
        <v>32</v>
      </c>
      <c r="C101" s="52" t="s">
        <v>411</v>
      </c>
      <c r="D101" s="51" t="s">
        <v>289</v>
      </c>
      <c r="E101" s="52" t="s">
        <v>51</v>
      </c>
      <c r="F101" s="53">
        <v>2.83</v>
      </c>
      <c r="G101" s="173" t="s">
        <v>666</v>
      </c>
      <c r="H101" s="173" t="s">
        <v>667</v>
      </c>
    </row>
    <row r="102" spans="1:8" ht="12.75" x14ac:dyDescent="0.2">
      <c r="A102" s="52" t="s">
        <v>233</v>
      </c>
      <c r="B102" s="52" t="s">
        <v>32</v>
      </c>
      <c r="C102" s="52" t="s">
        <v>411</v>
      </c>
      <c r="D102" s="51" t="s">
        <v>234</v>
      </c>
      <c r="E102" s="52" t="s">
        <v>51</v>
      </c>
      <c r="F102" s="53">
        <v>1.53</v>
      </c>
      <c r="G102" s="173" t="s">
        <v>666</v>
      </c>
      <c r="H102" s="173" t="s">
        <v>667</v>
      </c>
    </row>
    <row r="103" spans="1:8" ht="22.5" x14ac:dyDescent="0.2">
      <c r="A103" s="52" t="s">
        <v>507</v>
      </c>
      <c r="B103" s="52" t="s">
        <v>32</v>
      </c>
      <c r="C103" s="52" t="s">
        <v>411</v>
      </c>
      <c r="D103" s="51" t="s">
        <v>508</v>
      </c>
      <c r="E103" s="52" t="s">
        <v>437</v>
      </c>
      <c r="F103" s="53">
        <v>45.38</v>
      </c>
      <c r="G103" s="173" t="s">
        <v>666</v>
      </c>
      <c r="H103" s="173" t="s">
        <v>667</v>
      </c>
    </row>
    <row r="104" spans="1:8" ht="45" x14ac:dyDescent="0.2">
      <c r="A104" s="52" t="s">
        <v>225</v>
      </c>
      <c r="B104" s="52" t="s">
        <v>32</v>
      </c>
      <c r="C104" s="52" t="s">
        <v>411</v>
      </c>
      <c r="D104" s="51" t="s">
        <v>226</v>
      </c>
      <c r="E104" s="52" t="s">
        <v>51</v>
      </c>
      <c r="F104" s="53">
        <v>21.8</v>
      </c>
      <c r="G104" s="173"/>
      <c r="H104" s="173"/>
    </row>
    <row r="105" spans="1:8" ht="45" x14ac:dyDescent="0.2">
      <c r="A105" s="52" t="s">
        <v>140</v>
      </c>
      <c r="B105" s="52" t="s">
        <v>32</v>
      </c>
      <c r="C105" s="52" t="s">
        <v>411</v>
      </c>
      <c r="D105" s="51" t="s">
        <v>141</v>
      </c>
      <c r="E105" s="52" t="s">
        <v>142</v>
      </c>
      <c r="F105" s="53">
        <v>11.4</v>
      </c>
      <c r="G105" s="173" t="s">
        <v>666</v>
      </c>
      <c r="H105" s="173" t="s">
        <v>667</v>
      </c>
    </row>
    <row r="106" spans="1:8" ht="33.75" x14ac:dyDescent="0.2">
      <c r="A106" s="52">
        <v>101159</v>
      </c>
      <c r="B106" s="52" t="s">
        <v>32</v>
      </c>
      <c r="C106" s="52" t="s">
        <v>411</v>
      </c>
      <c r="D106" s="51" t="s">
        <v>605</v>
      </c>
      <c r="E106" s="52" t="s">
        <v>51</v>
      </c>
      <c r="F106" s="53">
        <v>123.95</v>
      </c>
      <c r="G106" s="173" t="s">
        <v>666</v>
      </c>
      <c r="H106" s="173" t="s">
        <v>667</v>
      </c>
    </row>
    <row r="107" spans="1:8" s="105" customFormat="1" ht="22.5" x14ac:dyDescent="0.2">
      <c r="A107" s="52">
        <v>101752</v>
      </c>
      <c r="B107" s="52" t="s">
        <v>32</v>
      </c>
      <c r="C107" s="52" t="s">
        <v>411</v>
      </c>
      <c r="D107" s="51" t="s">
        <v>606</v>
      </c>
      <c r="E107" s="52" t="s">
        <v>607</v>
      </c>
      <c r="F107" s="53">
        <v>34.72</v>
      </c>
      <c r="G107" s="173" t="s">
        <v>666</v>
      </c>
      <c r="H107" s="173" t="s">
        <v>667</v>
      </c>
    </row>
    <row r="108" spans="1:8" ht="12.75" x14ac:dyDescent="0.2">
      <c r="A108" s="132" t="s">
        <v>228</v>
      </c>
      <c r="B108" s="52" t="s">
        <v>32</v>
      </c>
      <c r="C108" s="52" t="s">
        <v>411</v>
      </c>
      <c r="D108" s="51" t="s">
        <v>229</v>
      </c>
      <c r="E108" s="52" t="s">
        <v>51</v>
      </c>
      <c r="F108" s="53">
        <v>15.1</v>
      </c>
      <c r="G108" s="173"/>
      <c r="H108" s="173"/>
    </row>
    <row r="109" spans="1:8" ht="12.75" x14ac:dyDescent="0.2">
      <c r="A109" s="52" t="s">
        <v>546</v>
      </c>
      <c r="B109" s="52" t="s">
        <v>16</v>
      </c>
      <c r="C109" s="52" t="s">
        <v>412</v>
      </c>
      <c r="D109" s="51" t="s">
        <v>547</v>
      </c>
      <c r="E109" s="52" t="s">
        <v>51</v>
      </c>
      <c r="F109" s="53">
        <v>252.68</v>
      </c>
      <c r="G109" s="173" t="s">
        <v>666</v>
      </c>
      <c r="H109" s="173" t="s">
        <v>667</v>
      </c>
    </row>
    <row r="110" spans="1:8" ht="12.75" x14ac:dyDescent="0.2">
      <c r="A110" s="52" t="s">
        <v>552</v>
      </c>
      <c r="B110" s="52" t="s">
        <v>16</v>
      </c>
      <c r="C110" s="52" t="s">
        <v>412</v>
      </c>
      <c r="D110" s="51" t="s">
        <v>553</v>
      </c>
      <c r="E110" s="52" t="s">
        <v>83</v>
      </c>
      <c r="F110" s="53" t="s">
        <v>591</v>
      </c>
      <c r="G110" s="173" t="s">
        <v>666</v>
      </c>
      <c r="H110" s="173" t="s">
        <v>667</v>
      </c>
    </row>
    <row r="111" spans="1:8" ht="22.5" x14ac:dyDescent="0.2">
      <c r="A111" s="52" t="s">
        <v>554</v>
      </c>
      <c r="B111" s="52" t="s">
        <v>16</v>
      </c>
      <c r="C111" s="52" t="s">
        <v>412</v>
      </c>
      <c r="D111" s="51" t="s">
        <v>555</v>
      </c>
      <c r="E111" s="52" t="s">
        <v>556</v>
      </c>
      <c r="F111" s="53">
        <v>44.68</v>
      </c>
      <c r="G111" s="173"/>
      <c r="H111" s="173"/>
    </row>
    <row r="112" spans="1:8" ht="22.5" x14ac:dyDescent="0.2">
      <c r="A112" s="52" t="s">
        <v>519</v>
      </c>
      <c r="B112" s="52" t="s">
        <v>16</v>
      </c>
      <c r="C112" s="52" t="s">
        <v>412</v>
      </c>
      <c r="D112" s="51" t="s">
        <v>520</v>
      </c>
      <c r="E112" s="52" t="s">
        <v>83</v>
      </c>
      <c r="F112" s="53">
        <v>12.35</v>
      </c>
      <c r="G112" s="173" t="s">
        <v>666</v>
      </c>
      <c r="H112" s="173" t="s">
        <v>667</v>
      </c>
    </row>
    <row r="113" spans="1:8" ht="12.75" x14ac:dyDescent="0.2">
      <c r="A113" s="52" t="s">
        <v>415</v>
      </c>
      <c r="B113" s="52" t="s">
        <v>16</v>
      </c>
      <c r="C113" s="52" t="s">
        <v>412</v>
      </c>
      <c r="D113" s="51" t="s">
        <v>416</v>
      </c>
      <c r="E113" s="52" t="s">
        <v>18</v>
      </c>
      <c r="F113" s="53" t="s">
        <v>594</v>
      </c>
      <c r="G113" s="173" t="s">
        <v>666</v>
      </c>
      <c r="H113" s="173" t="s">
        <v>667</v>
      </c>
    </row>
    <row r="114" spans="1:8" ht="12.75" x14ac:dyDescent="0.2">
      <c r="A114" s="52" t="s">
        <v>550</v>
      </c>
      <c r="B114" s="52" t="s">
        <v>16</v>
      </c>
      <c r="C114" s="52" t="s">
        <v>412</v>
      </c>
      <c r="D114" s="51" t="s">
        <v>551</v>
      </c>
      <c r="E114" s="52" t="s">
        <v>83</v>
      </c>
      <c r="F114" s="53" t="s">
        <v>592</v>
      </c>
      <c r="G114" s="173" t="s">
        <v>666</v>
      </c>
      <c r="H114" s="173" t="s">
        <v>667</v>
      </c>
    </row>
    <row r="115" spans="1:8" ht="22.5" x14ac:dyDescent="0.2">
      <c r="A115" s="52" t="s">
        <v>513</v>
      </c>
      <c r="B115" s="52" t="s">
        <v>16</v>
      </c>
      <c r="C115" s="52" t="s">
        <v>412</v>
      </c>
      <c r="D115" s="51" t="s">
        <v>514</v>
      </c>
      <c r="E115" s="52" t="s">
        <v>51</v>
      </c>
      <c r="F115" s="53">
        <v>64.989999999999995</v>
      </c>
      <c r="G115" s="173"/>
      <c r="H115" s="173"/>
    </row>
    <row r="116" spans="1:8" ht="22.5" x14ac:dyDescent="0.2">
      <c r="A116" s="52" t="s">
        <v>517</v>
      </c>
      <c r="B116" s="52" t="s">
        <v>16</v>
      </c>
      <c r="C116" s="52" t="s">
        <v>412</v>
      </c>
      <c r="D116" s="51" t="s">
        <v>518</v>
      </c>
      <c r="E116" s="52" t="s">
        <v>51</v>
      </c>
      <c r="F116" s="53">
        <v>64.989999999999995</v>
      </c>
      <c r="G116" s="173"/>
      <c r="H116" s="173"/>
    </row>
    <row r="117" spans="1:8" ht="33.75" x14ac:dyDescent="0.2">
      <c r="A117" s="52" t="s">
        <v>498</v>
      </c>
      <c r="B117" s="52" t="s">
        <v>16</v>
      </c>
      <c r="C117" s="52" t="s">
        <v>412</v>
      </c>
      <c r="D117" s="51" t="s">
        <v>677</v>
      </c>
      <c r="E117" s="52" t="s">
        <v>51</v>
      </c>
      <c r="F117" s="53">
        <v>216.2</v>
      </c>
      <c r="G117" s="173"/>
      <c r="H117" s="173"/>
    </row>
    <row r="118" spans="1:8" ht="12.75" x14ac:dyDescent="0.2">
      <c r="A118" s="52" t="s">
        <v>477</v>
      </c>
      <c r="B118" s="52" t="s">
        <v>16</v>
      </c>
      <c r="C118" s="52" t="s">
        <v>412</v>
      </c>
      <c r="D118" s="51" t="s">
        <v>478</v>
      </c>
      <c r="E118" s="52" t="s">
        <v>51</v>
      </c>
      <c r="F118" s="53">
        <v>409.17</v>
      </c>
      <c r="G118" s="173" t="s">
        <v>666</v>
      </c>
      <c r="H118" s="173" t="s">
        <v>667</v>
      </c>
    </row>
    <row r="119" spans="1:8" ht="12.75" x14ac:dyDescent="0.2">
      <c r="A119" s="52" t="s">
        <v>486</v>
      </c>
      <c r="B119" s="52" t="s">
        <v>16</v>
      </c>
      <c r="C119" s="52" t="s">
        <v>412</v>
      </c>
      <c r="D119" s="51" t="s">
        <v>595</v>
      </c>
      <c r="E119" s="52" t="s">
        <v>83</v>
      </c>
      <c r="F119" s="53">
        <v>0.45</v>
      </c>
      <c r="G119" s="173" t="s">
        <v>666</v>
      </c>
      <c r="H119" s="173" t="s">
        <v>667</v>
      </c>
    </row>
    <row r="120" spans="1:8" ht="22.5" x14ac:dyDescent="0.2">
      <c r="A120" s="52" t="s">
        <v>413</v>
      </c>
      <c r="B120" s="52" t="s">
        <v>16</v>
      </c>
      <c r="C120" s="52" t="s">
        <v>412</v>
      </c>
      <c r="D120" s="51" t="s">
        <v>414</v>
      </c>
      <c r="E120" s="52" t="s">
        <v>18</v>
      </c>
      <c r="F120" s="53">
        <v>555.89</v>
      </c>
      <c r="G120" s="173" t="s">
        <v>666</v>
      </c>
      <c r="H120" s="173" t="s">
        <v>667</v>
      </c>
    </row>
    <row r="121" spans="1:8" ht="22.5" x14ac:dyDescent="0.2">
      <c r="A121" s="52" t="s">
        <v>502</v>
      </c>
      <c r="B121" s="52" t="s">
        <v>16</v>
      </c>
      <c r="C121" s="52" t="s">
        <v>412</v>
      </c>
      <c r="D121" s="51" t="s">
        <v>160</v>
      </c>
      <c r="E121" s="52" t="s">
        <v>83</v>
      </c>
      <c r="F121" s="53">
        <v>78.34</v>
      </c>
      <c r="G121" s="173"/>
      <c r="H121" s="173"/>
    </row>
    <row r="122" spans="1:8" ht="22.5" x14ac:dyDescent="0.2">
      <c r="A122" s="52" t="s">
        <v>503</v>
      </c>
      <c r="B122" s="52" t="s">
        <v>16</v>
      </c>
      <c r="C122" s="52" t="s">
        <v>412</v>
      </c>
      <c r="D122" s="51" t="s">
        <v>504</v>
      </c>
      <c r="E122" s="52" t="s">
        <v>18</v>
      </c>
      <c r="F122" s="53">
        <v>15.15</v>
      </c>
      <c r="G122" s="173"/>
      <c r="H122" s="173"/>
    </row>
    <row r="123" spans="1:8" s="105" customFormat="1" ht="33.75" x14ac:dyDescent="0.2">
      <c r="A123" s="52" t="s">
        <v>610</v>
      </c>
      <c r="B123" s="52" t="s">
        <v>16</v>
      </c>
      <c r="C123" s="52" t="s">
        <v>412</v>
      </c>
      <c r="D123" s="51" t="s">
        <v>678</v>
      </c>
      <c r="E123" s="52" t="s">
        <v>51</v>
      </c>
      <c r="F123" s="53">
        <v>164.91</v>
      </c>
      <c r="G123" s="173"/>
      <c r="H123" s="173"/>
    </row>
    <row r="124" spans="1:8" ht="22.5" x14ac:dyDescent="0.2">
      <c r="A124" s="52" t="s">
        <v>501</v>
      </c>
      <c r="B124" s="52" t="s">
        <v>16</v>
      </c>
      <c r="C124" s="52" t="s">
        <v>412</v>
      </c>
      <c r="D124" s="51" t="s">
        <v>157</v>
      </c>
      <c r="E124" s="52" t="s">
        <v>83</v>
      </c>
      <c r="F124" s="53">
        <v>46.79</v>
      </c>
      <c r="G124" s="173"/>
      <c r="H124" s="173"/>
    </row>
    <row r="125" spans="1:8" ht="22.5" x14ac:dyDescent="0.2">
      <c r="A125" s="61" t="s">
        <v>671</v>
      </c>
      <c r="B125" s="52" t="s">
        <v>16</v>
      </c>
      <c r="C125" s="52" t="s">
        <v>412</v>
      </c>
      <c r="D125" s="51" t="s">
        <v>674</v>
      </c>
      <c r="E125" s="52" t="s">
        <v>83</v>
      </c>
      <c r="F125" s="53">
        <v>1.81</v>
      </c>
      <c r="G125" s="173"/>
      <c r="H125" s="173"/>
    </row>
    <row r="126" spans="1:8" ht="22.5" x14ac:dyDescent="0.2">
      <c r="A126" s="61" t="s">
        <v>672</v>
      </c>
      <c r="B126" s="52" t="s">
        <v>16</v>
      </c>
      <c r="C126" s="52" t="s">
        <v>412</v>
      </c>
      <c r="D126" s="51" t="s">
        <v>675</v>
      </c>
      <c r="E126" s="52" t="s">
        <v>83</v>
      </c>
      <c r="F126" s="53">
        <v>0.92</v>
      </c>
      <c r="G126" s="173"/>
      <c r="H126" s="173"/>
    </row>
    <row r="127" spans="1:8" ht="56.25" x14ac:dyDescent="0.2">
      <c r="A127" s="52" t="s">
        <v>673</v>
      </c>
      <c r="B127" s="52" t="s">
        <v>16</v>
      </c>
      <c r="C127" s="52" t="s">
        <v>412</v>
      </c>
      <c r="D127" s="51" t="s">
        <v>676</v>
      </c>
      <c r="E127" s="52" t="s">
        <v>51</v>
      </c>
      <c r="F127" s="53">
        <v>461.54</v>
      </c>
      <c r="G127" s="173" t="s">
        <v>666</v>
      </c>
      <c r="H127" s="173" t="s">
        <v>667</v>
      </c>
    </row>
  </sheetData>
  <sortState xmlns:xlrd2="http://schemas.microsoft.com/office/spreadsheetml/2017/richdata2" ref="A9:F124">
    <sortCondition descending="1" ref="B9:B124"/>
    <sortCondition descending="1" ref="C9:C124"/>
    <sortCondition ref="A9:A124"/>
  </sortState>
  <mergeCells count="13">
    <mergeCell ref="A7:F7"/>
    <mergeCell ref="A6:B6"/>
    <mergeCell ref="C6:D6"/>
    <mergeCell ref="E6:F6"/>
    <mergeCell ref="G6:H6"/>
    <mergeCell ref="G1:H1"/>
    <mergeCell ref="A2:B2"/>
    <mergeCell ref="E2:F2"/>
    <mergeCell ref="G2:H2"/>
    <mergeCell ref="A4:B4"/>
    <mergeCell ref="C4:D4"/>
    <mergeCell ref="E4:F4"/>
    <mergeCell ref="G4:H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0" fitToHeight="0" orientation="portrait" r:id="rId1"/>
  <headerFooter>
    <oddHeader>&amp;L &amp;C &amp;R</oddHeader>
    <oddFooter>&amp;L &amp;C 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9"/>
  <sheetViews>
    <sheetView showGridLines="0" zoomScaleSheetLayoutView="100" workbookViewId="0"/>
  </sheetViews>
  <sheetFormatPr defaultRowHeight="11.25" x14ac:dyDescent="0.2"/>
  <cols>
    <col min="1" max="2" width="10.625" style="5" customWidth="1"/>
    <col min="3" max="3" width="58.625" style="5" customWidth="1"/>
    <col min="4" max="4" width="18.625" style="5" customWidth="1"/>
    <col min="5" max="16384" width="9" style="5"/>
  </cols>
  <sheetData>
    <row r="1" spans="1:4" s="11" customFormat="1" ht="15" customHeight="1" x14ac:dyDescent="0.2">
      <c r="A1" s="156" t="str">
        <f>'Orçamento Sintético'!A1</f>
        <v>P. Execução:</v>
      </c>
      <c r="B1" s="157"/>
      <c r="C1" s="159" t="str">
        <f>'Orçamento Sintético'!D1</f>
        <v>Objeto: Revitalização de fachada, impermeabilização e cobertura - PJGA</v>
      </c>
      <c r="D1" s="158" t="str">
        <f>'Orçamento Sintético'!C1</f>
        <v>Licitação:</v>
      </c>
    </row>
    <row r="2" spans="1:4" s="11" customFormat="1" ht="15" customHeight="1" x14ac:dyDescent="0.2">
      <c r="A2" s="194" t="str">
        <f>'Orçamento Sintético'!A2:B2</f>
        <v>A</v>
      </c>
      <c r="B2" s="200"/>
      <c r="C2" s="162" t="str">
        <f>'Orçamento Sintético'!D2</f>
        <v>Local: Quadra 1, - Setor Industrial (Gama), Lotes 860, 880 e 900</v>
      </c>
      <c r="D2" s="161" t="str">
        <f>'Orçamento Sintético'!C2</f>
        <v>B</v>
      </c>
    </row>
    <row r="3" spans="1:4" s="11" customFormat="1" ht="15" customHeight="1" x14ac:dyDescent="0.2">
      <c r="A3" s="169" t="str">
        <f>'Orçamento Sintético'!A3</f>
        <v>P. Validade:</v>
      </c>
      <c r="B3" s="157"/>
      <c r="C3" s="169" t="str">
        <f>'Orçamento Sintético'!C3</f>
        <v>Razão Social:</v>
      </c>
      <c r="D3" s="158" t="str">
        <f>'Orçamento Sintético'!E1</f>
        <v>Data:</v>
      </c>
    </row>
    <row r="4" spans="1:4" s="11" customFormat="1" ht="15" customHeight="1" x14ac:dyDescent="0.2">
      <c r="A4" s="194" t="str">
        <f>'Orçamento Sintético'!A4:B4</f>
        <v>C</v>
      </c>
      <c r="B4" s="200"/>
      <c r="C4" s="168" t="str">
        <f>'Orçamento Sintético'!C4</f>
        <v>D</v>
      </c>
      <c r="D4" s="174">
        <f>'Orçamento Sintético'!E2</f>
        <v>1</v>
      </c>
    </row>
    <row r="5" spans="1:4" s="11" customFormat="1" ht="15" customHeight="1" x14ac:dyDescent="0.2">
      <c r="A5" s="156" t="str">
        <f>'Orçamento Sintético'!A5</f>
        <v>P. Garantia:</v>
      </c>
      <c r="B5" s="157"/>
      <c r="C5" s="169" t="str">
        <f>'Orçamento Sintético'!C5</f>
        <v>CNPJ:</v>
      </c>
      <c r="D5" s="158" t="str">
        <f>'Orçamento Sintético'!E3</f>
        <v>Telefone:</v>
      </c>
    </row>
    <row r="6" spans="1:4" s="11" customFormat="1" ht="15" customHeight="1" x14ac:dyDescent="0.2">
      <c r="A6" s="194" t="str">
        <f>'Orçamento Sintético'!A6:B6</f>
        <v>F</v>
      </c>
      <c r="B6" s="200"/>
      <c r="C6" s="168" t="str">
        <f>'Orçamento Sintético'!C6</f>
        <v>G</v>
      </c>
      <c r="D6" s="174" t="str">
        <f>'Orçamento Sintético'!E4</f>
        <v>E</v>
      </c>
    </row>
    <row r="7" spans="1:4" s="11" customFormat="1" ht="15" customHeight="1" x14ac:dyDescent="0.2">
      <c r="A7" s="223" t="s">
        <v>317</v>
      </c>
      <c r="B7" s="223"/>
      <c r="C7" s="223"/>
      <c r="D7" s="223"/>
    </row>
    <row r="8" spans="1:4" ht="14.25" customHeight="1" x14ac:dyDescent="0.2">
      <c r="A8" s="6" t="s">
        <v>318</v>
      </c>
      <c r="B8" s="224" t="s">
        <v>319</v>
      </c>
      <c r="C8" s="225"/>
      <c r="D8" s="6" t="s">
        <v>320</v>
      </c>
    </row>
    <row r="9" spans="1:4" s="11" customFormat="1" x14ac:dyDescent="0.2">
      <c r="A9" s="19"/>
      <c r="B9" s="33"/>
      <c r="C9" s="34"/>
      <c r="D9" s="35"/>
    </row>
    <row r="10" spans="1:4" s="11" customFormat="1" x14ac:dyDescent="0.2">
      <c r="A10" s="17" t="s">
        <v>321</v>
      </c>
      <c r="B10" s="36" t="s">
        <v>322</v>
      </c>
      <c r="C10" s="34"/>
      <c r="D10" s="37"/>
    </row>
    <row r="11" spans="1:4" s="11" customFormat="1" x14ac:dyDescent="0.2">
      <c r="A11" s="19"/>
      <c r="B11" s="33"/>
      <c r="C11" s="34"/>
      <c r="D11" s="35"/>
    </row>
    <row r="12" spans="1:4" s="11" customFormat="1" x14ac:dyDescent="0.2">
      <c r="A12" s="17" t="s">
        <v>323</v>
      </c>
      <c r="B12" s="36" t="s">
        <v>324</v>
      </c>
      <c r="C12" s="34"/>
      <c r="D12" s="37">
        <f>ROUND(SUM(D14:D18),4)</f>
        <v>0.15740000000000001</v>
      </c>
    </row>
    <row r="13" spans="1:4" s="11" customFormat="1" x14ac:dyDescent="0.2">
      <c r="A13" s="18"/>
      <c r="B13" s="33"/>
      <c r="C13" s="34"/>
      <c r="D13" s="35"/>
    </row>
    <row r="14" spans="1:4" s="11" customFormat="1" x14ac:dyDescent="0.2">
      <c r="A14" s="19" t="s">
        <v>325</v>
      </c>
      <c r="B14" s="33" t="s">
        <v>326</v>
      </c>
      <c r="C14" s="34"/>
      <c r="D14" s="35">
        <v>0.04</v>
      </c>
    </row>
    <row r="15" spans="1:4" s="11" customFormat="1" x14ac:dyDescent="0.2">
      <c r="A15" s="19" t="s">
        <v>327</v>
      </c>
      <c r="B15" s="33" t="s">
        <v>328</v>
      </c>
      <c r="C15" s="34"/>
      <c r="D15" s="35">
        <v>8.0000000000000002E-3</v>
      </c>
    </row>
    <row r="16" spans="1:4" s="11" customFormat="1" x14ac:dyDescent="0.2">
      <c r="A16" s="19" t="s">
        <v>329</v>
      </c>
      <c r="B16" s="33" t="s">
        <v>330</v>
      </c>
      <c r="C16" s="34"/>
      <c r="D16" s="35">
        <v>1.2699999999999999E-2</v>
      </c>
    </row>
    <row r="17" spans="1:4" s="11" customFormat="1" x14ac:dyDescent="0.2">
      <c r="A17" s="19" t="s">
        <v>331</v>
      </c>
      <c r="B17" s="33" t="s">
        <v>332</v>
      </c>
      <c r="C17" s="34"/>
      <c r="D17" s="35">
        <v>1.23E-2</v>
      </c>
    </row>
    <row r="18" spans="1:4" s="11" customFormat="1" x14ac:dyDescent="0.2">
      <c r="A18" s="19" t="s">
        <v>333</v>
      </c>
      <c r="B18" s="33" t="s">
        <v>334</v>
      </c>
      <c r="C18" s="34"/>
      <c r="D18" s="35">
        <v>8.4400000000000003E-2</v>
      </c>
    </row>
    <row r="19" spans="1:4" s="11" customFormat="1" x14ac:dyDescent="0.2">
      <c r="A19" s="18"/>
      <c r="B19" s="33"/>
      <c r="C19" s="34"/>
      <c r="D19" s="35"/>
    </row>
    <row r="20" spans="1:4" s="11" customFormat="1" x14ac:dyDescent="0.2">
      <c r="A20" s="17" t="s">
        <v>335</v>
      </c>
      <c r="B20" s="36" t="s">
        <v>336</v>
      </c>
      <c r="C20" s="34"/>
      <c r="D20" s="37"/>
    </row>
    <row r="21" spans="1:4" s="11" customFormat="1" x14ac:dyDescent="0.2">
      <c r="A21" s="18"/>
      <c r="B21" s="33"/>
      <c r="C21" s="34"/>
      <c r="D21" s="35"/>
    </row>
    <row r="22" spans="1:4" s="11" customFormat="1" x14ac:dyDescent="0.2">
      <c r="A22" s="17" t="s">
        <v>337</v>
      </c>
      <c r="B22" s="36" t="s">
        <v>338</v>
      </c>
      <c r="C22" s="34"/>
      <c r="D22" s="37">
        <f>D24+D25+D26</f>
        <v>4.65E-2</v>
      </c>
    </row>
    <row r="23" spans="1:4" s="11" customFormat="1" x14ac:dyDescent="0.2">
      <c r="A23" s="19"/>
      <c r="B23" s="33"/>
      <c r="C23" s="34"/>
      <c r="D23" s="35"/>
    </row>
    <row r="24" spans="1:4" s="11" customFormat="1" x14ac:dyDescent="0.2">
      <c r="A24" s="19"/>
      <c r="B24" s="33" t="s">
        <v>339</v>
      </c>
      <c r="C24" s="34"/>
      <c r="D24" s="35">
        <v>6.5000000000000006E-3</v>
      </c>
    </row>
    <row r="25" spans="1:4" s="11" customFormat="1" x14ac:dyDescent="0.2">
      <c r="A25" s="19"/>
      <c r="B25" s="33" t="s">
        <v>340</v>
      </c>
      <c r="C25" s="34"/>
      <c r="D25" s="35">
        <v>0.03</v>
      </c>
    </row>
    <row r="26" spans="1:4" s="11" customFormat="1" x14ac:dyDescent="0.2">
      <c r="A26" s="19"/>
      <c r="B26" s="33" t="s">
        <v>341</v>
      </c>
      <c r="C26" s="34"/>
      <c r="D26" s="35">
        <f>2%*'Orçamento Sintético'!B125</f>
        <v>0.01</v>
      </c>
    </row>
    <row r="27" spans="1:4" s="11" customFormat="1" x14ac:dyDescent="0.2">
      <c r="A27" s="19"/>
      <c r="B27" s="33"/>
      <c r="C27" s="34"/>
      <c r="D27" s="35"/>
    </row>
    <row r="28" spans="1:4" s="11" customFormat="1" x14ac:dyDescent="0.2">
      <c r="A28" s="17" t="s">
        <v>342</v>
      </c>
      <c r="B28" s="36" t="s">
        <v>343</v>
      </c>
      <c r="C28" s="34"/>
      <c r="D28" s="37">
        <f>ROUND((((1+(D14+D15+D16))*(1+D17)*(1+D18))/(1-D22)-1),4)</f>
        <v>0.22120000000000001</v>
      </c>
    </row>
    <row r="29" spans="1:4" s="11" customFormat="1" x14ac:dyDescent="0.2">
      <c r="A29" s="18"/>
      <c r="B29" s="33"/>
      <c r="C29" s="34"/>
      <c r="D29" s="35"/>
    </row>
  </sheetData>
  <mergeCells count="5">
    <mergeCell ref="A6:B6"/>
    <mergeCell ref="A7:D7"/>
    <mergeCell ref="B8:C8"/>
    <mergeCell ref="A2:B2"/>
    <mergeCell ref="A4:B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4" fitToHeight="0" orientation="portrait" r:id="rId1"/>
  <headerFooter>
    <oddHeader>&amp;L &amp;C &amp;R</oddHeader>
    <oddFooter>&amp;L &amp;C 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D44"/>
  <sheetViews>
    <sheetView showGridLines="0" zoomScaleSheetLayoutView="100" workbookViewId="0"/>
  </sheetViews>
  <sheetFormatPr defaultRowHeight="11.25" x14ac:dyDescent="0.2"/>
  <cols>
    <col min="1" max="1" width="10.625" style="38" customWidth="1"/>
    <col min="2" max="2" width="10.625" style="41" customWidth="1"/>
    <col min="3" max="3" width="58.625" style="41" customWidth="1"/>
    <col min="4" max="4" width="18.625" style="42" customWidth="1"/>
    <col min="5" max="255" width="9" style="3"/>
    <col min="256" max="256" width="11.125" style="3" customWidth="1"/>
    <col min="257" max="257" width="52.25" style="3" customWidth="1"/>
    <col min="258" max="258" width="9.75" style="3" bestFit="1" customWidth="1"/>
    <col min="259" max="259" width="10.25" style="3" customWidth="1"/>
    <col min="260" max="260" width="5.875" style="3" customWidth="1"/>
    <col min="261" max="511" width="9" style="3"/>
    <col min="512" max="512" width="11.125" style="3" customWidth="1"/>
    <col min="513" max="513" width="52.25" style="3" customWidth="1"/>
    <col min="514" max="514" width="9.75" style="3" bestFit="1" customWidth="1"/>
    <col min="515" max="515" width="10.25" style="3" customWidth="1"/>
    <col min="516" max="516" width="5.875" style="3" customWidth="1"/>
    <col min="517" max="767" width="9" style="3"/>
    <col min="768" max="768" width="11.125" style="3" customWidth="1"/>
    <col min="769" max="769" width="52.25" style="3" customWidth="1"/>
    <col min="770" max="770" width="9.75" style="3" bestFit="1" customWidth="1"/>
    <col min="771" max="771" width="10.25" style="3" customWidth="1"/>
    <col min="772" max="772" width="5.875" style="3" customWidth="1"/>
    <col min="773" max="1023" width="9" style="3"/>
    <col min="1024" max="1024" width="11.125" style="3" customWidth="1"/>
    <col min="1025" max="1025" width="52.25" style="3" customWidth="1"/>
    <col min="1026" max="1026" width="9.75" style="3" bestFit="1" customWidth="1"/>
    <col min="1027" max="1027" width="10.25" style="3" customWidth="1"/>
    <col min="1028" max="1028" width="5.875" style="3" customWidth="1"/>
    <col min="1029" max="1279" width="9" style="3"/>
    <col min="1280" max="1280" width="11.125" style="3" customWidth="1"/>
    <col min="1281" max="1281" width="52.25" style="3" customWidth="1"/>
    <col min="1282" max="1282" width="9.75" style="3" bestFit="1" customWidth="1"/>
    <col min="1283" max="1283" width="10.25" style="3" customWidth="1"/>
    <col min="1284" max="1284" width="5.875" style="3" customWidth="1"/>
    <col min="1285" max="1535" width="9" style="3"/>
    <col min="1536" max="1536" width="11.125" style="3" customWidth="1"/>
    <col min="1537" max="1537" width="52.25" style="3" customWidth="1"/>
    <col min="1538" max="1538" width="9.75" style="3" bestFit="1" customWidth="1"/>
    <col min="1539" max="1539" width="10.25" style="3" customWidth="1"/>
    <col min="1540" max="1540" width="5.875" style="3" customWidth="1"/>
    <col min="1541" max="1791" width="9" style="3"/>
    <col min="1792" max="1792" width="11.125" style="3" customWidth="1"/>
    <col min="1793" max="1793" width="52.25" style="3" customWidth="1"/>
    <col min="1794" max="1794" width="9.75" style="3" bestFit="1" customWidth="1"/>
    <col min="1795" max="1795" width="10.25" style="3" customWidth="1"/>
    <col min="1796" max="1796" width="5.875" style="3" customWidth="1"/>
    <col min="1797" max="2047" width="9" style="3"/>
    <col min="2048" max="2048" width="11.125" style="3" customWidth="1"/>
    <col min="2049" max="2049" width="52.25" style="3" customWidth="1"/>
    <col min="2050" max="2050" width="9.75" style="3" bestFit="1" customWidth="1"/>
    <col min="2051" max="2051" width="10.25" style="3" customWidth="1"/>
    <col min="2052" max="2052" width="5.875" style="3" customWidth="1"/>
    <col min="2053" max="2303" width="9" style="3"/>
    <col min="2304" max="2304" width="11.125" style="3" customWidth="1"/>
    <col min="2305" max="2305" width="52.25" style="3" customWidth="1"/>
    <col min="2306" max="2306" width="9.75" style="3" bestFit="1" customWidth="1"/>
    <col min="2307" max="2307" width="10.25" style="3" customWidth="1"/>
    <col min="2308" max="2308" width="5.875" style="3" customWidth="1"/>
    <col min="2309" max="2559" width="9" style="3"/>
    <col min="2560" max="2560" width="11.125" style="3" customWidth="1"/>
    <col min="2561" max="2561" width="52.25" style="3" customWidth="1"/>
    <col min="2562" max="2562" width="9.75" style="3" bestFit="1" customWidth="1"/>
    <col min="2563" max="2563" width="10.25" style="3" customWidth="1"/>
    <col min="2564" max="2564" width="5.875" style="3" customWidth="1"/>
    <col min="2565" max="2815" width="9" style="3"/>
    <col min="2816" max="2816" width="11.125" style="3" customWidth="1"/>
    <col min="2817" max="2817" width="52.25" style="3" customWidth="1"/>
    <col min="2818" max="2818" width="9.75" style="3" bestFit="1" customWidth="1"/>
    <col min="2819" max="2819" width="10.25" style="3" customWidth="1"/>
    <col min="2820" max="2820" width="5.875" style="3" customWidth="1"/>
    <col min="2821" max="3071" width="9" style="3"/>
    <col min="3072" max="3072" width="11.125" style="3" customWidth="1"/>
    <col min="3073" max="3073" width="52.25" style="3" customWidth="1"/>
    <col min="3074" max="3074" width="9.75" style="3" bestFit="1" customWidth="1"/>
    <col min="3075" max="3075" width="10.25" style="3" customWidth="1"/>
    <col min="3076" max="3076" width="5.875" style="3" customWidth="1"/>
    <col min="3077" max="3327" width="9" style="3"/>
    <col min="3328" max="3328" width="11.125" style="3" customWidth="1"/>
    <col min="3329" max="3329" width="52.25" style="3" customWidth="1"/>
    <col min="3330" max="3330" width="9.75" style="3" bestFit="1" customWidth="1"/>
    <col min="3331" max="3331" width="10.25" style="3" customWidth="1"/>
    <col min="3332" max="3332" width="5.875" style="3" customWidth="1"/>
    <col min="3333" max="3583" width="9" style="3"/>
    <col min="3584" max="3584" width="11.125" style="3" customWidth="1"/>
    <col min="3585" max="3585" width="52.25" style="3" customWidth="1"/>
    <col min="3586" max="3586" width="9.75" style="3" bestFit="1" customWidth="1"/>
    <col min="3587" max="3587" width="10.25" style="3" customWidth="1"/>
    <col min="3588" max="3588" width="5.875" style="3" customWidth="1"/>
    <col min="3589" max="3839" width="9" style="3"/>
    <col min="3840" max="3840" width="11.125" style="3" customWidth="1"/>
    <col min="3841" max="3841" width="52.25" style="3" customWidth="1"/>
    <col min="3842" max="3842" width="9.75" style="3" bestFit="1" customWidth="1"/>
    <col min="3843" max="3843" width="10.25" style="3" customWidth="1"/>
    <col min="3844" max="3844" width="5.875" style="3" customWidth="1"/>
    <col min="3845" max="4095" width="9" style="3"/>
    <col min="4096" max="4096" width="11.125" style="3" customWidth="1"/>
    <col min="4097" max="4097" width="52.25" style="3" customWidth="1"/>
    <col min="4098" max="4098" width="9.75" style="3" bestFit="1" customWidth="1"/>
    <col min="4099" max="4099" width="10.25" style="3" customWidth="1"/>
    <col min="4100" max="4100" width="5.875" style="3" customWidth="1"/>
    <col min="4101" max="4351" width="9" style="3"/>
    <col min="4352" max="4352" width="11.125" style="3" customWidth="1"/>
    <col min="4353" max="4353" width="52.25" style="3" customWidth="1"/>
    <col min="4354" max="4354" width="9.75" style="3" bestFit="1" customWidth="1"/>
    <col min="4355" max="4355" width="10.25" style="3" customWidth="1"/>
    <col min="4356" max="4356" width="5.875" style="3" customWidth="1"/>
    <col min="4357" max="4607" width="9" style="3"/>
    <col min="4608" max="4608" width="11.125" style="3" customWidth="1"/>
    <col min="4609" max="4609" width="52.25" style="3" customWidth="1"/>
    <col min="4610" max="4610" width="9.75" style="3" bestFit="1" customWidth="1"/>
    <col min="4611" max="4611" width="10.25" style="3" customWidth="1"/>
    <col min="4612" max="4612" width="5.875" style="3" customWidth="1"/>
    <col min="4613" max="4863" width="9" style="3"/>
    <col min="4864" max="4864" width="11.125" style="3" customWidth="1"/>
    <col min="4865" max="4865" width="52.25" style="3" customWidth="1"/>
    <col min="4866" max="4866" width="9.75" style="3" bestFit="1" customWidth="1"/>
    <col min="4867" max="4867" width="10.25" style="3" customWidth="1"/>
    <col min="4868" max="4868" width="5.875" style="3" customWidth="1"/>
    <col min="4869" max="5119" width="9" style="3"/>
    <col min="5120" max="5120" width="11.125" style="3" customWidth="1"/>
    <col min="5121" max="5121" width="52.25" style="3" customWidth="1"/>
    <col min="5122" max="5122" width="9.75" style="3" bestFit="1" customWidth="1"/>
    <col min="5123" max="5123" width="10.25" style="3" customWidth="1"/>
    <col min="5124" max="5124" width="5.875" style="3" customWidth="1"/>
    <col min="5125" max="5375" width="9" style="3"/>
    <col min="5376" max="5376" width="11.125" style="3" customWidth="1"/>
    <col min="5377" max="5377" width="52.25" style="3" customWidth="1"/>
    <col min="5378" max="5378" width="9.75" style="3" bestFit="1" customWidth="1"/>
    <col min="5379" max="5379" width="10.25" style="3" customWidth="1"/>
    <col min="5380" max="5380" width="5.875" style="3" customWidth="1"/>
    <col min="5381" max="5631" width="9" style="3"/>
    <col min="5632" max="5632" width="11.125" style="3" customWidth="1"/>
    <col min="5633" max="5633" width="52.25" style="3" customWidth="1"/>
    <col min="5634" max="5634" width="9.75" style="3" bestFit="1" customWidth="1"/>
    <col min="5635" max="5635" width="10.25" style="3" customWidth="1"/>
    <col min="5636" max="5636" width="5.875" style="3" customWidth="1"/>
    <col min="5637" max="5887" width="9" style="3"/>
    <col min="5888" max="5888" width="11.125" style="3" customWidth="1"/>
    <col min="5889" max="5889" width="52.25" style="3" customWidth="1"/>
    <col min="5890" max="5890" width="9.75" style="3" bestFit="1" customWidth="1"/>
    <col min="5891" max="5891" width="10.25" style="3" customWidth="1"/>
    <col min="5892" max="5892" width="5.875" style="3" customWidth="1"/>
    <col min="5893" max="6143" width="9" style="3"/>
    <col min="6144" max="6144" width="11.125" style="3" customWidth="1"/>
    <col min="6145" max="6145" width="52.25" style="3" customWidth="1"/>
    <col min="6146" max="6146" width="9.75" style="3" bestFit="1" customWidth="1"/>
    <col min="6147" max="6147" width="10.25" style="3" customWidth="1"/>
    <col min="6148" max="6148" width="5.875" style="3" customWidth="1"/>
    <col min="6149" max="6399" width="9" style="3"/>
    <col min="6400" max="6400" width="11.125" style="3" customWidth="1"/>
    <col min="6401" max="6401" width="52.25" style="3" customWidth="1"/>
    <col min="6402" max="6402" width="9.75" style="3" bestFit="1" customWidth="1"/>
    <col min="6403" max="6403" width="10.25" style="3" customWidth="1"/>
    <col min="6404" max="6404" width="5.875" style="3" customWidth="1"/>
    <col min="6405" max="6655" width="9" style="3"/>
    <col min="6656" max="6656" width="11.125" style="3" customWidth="1"/>
    <col min="6657" max="6657" width="52.25" style="3" customWidth="1"/>
    <col min="6658" max="6658" width="9.75" style="3" bestFit="1" customWidth="1"/>
    <col min="6659" max="6659" width="10.25" style="3" customWidth="1"/>
    <col min="6660" max="6660" width="5.875" style="3" customWidth="1"/>
    <col min="6661" max="6911" width="9" style="3"/>
    <col min="6912" max="6912" width="11.125" style="3" customWidth="1"/>
    <col min="6913" max="6913" width="52.25" style="3" customWidth="1"/>
    <col min="6914" max="6914" width="9.75" style="3" bestFit="1" customWidth="1"/>
    <col min="6915" max="6915" width="10.25" style="3" customWidth="1"/>
    <col min="6916" max="6916" width="5.875" style="3" customWidth="1"/>
    <col min="6917" max="7167" width="9" style="3"/>
    <col min="7168" max="7168" width="11.125" style="3" customWidth="1"/>
    <col min="7169" max="7169" width="52.25" style="3" customWidth="1"/>
    <col min="7170" max="7170" width="9.75" style="3" bestFit="1" customWidth="1"/>
    <col min="7171" max="7171" width="10.25" style="3" customWidth="1"/>
    <col min="7172" max="7172" width="5.875" style="3" customWidth="1"/>
    <col min="7173" max="7423" width="9" style="3"/>
    <col min="7424" max="7424" width="11.125" style="3" customWidth="1"/>
    <col min="7425" max="7425" width="52.25" style="3" customWidth="1"/>
    <col min="7426" max="7426" width="9.75" style="3" bestFit="1" customWidth="1"/>
    <col min="7427" max="7427" width="10.25" style="3" customWidth="1"/>
    <col min="7428" max="7428" width="5.875" style="3" customWidth="1"/>
    <col min="7429" max="7679" width="9" style="3"/>
    <col min="7680" max="7680" width="11.125" style="3" customWidth="1"/>
    <col min="7681" max="7681" width="52.25" style="3" customWidth="1"/>
    <col min="7682" max="7682" width="9.75" style="3" bestFit="1" customWidth="1"/>
    <col min="7683" max="7683" width="10.25" style="3" customWidth="1"/>
    <col min="7684" max="7684" width="5.875" style="3" customWidth="1"/>
    <col min="7685" max="7935" width="9" style="3"/>
    <col min="7936" max="7936" width="11.125" style="3" customWidth="1"/>
    <col min="7937" max="7937" width="52.25" style="3" customWidth="1"/>
    <col min="7938" max="7938" width="9.75" style="3" bestFit="1" customWidth="1"/>
    <col min="7939" max="7939" width="10.25" style="3" customWidth="1"/>
    <col min="7940" max="7940" width="5.875" style="3" customWidth="1"/>
    <col min="7941" max="8191" width="9" style="3"/>
    <col min="8192" max="8192" width="11.125" style="3" customWidth="1"/>
    <col min="8193" max="8193" width="52.25" style="3" customWidth="1"/>
    <col min="8194" max="8194" width="9.75" style="3" bestFit="1" customWidth="1"/>
    <col min="8195" max="8195" width="10.25" style="3" customWidth="1"/>
    <col min="8196" max="8196" width="5.875" style="3" customWidth="1"/>
    <col min="8197" max="8447" width="9" style="3"/>
    <col min="8448" max="8448" width="11.125" style="3" customWidth="1"/>
    <col min="8449" max="8449" width="52.25" style="3" customWidth="1"/>
    <col min="8450" max="8450" width="9.75" style="3" bestFit="1" customWidth="1"/>
    <col min="8451" max="8451" width="10.25" style="3" customWidth="1"/>
    <col min="8452" max="8452" width="5.875" style="3" customWidth="1"/>
    <col min="8453" max="8703" width="9" style="3"/>
    <col min="8704" max="8704" width="11.125" style="3" customWidth="1"/>
    <col min="8705" max="8705" width="52.25" style="3" customWidth="1"/>
    <col min="8706" max="8706" width="9.75" style="3" bestFit="1" customWidth="1"/>
    <col min="8707" max="8707" width="10.25" style="3" customWidth="1"/>
    <col min="8708" max="8708" width="5.875" style="3" customWidth="1"/>
    <col min="8709" max="8959" width="9" style="3"/>
    <col min="8960" max="8960" width="11.125" style="3" customWidth="1"/>
    <col min="8961" max="8961" width="52.25" style="3" customWidth="1"/>
    <col min="8962" max="8962" width="9.75" style="3" bestFit="1" customWidth="1"/>
    <col min="8963" max="8963" width="10.25" style="3" customWidth="1"/>
    <col min="8964" max="8964" width="5.875" style="3" customWidth="1"/>
    <col min="8965" max="9215" width="9" style="3"/>
    <col min="9216" max="9216" width="11.125" style="3" customWidth="1"/>
    <col min="9217" max="9217" width="52.25" style="3" customWidth="1"/>
    <col min="9218" max="9218" width="9.75" style="3" bestFit="1" customWidth="1"/>
    <col min="9219" max="9219" width="10.25" style="3" customWidth="1"/>
    <col min="9220" max="9220" width="5.875" style="3" customWidth="1"/>
    <col min="9221" max="9471" width="9" style="3"/>
    <col min="9472" max="9472" width="11.125" style="3" customWidth="1"/>
    <col min="9473" max="9473" width="52.25" style="3" customWidth="1"/>
    <col min="9474" max="9474" width="9.75" style="3" bestFit="1" customWidth="1"/>
    <col min="9475" max="9475" width="10.25" style="3" customWidth="1"/>
    <col min="9476" max="9476" width="5.875" style="3" customWidth="1"/>
    <col min="9477" max="9727" width="9" style="3"/>
    <col min="9728" max="9728" width="11.125" style="3" customWidth="1"/>
    <col min="9729" max="9729" width="52.25" style="3" customWidth="1"/>
    <col min="9730" max="9730" width="9.75" style="3" bestFit="1" customWidth="1"/>
    <col min="9731" max="9731" width="10.25" style="3" customWidth="1"/>
    <col min="9732" max="9732" width="5.875" style="3" customWidth="1"/>
    <col min="9733" max="9983" width="9" style="3"/>
    <col min="9984" max="9984" width="11.125" style="3" customWidth="1"/>
    <col min="9985" max="9985" width="52.25" style="3" customWidth="1"/>
    <col min="9986" max="9986" width="9.75" style="3" bestFit="1" customWidth="1"/>
    <col min="9987" max="9987" width="10.25" style="3" customWidth="1"/>
    <col min="9988" max="9988" width="5.875" style="3" customWidth="1"/>
    <col min="9989" max="10239" width="9" style="3"/>
    <col min="10240" max="10240" width="11.125" style="3" customWidth="1"/>
    <col min="10241" max="10241" width="52.25" style="3" customWidth="1"/>
    <col min="10242" max="10242" width="9.75" style="3" bestFit="1" customWidth="1"/>
    <col min="10243" max="10243" width="10.25" style="3" customWidth="1"/>
    <col min="10244" max="10244" width="5.875" style="3" customWidth="1"/>
    <col min="10245" max="10495" width="9" style="3"/>
    <col min="10496" max="10496" width="11.125" style="3" customWidth="1"/>
    <col min="10497" max="10497" width="52.25" style="3" customWidth="1"/>
    <col min="10498" max="10498" width="9.75" style="3" bestFit="1" customWidth="1"/>
    <col min="10499" max="10499" width="10.25" style="3" customWidth="1"/>
    <col min="10500" max="10500" width="5.875" style="3" customWidth="1"/>
    <col min="10501" max="10751" width="9" style="3"/>
    <col min="10752" max="10752" width="11.125" style="3" customWidth="1"/>
    <col min="10753" max="10753" width="52.25" style="3" customWidth="1"/>
    <col min="10754" max="10754" width="9.75" style="3" bestFit="1" customWidth="1"/>
    <col min="10755" max="10755" width="10.25" style="3" customWidth="1"/>
    <col min="10756" max="10756" width="5.875" style="3" customWidth="1"/>
    <col min="10757" max="11007" width="9" style="3"/>
    <col min="11008" max="11008" width="11.125" style="3" customWidth="1"/>
    <col min="11009" max="11009" width="52.25" style="3" customWidth="1"/>
    <col min="11010" max="11010" width="9.75" style="3" bestFit="1" customWidth="1"/>
    <col min="11011" max="11011" width="10.25" style="3" customWidth="1"/>
    <col min="11012" max="11012" width="5.875" style="3" customWidth="1"/>
    <col min="11013" max="11263" width="9" style="3"/>
    <col min="11264" max="11264" width="11.125" style="3" customWidth="1"/>
    <col min="11265" max="11265" width="52.25" style="3" customWidth="1"/>
    <col min="11266" max="11266" width="9.75" style="3" bestFit="1" customWidth="1"/>
    <col min="11267" max="11267" width="10.25" style="3" customWidth="1"/>
    <col min="11268" max="11268" width="5.875" style="3" customWidth="1"/>
    <col min="11269" max="11519" width="9" style="3"/>
    <col min="11520" max="11520" width="11.125" style="3" customWidth="1"/>
    <col min="11521" max="11521" width="52.25" style="3" customWidth="1"/>
    <col min="11522" max="11522" width="9.75" style="3" bestFit="1" customWidth="1"/>
    <col min="11523" max="11523" width="10.25" style="3" customWidth="1"/>
    <col min="11524" max="11524" width="5.875" style="3" customWidth="1"/>
    <col min="11525" max="11775" width="9" style="3"/>
    <col min="11776" max="11776" width="11.125" style="3" customWidth="1"/>
    <col min="11777" max="11777" width="52.25" style="3" customWidth="1"/>
    <col min="11778" max="11778" width="9.75" style="3" bestFit="1" customWidth="1"/>
    <col min="11779" max="11779" width="10.25" style="3" customWidth="1"/>
    <col min="11780" max="11780" width="5.875" style="3" customWidth="1"/>
    <col min="11781" max="12031" width="9" style="3"/>
    <col min="12032" max="12032" width="11.125" style="3" customWidth="1"/>
    <col min="12033" max="12033" width="52.25" style="3" customWidth="1"/>
    <col min="12034" max="12034" width="9.75" style="3" bestFit="1" customWidth="1"/>
    <col min="12035" max="12035" width="10.25" style="3" customWidth="1"/>
    <col min="12036" max="12036" width="5.875" style="3" customWidth="1"/>
    <col min="12037" max="12287" width="9" style="3"/>
    <col min="12288" max="12288" width="11.125" style="3" customWidth="1"/>
    <col min="12289" max="12289" width="52.25" style="3" customWidth="1"/>
    <col min="12290" max="12290" width="9.75" style="3" bestFit="1" customWidth="1"/>
    <col min="12291" max="12291" width="10.25" style="3" customWidth="1"/>
    <col min="12292" max="12292" width="5.875" style="3" customWidth="1"/>
    <col min="12293" max="12543" width="9" style="3"/>
    <col min="12544" max="12544" width="11.125" style="3" customWidth="1"/>
    <col min="12545" max="12545" width="52.25" style="3" customWidth="1"/>
    <col min="12546" max="12546" width="9.75" style="3" bestFit="1" customWidth="1"/>
    <col min="12547" max="12547" width="10.25" style="3" customWidth="1"/>
    <col min="12548" max="12548" width="5.875" style="3" customWidth="1"/>
    <col min="12549" max="12799" width="9" style="3"/>
    <col min="12800" max="12800" width="11.125" style="3" customWidth="1"/>
    <col min="12801" max="12801" width="52.25" style="3" customWidth="1"/>
    <col min="12802" max="12802" width="9.75" style="3" bestFit="1" customWidth="1"/>
    <col min="12803" max="12803" width="10.25" style="3" customWidth="1"/>
    <col min="12804" max="12804" width="5.875" style="3" customWidth="1"/>
    <col min="12805" max="13055" width="9" style="3"/>
    <col min="13056" max="13056" width="11.125" style="3" customWidth="1"/>
    <col min="13057" max="13057" width="52.25" style="3" customWidth="1"/>
    <col min="13058" max="13058" width="9.75" style="3" bestFit="1" customWidth="1"/>
    <col min="13059" max="13059" width="10.25" style="3" customWidth="1"/>
    <col min="13060" max="13060" width="5.875" style="3" customWidth="1"/>
    <col min="13061" max="13311" width="9" style="3"/>
    <col min="13312" max="13312" width="11.125" style="3" customWidth="1"/>
    <col min="13313" max="13313" width="52.25" style="3" customWidth="1"/>
    <col min="13314" max="13314" width="9.75" style="3" bestFit="1" customWidth="1"/>
    <col min="13315" max="13315" width="10.25" style="3" customWidth="1"/>
    <col min="13316" max="13316" width="5.875" style="3" customWidth="1"/>
    <col min="13317" max="13567" width="9" style="3"/>
    <col min="13568" max="13568" width="11.125" style="3" customWidth="1"/>
    <col min="13569" max="13569" width="52.25" style="3" customWidth="1"/>
    <col min="13570" max="13570" width="9.75" style="3" bestFit="1" customWidth="1"/>
    <col min="13571" max="13571" width="10.25" style="3" customWidth="1"/>
    <col min="13572" max="13572" width="5.875" style="3" customWidth="1"/>
    <col min="13573" max="13823" width="9" style="3"/>
    <col min="13824" max="13824" width="11.125" style="3" customWidth="1"/>
    <col min="13825" max="13825" width="52.25" style="3" customWidth="1"/>
    <col min="13826" max="13826" width="9.75" style="3" bestFit="1" customWidth="1"/>
    <col min="13827" max="13827" width="10.25" style="3" customWidth="1"/>
    <col min="13828" max="13828" width="5.875" style="3" customWidth="1"/>
    <col min="13829" max="14079" width="9" style="3"/>
    <col min="14080" max="14080" width="11.125" style="3" customWidth="1"/>
    <col min="14081" max="14081" width="52.25" style="3" customWidth="1"/>
    <col min="14082" max="14082" width="9.75" style="3" bestFit="1" customWidth="1"/>
    <col min="14083" max="14083" width="10.25" style="3" customWidth="1"/>
    <col min="14084" max="14084" width="5.875" style="3" customWidth="1"/>
    <col min="14085" max="14335" width="9" style="3"/>
    <col min="14336" max="14336" width="11.125" style="3" customWidth="1"/>
    <col min="14337" max="14337" width="52.25" style="3" customWidth="1"/>
    <col min="14338" max="14338" width="9.75" style="3" bestFit="1" customWidth="1"/>
    <col min="14339" max="14339" width="10.25" style="3" customWidth="1"/>
    <col min="14340" max="14340" width="5.875" style="3" customWidth="1"/>
    <col min="14341" max="14591" width="9" style="3"/>
    <col min="14592" max="14592" width="11.125" style="3" customWidth="1"/>
    <col min="14593" max="14593" width="52.25" style="3" customWidth="1"/>
    <col min="14594" max="14594" width="9.75" style="3" bestFit="1" customWidth="1"/>
    <col min="14595" max="14595" width="10.25" style="3" customWidth="1"/>
    <col min="14596" max="14596" width="5.875" style="3" customWidth="1"/>
    <col min="14597" max="14847" width="9" style="3"/>
    <col min="14848" max="14848" width="11.125" style="3" customWidth="1"/>
    <col min="14849" max="14849" width="52.25" style="3" customWidth="1"/>
    <col min="14850" max="14850" width="9.75" style="3" bestFit="1" customWidth="1"/>
    <col min="14851" max="14851" width="10.25" style="3" customWidth="1"/>
    <col min="14852" max="14852" width="5.875" style="3" customWidth="1"/>
    <col min="14853" max="15103" width="9" style="3"/>
    <col min="15104" max="15104" width="11.125" style="3" customWidth="1"/>
    <col min="15105" max="15105" width="52.25" style="3" customWidth="1"/>
    <col min="15106" max="15106" width="9.75" style="3" bestFit="1" customWidth="1"/>
    <col min="15107" max="15107" width="10.25" style="3" customWidth="1"/>
    <col min="15108" max="15108" width="5.875" style="3" customWidth="1"/>
    <col min="15109" max="15359" width="9" style="3"/>
    <col min="15360" max="15360" width="11.125" style="3" customWidth="1"/>
    <col min="15361" max="15361" width="52.25" style="3" customWidth="1"/>
    <col min="15362" max="15362" width="9.75" style="3" bestFit="1" customWidth="1"/>
    <col min="15363" max="15363" width="10.25" style="3" customWidth="1"/>
    <col min="15364" max="15364" width="5.875" style="3" customWidth="1"/>
    <col min="15365" max="15615" width="9" style="3"/>
    <col min="15616" max="15616" width="11.125" style="3" customWidth="1"/>
    <col min="15617" max="15617" width="52.25" style="3" customWidth="1"/>
    <col min="15618" max="15618" width="9.75" style="3" bestFit="1" customWidth="1"/>
    <col min="15619" max="15619" width="10.25" style="3" customWidth="1"/>
    <col min="15620" max="15620" width="5.875" style="3" customWidth="1"/>
    <col min="15621" max="15871" width="9" style="3"/>
    <col min="15872" max="15872" width="11.125" style="3" customWidth="1"/>
    <col min="15873" max="15873" width="52.25" style="3" customWidth="1"/>
    <col min="15874" max="15874" width="9.75" style="3" bestFit="1" customWidth="1"/>
    <col min="15875" max="15875" width="10.25" style="3" customWidth="1"/>
    <col min="15876" max="15876" width="5.875" style="3" customWidth="1"/>
    <col min="15877" max="16127" width="9" style="3"/>
    <col min="16128" max="16128" width="11.125" style="3" customWidth="1"/>
    <col min="16129" max="16129" width="52.25" style="3" customWidth="1"/>
    <col min="16130" max="16130" width="9.75" style="3" bestFit="1" customWidth="1"/>
    <col min="16131" max="16131" width="10.25" style="3" customWidth="1"/>
    <col min="16132" max="16132" width="5.875" style="3" customWidth="1"/>
    <col min="16133" max="16384" width="9" style="3"/>
  </cols>
  <sheetData>
    <row r="1" spans="1:4" s="2" customFormat="1" ht="15" customHeight="1" x14ac:dyDescent="0.2">
      <c r="A1" s="156" t="str">
        <f>'Orçamento Sintético'!A1</f>
        <v>P. Execução:</v>
      </c>
      <c r="B1" s="157"/>
      <c r="C1" s="159" t="str">
        <f>'Orçamento Sintético'!D1</f>
        <v>Objeto: Revitalização de fachada, impermeabilização e cobertura - PJGA</v>
      </c>
      <c r="D1" s="158" t="str">
        <f>'Orçamento Sintético'!C1</f>
        <v>Licitação:</v>
      </c>
    </row>
    <row r="2" spans="1:4" s="2" customFormat="1" ht="15" customHeight="1" x14ac:dyDescent="0.2">
      <c r="A2" s="194" t="str">
        <f>'Orçamento Sintético'!A2:B2</f>
        <v>A</v>
      </c>
      <c r="B2" s="200"/>
      <c r="C2" s="162" t="str">
        <f>'Orçamento Sintético'!D2</f>
        <v>Local: Quadra 1, - Setor Industrial (Gama), Lotes 860, 880 e 900</v>
      </c>
      <c r="D2" s="161" t="str">
        <f>'Orçamento Sintético'!C2</f>
        <v>B</v>
      </c>
    </row>
    <row r="3" spans="1:4" s="2" customFormat="1" ht="15" customHeight="1" x14ac:dyDescent="0.2">
      <c r="A3" s="169" t="str">
        <f>'Orçamento Sintético'!A3</f>
        <v>P. Validade:</v>
      </c>
      <c r="B3" s="157"/>
      <c r="C3" s="169" t="str">
        <f>'Orçamento Sintético'!C3</f>
        <v>Razão Social:</v>
      </c>
      <c r="D3" s="158" t="str">
        <f>'Orçamento Sintético'!E1</f>
        <v>Data:</v>
      </c>
    </row>
    <row r="4" spans="1:4" s="2" customFormat="1" ht="15" customHeight="1" x14ac:dyDescent="0.2">
      <c r="A4" s="194" t="str">
        <f>'Orçamento Sintético'!A4:B4</f>
        <v>C</v>
      </c>
      <c r="B4" s="200"/>
      <c r="C4" s="168" t="str">
        <f>'Orçamento Sintético'!C4</f>
        <v>D</v>
      </c>
      <c r="D4" s="174">
        <f>'Orçamento Sintético'!E2</f>
        <v>1</v>
      </c>
    </row>
    <row r="5" spans="1:4" s="2" customFormat="1" ht="15" customHeight="1" x14ac:dyDescent="0.2">
      <c r="A5" s="156" t="str">
        <f>'Orçamento Sintético'!A5</f>
        <v>P. Garantia:</v>
      </c>
      <c r="B5" s="157"/>
      <c r="C5" s="169" t="str">
        <f>'Orçamento Sintético'!C5</f>
        <v>CNPJ:</v>
      </c>
      <c r="D5" s="158" t="str">
        <f>'Orçamento Sintético'!E3</f>
        <v>Telefone:</v>
      </c>
    </row>
    <row r="6" spans="1:4" ht="15" customHeight="1" x14ac:dyDescent="0.2">
      <c r="A6" s="194" t="str">
        <f>'Orçamento Sintético'!A6:B6</f>
        <v>F</v>
      </c>
      <c r="B6" s="200"/>
      <c r="C6" s="168" t="str">
        <f>'Orçamento Sintético'!C6</f>
        <v>G</v>
      </c>
      <c r="D6" s="174" t="str">
        <f>'Orçamento Sintético'!E4</f>
        <v>E</v>
      </c>
    </row>
    <row r="7" spans="1:4" s="2" customFormat="1" ht="15" customHeight="1" x14ac:dyDescent="0.2">
      <c r="A7" s="229" t="s">
        <v>344</v>
      </c>
      <c r="B7" s="229"/>
      <c r="C7" s="229"/>
      <c r="D7" s="229"/>
    </row>
    <row r="8" spans="1:4" s="38" customFormat="1" x14ac:dyDescent="0.2">
      <c r="A8" s="6" t="s">
        <v>345</v>
      </c>
      <c r="B8" s="224" t="s">
        <v>346</v>
      </c>
      <c r="C8" s="225"/>
      <c r="D8" s="6" t="s">
        <v>320</v>
      </c>
    </row>
    <row r="9" spans="1:4" s="38" customFormat="1" ht="13.15" customHeight="1" x14ac:dyDescent="0.2">
      <c r="A9" s="226" t="s">
        <v>347</v>
      </c>
      <c r="B9" s="227"/>
      <c r="C9" s="227"/>
      <c r="D9" s="228"/>
    </row>
    <row r="10" spans="1:4" s="38" customFormat="1" x14ac:dyDescent="0.2">
      <c r="A10" s="19" t="s">
        <v>323</v>
      </c>
      <c r="B10" s="33" t="s">
        <v>348</v>
      </c>
      <c r="C10" s="34"/>
      <c r="D10" s="35">
        <v>0.2</v>
      </c>
    </row>
    <row r="11" spans="1:4" s="38" customFormat="1" x14ac:dyDescent="0.2">
      <c r="A11" s="19" t="s">
        <v>349</v>
      </c>
      <c r="B11" s="33" t="s">
        <v>350</v>
      </c>
      <c r="C11" s="34"/>
      <c r="D11" s="35">
        <v>1.4999999999999999E-2</v>
      </c>
    </row>
    <row r="12" spans="1:4" s="38" customFormat="1" x14ac:dyDescent="0.2">
      <c r="A12" s="19" t="s">
        <v>351</v>
      </c>
      <c r="B12" s="33" t="s">
        <v>352</v>
      </c>
      <c r="C12" s="34"/>
      <c r="D12" s="35">
        <v>0.01</v>
      </c>
    </row>
    <row r="13" spans="1:4" s="38" customFormat="1" x14ac:dyDescent="0.2">
      <c r="A13" s="19" t="s">
        <v>353</v>
      </c>
      <c r="B13" s="33" t="s">
        <v>354</v>
      </c>
      <c r="C13" s="34"/>
      <c r="D13" s="35">
        <v>2E-3</v>
      </c>
    </row>
    <row r="14" spans="1:4" s="38" customFormat="1" x14ac:dyDescent="0.2">
      <c r="A14" s="19" t="s">
        <v>355</v>
      </c>
      <c r="B14" s="33" t="s">
        <v>356</v>
      </c>
      <c r="C14" s="34"/>
      <c r="D14" s="35">
        <v>6.0000000000000001E-3</v>
      </c>
    </row>
    <row r="15" spans="1:4" s="38" customFormat="1" x14ac:dyDescent="0.2">
      <c r="A15" s="19" t="s">
        <v>357</v>
      </c>
      <c r="B15" s="33" t="s">
        <v>358</v>
      </c>
      <c r="C15" s="34"/>
      <c r="D15" s="35">
        <v>2.5000000000000001E-2</v>
      </c>
    </row>
    <row r="16" spans="1:4" s="38" customFormat="1" x14ac:dyDescent="0.2">
      <c r="A16" s="19" t="s">
        <v>359</v>
      </c>
      <c r="B16" s="33" t="s">
        <v>360</v>
      </c>
      <c r="C16" s="34"/>
      <c r="D16" s="35">
        <v>0.03</v>
      </c>
    </row>
    <row r="17" spans="1:4" s="38" customFormat="1" x14ac:dyDescent="0.2">
      <c r="A17" s="19" t="s">
        <v>361</v>
      </c>
      <c r="B17" s="33" t="s">
        <v>362</v>
      </c>
      <c r="C17" s="34"/>
      <c r="D17" s="35">
        <v>0.08</v>
      </c>
    </row>
    <row r="18" spans="1:4" s="38" customFormat="1" x14ac:dyDescent="0.2">
      <c r="A18" s="19" t="s">
        <v>363</v>
      </c>
      <c r="B18" s="33" t="s">
        <v>364</v>
      </c>
      <c r="C18" s="34"/>
      <c r="D18" s="35">
        <v>0.01</v>
      </c>
    </row>
    <row r="19" spans="1:4" s="38" customFormat="1" x14ac:dyDescent="0.2">
      <c r="A19" s="17" t="s">
        <v>365</v>
      </c>
      <c r="B19" s="36" t="s">
        <v>366</v>
      </c>
      <c r="C19" s="39"/>
      <c r="D19" s="37">
        <f>SUM(D10:D18)</f>
        <v>0.37800000000000006</v>
      </c>
    </row>
    <row r="20" spans="1:4" s="38" customFormat="1" ht="13.15" customHeight="1" x14ac:dyDescent="0.2">
      <c r="A20" s="226" t="s">
        <v>367</v>
      </c>
      <c r="B20" s="227"/>
      <c r="C20" s="227"/>
      <c r="D20" s="228"/>
    </row>
    <row r="21" spans="1:4" s="38" customFormat="1" x14ac:dyDescent="0.2">
      <c r="A21" s="19" t="s">
        <v>337</v>
      </c>
      <c r="B21" s="33" t="s">
        <v>368</v>
      </c>
      <c r="C21" s="34"/>
      <c r="D21" s="35">
        <v>0.17749999999999999</v>
      </c>
    </row>
    <row r="22" spans="1:4" s="38" customFormat="1" x14ac:dyDescent="0.2">
      <c r="A22" s="19" t="s">
        <v>369</v>
      </c>
      <c r="B22" s="33" t="s">
        <v>370</v>
      </c>
      <c r="C22" s="34"/>
      <c r="D22" s="35">
        <v>3.4099999999999998E-2</v>
      </c>
    </row>
    <row r="23" spans="1:4" s="38" customFormat="1" x14ac:dyDescent="0.2">
      <c r="A23" s="19" t="s">
        <v>371</v>
      </c>
      <c r="B23" s="33" t="s">
        <v>372</v>
      </c>
      <c r="C23" s="34"/>
      <c r="D23" s="35">
        <v>8.6E-3</v>
      </c>
    </row>
    <row r="24" spans="1:4" s="38" customFormat="1" x14ac:dyDescent="0.2">
      <c r="A24" s="19" t="s">
        <v>373</v>
      </c>
      <c r="B24" s="33" t="s">
        <v>374</v>
      </c>
      <c r="C24" s="34"/>
      <c r="D24" s="35">
        <v>0.1062</v>
      </c>
    </row>
    <row r="25" spans="1:4" s="38" customFormat="1" x14ac:dyDescent="0.2">
      <c r="A25" s="19" t="s">
        <v>375</v>
      </c>
      <c r="B25" s="33" t="s">
        <v>376</v>
      </c>
      <c r="C25" s="34"/>
      <c r="D25" s="35">
        <v>6.9999999999999999E-4</v>
      </c>
    </row>
    <row r="26" spans="1:4" s="38" customFormat="1" x14ac:dyDescent="0.2">
      <c r="A26" s="19" t="s">
        <v>377</v>
      </c>
      <c r="B26" s="33" t="s">
        <v>378</v>
      </c>
      <c r="C26" s="34"/>
      <c r="D26" s="35">
        <v>7.1000000000000004E-3</v>
      </c>
    </row>
    <row r="27" spans="1:4" s="38" customFormat="1" x14ac:dyDescent="0.2">
      <c r="A27" s="19" t="s">
        <v>379</v>
      </c>
      <c r="B27" s="33" t="s">
        <v>380</v>
      </c>
      <c r="C27" s="34"/>
      <c r="D27" s="35">
        <v>1.3100000000000001E-2</v>
      </c>
    </row>
    <row r="28" spans="1:4" s="38" customFormat="1" x14ac:dyDescent="0.2">
      <c r="A28" s="19" t="s">
        <v>381</v>
      </c>
      <c r="B28" s="33" t="s">
        <v>382</v>
      </c>
      <c r="C28" s="34"/>
      <c r="D28" s="35">
        <v>1.1000000000000001E-3</v>
      </c>
    </row>
    <row r="29" spans="1:4" s="38" customFormat="1" x14ac:dyDescent="0.2">
      <c r="A29" s="19" t="s">
        <v>383</v>
      </c>
      <c r="B29" s="33" t="s">
        <v>384</v>
      </c>
      <c r="C29" s="34"/>
      <c r="D29" s="35">
        <v>0.13550000000000001</v>
      </c>
    </row>
    <row r="30" spans="1:4" s="38" customFormat="1" x14ac:dyDescent="0.2">
      <c r="A30" s="19" t="s">
        <v>385</v>
      </c>
      <c r="B30" s="33" t="s">
        <v>386</v>
      </c>
      <c r="C30" s="34"/>
      <c r="D30" s="35">
        <v>2.9999999999999997E-4</v>
      </c>
    </row>
    <row r="31" spans="1:4" s="38" customFormat="1" x14ac:dyDescent="0.2">
      <c r="A31" s="17" t="s">
        <v>387</v>
      </c>
      <c r="B31" s="36" t="s">
        <v>388</v>
      </c>
      <c r="C31" s="39"/>
      <c r="D31" s="37">
        <f>SUM(D21:D30)</f>
        <v>0.48419999999999996</v>
      </c>
    </row>
    <row r="32" spans="1:4" s="38" customFormat="1" ht="13.15" customHeight="1" x14ac:dyDescent="0.2">
      <c r="A32" s="226" t="s">
        <v>389</v>
      </c>
      <c r="B32" s="227"/>
      <c r="C32" s="227"/>
      <c r="D32" s="228"/>
    </row>
    <row r="33" spans="1:4" s="38" customFormat="1" x14ac:dyDescent="0.2">
      <c r="A33" s="19" t="s">
        <v>390</v>
      </c>
      <c r="B33" s="33" t="s">
        <v>391</v>
      </c>
      <c r="C33" s="34"/>
      <c r="D33" s="35">
        <v>4.1200000000000001E-2</v>
      </c>
    </row>
    <row r="34" spans="1:4" s="38" customFormat="1" x14ac:dyDescent="0.2">
      <c r="A34" s="19" t="s">
        <v>392</v>
      </c>
      <c r="B34" s="33" t="s">
        <v>393</v>
      </c>
      <c r="C34" s="34"/>
      <c r="D34" s="35">
        <v>1E-3</v>
      </c>
    </row>
    <row r="35" spans="1:4" s="38" customFormat="1" x14ac:dyDescent="0.2">
      <c r="A35" s="19" t="s">
        <v>394</v>
      </c>
      <c r="B35" s="33" t="s">
        <v>395</v>
      </c>
      <c r="C35" s="34"/>
      <c r="D35" s="35">
        <v>4.5999999999999999E-3</v>
      </c>
    </row>
    <row r="36" spans="1:4" s="38" customFormat="1" x14ac:dyDescent="0.2">
      <c r="A36" s="19" t="s">
        <v>396</v>
      </c>
      <c r="B36" s="33" t="s">
        <v>397</v>
      </c>
      <c r="C36" s="34"/>
      <c r="D36" s="35">
        <v>3.7699999999999997E-2</v>
      </c>
    </row>
    <row r="37" spans="1:4" s="38" customFormat="1" x14ac:dyDescent="0.2">
      <c r="A37" s="19" t="s">
        <v>398</v>
      </c>
      <c r="B37" s="33" t="s">
        <v>399</v>
      </c>
      <c r="C37" s="34"/>
      <c r="D37" s="35">
        <v>3.5000000000000001E-3</v>
      </c>
    </row>
    <row r="38" spans="1:4" s="38" customFormat="1" x14ac:dyDescent="0.2">
      <c r="A38" s="17" t="s">
        <v>400</v>
      </c>
      <c r="B38" s="36" t="s">
        <v>388</v>
      </c>
      <c r="C38" s="39"/>
      <c r="D38" s="37">
        <f>SUM(D33:D37)</f>
        <v>8.7999999999999995E-2</v>
      </c>
    </row>
    <row r="39" spans="1:4" s="38" customFormat="1" ht="13.15" customHeight="1" x14ac:dyDescent="0.2">
      <c r="A39" s="226" t="s">
        <v>401</v>
      </c>
      <c r="B39" s="227"/>
      <c r="C39" s="227"/>
      <c r="D39" s="228"/>
    </row>
    <row r="40" spans="1:4" s="38" customFormat="1" x14ac:dyDescent="0.2">
      <c r="A40" s="19" t="s">
        <v>402</v>
      </c>
      <c r="B40" s="33" t="s">
        <v>403</v>
      </c>
      <c r="C40" s="34"/>
      <c r="D40" s="35">
        <f>ROUND(D19*D31,4)</f>
        <v>0.183</v>
      </c>
    </row>
    <row r="41" spans="1:4" s="38" customFormat="1" x14ac:dyDescent="0.2">
      <c r="A41" s="19" t="s">
        <v>404</v>
      </c>
      <c r="B41" s="33" t="s">
        <v>405</v>
      </c>
      <c r="C41" s="34"/>
      <c r="D41" s="35">
        <f>ROUND(D17*D33+D19*D34,4)</f>
        <v>3.7000000000000002E-3</v>
      </c>
    </row>
    <row r="42" spans="1:4" s="38" customFormat="1" x14ac:dyDescent="0.2">
      <c r="A42" s="17" t="s">
        <v>406</v>
      </c>
      <c r="B42" s="36" t="s">
        <v>407</v>
      </c>
      <c r="C42" s="39"/>
      <c r="D42" s="37">
        <f>SUM(D40:D41)</f>
        <v>0.1867</v>
      </c>
    </row>
    <row r="43" spans="1:4" s="38" customFormat="1" x14ac:dyDescent="0.2">
      <c r="A43" s="19"/>
      <c r="B43" s="33"/>
      <c r="C43" s="34"/>
      <c r="D43" s="35"/>
    </row>
    <row r="44" spans="1:4" s="38" customFormat="1" ht="13.15" customHeight="1" x14ac:dyDescent="0.2">
      <c r="A44" s="226" t="s">
        <v>408</v>
      </c>
      <c r="B44" s="227"/>
      <c r="C44" s="227"/>
      <c r="D44" s="40">
        <f>D19+D31+D38+D42</f>
        <v>1.1369</v>
      </c>
    </row>
  </sheetData>
  <sheetProtection selectLockedCells="1" selectUnlockedCells="1"/>
  <mergeCells count="10">
    <mergeCell ref="A2:B2"/>
    <mergeCell ref="A4:B4"/>
    <mergeCell ref="A20:D20"/>
    <mergeCell ref="A32:D32"/>
    <mergeCell ref="A39:D39"/>
    <mergeCell ref="A44:C44"/>
    <mergeCell ref="A6:B6"/>
    <mergeCell ref="A7:D7"/>
    <mergeCell ref="B8:C8"/>
    <mergeCell ref="A9:D9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4" firstPageNumber="0" fitToHeight="0" orientation="portrait" r:id="rId1"/>
  <headerFooter>
    <oddHeader>&amp;L &amp;C &amp;R</oddHeader>
    <oddFooter>&amp;L &amp;C 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72"/>
  <sheetViews>
    <sheetView showGridLines="0" showOutlineSymbols="0" showWhiteSpace="0" zoomScaleNormal="100" workbookViewId="0">
      <pane xSplit="7" ySplit="8" topLeftCell="H9" activePane="bottomRight" state="frozen"/>
      <selection activeCell="I9" sqref="I9"/>
      <selection pane="topRight" activeCell="I9" sqref="I9"/>
      <selection pane="bottomLeft" activeCell="I9" sqref="I9"/>
      <selection pane="bottomRight" activeCell="H9" sqref="H9"/>
    </sheetView>
  </sheetViews>
  <sheetFormatPr defaultRowHeight="11.25" x14ac:dyDescent="0.2"/>
  <cols>
    <col min="1" max="1" width="14.125" style="5" customWidth="1"/>
    <col min="2" max="2" width="26.125" style="5" customWidth="1"/>
    <col min="3" max="3" width="13.125" style="5" bestFit="1" customWidth="1"/>
    <col min="4" max="7" width="9.375" style="5" customWidth="1"/>
    <col min="8" max="30" width="12" style="5" bestFit="1" customWidth="1"/>
    <col min="31" max="16384" width="9" style="5"/>
  </cols>
  <sheetData>
    <row r="1" spans="1:7" ht="14.25" x14ac:dyDescent="0.2">
      <c r="A1" s="156" t="str">
        <f>'Orçamento Sintético'!A1</f>
        <v>P. Execução:</v>
      </c>
      <c r="B1" s="159" t="str">
        <f>'Orçamento Sintético'!D1</f>
        <v>Objeto: Revitalização de fachada, impermeabilização e cobertura - PJGA</v>
      </c>
      <c r="C1" s="158" t="str">
        <f>'Orçamento Sintético'!C1</f>
        <v>Licitação:</v>
      </c>
      <c r="D1" s="176"/>
      <c r="E1" s="180"/>
      <c r="F1" s="180"/>
      <c r="G1" s="181"/>
    </row>
    <row r="2" spans="1:7" ht="14.25" x14ac:dyDescent="0.2">
      <c r="A2" s="168" t="str">
        <f>'Orçamento Sintético'!A2</f>
        <v>A</v>
      </c>
      <c r="B2" s="162" t="str">
        <f>'Orçamento Sintético'!D2</f>
        <v>Local: Quadra 1, - Setor Industrial (Gama), Lotes 860, 880 e 900</v>
      </c>
      <c r="C2" s="161" t="str">
        <f>'Orçamento Sintético'!C2</f>
        <v>B</v>
      </c>
      <c r="D2" s="177"/>
      <c r="E2" s="136"/>
      <c r="F2" s="136"/>
      <c r="G2" s="182"/>
    </row>
    <row r="3" spans="1:7" s="105" customFormat="1" ht="14.25" x14ac:dyDescent="0.2">
      <c r="A3" s="169" t="str">
        <f>'Orçamento Sintético'!A3</f>
        <v>P. Validade:</v>
      </c>
      <c r="B3" s="169" t="str">
        <f>'Orçamento Sintético'!C3</f>
        <v>Razão Social:</v>
      </c>
      <c r="C3" s="156" t="str">
        <f>'Orçamento Sintético'!E1</f>
        <v>Data:</v>
      </c>
      <c r="D3" s="177"/>
      <c r="E3" s="136"/>
      <c r="F3" s="136"/>
      <c r="G3" s="182"/>
    </row>
    <row r="4" spans="1:7" s="105" customFormat="1" ht="14.25" x14ac:dyDescent="0.2">
      <c r="A4" s="168" t="str">
        <f>'Orçamento Sintético'!A4</f>
        <v>C</v>
      </c>
      <c r="B4" s="175" t="str">
        <f>'Orçamento Sintético'!C4</f>
        <v>D</v>
      </c>
      <c r="C4" s="170">
        <f>'Orçamento Sintético'!E2</f>
        <v>1</v>
      </c>
      <c r="D4" s="177"/>
      <c r="E4" s="136"/>
      <c r="F4" s="136"/>
      <c r="G4" s="182"/>
    </row>
    <row r="5" spans="1:7" ht="15" customHeight="1" x14ac:dyDescent="0.2">
      <c r="A5" s="156" t="str">
        <f>'Orçamento Sintético'!A5</f>
        <v>P. Garantia:</v>
      </c>
      <c r="B5" s="169" t="str">
        <f>'Orçamento Sintético'!C5</f>
        <v>CNPJ:</v>
      </c>
      <c r="C5" s="156" t="str">
        <f>'Orçamento Sintético'!E3</f>
        <v>Telefone:</v>
      </c>
      <c r="D5" s="178"/>
      <c r="E5" s="183"/>
      <c r="F5" s="183"/>
      <c r="G5" s="184"/>
    </row>
    <row r="6" spans="1:7" ht="15" customHeight="1" x14ac:dyDescent="0.2">
      <c r="A6" s="168" t="str">
        <f>'Orçamento Sintético'!A6</f>
        <v>F</v>
      </c>
      <c r="B6" s="175" t="str">
        <f>'Orçamento Sintético'!C6</f>
        <v>G</v>
      </c>
      <c r="C6" s="170" t="str">
        <f>'Orçamento Sintético'!E4</f>
        <v>E</v>
      </c>
      <c r="D6" s="179"/>
      <c r="E6" s="185"/>
      <c r="F6" s="185"/>
      <c r="G6" s="186"/>
    </row>
    <row r="7" spans="1:7" ht="15" customHeight="1" x14ac:dyDescent="0.25">
      <c r="A7" s="189" t="s">
        <v>580</v>
      </c>
      <c r="B7" s="190"/>
      <c r="C7" s="190"/>
      <c r="D7" s="190"/>
      <c r="E7" s="190"/>
      <c r="F7" s="190"/>
      <c r="G7" s="190"/>
    </row>
    <row r="8" spans="1:7" x14ac:dyDescent="0.2">
      <c r="A8" s="6" t="s">
        <v>1</v>
      </c>
      <c r="B8" s="6" t="s">
        <v>4</v>
      </c>
      <c r="C8" s="6" t="s">
        <v>581</v>
      </c>
      <c r="D8" s="6" t="s">
        <v>582</v>
      </c>
      <c r="E8" s="6" t="s">
        <v>583</v>
      </c>
      <c r="F8" s="6" t="s">
        <v>584</v>
      </c>
      <c r="G8" s="6" t="s">
        <v>585</v>
      </c>
    </row>
    <row r="9" spans="1:7" x14ac:dyDescent="0.2">
      <c r="A9" s="231" t="s">
        <v>10</v>
      </c>
      <c r="B9" s="233" t="str">
        <f>VLOOKUP($A9,'Orçamento Sintético'!$A:$H,4,0)</f>
        <v>SERVIÇOS TÉCNICO - PROFISSIONAIS</v>
      </c>
      <c r="C9" s="114">
        <f>ROUND(C10/$C$68,4)</f>
        <v>3.8999999999999998E-3</v>
      </c>
      <c r="D9" s="116">
        <f>ROUND(D10/$C10,4)</f>
        <v>6.5500000000000003E-2</v>
      </c>
      <c r="E9" s="116">
        <f>ROUND(E10/$C10,4)</f>
        <v>0.37380000000000002</v>
      </c>
      <c r="F9" s="116">
        <f>ROUND(F10/$C10,4)</f>
        <v>0.37380000000000002</v>
      </c>
      <c r="G9" s="116">
        <f>ROUND(G10/$C10,4)</f>
        <v>0.18690000000000001</v>
      </c>
    </row>
    <row r="10" spans="1:7" s="105" customFormat="1" x14ac:dyDescent="0.2">
      <c r="A10" s="232"/>
      <c r="B10" s="234"/>
      <c r="C10" s="115">
        <f>VLOOKUP($A9,'Orçamento Sintético'!$A:$H,8,0)</f>
        <v>3569.28</v>
      </c>
      <c r="D10" s="117">
        <f>D12+D14</f>
        <v>233.94</v>
      </c>
      <c r="E10" s="117">
        <f>E12+E14</f>
        <v>1334.14</v>
      </c>
      <c r="F10" s="117">
        <f>F12+F14</f>
        <v>1334.14</v>
      </c>
      <c r="G10" s="117">
        <f>G12+G14</f>
        <v>667.06</v>
      </c>
    </row>
    <row r="11" spans="1:7" x14ac:dyDescent="0.2">
      <c r="A11" s="235" t="s">
        <v>12</v>
      </c>
      <c r="B11" s="235" t="str">
        <f>VLOOKUP($A11,'Orçamento Sintético'!$A:$H,4,0)</f>
        <v>ESTUDOS E PROJETOS</v>
      </c>
      <c r="C11" s="120">
        <f>ROUND(C12/$C$68,4)</f>
        <v>3.7000000000000002E-3</v>
      </c>
      <c r="D11" s="122"/>
      <c r="E11" s="124">
        <v>0.4</v>
      </c>
      <c r="F11" s="122">
        <v>0.4</v>
      </c>
      <c r="G11" s="122">
        <f>ROUND(G12/$C12,4)</f>
        <v>0.2</v>
      </c>
    </row>
    <row r="12" spans="1:7" s="105" customFormat="1" x14ac:dyDescent="0.2">
      <c r="A12" s="236"/>
      <c r="B12" s="236"/>
      <c r="C12" s="121">
        <f>VLOOKUP($A11,'Orçamento Sintético'!$A:$H,8,0)</f>
        <v>3335.34</v>
      </c>
      <c r="D12" s="123">
        <f>ROUND($C12*D11,2)</f>
        <v>0</v>
      </c>
      <c r="E12" s="123">
        <f>ROUND($C12*E11,2)</f>
        <v>1334.14</v>
      </c>
      <c r="F12" s="123">
        <f>ROUND($C12*F11,2)</f>
        <v>1334.14</v>
      </c>
      <c r="G12" s="123">
        <f>$C12-SUM(D12:F12)</f>
        <v>667.06</v>
      </c>
    </row>
    <row r="13" spans="1:7" x14ac:dyDescent="0.2">
      <c r="A13" s="235" t="s">
        <v>19</v>
      </c>
      <c r="B13" s="235" t="str">
        <f>VLOOKUP($A13,'Orçamento Sintético'!$A:$H,4,0)</f>
        <v>TAXAS E EMOLUMENTOS</v>
      </c>
      <c r="C13" s="120">
        <f>ROUND(C14/$C$68,4)</f>
        <v>2.9999999999999997E-4</v>
      </c>
      <c r="D13" s="122">
        <v>1</v>
      </c>
      <c r="E13" s="124"/>
      <c r="F13" s="122"/>
      <c r="G13" s="122">
        <f>ROUND(G14/$C14,4)</f>
        <v>0</v>
      </c>
    </row>
    <row r="14" spans="1:7" s="105" customFormat="1" x14ac:dyDescent="0.2">
      <c r="A14" s="236"/>
      <c r="B14" s="236"/>
      <c r="C14" s="121">
        <f>VLOOKUP($A13,'Orçamento Sintético'!$A:$H,8,0)</f>
        <v>233.94</v>
      </c>
      <c r="D14" s="123">
        <f>ROUND($C14*D13,2)</f>
        <v>233.94</v>
      </c>
      <c r="E14" s="123">
        <f>ROUND($C14*E13,2)</f>
        <v>0</v>
      </c>
      <c r="F14" s="123">
        <f>ROUND($C14*F13,2)</f>
        <v>0</v>
      </c>
      <c r="G14" s="123">
        <f>$C14-SUM(D14:F14)</f>
        <v>0</v>
      </c>
    </row>
    <row r="15" spans="1:7" x14ac:dyDescent="0.2">
      <c r="A15" s="231" t="s">
        <v>25</v>
      </c>
      <c r="B15" s="233" t="str">
        <f>VLOOKUP($A15,'Orçamento Sintético'!$A:$H,4,0)</f>
        <v>SERVIÇOS PRELIMINARES</v>
      </c>
      <c r="C15" s="114">
        <f>ROUND(C16/$C$68,4)</f>
        <v>0.13070000000000001</v>
      </c>
      <c r="D15" s="116">
        <f>ROUND(D16/$C16,4)</f>
        <v>0.43459999999999999</v>
      </c>
      <c r="E15" s="116">
        <f>ROUND(E16/$C16,4)</f>
        <v>0.35449999999999998</v>
      </c>
      <c r="F15" s="116">
        <f>ROUND(F16/$C16,4)</f>
        <v>0.15240000000000001</v>
      </c>
      <c r="G15" s="116">
        <f>ROUND(G16/$C16,4)</f>
        <v>5.8500000000000003E-2</v>
      </c>
    </row>
    <row r="16" spans="1:7" s="105" customFormat="1" x14ac:dyDescent="0.2">
      <c r="A16" s="232"/>
      <c r="B16" s="234"/>
      <c r="C16" s="115">
        <f>VLOOKUP($A15,'Orçamento Sintético'!$A:$H,8,0)</f>
        <v>118487.07</v>
      </c>
      <c r="D16" s="117">
        <f>D18+D24</f>
        <v>51492.33</v>
      </c>
      <c r="E16" s="117">
        <f>E18+E24</f>
        <v>42009.19</v>
      </c>
      <c r="F16" s="117">
        <f>F18+F24</f>
        <v>18055.439999999999</v>
      </c>
      <c r="G16" s="117">
        <f>G18+G24</f>
        <v>6930.1099999999969</v>
      </c>
    </row>
    <row r="17" spans="1:7" x14ac:dyDescent="0.2">
      <c r="A17" s="239" t="s">
        <v>27</v>
      </c>
      <c r="B17" s="237" t="str">
        <f>VLOOKUP($A17,'Orçamento Sintético'!$A:$H,4,0)</f>
        <v>CANTEIRO DE OBRAS</v>
      </c>
      <c r="C17" s="118">
        <f>ROUND(C18/$C$68,4)</f>
        <v>6.8699999999999997E-2</v>
      </c>
      <c r="D17" s="125">
        <f>ROUND(D18/$C18,4)</f>
        <v>0.40639999999999998</v>
      </c>
      <c r="E17" s="125">
        <f>ROUND(E18/$C18,4)</f>
        <v>0.28370000000000001</v>
      </c>
      <c r="F17" s="125">
        <f>ROUND(F18/$C18,4)</f>
        <v>0.20630000000000001</v>
      </c>
      <c r="G17" s="125">
        <f>ROUND(G18/$C18,4)</f>
        <v>0.1036</v>
      </c>
    </row>
    <row r="18" spans="1:7" s="105" customFormat="1" x14ac:dyDescent="0.2">
      <c r="A18" s="240"/>
      <c r="B18" s="238"/>
      <c r="C18" s="119">
        <f>VLOOKUP($A17,'Orçamento Sintético'!$A:$H,8,0)</f>
        <v>62304.11</v>
      </c>
      <c r="D18" s="126">
        <f>D20+D22</f>
        <v>25323.27</v>
      </c>
      <c r="E18" s="126">
        <f>E20+E22</f>
        <v>17677.060000000001</v>
      </c>
      <c r="F18" s="126">
        <f>F20+F22</f>
        <v>12851.9</v>
      </c>
      <c r="G18" s="126">
        <f>G20+G22</f>
        <v>6451.8799999999974</v>
      </c>
    </row>
    <row r="19" spans="1:7" x14ac:dyDescent="0.2">
      <c r="A19" s="235" t="s">
        <v>29</v>
      </c>
      <c r="B19" s="235" t="str">
        <f>VLOOKUP($A19,'Orçamento Sintético'!$A:$H,4,0)</f>
        <v>Construções Provisórias</v>
      </c>
      <c r="C19" s="120">
        <f>ROUND(C20/$C$68,4)</f>
        <v>2.8999999999999998E-3</v>
      </c>
      <c r="D19" s="122">
        <v>0.37609999999999999</v>
      </c>
      <c r="E19" s="122">
        <v>0.20799999999999999</v>
      </c>
      <c r="F19" s="122">
        <v>0.20799999999999999</v>
      </c>
      <c r="G19" s="122">
        <f>ROUND(G20/$C20,4)</f>
        <v>0.2079</v>
      </c>
    </row>
    <row r="20" spans="1:7" s="105" customFormat="1" x14ac:dyDescent="0.2">
      <c r="A20" s="236"/>
      <c r="B20" s="236"/>
      <c r="C20" s="121">
        <f>VLOOKUP($A19,'Orçamento Sintético'!$A:$H,8,0)</f>
        <v>2660.58</v>
      </c>
      <c r="D20" s="123">
        <f>ROUND($C20*D19,2)</f>
        <v>1000.64</v>
      </c>
      <c r="E20" s="123">
        <f>ROUND($C20*E19,2)</f>
        <v>553.4</v>
      </c>
      <c r="F20" s="123">
        <f>ROUND($C20*F19,2)</f>
        <v>553.4</v>
      </c>
      <c r="G20" s="123">
        <f>$C20-SUM(D20:F20)</f>
        <v>553.13999999999987</v>
      </c>
    </row>
    <row r="21" spans="1:7" x14ac:dyDescent="0.2">
      <c r="A21" s="235" t="s">
        <v>38</v>
      </c>
      <c r="B21" s="235" t="str">
        <f>VLOOKUP($A21,'Orçamento Sintético'!$A:$H,4,0)</f>
        <v>Proteção e Sinalização</v>
      </c>
      <c r="C21" s="120">
        <f>ROUND(C22/$C$68,4)</f>
        <v>6.5799999999999997E-2</v>
      </c>
      <c r="D21" s="122">
        <v>0.4078</v>
      </c>
      <c r="E21" s="122">
        <v>0.28710000000000002</v>
      </c>
      <c r="F21" s="122">
        <v>0.20619999999999999</v>
      </c>
      <c r="G21" s="122">
        <f>ROUND(G22/$C22,4)</f>
        <v>9.8900000000000002E-2</v>
      </c>
    </row>
    <row r="22" spans="1:7" s="105" customFormat="1" x14ac:dyDescent="0.2">
      <c r="A22" s="236"/>
      <c r="B22" s="236"/>
      <c r="C22" s="121">
        <f>VLOOKUP($A21,'Orçamento Sintético'!$A:$H,8,0)</f>
        <v>59643.53</v>
      </c>
      <c r="D22" s="123">
        <f>ROUND($C22*D21,2)</f>
        <v>24322.63</v>
      </c>
      <c r="E22" s="123">
        <f>ROUND($C22*E21,2)</f>
        <v>17123.66</v>
      </c>
      <c r="F22" s="123">
        <f>ROUND($C22*F21,2)</f>
        <v>12298.5</v>
      </c>
      <c r="G22" s="123">
        <f>$C22-SUM(D22:F22)</f>
        <v>5898.739999999998</v>
      </c>
    </row>
    <row r="23" spans="1:7" x14ac:dyDescent="0.2">
      <c r="A23" s="239" t="s">
        <v>64</v>
      </c>
      <c r="B23" s="237" t="str">
        <f>VLOOKUP($A23,'Orçamento Sintético'!$A:$H,4,0)</f>
        <v>DEMOLIÇÃO</v>
      </c>
      <c r="C23" s="118">
        <f>ROUND(C24/$C$68,4)</f>
        <v>6.2E-2</v>
      </c>
      <c r="D23" s="125">
        <f>ROUND(D24/$C24,4)</f>
        <v>0.46579999999999999</v>
      </c>
      <c r="E23" s="125">
        <f>ROUND(E24/$C24,4)</f>
        <v>0.43309999999999998</v>
      </c>
      <c r="F23" s="125">
        <f>ROUND(F24/$C24,4)</f>
        <v>9.2600000000000002E-2</v>
      </c>
      <c r="G23" s="125">
        <f>ROUND(G24/$C24,4)</f>
        <v>8.5000000000000006E-3</v>
      </c>
    </row>
    <row r="24" spans="1:7" s="105" customFormat="1" x14ac:dyDescent="0.2">
      <c r="A24" s="240"/>
      <c r="B24" s="238"/>
      <c r="C24" s="119">
        <f>VLOOKUP($A23,'Orçamento Sintético'!$A:$H,8,0)</f>
        <v>56182.96</v>
      </c>
      <c r="D24" s="126">
        <f>D26+D28</f>
        <v>26169.059999999998</v>
      </c>
      <c r="E24" s="126">
        <f>E26+E28</f>
        <v>24332.13</v>
      </c>
      <c r="F24" s="126">
        <f>F26+F28</f>
        <v>5203.54</v>
      </c>
      <c r="G24" s="126">
        <f>G26+G28</f>
        <v>478.22999999999956</v>
      </c>
    </row>
    <row r="25" spans="1:7" x14ac:dyDescent="0.2">
      <c r="A25" s="235" t="s">
        <v>66</v>
      </c>
      <c r="B25" s="235" t="str">
        <f>VLOOKUP($A25,'Orçamento Sintético'!$A:$H,4,0)</f>
        <v>Demolição Convencional</v>
      </c>
      <c r="C25" s="120">
        <f>ROUND(C26/$C$68,4)</f>
        <v>4.0500000000000001E-2</v>
      </c>
      <c r="D25" s="122">
        <v>0.5272</v>
      </c>
      <c r="E25" s="122">
        <v>0.43980000000000002</v>
      </c>
      <c r="F25" s="122">
        <v>3.3000000000000002E-2</v>
      </c>
      <c r="G25" s="122">
        <f>ROUND(G26/$C26,4)</f>
        <v>0</v>
      </c>
    </row>
    <row r="26" spans="1:7" s="105" customFormat="1" x14ac:dyDescent="0.2">
      <c r="A26" s="236"/>
      <c r="B26" s="236"/>
      <c r="C26" s="121">
        <f>VLOOKUP($A25,'Orçamento Sintético'!$A:$H,8,0)</f>
        <v>36743</v>
      </c>
      <c r="D26" s="123">
        <f>ROUND($C26*D25,2)</f>
        <v>19370.91</v>
      </c>
      <c r="E26" s="123">
        <f>ROUND($C26*E25,2)</f>
        <v>16159.57</v>
      </c>
      <c r="F26" s="123">
        <f>ROUND($C26*F25,2)</f>
        <v>1212.52</v>
      </c>
      <c r="G26" s="123">
        <f>$C26-SUM(D26:F26)</f>
        <v>0</v>
      </c>
    </row>
    <row r="27" spans="1:7" x14ac:dyDescent="0.2">
      <c r="A27" s="235" t="s">
        <v>88</v>
      </c>
      <c r="B27" s="235" t="str">
        <f>VLOOKUP($A27,'Orçamento Sintético'!$A:$H,4,0)</f>
        <v>Remoções</v>
      </c>
      <c r="C27" s="120">
        <f>ROUND(C28/$C$68,4)</f>
        <v>2.1399999999999999E-2</v>
      </c>
      <c r="D27" s="122">
        <v>0.34970000000000001</v>
      </c>
      <c r="E27" s="122">
        <v>0.4204</v>
      </c>
      <c r="F27" s="122">
        <v>0.20530000000000001</v>
      </c>
      <c r="G27" s="122">
        <f>ROUND(G28/$C28,4)</f>
        <v>2.46E-2</v>
      </c>
    </row>
    <row r="28" spans="1:7" s="105" customFormat="1" x14ac:dyDescent="0.2">
      <c r="A28" s="236"/>
      <c r="B28" s="236"/>
      <c r="C28" s="121">
        <f>VLOOKUP($A27,'Orçamento Sintético'!$A:$H,8,0)</f>
        <v>19439.96</v>
      </c>
      <c r="D28" s="123">
        <f>ROUND($C28*D27,2)</f>
        <v>6798.15</v>
      </c>
      <c r="E28" s="123">
        <f>ROUND($C28*E27,2)</f>
        <v>8172.56</v>
      </c>
      <c r="F28" s="123">
        <f>ROUND($C28*F27,2)</f>
        <v>3991.02</v>
      </c>
      <c r="G28" s="123">
        <f>$C28-SUM(D28:F28)</f>
        <v>478.22999999999956</v>
      </c>
    </row>
    <row r="29" spans="1:7" x14ac:dyDescent="0.2">
      <c r="A29" s="231" t="s">
        <v>117</v>
      </c>
      <c r="B29" s="233" t="str">
        <f>VLOOKUP($A29,'Orçamento Sintético'!$A:$H,4,0)</f>
        <v>ARQUITETURA E ELEMENTOS DE URBANISMO</v>
      </c>
      <c r="C29" s="114">
        <f>ROUND(C30/$C$68,4)</f>
        <v>0.81120000000000003</v>
      </c>
      <c r="D29" s="116">
        <f>ROUND(D30/$C30,4)</f>
        <v>1.8499999999999999E-2</v>
      </c>
      <c r="E29" s="116">
        <f>ROUND(E30/$C30,4)</f>
        <v>0.43380000000000002</v>
      </c>
      <c r="F29" s="116">
        <f>ROUND(F30/$C30,4)</f>
        <v>0.46539999999999998</v>
      </c>
      <c r="G29" s="116">
        <f>ROUND(G30/$C30,4)</f>
        <v>8.2199999999999995E-2</v>
      </c>
    </row>
    <row r="30" spans="1:7" s="105" customFormat="1" x14ac:dyDescent="0.2">
      <c r="A30" s="232"/>
      <c r="B30" s="234"/>
      <c r="C30" s="115">
        <f>VLOOKUP($A29,'Orçamento Sintético'!$A:$H,8,0)</f>
        <v>735568.45</v>
      </c>
      <c r="D30" s="117">
        <f>D32</f>
        <v>13629.05</v>
      </c>
      <c r="E30" s="117">
        <f>E32</f>
        <v>319118.5</v>
      </c>
      <c r="F30" s="117">
        <f>F32</f>
        <v>342352.32</v>
      </c>
      <c r="G30" s="117">
        <f>G32</f>
        <v>60468.580000000016</v>
      </c>
    </row>
    <row r="31" spans="1:7" x14ac:dyDescent="0.2">
      <c r="A31" s="239" t="s">
        <v>119</v>
      </c>
      <c r="B31" s="237" t="str">
        <f>VLOOKUP($A31,'Orçamento Sintético'!$A:$H,4,0)</f>
        <v>ARQUITETURA</v>
      </c>
      <c r="C31" s="118">
        <f>ROUND(C32/$C$68,4)</f>
        <v>0.81120000000000003</v>
      </c>
      <c r="D31" s="125">
        <f>ROUND(D32/$C32,4)</f>
        <v>1.8499999999999999E-2</v>
      </c>
      <c r="E31" s="125">
        <f>ROUND(E32/$C32,4)</f>
        <v>0.43380000000000002</v>
      </c>
      <c r="F31" s="125">
        <f>ROUND(F32/$C32,4)</f>
        <v>0.46539999999999998</v>
      </c>
      <c r="G31" s="125">
        <f>ROUND(G32/$C32,4)</f>
        <v>8.2199999999999995E-2</v>
      </c>
    </row>
    <row r="32" spans="1:7" s="105" customFormat="1" x14ac:dyDescent="0.2">
      <c r="A32" s="240"/>
      <c r="B32" s="238"/>
      <c r="C32" s="119">
        <f>VLOOKUP($A31,'Orçamento Sintético'!$A:$H,8,0)</f>
        <v>735568.45</v>
      </c>
      <c r="D32" s="126">
        <f>D34+D36+D38+D40+D42+D44+D46+D48+D50</f>
        <v>13629.05</v>
      </c>
      <c r="E32" s="126">
        <f t="shared" ref="E32:G32" si="0">E34+E36+E38+E40+E42+E44+E46+E48+E50</f>
        <v>319118.5</v>
      </c>
      <c r="F32" s="126">
        <f t="shared" si="0"/>
        <v>342352.32</v>
      </c>
      <c r="G32" s="126">
        <f t="shared" si="0"/>
        <v>60468.580000000016</v>
      </c>
    </row>
    <row r="33" spans="1:7" x14ac:dyDescent="0.2">
      <c r="A33" s="235" t="s">
        <v>121</v>
      </c>
      <c r="B33" s="235" t="str">
        <f>VLOOKUP($A33,'Orçamento Sintético'!$A:$H,4,0)</f>
        <v>Paredes</v>
      </c>
      <c r="C33" s="120">
        <f>ROUND(C34/$C$68,4)</f>
        <v>4.0000000000000002E-4</v>
      </c>
      <c r="D33" s="122"/>
      <c r="E33" s="122">
        <v>1</v>
      </c>
      <c r="F33" s="122"/>
      <c r="G33" s="122">
        <f>ROUND(G34/$C34,4)</f>
        <v>0</v>
      </c>
    </row>
    <row r="34" spans="1:7" s="105" customFormat="1" x14ac:dyDescent="0.2">
      <c r="A34" s="236"/>
      <c r="B34" s="236"/>
      <c r="C34" s="121">
        <f>VLOOKUP($A33,'Orçamento Sintético'!$A:$H,8,0)</f>
        <v>324.83999999999997</v>
      </c>
      <c r="D34" s="123">
        <f>ROUND($C34*D33,2)</f>
        <v>0</v>
      </c>
      <c r="E34" s="123">
        <f t="shared" ref="E34:F34" si="1">ROUND($C34*E33,2)</f>
        <v>324.83999999999997</v>
      </c>
      <c r="F34" s="123">
        <f t="shared" si="1"/>
        <v>0</v>
      </c>
      <c r="G34" s="123">
        <f>$C34-SUM(D34:F34)</f>
        <v>0</v>
      </c>
    </row>
    <row r="35" spans="1:7" x14ac:dyDescent="0.2">
      <c r="A35" s="235" t="s">
        <v>126</v>
      </c>
      <c r="B35" s="235" t="str">
        <f>VLOOKUP($A35,'Orçamento Sintético'!$A:$H,4,0)</f>
        <v>Esquadria de alumínio</v>
      </c>
      <c r="C35" s="120">
        <f>ROUND(C36/$C$68,4)</f>
        <v>7.22E-2</v>
      </c>
      <c r="D35" s="122"/>
      <c r="E35" s="122"/>
      <c r="F35" s="122">
        <v>1</v>
      </c>
      <c r="G35" s="122">
        <f>ROUND(G36/$C36,4)</f>
        <v>0</v>
      </c>
    </row>
    <row r="36" spans="1:7" s="105" customFormat="1" x14ac:dyDescent="0.2">
      <c r="A36" s="236"/>
      <c r="B36" s="236"/>
      <c r="C36" s="121">
        <f>VLOOKUP($A35,'Orçamento Sintético'!$A:$H,8,0)</f>
        <v>65435.679999999993</v>
      </c>
      <c r="D36" s="123">
        <f>ROUND($C36*D35,2)</f>
        <v>0</v>
      </c>
      <c r="E36" s="123">
        <f t="shared" ref="E36" si="2">ROUND($C36*E35,2)</f>
        <v>0</v>
      </c>
      <c r="F36" s="123">
        <f t="shared" ref="F36" si="3">ROUND($C36*F35,2)</f>
        <v>65435.68</v>
      </c>
      <c r="G36" s="123">
        <f>$C36-SUM(D36:F36)</f>
        <v>0</v>
      </c>
    </row>
    <row r="37" spans="1:7" x14ac:dyDescent="0.2">
      <c r="A37" s="235" t="s">
        <v>137</v>
      </c>
      <c r="B37" s="235" t="str">
        <f>VLOOKUP($A37,'Orçamento Sintético'!$A:$H,4,0)</f>
        <v>Cobertura e Fechamento Lateral</v>
      </c>
      <c r="C37" s="120">
        <f>ROUND(C38/$C$68,4)</f>
        <v>0.27460000000000001</v>
      </c>
      <c r="D37" s="122"/>
      <c r="E37" s="122">
        <v>0.58250000000000002</v>
      </c>
      <c r="F37" s="122">
        <v>0.41749999999999998</v>
      </c>
      <c r="G37" s="122">
        <f>ROUND(G38/$C38,4)</f>
        <v>0</v>
      </c>
    </row>
    <row r="38" spans="1:7" s="105" customFormat="1" x14ac:dyDescent="0.2">
      <c r="A38" s="236"/>
      <c r="B38" s="236"/>
      <c r="C38" s="121">
        <f>VLOOKUP($A37,'Orçamento Sintético'!$A:$H,8,0)</f>
        <v>249038.79</v>
      </c>
      <c r="D38" s="123">
        <f>ROUND($C38*D37,2)</f>
        <v>0</v>
      </c>
      <c r="E38" s="123">
        <f t="shared" ref="E38" si="4">ROUND($C38*E37,2)</f>
        <v>145065.1</v>
      </c>
      <c r="F38" s="123">
        <f t="shared" ref="F38" si="5">ROUND($C38*F37,2)</f>
        <v>103973.69</v>
      </c>
      <c r="G38" s="123">
        <f>$C38-SUM(D38:F38)</f>
        <v>0</v>
      </c>
    </row>
    <row r="39" spans="1:7" x14ac:dyDescent="0.2">
      <c r="A39" s="235" t="s">
        <v>173</v>
      </c>
      <c r="B39" s="235" t="str">
        <f>VLOOKUP($A39,'Orçamento Sintético'!$A:$H,4,0)</f>
        <v>Revestimentos de pisos</v>
      </c>
      <c r="C39" s="120">
        <f>ROUND(C40/$C$68,4)</f>
        <v>1.0200000000000001E-2</v>
      </c>
      <c r="D39" s="122"/>
      <c r="E39" s="122"/>
      <c r="F39" s="122"/>
      <c r="G39" s="122">
        <f>ROUND(G40/$C40,4)</f>
        <v>1</v>
      </c>
    </row>
    <row r="40" spans="1:7" s="105" customFormat="1" x14ac:dyDescent="0.2">
      <c r="A40" s="236"/>
      <c r="B40" s="236"/>
      <c r="C40" s="121">
        <f>VLOOKUP($A39,'Orçamento Sintético'!$A:$H,8,0)</f>
        <v>9217.6</v>
      </c>
      <c r="D40" s="123">
        <f>ROUND($C40*D39,2)</f>
        <v>0</v>
      </c>
      <c r="E40" s="123">
        <f t="shared" ref="E40" si="6">ROUND($C40*E39,2)</f>
        <v>0</v>
      </c>
      <c r="F40" s="123">
        <f t="shared" ref="F40" si="7">ROUND($C40*F39,2)</f>
        <v>0</v>
      </c>
      <c r="G40" s="123">
        <f>$C40-SUM(D40:F40)</f>
        <v>9217.6</v>
      </c>
    </row>
    <row r="41" spans="1:7" x14ac:dyDescent="0.2">
      <c r="A41" s="235" t="s">
        <v>179</v>
      </c>
      <c r="B41" s="235" t="str">
        <f>VLOOKUP($A41,'Orçamento Sintético'!$A:$H,4,0)</f>
        <v>Revestimentos de paredes</v>
      </c>
      <c r="C41" s="120">
        <f>ROUND(C42/$C$68,4)</f>
        <v>0.1893</v>
      </c>
      <c r="D41" s="122">
        <v>7.9399999999999998E-2</v>
      </c>
      <c r="E41" s="122">
        <v>0.46829999999999999</v>
      </c>
      <c r="F41" s="122">
        <v>0.35</v>
      </c>
      <c r="G41" s="122">
        <f>ROUND(G42/$C42,4)</f>
        <v>0.1023</v>
      </c>
    </row>
    <row r="42" spans="1:7" s="105" customFormat="1" x14ac:dyDescent="0.2">
      <c r="A42" s="236"/>
      <c r="B42" s="236"/>
      <c r="C42" s="121">
        <f>VLOOKUP($A41,'Orçamento Sintético'!$A:$H,8,0)</f>
        <v>171650.45</v>
      </c>
      <c r="D42" s="123">
        <f>ROUND($C42*D41,2)</f>
        <v>13629.05</v>
      </c>
      <c r="E42" s="123">
        <f t="shared" ref="E42" si="8">ROUND($C42*E41,2)</f>
        <v>80383.91</v>
      </c>
      <c r="F42" s="123">
        <f t="shared" ref="F42" si="9">ROUND($C42*F41,2)</f>
        <v>60077.66</v>
      </c>
      <c r="G42" s="123">
        <f>$C42-SUM(D42:F42)</f>
        <v>17559.830000000016</v>
      </c>
    </row>
    <row r="43" spans="1:7" x14ac:dyDescent="0.2">
      <c r="A43" s="235" t="s">
        <v>196</v>
      </c>
      <c r="B43" s="235" t="str">
        <f>VLOOKUP($A43,'Orçamento Sintético'!$A:$H,4,0)</f>
        <v>Revestimentos de forro</v>
      </c>
      <c r="C43" s="120">
        <f>ROUND(C44/$C$68,4)</f>
        <v>2.8999999999999998E-3</v>
      </c>
      <c r="D43" s="122"/>
      <c r="E43" s="122"/>
      <c r="F43" s="122">
        <v>1</v>
      </c>
      <c r="G43" s="122">
        <f>ROUND(G44/$C44,4)</f>
        <v>0</v>
      </c>
    </row>
    <row r="44" spans="1:7" s="105" customFormat="1" x14ac:dyDescent="0.2">
      <c r="A44" s="236"/>
      <c r="B44" s="236"/>
      <c r="C44" s="121">
        <f>VLOOKUP($A43,'Orçamento Sintético'!$A:$H,8,0)</f>
        <v>2644.43</v>
      </c>
      <c r="D44" s="123">
        <f>ROUND($C44*D43,2)</f>
        <v>0</v>
      </c>
      <c r="E44" s="123">
        <f t="shared" ref="E44" si="10">ROUND($C44*E43,2)</f>
        <v>0</v>
      </c>
      <c r="F44" s="123">
        <f t="shared" ref="F44" si="11">ROUND($C44*F43,2)</f>
        <v>2644.43</v>
      </c>
      <c r="G44" s="123">
        <f>$C44-SUM(D44:F44)</f>
        <v>0</v>
      </c>
    </row>
    <row r="45" spans="1:7" x14ac:dyDescent="0.2">
      <c r="A45" s="235" t="s">
        <v>204</v>
      </c>
      <c r="B45" s="235" t="str">
        <f>VLOOKUP($A45,'Orçamento Sintético'!$A:$H,4,0)</f>
        <v>Pinturas</v>
      </c>
      <c r="C45" s="120">
        <f>ROUND(C46/$C$68,4)</f>
        <v>5.2200000000000003E-2</v>
      </c>
      <c r="D45" s="122"/>
      <c r="E45" s="122"/>
      <c r="F45" s="122">
        <v>0.45760000000000001</v>
      </c>
      <c r="G45" s="122">
        <f>ROUND(G46/$C46,4)</f>
        <v>0.54239999999999999</v>
      </c>
    </row>
    <row r="46" spans="1:7" s="105" customFormat="1" x14ac:dyDescent="0.2">
      <c r="A46" s="236"/>
      <c r="B46" s="236"/>
      <c r="C46" s="121">
        <f>VLOOKUP($A45,'Orçamento Sintético'!$A:$H,8,0)</f>
        <v>47351.33</v>
      </c>
      <c r="D46" s="123">
        <f>ROUND($C46*D45,2)</f>
        <v>0</v>
      </c>
      <c r="E46" s="123">
        <f t="shared" ref="E46" si="12">ROUND($C46*E45,2)</f>
        <v>0</v>
      </c>
      <c r="F46" s="123">
        <f t="shared" ref="F46" si="13">ROUND($C46*F45,2)</f>
        <v>21667.97</v>
      </c>
      <c r="G46" s="123">
        <f>$C46-SUM(D46:F46)</f>
        <v>25683.360000000001</v>
      </c>
    </row>
    <row r="47" spans="1:7" x14ac:dyDescent="0.2">
      <c r="A47" s="235" t="s">
        <v>230</v>
      </c>
      <c r="B47" s="235" t="str">
        <f>VLOOKUP($A47,'Orçamento Sintético'!$A:$H,4,0)</f>
        <v>Impermeabilizações</v>
      </c>
      <c r="C47" s="120">
        <f>ROUND(C48/$C$68,4)</f>
        <v>0.1822</v>
      </c>
      <c r="D47" s="122"/>
      <c r="E47" s="122">
        <v>0.50519999999999998</v>
      </c>
      <c r="F47" s="122">
        <v>0.47620000000000001</v>
      </c>
      <c r="G47" s="122">
        <f>ROUND(G48/$C48,4)</f>
        <v>1.8599999999999998E-2</v>
      </c>
    </row>
    <row r="48" spans="1:7" s="105" customFormat="1" x14ac:dyDescent="0.2">
      <c r="A48" s="236"/>
      <c r="B48" s="236"/>
      <c r="C48" s="121">
        <f>VLOOKUP($A47,'Orçamento Sintético'!$A:$H,8,0)</f>
        <v>165233.12</v>
      </c>
      <c r="D48" s="123">
        <f>ROUND($C48*D47,2)</f>
        <v>0</v>
      </c>
      <c r="E48" s="123">
        <f t="shared" ref="E48" si="14">ROUND($C48*E47,2)</f>
        <v>83475.77</v>
      </c>
      <c r="F48" s="123">
        <f t="shared" ref="F48" si="15">ROUND($C48*F47,2)</f>
        <v>78684.009999999995</v>
      </c>
      <c r="G48" s="123">
        <f>$C48-SUM(D48:F48)</f>
        <v>3073.3399999999965</v>
      </c>
    </row>
    <row r="49" spans="1:7" x14ac:dyDescent="0.2">
      <c r="A49" s="235" t="s">
        <v>256</v>
      </c>
      <c r="B49" s="235" t="str">
        <f>VLOOKUP($A49,'Orçamento Sintético'!$A:$H,4,0)</f>
        <v>Acabamentos e Arremates</v>
      </c>
      <c r="C49" s="120">
        <f>ROUND(C50/$C$68,4)</f>
        <v>2.7199999999999998E-2</v>
      </c>
      <c r="D49" s="122"/>
      <c r="E49" s="122">
        <v>0.4</v>
      </c>
      <c r="F49" s="122">
        <v>0.4</v>
      </c>
      <c r="G49" s="122">
        <f>ROUND(G50/$C50,4)</f>
        <v>0.2</v>
      </c>
    </row>
    <row r="50" spans="1:7" s="105" customFormat="1" x14ac:dyDescent="0.2">
      <c r="A50" s="236"/>
      <c r="B50" s="236"/>
      <c r="C50" s="121">
        <f>VLOOKUP($A49,'Orçamento Sintético'!$A:$H,8,0)</f>
        <v>24672.21</v>
      </c>
      <c r="D50" s="123">
        <f>ROUND($C50*D49,2)</f>
        <v>0</v>
      </c>
      <c r="E50" s="123">
        <f t="shared" ref="E50" si="16">ROUND($C50*E49,2)</f>
        <v>9868.8799999999992</v>
      </c>
      <c r="F50" s="123">
        <f t="shared" ref="F50" si="17">ROUND($C50*F49,2)</f>
        <v>9868.8799999999992</v>
      </c>
      <c r="G50" s="123">
        <f>$C50-SUM(D50:F50)</f>
        <v>4934.4500000000007</v>
      </c>
    </row>
    <row r="51" spans="1:7" x14ac:dyDescent="0.2">
      <c r="A51" s="231" t="s">
        <v>264</v>
      </c>
      <c r="B51" s="233" t="str">
        <f>VLOOKUP($A51,'Orçamento Sintético'!$A:$H,4,0)</f>
        <v>INSTALAÇÕES ELÉTRICAS E ELETRÔNICAS</v>
      </c>
      <c r="C51" s="114">
        <f>ROUND(C52/$C$68,4)</f>
        <v>6.4999999999999997E-3</v>
      </c>
      <c r="D51" s="116">
        <f>ROUND(D52/$C52,4)</f>
        <v>0</v>
      </c>
      <c r="E51" s="116">
        <f>ROUND(E52/$C52,4)</f>
        <v>0.1938</v>
      </c>
      <c r="F51" s="116">
        <f>ROUND(F52/$C52,4)</f>
        <v>0.36930000000000002</v>
      </c>
      <c r="G51" s="116">
        <f>ROUND(G52/$C52,4)</f>
        <v>0.43690000000000001</v>
      </c>
    </row>
    <row r="52" spans="1:7" s="105" customFormat="1" x14ac:dyDescent="0.2">
      <c r="A52" s="232"/>
      <c r="B52" s="234"/>
      <c r="C52" s="115">
        <f>VLOOKUP($A51,'Orçamento Sintético'!$A:$H,8,0)</f>
        <v>5906.7099999999991</v>
      </c>
      <c r="D52" s="117">
        <f>D54</f>
        <v>0</v>
      </c>
      <c r="E52" s="117">
        <f>E54</f>
        <v>1144.72</v>
      </c>
      <c r="F52" s="117">
        <f>F54</f>
        <v>2181.35</v>
      </c>
      <c r="G52" s="117">
        <f>G54</f>
        <v>2580.6399999999994</v>
      </c>
    </row>
    <row r="53" spans="1:7" x14ac:dyDescent="0.2">
      <c r="A53" s="235" t="s">
        <v>266</v>
      </c>
      <c r="B53" s="235" t="str">
        <f>VLOOKUP($A53,'Orçamento Sintético'!$A:$H,4,0)</f>
        <v>SERVIÇOS DIVERSOS</v>
      </c>
      <c r="C53" s="120">
        <f>ROUND(C54/$C$68,4)</f>
        <v>6.4999999999999997E-3</v>
      </c>
      <c r="D53" s="122"/>
      <c r="E53" s="122">
        <v>0.1938</v>
      </c>
      <c r="F53" s="122">
        <v>0.36930000000000002</v>
      </c>
      <c r="G53" s="122">
        <f>ROUND(G54/$C54,4)</f>
        <v>0.43690000000000001</v>
      </c>
    </row>
    <row r="54" spans="1:7" s="105" customFormat="1" x14ac:dyDescent="0.2">
      <c r="A54" s="236"/>
      <c r="B54" s="236"/>
      <c r="C54" s="121">
        <f>VLOOKUP($A53,'Orçamento Sintético'!$A:$H,8,0)</f>
        <v>5906.7099999999991</v>
      </c>
      <c r="D54" s="123">
        <f>ROUND($C54*D53,2)</f>
        <v>0</v>
      </c>
      <c r="E54" s="123">
        <f t="shared" ref="E54" si="18">ROUND($C54*E53,2)</f>
        <v>1144.72</v>
      </c>
      <c r="F54" s="123">
        <f t="shared" ref="F54" si="19">ROUND($C54*F53,2)</f>
        <v>2181.35</v>
      </c>
      <c r="G54" s="123">
        <f>$C54-SUM(D54:F54)</f>
        <v>2580.6399999999994</v>
      </c>
    </row>
    <row r="55" spans="1:7" x14ac:dyDescent="0.2">
      <c r="A55" s="231" t="s">
        <v>283</v>
      </c>
      <c r="B55" s="233" t="str">
        <f>VLOOKUP($A55,'Orçamento Sintético'!$A:$H,4,0)</f>
        <v>SERVIÇOS COMPLEMENTARES</v>
      </c>
      <c r="C55" s="114">
        <f>ROUND(C56/$C$68,4)</f>
        <v>6.6E-3</v>
      </c>
      <c r="D55" s="116">
        <f>ROUND(D56/$C56,4)</f>
        <v>6.9199999999999998E-2</v>
      </c>
      <c r="E55" s="116">
        <f>ROUND(E56/$C56,4)</f>
        <v>0.35570000000000002</v>
      </c>
      <c r="F55" s="116">
        <f>ROUND(F56/$C56,4)</f>
        <v>0.35570000000000002</v>
      </c>
      <c r="G55" s="116">
        <f>ROUND(G56/$C56,4)</f>
        <v>0.21940000000000001</v>
      </c>
    </row>
    <row r="56" spans="1:7" s="105" customFormat="1" x14ac:dyDescent="0.2">
      <c r="A56" s="232"/>
      <c r="B56" s="234"/>
      <c r="C56" s="115">
        <f>VLOOKUP($A55,'Orçamento Sintético'!$A:$H,8,0)</f>
        <v>5947.4299999999994</v>
      </c>
      <c r="D56" s="117">
        <f>D58</f>
        <v>411.56</v>
      </c>
      <c r="E56" s="117">
        <f>E58</f>
        <v>2115.5</v>
      </c>
      <c r="F56" s="117">
        <f>F58</f>
        <v>2115.5</v>
      </c>
      <c r="G56" s="117">
        <f>G58</f>
        <v>1304.8699999999999</v>
      </c>
    </row>
    <row r="57" spans="1:7" x14ac:dyDescent="0.2">
      <c r="A57" s="235" t="s">
        <v>285</v>
      </c>
      <c r="B57" s="235" t="str">
        <f>VLOOKUP($A57,'Orçamento Sintético'!$A:$H,4,0)</f>
        <v>LIMPEZA DE OBRAS</v>
      </c>
      <c r="C57" s="120">
        <f>ROUND(C58/$C$68,4)</f>
        <v>6.6E-3</v>
      </c>
      <c r="D57" s="122">
        <v>6.9199999999999998E-2</v>
      </c>
      <c r="E57" s="122">
        <v>0.35570000000000002</v>
      </c>
      <c r="F57" s="122">
        <v>0.35570000000000002</v>
      </c>
      <c r="G57" s="122">
        <f>ROUND(G58/$C58,4)</f>
        <v>0.21940000000000001</v>
      </c>
    </row>
    <row r="58" spans="1:7" s="105" customFormat="1" x14ac:dyDescent="0.2">
      <c r="A58" s="236"/>
      <c r="B58" s="236"/>
      <c r="C58" s="121">
        <f>VLOOKUP($A57,'Orçamento Sintético'!$A:$H,8,0)</f>
        <v>5947.4299999999994</v>
      </c>
      <c r="D58" s="123">
        <f>ROUND($C58*D57,2)</f>
        <v>411.56</v>
      </c>
      <c r="E58" s="123">
        <f t="shared" ref="E58" si="20">ROUND($C58*E57,2)</f>
        <v>2115.5</v>
      </c>
      <c r="F58" s="123">
        <f t="shared" ref="F58" si="21">ROUND($C58*F57,2)</f>
        <v>2115.5</v>
      </c>
      <c r="G58" s="123">
        <f>$C58-SUM(D58:F58)</f>
        <v>1304.8699999999999</v>
      </c>
    </row>
    <row r="59" spans="1:7" x14ac:dyDescent="0.2">
      <c r="A59" s="231" t="s">
        <v>300</v>
      </c>
      <c r="B59" s="233" t="str">
        <f>VLOOKUP($A59,'Orçamento Sintético'!$A:$H,4,0)</f>
        <v>SERVIÇOS AUXILIARES E ADMINISTRATIVOS</v>
      </c>
      <c r="C59" s="114">
        <f>ROUND(C60/$C$68,4)</f>
        <v>4.1200000000000001E-2</v>
      </c>
      <c r="D59" s="116">
        <f>ROUND(D60/$C60,4)</f>
        <v>7.5600000000000001E-2</v>
      </c>
      <c r="E59" s="116">
        <f>ROUND(E60/$C60,4)</f>
        <v>0.42059999999999997</v>
      </c>
      <c r="F59" s="116">
        <f>ROUND(F60/$C60,4)</f>
        <v>0.4209</v>
      </c>
      <c r="G59" s="116">
        <f>ROUND(G60/$C60,4)</f>
        <v>8.2900000000000001E-2</v>
      </c>
    </row>
    <row r="60" spans="1:7" s="105" customFormat="1" x14ac:dyDescent="0.2">
      <c r="A60" s="232"/>
      <c r="B60" s="234"/>
      <c r="C60" s="115">
        <f>VLOOKUP($A59,'Orçamento Sintético'!$A:$H,8,0)</f>
        <v>37331.050000000003</v>
      </c>
      <c r="D60" s="117">
        <f>D62</f>
        <v>2822.23</v>
      </c>
      <c r="E60" s="117">
        <f>E62</f>
        <v>15701.44</v>
      </c>
      <c r="F60" s="117">
        <f>F62</f>
        <v>15712.64</v>
      </c>
      <c r="G60" s="117">
        <f>G62</f>
        <v>3094.7400000000052</v>
      </c>
    </row>
    <row r="61" spans="1:7" x14ac:dyDescent="0.2">
      <c r="A61" s="235" t="s">
        <v>302</v>
      </c>
      <c r="B61" s="235" t="str">
        <f>VLOOKUP($A61,'Orçamento Sintético'!$A:$H,4,0)</f>
        <v>PESSOAL</v>
      </c>
      <c r="C61" s="120">
        <f>ROUND(C62/$C$68,4)</f>
        <v>4.1200000000000001E-2</v>
      </c>
      <c r="D61" s="122">
        <f>TRUNC(D72/$C72,4)</f>
        <v>7.5600000000000001E-2</v>
      </c>
      <c r="E61" s="122">
        <f>TRUNC(E72/$C72,4)</f>
        <v>0.42059999999999997</v>
      </c>
      <c r="F61" s="122">
        <f>TRUNC(F72/$C72,4)</f>
        <v>0.4209</v>
      </c>
      <c r="G61" s="122">
        <f>ROUND(G62/$C62,4)</f>
        <v>8.2900000000000001E-2</v>
      </c>
    </row>
    <row r="62" spans="1:7" s="105" customFormat="1" x14ac:dyDescent="0.2">
      <c r="A62" s="236"/>
      <c r="B62" s="236"/>
      <c r="C62" s="121">
        <f>VLOOKUP($A61,'Orçamento Sintético'!$A:$H,8,0)</f>
        <v>37331.050000000003</v>
      </c>
      <c r="D62" s="123">
        <f t="shared" ref="D62:E62" si="22">ROUND($C62*D61,2)</f>
        <v>2822.23</v>
      </c>
      <c r="E62" s="123">
        <f t="shared" si="22"/>
        <v>15701.44</v>
      </c>
      <c r="F62" s="123">
        <f t="shared" ref="F62" si="23">ROUND($C62*F61,2)</f>
        <v>15712.64</v>
      </c>
      <c r="G62" s="123">
        <f>$C62-SUM(D62:F62)</f>
        <v>3094.7400000000052</v>
      </c>
    </row>
    <row r="63" spans="1:7" x14ac:dyDescent="0.2">
      <c r="A63" s="230" t="s">
        <v>586</v>
      </c>
      <c r="B63" s="230"/>
      <c r="C63" s="43"/>
      <c r="D63" s="127">
        <f>ROUND(D64/$C68,4)</f>
        <v>7.5600000000000001E-2</v>
      </c>
      <c r="E63" s="127">
        <f>ROUND(E64/$C68,4)</f>
        <v>0.42059999999999997</v>
      </c>
      <c r="F63" s="127">
        <f>ROUND(F64/$C68,4)</f>
        <v>0.42099999999999999</v>
      </c>
      <c r="G63" s="127">
        <f>ROUND(G64/$C68,4)</f>
        <v>8.2799999999999999E-2</v>
      </c>
    </row>
    <row r="64" spans="1:7" x14ac:dyDescent="0.2">
      <c r="A64" s="241" t="s">
        <v>587</v>
      </c>
      <c r="B64" s="241"/>
      <c r="C64" s="43"/>
      <c r="D64" s="128">
        <f>D10+D16+D30+D52+D56+D60</f>
        <v>68589.11</v>
      </c>
      <c r="E64" s="128">
        <f t="shared" ref="E64:G64" si="24">E10+E16+E30+E52+E56+E60</f>
        <v>381423.49</v>
      </c>
      <c r="F64" s="128">
        <f t="shared" si="24"/>
        <v>381751.39</v>
      </c>
      <c r="G64" s="128">
        <f t="shared" si="24"/>
        <v>75046.000000000015</v>
      </c>
    </row>
    <row r="65" spans="1:7" x14ac:dyDescent="0.2">
      <c r="A65" s="241" t="s">
        <v>342</v>
      </c>
      <c r="B65" s="241"/>
      <c r="C65" s="44"/>
      <c r="D65" s="129">
        <f>TRUNC(D64*'Composição de BDI'!$D$28,2)</f>
        <v>15171.91</v>
      </c>
      <c r="E65" s="129">
        <f>TRUNC(E64*'Composição de BDI'!$D$28,2)</f>
        <v>84370.87</v>
      </c>
      <c r="F65" s="129">
        <f>TRUNC(F64*'Composição de BDI'!$D$28,2)</f>
        <v>84443.4</v>
      </c>
      <c r="G65" s="129">
        <f>TRUNC(G64*'Composição de BDI'!$D$28,2)</f>
        <v>16600.169999999998</v>
      </c>
    </row>
    <row r="66" spans="1:7" x14ac:dyDescent="0.2">
      <c r="A66" s="109"/>
      <c r="B66" s="110" t="s">
        <v>596</v>
      </c>
      <c r="C66" s="111"/>
      <c r="D66" s="113">
        <f>TRUNC(SUM(D64+D65),2)</f>
        <v>83761.02</v>
      </c>
      <c r="E66" s="113">
        <f>TRUNC(SUM(E64+E65),2)</f>
        <v>465794.36</v>
      </c>
      <c r="F66" s="113">
        <f>TRUNC(SUM(F64+F65),2)</f>
        <v>466194.79</v>
      </c>
      <c r="G66" s="113">
        <f>TRUNC(SUM(G64+G65),2)</f>
        <v>91646.17</v>
      </c>
    </row>
    <row r="67" spans="1:7" ht="11.25" customHeight="1" x14ac:dyDescent="0.2">
      <c r="A67" s="243" t="s">
        <v>588</v>
      </c>
      <c r="B67" s="243"/>
      <c r="C67" s="43"/>
      <c r="D67" s="127">
        <f>ROUND(D68/$C68,4)</f>
        <v>7.5600000000000001E-2</v>
      </c>
      <c r="E67" s="127">
        <f>ROUND(E68/$C68,4)</f>
        <v>0.49630000000000002</v>
      </c>
      <c r="F67" s="127">
        <f>ROUND(F68/$C68,4)</f>
        <v>0.91720000000000002</v>
      </c>
      <c r="G67" s="127">
        <f>ROUND(G68/$C68,4)</f>
        <v>1</v>
      </c>
    </row>
    <row r="68" spans="1:7" x14ac:dyDescent="0.2">
      <c r="A68" s="243" t="s">
        <v>589</v>
      </c>
      <c r="B68" s="243"/>
      <c r="C68" s="112">
        <f>SUM(D64:G64)</f>
        <v>906809.99</v>
      </c>
      <c r="D68" s="32">
        <f>D64</f>
        <v>68589.11</v>
      </c>
      <c r="E68" s="32">
        <f>D68+E64</f>
        <v>450012.6</v>
      </c>
      <c r="F68" s="32">
        <f>E68+F64</f>
        <v>831763.99</v>
      </c>
      <c r="G68" s="32">
        <f>F68+G64</f>
        <v>906809.99</v>
      </c>
    </row>
    <row r="69" spans="1:7" x14ac:dyDescent="0.2">
      <c r="A69" s="109"/>
      <c r="B69" s="110" t="s">
        <v>597</v>
      </c>
      <c r="C69" s="45"/>
      <c r="D69" s="113">
        <f>D66</f>
        <v>83761.02</v>
      </c>
      <c r="E69" s="113">
        <f>D69+E66</f>
        <v>549555.38</v>
      </c>
      <c r="F69" s="113">
        <f>E69+F66</f>
        <v>1015750.1699999999</v>
      </c>
      <c r="G69" s="113">
        <f>F69+G66</f>
        <v>1107396.3399999999</v>
      </c>
    </row>
    <row r="70" spans="1:7" x14ac:dyDescent="0.2">
      <c r="A70" s="131"/>
      <c r="B70" s="131"/>
    </row>
    <row r="71" spans="1:7" x14ac:dyDescent="0.2">
      <c r="A71" s="242" t="s">
        <v>604</v>
      </c>
      <c r="B71" s="242"/>
    </row>
    <row r="72" spans="1:7" x14ac:dyDescent="0.2">
      <c r="A72" s="241" t="s">
        <v>603</v>
      </c>
      <c r="B72" s="241"/>
      <c r="C72" s="130">
        <f>SUM(D72:G72)</f>
        <v>869478.94</v>
      </c>
      <c r="D72" s="128">
        <f>D10+D16+D30+D52+D56</f>
        <v>65766.880000000005</v>
      </c>
      <c r="E72" s="128">
        <f>E10+E16+E30+E52+E56</f>
        <v>365722.05</v>
      </c>
      <c r="F72" s="128">
        <f>F10+F16+F30+F52+F56</f>
        <v>366038.75</v>
      </c>
      <c r="G72" s="128">
        <f>G10+G16+G30+G52+G56</f>
        <v>71951.260000000009</v>
      </c>
    </row>
  </sheetData>
  <mergeCells count="62">
    <mergeCell ref="B57:B58"/>
    <mergeCell ref="B61:B62"/>
    <mergeCell ref="B55:B56"/>
    <mergeCell ref="B59:B60"/>
    <mergeCell ref="A72:B72"/>
    <mergeCell ref="A71:B71"/>
    <mergeCell ref="A64:B64"/>
    <mergeCell ref="A67:B67"/>
    <mergeCell ref="A68:B68"/>
    <mergeCell ref="A65:B65"/>
    <mergeCell ref="B49:B50"/>
    <mergeCell ref="B31:B32"/>
    <mergeCell ref="B29:B30"/>
    <mergeCell ref="B51:B52"/>
    <mergeCell ref="B53:B54"/>
    <mergeCell ref="A53:A54"/>
    <mergeCell ref="A57:A58"/>
    <mergeCell ref="A61:A62"/>
    <mergeCell ref="B19:B20"/>
    <mergeCell ref="B21:B22"/>
    <mergeCell ref="B25:B26"/>
    <mergeCell ref="B27:B28"/>
    <mergeCell ref="B23:B24"/>
    <mergeCell ref="B33:B34"/>
    <mergeCell ref="B35:B36"/>
    <mergeCell ref="B37:B38"/>
    <mergeCell ref="B39:B40"/>
    <mergeCell ref="B41:B42"/>
    <mergeCell ref="B43:B44"/>
    <mergeCell ref="B45:B46"/>
    <mergeCell ref="B47:B48"/>
    <mergeCell ref="A47:A48"/>
    <mergeCell ref="A49:A50"/>
    <mergeCell ref="A23:A24"/>
    <mergeCell ref="A31:A32"/>
    <mergeCell ref="A29:A30"/>
    <mergeCell ref="A37:A38"/>
    <mergeCell ref="A39:A40"/>
    <mergeCell ref="A41:A42"/>
    <mergeCell ref="A43:A44"/>
    <mergeCell ref="A45:A46"/>
    <mergeCell ref="A21:A22"/>
    <mergeCell ref="A25:A26"/>
    <mergeCell ref="A27:A28"/>
    <mergeCell ref="A33:A34"/>
    <mergeCell ref="A35:A36"/>
    <mergeCell ref="A7:G7"/>
    <mergeCell ref="A63:B63"/>
    <mergeCell ref="A9:A10"/>
    <mergeCell ref="B9:B10"/>
    <mergeCell ref="A11:A12"/>
    <mergeCell ref="B11:B12"/>
    <mergeCell ref="A13:A14"/>
    <mergeCell ref="B13:B14"/>
    <mergeCell ref="A15:A16"/>
    <mergeCell ref="A51:A52"/>
    <mergeCell ref="A55:A56"/>
    <mergeCell ref="A59:A60"/>
    <mergeCell ref="B15:B16"/>
    <mergeCell ref="B17:B18"/>
    <mergeCell ref="A17:A18"/>
    <mergeCell ref="A19:A20"/>
  </mergeCells>
  <conditionalFormatting sqref="D9:D10">
    <cfRule type="cellIs" dxfId="644" priority="1042" operator="equal">
      <formula>0</formula>
    </cfRule>
  </conditionalFormatting>
  <conditionalFormatting sqref="E9">
    <cfRule type="cellIs" dxfId="643" priority="1041" operator="equal">
      <formula>0</formula>
    </cfRule>
  </conditionalFormatting>
  <conditionalFormatting sqref="F9">
    <cfRule type="cellIs" dxfId="642" priority="1040" operator="equal">
      <formula>0</formula>
    </cfRule>
  </conditionalFormatting>
  <conditionalFormatting sqref="G9">
    <cfRule type="cellIs" dxfId="641" priority="1039" operator="equal">
      <formula>0</formula>
    </cfRule>
  </conditionalFormatting>
  <conditionalFormatting sqref="D11:D12">
    <cfRule type="cellIs" dxfId="640" priority="1038" operator="equal">
      <formula>0</formula>
    </cfRule>
  </conditionalFormatting>
  <conditionalFormatting sqref="D11:D12">
    <cfRule type="cellIs" dxfId="639" priority="1037" operator="equal">
      <formula>0</formula>
    </cfRule>
  </conditionalFormatting>
  <conditionalFormatting sqref="D11:D12">
    <cfRule type="cellIs" dxfId="638" priority="1035" operator="notEqual">
      <formula>0</formula>
    </cfRule>
    <cfRule type="cellIs" dxfId="637" priority="1036" operator="equal">
      <formula>0</formula>
    </cfRule>
  </conditionalFormatting>
  <conditionalFormatting sqref="D11:D12">
    <cfRule type="cellIs" dxfId="636" priority="1033" operator="notEqual">
      <formula>0</formula>
    </cfRule>
    <cfRule type="cellIs" dxfId="635" priority="1034" operator="equal">
      <formula>0</formula>
    </cfRule>
  </conditionalFormatting>
  <conditionalFormatting sqref="E11:E12">
    <cfRule type="cellIs" dxfId="634" priority="1032" operator="equal">
      <formula>0</formula>
    </cfRule>
  </conditionalFormatting>
  <conditionalFormatting sqref="E11:E12">
    <cfRule type="cellIs" dxfId="633" priority="1031" operator="equal">
      <formula>0</formula>
    </cfRule>
  </conditionalFormatting>
  <conditionalFormatting sqref="E11:E12">
    <cfRule type="cellIs" dxfId="632" priority="1029" operator="notEqual">
      <formula>0</formula>
    </cfRule>
    <cfRule type="cellIs" dxfId="631" priority="1030" operator="equal">
      <formula>0</formula>
    </cfRule>
  </conditionalFormatting>
  <conditionalFormatting sqref="E11:E12">
    <cfRule type="cellIs" dxfId="630" priority="1027" operator="notEqual">
      <formula>0</formula>
    </cfRule>
    <cfRule type="cellIs" dxfId="629" priority="1028" operator="equal">
      <formula>0</formula>
    </cfRule>
  </conditionalFormatting>
  <conditionalFormatting sqref="F11:F12">
    <cfRule type="cellIs" dxfId="628" priority="1026" operator="equal">
      <formula>0</formula>
    </cfRule>
  </conditionalFormatting>
  <conditionalFormatting sqref="F11:F12">
    <cfRule type="cellIs" dxfId="627" priority="1025" operator="equal">
      <formula>0</formula>
    </cfRule>
  </conditionalFormatting>
  <conditionalFormatting sqref="F11:F12">
    <cfRule type="cellIs" dxfId="626" priority="1023" operator="notEqual">
      <formula>0</formula>
    </cfRule>
    <cfRule type="cellIs" dxfId="625" priority="1024" operator="equal">
      <formula>0</formula>
    </cfRule>
  </conditionalFormatting>
  <conditionalFormatting sqref="F11:F12">
    <cfRule type="cellIs" dxfId="624" priority="1021" operator="notEqual">
      <formula>0</formula>
    </cfRule>
    <cfRule type="cellIs" dxfId="623" priority="1022" operator="equal">
      <formula>0</formula>
    </cfRule>
  </conditionalFormatting>
  <conditionalFormatting sqref="G11:G12">
    <cfRule type="cellIs" dxfId="622" priority="1014" operator="equal">
      <formula>0</formula>
    </cfRule>
  </conditionalFormatting>
  <conditionalFormatting sqref="G11:G12">
    <cfRule type="cellIs" dxfId="621" priority="1013" operator="equal">
      <formula>0</formula>
    </cfRule>
  </conditionalFormatting>
  <conditionalFormatting sqref="G11:G12">
    <cfRule type="cellIs" dxfId="620" priority="1011" operator="notEqual">
      <formula>0</formula>
    </cfRule>
    <cfRule type="cellIs" dxfId="619" priority="1012" operator="equal">
      <formula>0</formula>
    </cfRule>
  </conditionalFormatting>
  <conditionalFormatting sqref="G11:G12">
    <cfRule type="cellIs" dxfId="618" priority="1009" operator="notEqual">
      <formula>0</formula>
    </cfRule>
    <cfRule type="cellIs" dxfId="617" priority="1010" operator="equal">
      <formula>0</formula>
    </cfRule>
  </conditionalFormatting>
  <conditionalFormatting sqref="D13:D14">
    <cfRule type="cellIs" dxfId="616" priority="1008" operator="equal">
      <formula>0</formula>
    </cfRule>
  </conditionalFormatting>
  <conditionalFormatting sqref="D13:D14">
    <cfRule type="cellIs" dxfId="615" priority="1007" operator="equal">
      <formula>0</formula>
    </cfRule>
  </conditionalFormatting>
  <conditionalFormatting sqref="D13:D14">
    <cfRule type="cellIs" dxfId="614" priority="1005" operator="notEqual">
      <formula>0</formula>
    </cfRule>
    <cfRule type="cellIs" dxfId="613" priority="1006" operator="equal">
      <formula>0</formula>
    </cfRule>
  </conditionalFormatting>
  <conditionalFormatting sqref="D13:D14">
    <cfRule type="cellIs" dxfId="612" priority="1003" operator="notEqual">
      <formula>0</formula>
    </cfRule>
    <cfRule type="cellIs" dxfId="611" priority="1004" operator="equal">
      <formula>0</formula>
    </cfRule>
  </conditionalFormatting>
  <conditionalFormatting sqref="E13:E14">
    <cfRule type="cellIs" dxfId="610" priority="1002" operator="equal">
      <formula>0</formula>
    </cfRule>
  </conditionalFormatting>
  <conditionalFormatting sqref="E13:E14">
    <cfRule type="cellIs" dxfId="609" priority="1001" operator="equal">
      <formula>0</formula>
    </cfRule>
  </conditionalFormatting>
  <conditionalFormatting sqref="E13:E14">
    <cfRule type="cellIs" dxfId="608" priority="999" operator="notEqual">
      <formula>0</formula>
    </cfRule>
    <cfRule type="cellIs" dxfId="607" priority="1000" operator="equal">
      <formula>0</formula>
    </cfRule>
  </conditionalFormatting>
  <conditionalFormatting sqref="E13:E14">
    <cfRule type="cellIs" dxfId="606" priority="997" operator="notEqual">
      <formula>0</formula>
    </cfRule>
    <cfRule type="cellIs" dxfId="605" priority="998" operator="equal">
      <formula>0</formula>
    </cfRule>
  </conditionalFormatting>
  <conditionalFormatting sqref="F13:F14">
    <cfRule type="cellIs" dxfId="604" priority="996" operator="equal">
      <formula>0</formula>
    </cfRule>
  </conditionalFormatting>
  <conditionalFormatting sqref="F13:F14">
    <cfRule type="cellIs" dxfId="603" priority="995" operator="equal">
      <formula>0</formula>
    </cfRule>
  </conditionalFormatting>
  <conditionalFormatting sqref="F13:F14">
    <cfRule type="cellIs" dxfId="602" priority="993" operator="notEqual">
      <formula>0</formula>
    </cfRule>
    <cfRule type="cellIs" dxfId="601" priority="994" operator="equal">
      <formula>0</formula>
    </cfRule>
  </conditionalFormatting>
  <conditionalFormatting sqref="F13:F14">
    <cfRule type="cellIs" dxfId="600" priority="991" operator="notEqual">
      <formula>0</formula>
    </cfRule>
    <cfRule type="cellIs" dxfId="599" priority="992" operator="equal">
      <formula>0</formula>
    </cfRule>
  </conditionalFormatting>
  <conditionalFormatting sqref="G13:G14">
    <cfRule type="cellIs" dxfId="598" priority="990" operator="equal">
      <formula>0</formula>
    </cfRule>
  </conditionalFormatting>
  <conditionalFormatting sqref="G13:G14">
    <cfRule type="cellIs" dxfId="597" priority="989" operator="equal">
      <formula>0</formula>
    </cfRule>
  </conditionalFormatting>
  <conditionalFormatting sqref="G13:G14">
    <cfRule type="cellIs" dxfId="596" priority="987" operator="notEqual">
      <formula>0</formula>
    </cfRule>
    <cfRule type="cellIs" dxfId="595" priority="988" operator="equal">
      <formula>0</formula>
    </cfRule>
  </conditionalFormatting>
  <conditionalFormatting sqref="G13:G14">
    <cfRule type="cellIs" dxfId="594" priority="985" operator="notEqual">
      <formula>0</formula>
    </cfRule>
    <cfRule type="cellIs" dxfId="593" priority="986" operator="equal">
      <formula>0</formula>
    </cfRule>
  </conditionalFormatting>
  <conditionalFormatting sqref="E10">
    <cfRule type="cellIs" dxfId="592" priority="984" operator="equal">
      <formula>0</formula>
    </cfRule>
  </conditionalFormatting>
  <conditionalFormatting sqref="F10">
    <cfRule type="cellIs" dxfId="591" priority="983" operator="equal">
      <formula>0</formula>
    </cfRule>
  </conditionalFormatting>
  <conditionalFormatting sqref="G10">
    <cfRule type="cellIs" dxfId="590" priority="982" operator="equal">
      <formula>0</formula>
    </cfRule>
  </conditionalFormatting>
  <conditionalFormatting sqref="D15:D16">
    <cfRule type="cellIs" dxfId="589" priority="981" operator="equal">
      <formula>0</formula>
    </cfRule>
  </conditionalFormatting>
  <conditionalFormatting sqref="E15">
    <cfRule type="cellIs" dxfId="588" priority="980" operator="equal">
      <formula>0</formula>
    </cfRule>
  </conditionalFormatting>
  <conditionalFormatting sqref="F15">
    <cfRule type="cellIs" dxfId="587" priority="979" operator="equal">
      <formula>0</formula>
    </cfRule>
  </conditionalFormatting>
  <conditionalFormatting sqref="G15">
    <cfRule type="cellIs" dxfId="586" priority="978" operator="equal">
      <formula>0</formula>
    </cfRule>
  </conditionalFormatting>
  <conditionalFormatting sqref="D19:D20">
    <cfRule type="cellIs" dxfId="585" priority="974" operator="equal">
      <formula>0</formula>
    </cfRule>
  </conditionalFormatting>
  <conditionalFormatting sqref="D19:D20">
    <cfRule type="cellIs" dxfId="584" priority="973" operator="equal">
      <formula>0</formula>
    </cfRule>
  </conditionalFormatting>
  <conditionalFormatting sqref="D19:D20">
    <cfRule type="cellIs" dxfId="583" priority="971" operator="notEqual">
      <formula>0</formula>
    </cfRule>
    <cfRule type="cellIs" dxfId="582" priority="972" operator="equal">
      <formula>0</formula>
    </cfRule>
  </conditionalFormatting>
  <conditionalFormatting sqref="D19:D20">
    <cfRule type="cellIs" dxfId="581" priority="969" operator="notEqual">
      <formula>0</formula>
    </cfRule>
    <cfRule type="cellIs" dxfId="580" priority="970" operator="equal">
      <formula>0</formula>
    </cfRule>
  </conditionalFormatting>
  <conditionalFormatting sqref="G19:G20">
    <cfRule type="cellIs" dxfId="579" priority="956" operator="equal">
      <formula>0</formula>
    </cfRule>
  </conditionalFormatting>
  <conditionalFormatting sqref="G19:G20">
    <cfRule type="cellIs" dxfId="578" priority="955" operator="equal">
      <formula>0</formula>
    </cfRule>
  </conditionalFormatting>
  <conditionalFormatting sqref="G19:G20">
    <cfRule type="cellIs" dxfId="577" priority="953" operator="notEqual">
      <formula>0</formula>
    </cfRule>
    <cfRule type="cellIs" dxfId="576" priority="954" operator="equal">
      <formula>0</formula>
    </cfRule>
  </conditionalFormatting>
  <conditionalFormatting sqref="G19:G20">
    <cfRule type="cellIs" dxfId="575" priority="951" operator="notEqual">
      <formula>0</formula>
    </cfRule>
    <cfRule type="cellIs" dxfId="574" priority="952" operator="equal">
      <formula>0</formula>
    </cfRule>
  </conditionalFormatting>
  <conditionalFormatting sqref="D17:D18">
    <cfRule type="cellIs" dxfId="573" priority="878" operator="equal">
      <formula>0</formula>
    </cfRule>
  </conditionalFormatting>
  <conditionalFormatting sqref="E17:E18">
    <cfRule type="cellIs" dxfId="572" priority="875" operator="equal">
      <formula>0</formula>
    </cfRule>
  </conditionalFormatting>
  <conditionalFormatting sqref="F17:F18">
    <cfRule type="cellIs" dxfId="571" priority="874" operator="equal">
      <formula>0</formula>
    </cfRule>
  </conditionalFormatting>
  <conditionalFormatting sqref="G17">
    <cfRule type="cellIs" dxfId="570" priority="873" operator="equal">
      <formula>0</formula>
    </cfRule>
  </conditionalFormatting>
  <conditionalFormatting sqref="G18">
    <cfRule type="cellIs" dxfId="569" priority="872" operator="equal">
      <formula>0</formula>
    </cfRule>
  </conditionalFormatting>
  <conditionalFormatting sqref="E19">
    <cfRule type="cellIs" dxfId="568" priority="871" operator="equal">
      <formula>0</formula>
    </cfRule>
  </conditionalFormatting>
  <conditionalFormatting sqref="E19">
    <cfRule type="cellIs" dxfId="567" priority="870" operator="equal">
      <formula>0</formula>
    </cfRule>
  </conditionalFormatting>
  <conditionalFormatting sqref="E19">
    <cfRule type="cellIs" dxfId="566" priority="868" operator="notEqual">
      <formula>0</formula>
    </cfRule>
    <cfRule type="cellIs" dxfId="565" priority="869" operator="equal">
      <formula>0</formula>
    </cfRule>
  </conditionalFormatting>
  <conditionalFormatting sqref="E19">
    <cfRule type="cellIs" dxfId="564" priority="866" operator="notEqual">
      <formula>0</formula>
    </cfRule>
    <cfRule type="cellIs" dxfId="563" priority="867" operator="equal">
      <formula>0</formula>
    </cfRule>
  </conditionalFormatting>
  <conditionalFormatting sqref="F19">
    <cfRule type="cellIs" dxfId="562" priority="865" operator="equal">
      <formula>0</formula>
    </cfRule>
  </conditionalFormatting>
  <conditionalFormatting sqref="F19">
    <cfRule type="cellIs" dxfId="561" priority="864" operator="equal">
      <formula>0</formula>
    </cfRule>
  </conditionalFormatting>
  <conditionalFormatting sqref="F19">
    <cfRule type="cellIs" dxfId="560" priority="862" operator="notEqual">
      <formula>0</formula>
    </cfRule>
    <cfRule type="cellIs" dxfId="559" priority="863" operator="equal">
      <formula>0</formula>
    </cfRule>
  </conditionalFormatting>
  <conditionalFormatting sqref="F19">
    <cfRule type="cellIs" dxfId="558" priority="860" operator="notEqual">
      <formula>0</formula>
    </cfRule>
    <cfRule type="cellIs" dxfId="557" priority="861" operator="equal">
      <formula>0</formula>
    </cfRule>
  </conditionalFormatting>
  <conditionalFormatting sqref="D21:D22">
    <cfRule type="cellIs" dxfId="556" priority="859" operator="equal">
      <formula>0</formula>
    </cfRule>
  </conditionalFormatting>
  <conditionalFormatting sqref="D21:D22">
    <cfRule type="cellIs" dxfId="555" priority="858" operator="equal">
      <formula>0</formula>
    </cfRule>
  </conditionalFormatting>
  <conditionalFormatting sqref="D21:D22">
    <cfRule type="cellIs" dxfId="554" priority="856" operator="notEqual">
      <formula>0</formula>
    </cfRule>
    <cfRule type="cellIs" dxfId="553" priority="857" operator="equal">
      <formula>0</formula>
    </cfRule>
  </conditionalFormatting>
  <conditionalFormatting sqref="D21:D22">
    <cfRule type="cellIs" dxfId="552" priority="854" operator="notEqual">
      <formula>0</formula>
    </cfRule>
    <cfRule type="cellIs" dxfId="551" priority="855" operator="equal">
      <formula>0</formula>
    </cfRule>
  </conditionalFormatting>
  <conditionalFormatting sqref="D25:D26">
    <cfRule type="cellIs" dxfId="550" priority="835" operator="equal">
      <formula>0</formula>
    </cfRule>
  </conditionalFormatting>
  <conditionalFormatting sqref="D25:D26">
    <cfRule type="cellIs" dxfId="549" priority="834" operator="equal">
      <formula>0</formula>
    </cfRule>
  </conditionalFormatting>
  <conditionalFormatting sqref="D25:D26">
    <cfRule type="cellIs" dxfId="548" priority="832" operator="notEqual">
      <formula>0</formula>
    </cfRule>
    <cfRule type="cellIs" dxfId="547" priority="833" operator="equal">
      <formula>0</formula>
    </cfRule>
  </conditionalFormatting>
  <conditionalFormatting sqref="D25:D26">
    <cfRule type="cellIs" dxfId="546" priority="830" operator="notEqual">
      <formula>0</formula>
    </cfRule>
    <cfRule type="cellIs" dxfId="545" priority="831" operator="equal">
      <formula>0</formula>
    </cfRule>
  </conditionalFormatting>
  <conditionalFormatting sqref="G25">
    <cfRule type="cellIs" dxfId="544" priority="829" operator="equal">
      <formula>0</formula>
    </cfRule>
  </conditionalFormatting>
  <conditionalFormatting sqref="G25">
    <cfRule type="cellIs" dxfId="543" priority="828" operator="equal">
      <formula>0</formula>
    </cfRule>
  </conditionalFormatting>
  <conditionalFormatting sqref="G25">
    <cfRule type="cellIs" dxfId="542" priority="826" operator="notEqual">
      <formula>0</formula>
    </cfRule>
    <cfRule type="cellIs" dxfId="541" priority="827" operator="equal">
      <formula>0</formula>
    </cfRule>
  </conditionalFormatting>
  <conditionalFormatting sqref="G25">
    <cfRule type="cellIs" dxfId="540" priority="824" operator="notEqual">
      <formula>0</formula>
    </cfRule>
    <cfRule type="cellIs" dxfId="539" priority="825" operator="equal">
      <formula>0</formula>
    </cfRule>
  </conditionalFormatting>
  <conditionalFormatting sqref="E25">
    <cfRule type="cellIs" dxfId="538" priority="823" operator="equal">
      <formula>0</formula>
    </cfRule>
  </conditionalFormatting>
  <conditionalFormatting sqref="E25">
    <cfRule type="cellIs" dxfId="537" priority="822" operator="equal">
      <formula>0</formula>
    </cfRule>
  </conditionalFormatting>
  <conditionalFormatting sqref="E25">
    <cfRule type="cellIs" dxfId="536" priority="820" operator="notEqual">
      <formula>0</formula>
    </cfRule>
    <cfRule type="cellIs" dxfId="535" priority="821" operator="equal">
      <formula>0</formula>
    </cfRule>
  </conditionalFormatting>
  <conditionalFormatting sqref="E25">
    <cfRule type="cellIs" dxfId="534" priority="818" operator="notEqual">
      <formula>0</formula>
    </cfRule>
    <cfRule type="cellIs" dxfId="533" priority="819" operator="equal">
      <formula>0</formula>
    </cfRule>
  </conditionalFormatting>
  <conditionalFormatting sqref="F25">
    <cfRule type="cellIs" dxfId="532" priority="817" operator="equal">
      <formula>0</formula>
    </cfRule>
  </conditionalFormatting>
  <conditionalFormatting sqref="F25">
    <cfRule type="cellIs" dxfId="531" priority="816" operator="equal">
      <formula>0</formula>
    </cfRule>
  </conditionalFormatting>
  <conditionalFormatting sqref="F25">
    <cfRule type="cellIs" dxfId="530" priority="814" operator="notEqual">
      <formula>0</formula>
    </cfRule>
    <cfRule type="cellIs" dxfId="529" priority="815" operator="equal">
      <formula>0</formula>
    </cfRule>
  </conditionalFormatting>
  <conditionalFormatting sqref="F25">
    <cfRule type="cellIs" dxfId="528" priority="812" operator="notEqual">
      <formula>0</formula>
    </cfRule>
    <cfRule type="cellIs" dxfId="527" priority="813" operator="equal">
      <formula>0</formula>
    </cfRule>
  </conditionalFormatting>
  <conditionalFormatting sqref="D27:D28">
    <cfRule type="cellIs" dxfId="526" priority="811" operator="equal">
      <formula>0</formula>
    </cfRule>
  </conditionalFormatting>
  <conditionalFormatting sqref="D27:D28">
    <cfRule type="cellIs" dxfId="525" priority="810" operator="equal">
      <formula>0</formula>
    </cfRule>
  </conditionalFormatting>
  <conditionalFormatting sqref="D27:D28">
    <cfRule type="cellIs" dxfId="524" priority="808" operator="notEqual">
      <formula>0</formula>
    </cfRule>
    <cfRule type="cellIs" dxfId="523" priority="809" operator="equal">
      <formula>0</formula>
    </cfRule>
  </conditionalFormatting>
  <conditionalFormatting sqref="D27:D28">
    <cfRule type="cellIs" dxfId="522" priority="806" operator="notEqual">
      <formula>0</formula>
    </cfRule>
    <cfRule type="cellIs" dxfId="521" priority="807" operator="equal">
      <formula>0</formula>
    </cfRule>
  </conditionalFormatting>
  <conditionalFormatting sqref="G27">
    <cfRule type="cellIs" dxfId="520" priority="805" operator="equal">
      <formula>0</formula>
    </cfRule>
  </conditionalFormatting>
  <conditionalFormatting sqref="G27">
    <cfRule type="cellIs" dxfId="519" priority="804" operator="equal">
      <formula>0</formula>
    </cfRule>
  </conditionalFormatting>
  <conditionalFormatting sqref="G27">
    <cfRule type="cellIs" dxfId="518" priority="802" operator="notEqual">
      <formula>0</formula>
    </cfRule>
    <cfRule type="cellIs" dxfId="517" priority="803" operator="equal">
      <formula>0</formula>
    </cfRule>
  </conditionalFormatting>
  <conditionalFormatting sqref="G27">
    <cfRule type="cellIs" dxfId="516" priority="800" operator="notEqual">
      <formula>0</formula>
    </cfRule>
    <cfRule type="cellIs" dxfId="515" priority="801" operator="equal">
      <formula>0</formula>
    </cfRule>
  </conditionalFormatting>
  <conditionalFormatting sqref="E27">
    <cfRule type="cellIs" dxfId="514" priority="799" operator="equal">
      <formula>0</formula>
    </cfRule>
  </conditionalFormatting>
  <conditionalFormatting sqref="E27">
    <cfRule type="cellIs" dxfId="513" priority="798" operator="equal">
      <formula>0</formula>
    </cfRule>
  </conditionalFormatting>
  <conditionalFormatting sqref="E27">
    <cfRule type="cellIs" dxfId="512" priority="796" operator="notEqual">
      <formula>0</formula>
    </cfRule>
    <cfRule type="cellIs" dxfId="511" priority="797" operator="equal">
      <formula>0</formula>
    </cfRule>
  </conditionalFormatting>
  <conditionalFormatting sqref="E27">
    <cfRule type="cellIs" dxfId="510" priority="794" operator="notEqual">
      <formula>0</formula>
    </cfRule>
    <cfRule type="cellIs" dxfId="509" priority="795" operator="equal">
      <formula>0</formula>
    </cfRule>
  </conditionalFormatting>
  <conditionalFormatting sqref="F27">
    <cfRule type="cellIs" dxfId="508" priority="793" operator="equal">
      <formula>0</formula>
    </cfRule>
  </conditionalFormatting>
  <conditionalFormatting sqref="F27">
    <cfRule type="cellIs" dxfId="507" priority="792" operator="equal">
      <formula>0</formula>
    </cfRule>
  </conditionalFormatting>
  <conditionalFormatting sqref="F27">
    <cfRule type="cellIs" dxfId="506" priority="790" operator="notEqual">
      <formula>0</formula>
    </cfRule>
    <cfRule type="cellIs" dxfId="505" priority="791" operator="equal">
      <formula>0</formula>
    </cfRule>
  </conditionalFormatting>
  <conditionalFormatting sqref="F27">
    <cfRule type="cellIs" dxfId="504" priority="788" operator="notEqual">
      <formula>0</formula>
    </cfRule>
    <cfRule type="cellIs" dxfId="503" priority="789" operator="equal">
      <formula>0</formula>
    </cfRule>
  </conditionalFormatting>
  <conditionalFormatting sqref="D23:D24">
    <cfRule type="cellIs" dxfId="502" priority="787" operator="equal">
      <formula>0</formula>
    </cfRule>
  </conditionalFormatting>
  <conditionalFormatting sqref="E23:E24">
    <cfRule type="cellIs" dxfId="501" priority="786" operator="equal">
      <formula>0</formula>
    </cfRule>
  </conditionalFormatting>
  <conditionalFormatting sqref="F23:F24">
    <cfRule type="cellIs" dxfId="500" priority="785" operator="equal">
      <formula>0</formula>
    </cfRule>
  </conditionalFormatting>
  <conditionalFormatting sqref="G23">
    <cfRule type="cellIs" dxfId="499" priority="784" operator="equal">
      <formula>0</formula>
    </cfRule>
  </conditionalFormatting>
  <conditionalFormatting sqref="G24">
    <cfRule type="cellIs" dxfId="498" priority="783" operator="equal">
      <formula>0</formula>
    </cfRule>
  </conditionalFormatting>
  <conditionalFormatting sqref="D33:F34">
    <cfRule type="cellIs" dxfId="497" priority="782" operator="equal">
      <formula>0</formula>
    </cfRule>
  </conditionalFormatting>
  <conditionalFormatting sqref="D33:F34">
    <cfRule type="cellIs" dxfId="496" priority="781" operator="equal">
      <formula>0</formula>
    </cfRule>
  </conditionalFormatting>
  <conditionalFormatting sqref="D33:F34">
    <cfRule type="cellIs" dxfId="495" priority="779" operator="notEqual">
      <formula>0</formula>
    </cfRule>
    <cfRule type="cellIs" dxfId="494" priority="780" operator="equal">
      <formula>0</formula>
    </cfRule>
  </conditionalFormatting>
  <conditionalFormatting sqref="D33:F34">
    <cfRule type="cellIs" dxfId="493" priority="777" operator="notEqual">
      <formula>0</formula>
    </cfRule>
    <cfRule type="cellIs" dxfId="492" priority="778" operator="equal">
      <formula>0</formula>
    </cfRule>
  </conditionalFormatting>
  <conditionalFormatting sqref="G33:G34">
    <cfRule type="cellIs" dxfId="491" priority="776" operator="equal">
      <formula>0</formula>
    </cfRule>
  </conditionalFormatting>
  <conditionalFormatting sqref="G33:G34">
    <cfRule type="cellIs" dxfId="490" priority="775" operator="equal">
      <formula>0</formula>
    </cfRule>
  </conditionalFormatting>
  <conditionalFormatting sqref="G33:G34">
    <cfRule type="cellIs" dxfId="489" priority="773" operator="notEqual">
      <formula>0</formula>
    </cfRule>
    <cfRule type="cellIs" dxfId="488" priority="774" operator="equal">
      <formula>0</formula>
    </cfRule>
  </conditionalFormatting>
  <conditionalFormatting sqref="G33:G34">
    <cfRule type="cellIs" dxfId="487" priority="771" operator="notEqual">
      <formula>0</formula>
    </cfRule>
    <cfRule type="cellIs" dxfId="486" priority="772" operator="equal">
      <formula>0</formula>
    </cfRule>
  </conditionalFormatting>
  <conditionalFormatting sqref="E33:E34">
    <cfRule type="cellIs" dxfId="485" priority="770" operator="equal">
      <formula>0</formula>
    </cfRule>
  </conditionalFormatting>
  <conditionalFormatting sqref="E33:E34">
    <cfRule type="cellIs" dxfId="484" priority="769" operator="equal">
      <formula>0</formula>
    </cfRule>
  </conditionalFormatting>
  <conditionalFormatting sqref="E33:E34">
    <cfRule type="cellIs" dxfId="483" priority="767" operator="notEqual">
      <formula>0</formula>
    </cfRule>
    <cfRule type="cellIs" dxfId="482" priority="768" operator="equal">
      <formula>0</formula>
    </cfRule>
  </conditionalFormatting>
  <conditionalFormatting sqref="E33:E34">
    <cfRule type="cellIs" dxfId="481" priority="765" operator="notEqual">
      <formula>0</formula>
    </cfRule>
    <cfRule type="cellIs" dxfId="480" priority="766" operator="equal">
      <formula>0</formula>
    </cfRule>
  </conditionalFormatting>
  <conditionalFormatting sqref="F33:F34">
    <cfRule type="cellIs" dxfId="479" priority="764" operator="equal">
      <formula>0</formula>
    </cfRule>
  </conditionalFormatting>
  <conditionalFormatting sqref="F33:F34">
    <cfRule type="cellIs" dxfId="478" priority="763" operator="equal">
      <formula>0</formula>
    </cfRule>
  </conditionalFormatting>
  <conditionalFormatting sqref="F33:F34">
    <cfRule type="cellIs" dxfId="477" priority="761" operator="notEqual">
      <formula>0</formula>
    </cfRule>
    <cfRule type="cellIs" dxfId="476" priority="762" operator="equal">
      <formula>0</formula>
    </cfRule>
  </conditionalFormatting>
  <conditionalFormatting sqref="F33:F34">
    <cfRule type="cellIs" dxfId="475" priority="759" operator="notEqual">
      <formula>0</formula>
    </cfRule>
    <cfRule type="cellIs" dxfId="474" priority="760" operator="equal">
      <formula>0</formula>
    </cfRule>
  </conditionalFormatting>
  <conditionalFormatting sqref="D35:D36">
    <cfRule type="cellIs" dxfId="473" priority="758" operator="equal">
      <formula>0</formula>
    </cfRule>
  </conditionalFormatting>
  <conditionalFormatting sqref="D35:D36">
    <cfRule type="cellIs" dxfId="472" priority="757" operator="equal">
      <formula>0</formula>
    </cfRule>
  </conditionalFormatting>
  <conditionalFormatting sqref="D35:D36">
    <cfRule type="cellIs" dxfId="471" priority="755" operator="notEqual">
      <formula>0</formula>
    </cfRule>
    <cfRule type="cellIs" dxfId="470" priority="756" operator="equal">
      <formula>0</formula>
    </cfRule>
  </conditionalFormatting>
  <conditionalFormatting sqref="D35:D36">
    <cfRule type="cellIs" dxfId="469" priority="753" operator="notEqual">
      <formula>0</formula>
    </cfRule>
    <cfRule type="cellIs" dxfId="468" priority="754" operator="equal">
      <formula>0</formula>
    </cfRule>
  </conditionalFormatting>
  <conditionalFormatting sqref="D37:D38">
    <cfRule type="cellIs" dxfId="467" priority="734" operator="equal">
      <formula>0</formula>
    </cfRule>
  </conditionalFormatting>
  <conditionalFormatting sqref="D37:D38">
    <cfRule type="cellIs" dxfId="466" priority="733" operator="equal">
      <formula>0</formula>
    </cfRule>
  </conditionalFormatting>
  <conditionalFormatting sqref="D37:D38">
    <cfRule type="cellIs" dxfId="465" priority="731" operator="notEqual">
      <formula>0</formula>
    </cfRule>
    <cfRule type="cellIs" dxfId="464" priority="732" operator="equal">
      <formula>0</formula>
    </cfRule>
  </conditionalFormatting>
  <conditionalFormatting sqref="D37:D38">
    <cfRule type="cellIs" dxfId="463" priority="729" operator="notEqual">
      <formula>0</formula>
    </cfRule>
    <cfRule type="cellIs" dxfId="462" priority="730" operator="equal">
      <formula>0</formula>
    </cfRule>
  </conditionalFormatting>
  <conditionalFormatting sqref="D39:D40">
    <cfRule type="cellIs" dxfId="461" priority="710" operator="equal">
      <formula>0</formula>
    </cfRule>
  </conditionalFormatting>
  <conditionalFormatting sqref="D39:D40">
    <cfRule type="cellIs" dxfId="460" priority="709" operator="equal">
      <formula>0</formula>
    </cfRule>
  </conditionalFormatting>
  <conditionalFormatting sqref="D39:D40">
    <cfRule type="cellIs" dxfId="459" priority="707" operator="notEqual">
      <formula>0</formula>
    </cfRule>
    <cfRule type="cellIs" dxfId="458" priority="708" operator="equal">
      <formula>0</formula>
    </cfRule>
  </conditionalFormatting>
  <conditionalFormatting sqref="D39:D40">
    <cfRule type="cellIs" dxfId="457" priority="705" operator="notEqual">
      <formula>0</formula>
    </cfRule>
    <cfRule type="cellIs" dxfId="456" priority="706" operator="equal">
      <formula>0</formula>
    </cfRule>
  </conditionalFormatting>
  <conditionalFormatting sqref="D41:D42">
    <cfRule type="cellIs" dxfId="455" priority="686" operator="equal">
      <formula>0</formula>
    </cfRule>
  </conditionalFormatting>
  <conditionalFormatting sqref="D41:D42">
    <cfRule type="cellIs" dxfId="454" priority="685" operator="equal">
      <formula>0</formula>
    </cfRule>
  </conditionalFormatting>
  <conditionalFormatting sqref="D41:D42">
    <cfRule type="cellIs" dxfId="453" priority="683" operator="notEqual">
      <formula>0</formula>
    </cfRule>
    <cfRule type="cellIs" dxfId="452" priority="684" operator="equal">
      <formula>0</formula>
    </cfRule>
  </conditionalFormatting>
  <conditionalFormatting sqref="D41:D42">
    <cfRule type="cellIs" dxfId="451" priority="681" operator="notEqual">
      <formula>0</formula>
    </cfRule>
    <cfRule type="cellIs" dxfId="450" priority="682" operator="equal">
      <formula>0</formula>
    </cfRule>
  </conditionalFormatting>
  <conditionalFormatting sqref="D43:D44">
    <cfRule type="cellIs" dxfId="449" priority="662" operator="equal">
      <formula>0</formula>
    </cfRule>
  </conditionalFormatting>
  <conditionalFormatting sqref="D43:D44">
    <cfRule type="cellIs" dxfId="448" priority="661" operator="equal">
      <formula>0</formula>
    </cfRule>
  </conditionalFormatting>
  <conditionalFormatting sqref="D43:D44">
    <cfRule type="cellIs" dxfId="447" priority="659" operator="notEqual">
      <formula>0</formula>
    </cfRule>
    <cfRule type="cellIs" dxfId="446" priority="660" operator="equal">
      <formula>0</formula>
    </cfRule>
  </conditionalFormatting>
  <conditionalFormatting sqref="D43:D44">
    <cfRule type="cellIs" dxfId="445" priority="657" operator="notEqual">
      <formula>0</formula>
    </cfRule>
    <cfRule type="cellIs" dxfId="444" priority="658" operator="equal">
      <formula>0</formula>
    </cfRule>
  </conditionalFormatting>
  <conditionalFormatting sqref="D45:D46">
    <cfRule type="cellIs" dxfId="443" priority="638" operator="equal">
      <formula>0</formula>
    </cfRule>
  </conditionalFormatting>
  <conditionalFormatting sqref="D45:D46">
    <cfRule type="cellIs" dxfId="442" priority="637" operator="equal">
      <formula>0</formula>
    </cfRule>
  </conditionalFormatting>
  <conditionalFormatting sqref="D45:D46">
    <cfRule type="cellIs" dxfId="441" priority="635" operator="notEqual">
      <formula>0</formula>
    </cfRule>
    <cfRule type="cellIs" dxfId="440" priority="636" operator="equal">
      <formula>0</formula>
    </cfRule>
  </conditionalFormatting>
  <conditionalFormatting sqref="D45:D46">
    <cfRule type="cellIs" dxfId="439" priority="633" operator="notEqual">
      <formula>0</formula>
    </cfRule>
    <cfRule type="cellIs" dxfId="438" priority="634" operator="equal">
      <formula>0</formula>
    </cfRule>
  </conditionalFormatting>
  <conditionalFormatting sqref="D47:D48">
    <cfRule type="cellIs" dxfId="437" priority="614" operator="equal">
      <formula>0</formula>
    </cfRule>
  </conditionalFormatting>
  <conditionalFormatting sqref="D47:D48">
    <cfRule type="cellIs" dxfId="436" priority="613" operator="equal">
      <formula>0</formula>
    </cfRule>
  </conditionalFormatting>
  <conditionalFormatting sqref="D47:D48">
    <cfRule type="cellIs" dxfId="435" priority="611" operator="notEqual">
      <formula>0</formula>
    </cfRule>
    <cfRule type="cellIs" dxfId="434" priority="612" operator="equal">
      <formula>0</formula>
    </cfRule>
  </conditionalFormatting>
  <conditionalFormatting sqref="D47:D48">
    <cfRule type="cellIs" dxfId="433" priority="609" operator="notEqual">
      <formula>0</formula>
    </cfRule>
    <cfRule type="cellIs" dxfId="432" priority="610" operator="equal">
      <formula>0</formula>
    </cfRule>
  </conditionalFormatting>
  <conditionalFormatting sqref="D49:D50">
    <cfRule type="cellIs" dxfId="431" priority="590" operator="equal">
      <formula>0</formula>
    </cfRule>
  </conditionalFormatting>
  <conditionalFormatting sqref="D49:D50">
    <cfRule type="cellIs" dxfId="430" priority="589" operator="equal">
      <formula>0</formula>
    </cfRule>
  </conditionalFormatting>
  <conditionalFormatting sqref="D49:D50">
    <cfRule type="cellIs" dxfId="429" priority="587" operator="notEqual">
      <formula>0</formula>
    </cfRule>
    <cfRule type="cellIs" dxfId="428" priority="588" operator="equal">
      <formula>0</formula>
    </cfRule>
  </conditionalFormatting>
  <conditionalFormatting sqref="D49:D50">
    <cfRule type="cellIs" dxfId="427" priority="585" operator="notEqual">
      <formula>0</formula>
    </cfRule>
    <cfRule type="cellIs" dxfId="426" priority="586" operator="equal">
      <formula>0</formula>
    </cfRule>
  </conditionalFormatting>
  <conditionalFormatting sqref="D31:D32 D32:G32">
    <cfRule type="cellIs" dxfId="425" priority="566" operator="equal">
      <formula>0</formula>
    </cfRule>
  </conditionalFormatting>
  <conditionalFormatting sqref="E31:E32">
    <cfRule type="cellIs" dxfId="424" priority="561" operator="equal">
      <formula>0</formula>
    </cfRule>
  </conditionalFormatting>
  <conditionalFormatting sqref="F31:F32">
    <cfRule type="cellIs" dxfId="423" priority="560" operator="equal">
      <formula>0</formula>
    </cfRule>
  </conditionalFormatting>
  <conditionalFormatting sqref="G31:G32">
    <cfRule type="cellIs" dxfId="422" priority="559" operator="equal">
      <formula>0</formula>
    </cfRule>
  </conditionalFormatting>
  <conditionalFormatting sqref="D29:D30">
    <cfRule type="cellIs" dxfId="421" priority="558" operator="equal">
      <formula>0</formula>
    </cfRule>
  </conditionalFormatting>
  <conditionalFormatting sqref="E29">
    <cfRule type="cellIs" dxfId="420" priority="557" operator="equal">
      <formula>0</formula>
    </cfRule>
  </conditionalFormatting>
  <conditionalFormatting sqref="F29">
    <cfRule type="cellIs" dxfId="419" priority="556" operator="equal">
      <formula>0</formula>
    </cfRule>
  </conditionalFormatting>
  <conditionalFormatting sqref="G29">
    <cfRule type="cellIs" dxfId="418" priority="555" operator="equal">
      <formula>0</formula>
    </cfRule>
  </conditionalFormatting>
  <conditionalFormatting sqref="E30">
    <cfRule type="cellIs" dxfId="417" priority="551" operator="equal">
      <formula>0</formula>
    </cfRule>
  </conditionalFormatting>
  <conditionalFormatting sqref="F30">
    <cfRule type="cellIs" dxfId="416" priority="550" operator="equal">
      <formula>0</formula>
    </cfRule>
  </conditionalFormatting>
  <conditionalFormatting sqref="G30">
    <cfRule type="cellIs" dxfId="415" priority="549" operator="equal">
      <formula>0</formula>
    </cfRule>
  </conditionalFormatting>
  <conditionalFormatting sqref="D51:D52">
    <cfRule type="cellIs" dxfId="414" priority="544" operator="equal">
      <formula>0</formula>
    </cfRule>
  </conditionalFormatting>
  <conditionalFormatting sqref="E51">
    <cfRule type="cellIs" dxfId="413" priority="543" operator="equal">
      <formula>0</formula>
    </cfRule>
  </conditionalFormatting>
  <conditionalFormatting sqref="F51">
    <cfRule type="cellIs" dxfId="412" priority="542" operator="equal">
      <formula>0</formula>
    </cfRule>
  </conditionalFormatting>
  <conditionalFormatting sqref="G51">
    <cfRule type="cellIs" dxfId="411" priority="541" operator="equal">
      <formula>0</formula>
    </cfRule>
  </conditionalFormatting>
  <conditionalFormatting sqref="E52">
    <cfRule type="cellIs" dxfId="410" priority="540" operator="equal">
      <formula>0</formula>
    </cfRule>
  </conditionalFormatting>
  <conditionalFormatting sqref="F52">
    <cfRule type="cellIs" dxfId="409" priority="539" operator="equal">
      <formula>0</formula>
    </cfRule>
  </conditionalFormatting>
  <conditionalFormatting sqref="G52">
    <cfRule type="cellIs" dxfId="408" priority="538" operator="equal">
      <formula>0</formula>
    </cfRule>
  </conditionalFormatting>
  <conditionalFormatting sqref="D53:D54">
    <cfRule type="cellIs" dxfId="407" priority="537" operator="equal">
      <formula>0</formula>
    </cfRule>
  </conditionalFormatting>
  <conditionalFormatting sqref="D53:D54">
    <cfRule type="cellIs" dxfId="406" priority="536" operator="equal">
      <formula>0</formula>
    </cfRule>
  </conditionalFormatting>
  <conditionalFormatting sqref="D53:D54">
    <cfRule type="cellIs" dxfId="405" priority="534" operator="notEqual">
      <formula>0</formula>
    </cfRule>
    <cfRule type="cellIs" dxfId="404" priority="535" operator="equal">
      <formula>0</formula>
    </cfRule>
  </conditionalFormatting>
  <conditionalFormatting sqref="D53:D54">
    <cfRule type="cellIs" dxfId="403" priority="532" operator="notEqual">
      <formula>0</formula>
    </cfRule>
    <cfRule type="cellIs" dxfId="402" priority="533" operator="equal">
      <formula>0</formula>
    </cfRule>
  </conditionalFormatting>
  <conditionalFormatting sqref="D57:D58">
    <cfRule type="cellIs" dxfId="401" priority="513" operator="equal">
      <formula>0</formula>
    </cfRule>
  </conditionalFormatting>
  <conditionalFormatting sqref="D57:D58">
    <cfRule type="cellIs" dxfId="400" priority="512" operator="equal">
      <formula>0</formula>
    </cfRule>
  </conditionalFormatting>
  <conditionalFormatting sqref="D57:D58">
    <cfRule type="cellIs" dxfId="399" priority="510" operator="notEqual">
      <formula>0</formula>
    </cfRule>
    <cfRule type="cellIs" dxfId="398" priority="511" operator="equal">
      <formula>0</formula>
    </cfRule>
  </conditionalFormatting>
  <conditionalFormatting sqref="D57:D58">
    <cfRule type="cellIs" dxfId="397" priority="508" operator="notEqual">
      <formula>0</formula>
    </cfRule>
    <cfRule type="cellIs" dxfId="396" priority="509" operator="equal">
      <formula>0</formula>
    </cfRule>
  </conditionalFormatting>
  <conditionalFormatting sqref="D55:D56">
    <cfRule type="cellIs" dxfId="395" priority="465" operator="equal">
      <formula>0</formula>
    </cfRule>
  </conditionalFormatting>
  <conditionalFormatting sqref="E55">
    <cfRule type="cellIs" dxfId="394" priority="464" operator="equal">
      <formula>0</formula>
    </cfRule>
  </conditionalFormatting>
  <conditionalFormatting sqref="F55">
    <cfRule type="cellIs" dxfId="393" priority="463" operator="equal">
      <formula>0</formula>
    </cfRule>
  </conditionalFormatting>
  <conditionalFormatting sqref="G55">
    <cfRule type="cellIs" dxfId="392" priority="462" operator="equal">
      <formula>0</formula>
    </cfRule>
  </conditionalFormatting>
  <conditionalFormatting sqref="E56">
    <cfRule type="cellIs" dxfId="391" priority="461" operator="equal">
      <formula>0</formula>
    </cfRule>
  </conditionalFormatting>
  <conditionalFormatting sqref="F56">
    <cfRule type="cellIs" dxfId="390" priority="460" operator="equal">
      <formula>0</formula>
    </cfRule>
  </conditionalFormatting>
  <conditionalFormatting sqref="G56">
    <cfRule type="cellIs" dxfId="389" priority="459" operator="equal">
      <formula>0</formula>
    </cfRule>
  </conditionalFormatting>
  <conditionalFormatting sqref="E20">
    <cfRule type="cellIs" dxfId="388" priority="450" operator="equal">
      <formula>0</formula>
    </cfRule>
  </conditionalFormatting>
  <conditionalFormatting sqref="E20">
    <cfRule type="cellIs" dxfId="387" priority="449" operator="equal">
      <formula>0</formula>
    </cfRule>
  </conditionalFormatting>
  <conditionalFormatting sqref="E20">
    <cfRule type="cellIs" dxfId="386" priority="447" operator="notEqual">
      <formula>0</formula>
    </cfRule>
    <cfRule type="cellIs" dxfId="385" priority="448" operator="equal">
      <formula>0</formula>
    </cfRule>
  </conditionalFormatting>
  <conditionalFormatting sqref="E20">
    <cfRule type="cellIs" dxfId="384" priority="445" operator="notEqual">
      <formula>0</formula>
    </cfRule>
    <cfRule type="cellIs" dxfId="383" priority="446" operator="equal">
      <formula>0</formula>
    </cfRule>
  </conditionalFormatting>
  <conditionalFormatting sqref="F20">
    <cfRule type="cellIs" dxfId="382" priority="444" operator="equal">
      <formula>0</formula>
    </cfRule>
  </conditionalFormatting>
  <conditionalFormatting sqref="F20">
    <cfRule type="cellIs" dxfId="381" priority="443" operator="equal">
      <formula>0</formula>
    </cfRule>
  </conditionalFormatting>
  <conditionalFormatting sqref="F20">
    <cfRule type="cellIs" dxfId="380" priority="441" operator="notEqual">
      <formula>0</formula>
    </cfRule>
    <cfRule type="cellIs" dxfId="379" priority="442" operator="equal">
      <formula>0</formula>
    </cfRule>
  </conditionalFormatting>
  <conditionalFormatting sqref="F20">
    <cfRule type="cellIs" dxfId="378" priority="439" operator="notEqual">
      <formula>0</formula>
    </cfRule>
    <cfRule type="cellIs" dxfId="377" priority="440" operator="equal">
      <formula>0</formula>
    </cfRule>
  </conditionalFormatting>
  <conditionalFormatting sqref="G21:G22">
    <cfRule type="cellIs" dxfId="376" priority="438" operator="equal">
      <formula>0</formula>
    </cfRule>
  </conditionalFormatting>
  <conditionalFormatting sqref="G21:G22">
    <cfRule type="cellIs" dxfId="375" priority="437" operator="equal">
      <formula>0</formula>
    </cfRule>
  </conditionalFormatting>
  <conditionalFormatting sqref="G21:G22">
    <cfRule type="cellIs" dxfId="374" priority="435" operator="notEqual">
      <formula>0</formula>
    </cfRule>
    <cfRule type="cellIs" dxfId="373" priority="436" operator="equal">
      <formula>0</formula>
    </cfRule>
  </conditionalFormatting>
  <conditionalFormatting sqref="G21:G22">
    <cfRule type="cellIs" dxfId="372" priority="433" operator="notEqual">
      <formula>0</formula>
    </cfRule>
    <cfRule type="cellIs" dxfId="371" priority="434" operator="equal">
      <formula>0</formula>
    </cfRule>
  </conditionalFormatting>
  <conditionalFormatting sqref="E21">
    <cfRule type="cellIs" dxfId="370" priority="432" operator="equal">
      <formula>0</formula>
    </cfRule>
  </conditionalFormatting>
  <conditionalFormatting sqref="E21">
    <cfRule type="cellIs" dxfId="369" priority="431" operator="equal">
      <formula>0</formula>
    </cfRule>
  </conditionalFormatting>
  <conditionalFormatting sqref="E21">
    <cfRule type="cellIs" dxfId="368" priority="429" operator="notEqual">
      <formula>0</formula>
    </cfRule>
    <cfRule type="cellIs" dxfId="367" priority="430" operator="equal">
      <formula>0</formula>
    </cfRule>
  </conditionalFormatting>
  <conditionalFormatting sqref="E21">
    <cfRule type="cellIs" dxfId="366" priority="427" operator="notEqual">
      <formula>0</formula>
    </cfRule>
    <cfRule type="cellIs" dxfId="365" priority="428" operator="equal">
      <formula>0</formula>
    </cfRule>
  </conditionalFormatting>
  <conditionalFormatting sqref="F21">
    <cfRule type="cellIs" dxfId="364" priority="426" operator="equal">
      <formula>0</formula>
    </cfRule>
  </conditionalFormatting>
  <conditionalFormatting sqref="F21">
    <cfRule type="cellIs" dxfId="363" priority="425" operator="equal">
      <formula>0</formula>
    </cfRule>
  </conditionalFormatting>
  <conditionalFormatting sqref="F21">
    <cfRule type="cellIs" dxfId="362" priority="423" operator="notEqual">
      <formula>0</formula>
    </cfRule>
    <cfRule type="cellIs" dxfId="361" priority="424" operator="equal">
      <formula>0</formula>
    </cfRule>
  </conditionalFormatting>
  <conditionalFormatting sqref="F21">
    <cfRule type="cellIs" dxfId="360" priority="421" operator="notEqual">
      <formula>0</formula>
    </cfRule>
    <cfRule type="cellIs" dxfId="359" priority="422" operator="equal">
      <formula>0</formula>
    </cfRule>
  </conditionalFormatting>
  <conditionalFormatting sqref="E22">
    <cfRule type="cellIs" dxfId="358" priority="420" operator="equal">
      <formula>0</formula>
    </cfRule>
  </conditionalFormatting>
  <conditionalFormatting sqref="E22">
    <cfRule type="cellIs" dxfId="357" priority="419" operator="equal">
      <formula>0</formula>
    </cfRule>
  </conditionalFormatting>
  <conditionalFormatting sqref="E22">
    <cfRule type="cellIs" dxfId="356" priority="417" operator="notEqual">
      <formula>0</formula>
    </cfRule>
    <cfRule type="cellIs" dxfId="355" priority="418" operator="equal">
      <formula>0</formula>
    </cfRule>
  </conditionalFormatting>
  <conditionalFormatting sqref="E22">
    <cfRule type="cellIs" dxfId="354" priority="415" operator="notEqual">
      <formula>0</formula>
    </cfRule>
    <cfRule type="cellIs" dxfId="353" priority="416" operator="equal">
      <formula>0</formula>
    </cfRule>
  </conditionalFormatting>
  <conditionalFormatting sqref="F22">
    <cfRule type="cellIs" dxfId="352" priority="414" operator="equal">
      <formula>0</formula>
    </cfRule>
  </conditionalFormatting>
  <conditionalFormatting sqref="F22">
    <cfRule type="cellIs" dxfId="351" priority="413" operator="equal">
      <formula>0</formula>
    </cfRule>
  </conditionalFormatting>
  <conditionalFormatting sqref="F22">
    <cfRule type="cellIs" dxfId="350" priority="411" operator="notEqual">
      <formula>0</formula>
    </cfRule>
    <cfRule type="cellIs" dxfId="349" priority="412" operator="equal">
      <formula>0</formula>
    </cfRule>
  </conditionalFormatting>
  <conditionalFormatting sqref="F22">
    <cfRule type="cellIs" dxfId="348" priority="409" operator="notEqual">
      <formula>0</formula>
    </cfRule>
    <cfRule type="cellIs" dxfId="347" priority="410" operator="equal">
      <formula>0</formula>
    </cfRule>
  </conditionalFormatting>
  <conditionalFormatting sqref="G26">
    <cfRule type="cellIs" dxfId="346" priority="408" operator="equal">
      <formula>0</formula>
    </cfRule>
  </conditionalFormatting>
  <conditionalFormatting sqref="G26">
    <cfRule type="cellIs" dxfId="345" priority="407" operator="equal">
      <formula>0</formula>
    </cfRule>
  </conditionalFormatting>
  <conditionalFormatting sqref="G26">
    <cfRule type="cellIs" dxfId="344" priority="405" operator="notEqual">
      <formula>0</formula>
    </cfRule>
    <cfRule type="cellIs" dxfId="343" priority="406" operator="equal">
      <formula>0</formula>
    </cfRule>
  </conditionalFormatting>
  <conditionalFormatting sqref="G26">
    <cfRule type="cellIs" dxfId="342" priority="403" operator="notEqual">
      <formula>0</formula>
    </cfRule>
    <cfRule type="cellIs" dxfId="341" priority="404" operator="equal">
      <formula>0</formula>
    </cfRule>
  </conditionalFormatting>
  <conditionalFormatting sqref="E26">
    <cfRule type="cellIs" dxfId="340" priority="402" operator="equal">
      <formula>0</formula>
    </cfRule>
  </conditionalFormatting>
  <conditionalFormatting sqref="E26">
    <cfRule type="cellIs" dxfId="339" priority="401" operator="equal">
      <formula>0</formula>
    </cfRule>
  </conditionalFormatting>
  <conditionalFormatting sqref="E26">
    <cfRule type="cellIs" dxfId="338" priority="399" operator="notEqual">
      <formula>0</formula>
    </cfRule>
    <cfRule type="cellIs" dxfId="337" priority="400" operator="equal">
      <formula>0</formula>
    </cfRule>
  </conditionalFormatting>
  <conditionalFormatting sqref="E26">
    <cfRule type="cellIs" dxfId="336" priority="397" operator="notEqual">
      <formula>0</formula>
    </cfRule>
    <cfRule type="cellIs" dxfId="335" priority="398" operator="equal">
      <formula>0</formula>
    </cfRule>
  </conditionalFormatting>
  <conditionalFormatting sqref="F26">
    <cfRule type="cellIs" dxfId="334" priority="396" operator="equal">
      <formula>0</formula>
    </cfRule>
  </conditionalFormatting>
  <conditionalFormatting sqref="F26">
    <cfRule type="cellIs" dxfId="333" priority="395" operator="equal">
      <formula>0</formula>
    </cfRule>
  </conditionalFormatting>
  <conditionalFormatting sqref="F26">
    <cfRule type="cellIs" dxfId="332" priority="393" operator="notEqual">
      <formula>0</formula>
    </cfRule>
    <cfRule type="cellIs" dxfId="331" priority="394" operator="equal">
      <formula>0</formula>
    </cfRule>
  </conditionalFormatting>
  <conditionalFormatting sqref="F26">
    <cfRule type="cellIs" dxfId="330" priority="391" operator="notEqual">
      <formula>0</formula>
    </cfRule>
    <cfRule type="cellIs" dxfId="329" priority="392" operator="equal">
      <formula>0</formula>
    </cfRule>
  </conditionalFormatting>
  <conditionalFormatting sqref="G28">
    <cfRule type="cellIs" dxfId="328" priority="390" operator="equal">
      <formula>0</formula>
    </cfRule>
  </conditionalFormatting>
  <conditionalFormatting sqref="G28">
    <cfRule type="cellIs" dxfId="327" priority="389" operator="equal">
      <formula>0</formula>
    </cfRule>
  </conditionalFormatting>
  <conditionalFormatting sqref="G28">
    <cfRule type="cellIs" dxfId="326" priority="387" operator="notEqual">
      <formula>0</formula>
    </cfRule>
    <cfRule type="cellIs" dxfId="325" priority="388" operator="equal">
      <formula>0</formula>
    </cfRule>
  </conditionalFormatting>
  <conditionalFormatting sqref="G28">
    <cfRule type="cellIs" dxfId="324" priority="385" operator="notEqual">
      <formula>0</formula>
    </cfRule>
    <cfRule type="cellIs" dxfId="323" priority="386" operator="equal">
      <formula>0</formula>
    </cfRule>
  </conditionalFormatting>
  <conditionalFormatting sqref="E28">
    <cfRule type="cellIs" dxfId="322" priority="384" operator="equal">
      <formula>0</formula>
    </cfRule>
  </conditionalFormatting>
  <conditionalFormatting sqref="E28">
    <cfRule type="cellIs" dxfId="321" priority="383" operator="equal">
      <formula>0</formula>
    </cfRule>
  </conditionalFormatting>
  <conditionalFormatting sqref="E28">
    <cfRule type="cellIs" dxfId="320" priority="381" operator="notEqual">
      <formula>0</formula>
    </cfRule>
    <cfRule type="cellIs" dxfId="319" priority="382" operator="equal">
      <formula>0</formula>
    </cfRule>
  </conditionalFormatting>
  <conditionalFormatting sqref="E28">
    <cfRule type="cellIs" dxfId="318" priority="379" operator="notEqual">
      <formula>0</formula>
    </cfRule>
    <cfRule type="cellIs" dxfId="317" priority="380" operator="equal">
      <formula>0</formula>
    </cfRule>
  </conditionalFormatting>
  <conditionalFormatting sqref="F28">
    <cfRule type="cellIs" dxfId="316" priority="378" operator="equal">
      <formula>0</formula>
    </cfRule>
  </conditionalFormatting>
  <conditionalFormatting sqref="F28">
    <cfRule type="cellIs" dxfId="315" priority="377" operator="equal">
      <formula>0</formula>
    </cfRule>
  </conditionalFormatting>
  <conditionalFormatting sqref="F28">
    <cfRule type="cellIs" dxfId="314" priority="375" operator="notEqual">
      <formula>0</formula>
    </cfRule>
    <cfRule type="cellIs" dxfId="313" priority="376" operator="equal">
      <formula>0</formula>
    </cfRule>
  </conditionalFormatting>
  <conditionalFormatting sqref="F28">
    <cfRule type="cellIs" dxfId="312" priority="373" operator="notEqual">
      <formula>0</formula>
    </cfRule>
    <cfRule type="cellIs" dxfId="311" priority="374" operator="equal">
      <formula>0</formula>
    </cfRule>
  </conditionalFormatting>
  <conditionalFormatting sqref="E35:F36">
    <cfRule type="cellIs" dxfId="310" priority="372" operator="equal">
      <formula>0</formula>
    </cfRule>
  </conditionalFormatting>
  <conditionalFormatting sqref="E35:F36">
    <cfRule type="cellIs" dxfId="309" priority="371" operator="equal">
      <formula>0</formula>
    </cfRule>
  </conditionalFormatting>
  <conditionalFormatting sqref="E35:F36">
    <cfRule type="cellIs" dxfId="308" priority="369" operator="notEqual">
      <formula>0</formula>
    </cfRule>
    <cfRule type="cellIs" dxfId="307" priority="370" operator="equal">
      <formula>0</formula>
    </cfRule>
  </conditionalFormatting>
  <conditionalFormatting sqref="E35:F36">
    <cfRule type="cellIs" dxfId="306" priority="367" operator="notEqual">
      <formula>0</formula>
    </cfRule>
    <cfRule type="cellIs" dxfId="305" priority="368" operator="equal">
      <formula>0</formula>
    </cfRule>
  </conditionalFormatting>
  <conditionalFormatting sqref="G35:G36">
    <cfRule type="cellIs" dxfId="304" priority="366" operator="equal">
      <formula>0</formula>
    </cfRule>
  </conditionalFormatting>
  <conditionalFormatting sqref="G35:G36">
    <cfRule type="cellIs" dxfId="303" priority="365" operator="equal">
      <formula>0</formula>
    </cfRule>
  </conditionalFormatting>
  <conditionalFormatting sqref="G35:G36">
    <cfRule type="cellIs" dxfId="302" priority="363" operator="notEqual">
      <formula>0</formula>
    </cfRule>
    <cfRule type="cellIs" dxfId="301" priority="364" operator="equal">
      <formula>0</formula>
    </cfRule>
  </conditionalFormatting>
  <conditionalFormatting sqref="G35:G36">
    <cfRule type="cellIs" dxfId="300" priority="361" operator="notEqual">
      <formula>0</formula>
    </cfRule>
    <cfRule type="cellIs" dxfId="299" priority="362" operator="equal">
      <formula>0</formula>
    </cfRule>
  </conditionalFormatting>
  <conditionalFormatting sqref="E35:E36">
    <cfRule type="cellIs" dxfId="298" priority="360" operator="equal">
      <formula>0</formula>
    </cfRule>
  </conditionalFormatting>
  <conditionalFormatting sqref="E35:E36">
    <cfRule type="cellIs" dxfId="297" priority="359" operator="equal">
      <formula>0</formula>
    </cfRule>
  </conditionalFormatting>
  <conditionalFormatting sqref="E35:E36">
    <cfRule type="cellIs" dxfId="296" priority="357" operator="notEqual">
      <formula>0</formula>
    </cfRule>
    <cfRule type="cellIs" dxfId="295" priority="358" operator="equal">
      <formula>0</formula>
    </cfRule>
  </conditionalFormatting>
  <conditionalFormatting sqref="E35:E36">
    <cfRule type="cellIs" dxfId="294" priority="355" operator="notEqual">
      <formula>0</formula>
    </cfRule>
    <cfRule type="cellIs" dxfId="293" priority="356" operator="equal">
      <formula>0</formula>
    </cfRule>
  </conditionalFormatting>
  <conditionalFormatting sqref="F35:F36">
    <cfRule type="cellIs" dxfId="292" priority="354" operator="equal">
      <formula>0</formula>
    </cfRule>
  </conditionalFormatting>
  <conditionalFormatting sqref="F35:F36">
    <cfRule type="cellIs" dxfId="291" priority="353" operator="equal">
      <formula>0</formula>
    </cfRule>
  </conditionalFormatting>
  <conditionalFormatting sqref="F35:F36">
    <cfRule type="cellIs" dxfId="290" priority="351" operator="notEqual">
      <formula>0</formula>
    </cfRule>
    <cfRule type="cellIs" dxfId="289" priority="352" operator="equal">
      <formula>0</formula>
    </cfRule>
  </conditionalFormatting>
  <conditionalFormatting sqref="F35:F36">
    <cfRule type="cellIs" dxfId="288" priority="349" operator="notEqual">
      <formula>0</formula>
    </cfRule>
    <cfRule type="cellIs" dxfId="287" priority="350" operator="equal">
      <formula>0</formula>
    </cfRule>
  </conditionalFormatting>
  <conditionalFormatting sqref="E37:F38">
    <cfRule type="cellIs" dxfId="286" priority="348" operator="equal">
      <formula>0</formula>
    </cfRule>
  </conditionalFormatting>
  <conditionalFormatting sqref="E37:F38">
    <cfRule type="cellIs" dxfId="285" priority="347" operator="equal">
      <formula>0</formula>
    </cfRule>
  </conditionalFormatting>
  <conditionalFormatting sqref="E37:F38">
    <cfRule type="cellIs" dxfId="284" priority="345" operator="notEqual">
      <formula>0</formula>
    </cfRule>
    <cfRule type="cellIs" dxfId="283" priority="346" operator="equal">
      <formula>0</formula>
    </cfRule>
  </conditionalFormatting>
  <conditionalFormatting sqref="E37:F38">
    <cfRule type="cellIs" dxfId="282" priority="343" operator="notEqual">
      <formula>0</formula>
    </cfRule>
    <cfRule type="cellIs" dxfId="281" priority="344" operator="equal">
      <formula>0</formula>
    </cfRule>
  </conditionalFormatting>
  <conditionalFormatting sqref="G37:G38">
    <cfRule type="cellIs" dxfId="280" priority="342" operator="equal">
      <formula>0</formula>
    </cfRule>
  </conditionalFormatting>
  <conditionalFormatting sqref="G37:G38">
    <cfRule type="cellIs" dxfId="279" priority="341" operator="equal">
      <formula>0</formula>
    </cfRule>
  </conditionalFormatting>
  <conditionalFormatting sqref="G37:G38">
    <cfRule type="cellIs" dxfId="278" priority="339" operator="notEqual">
      <formula>0</formula>
    </cfRule>
    <cfRule type="cellIs" dxfId="277" priority="340" operator="equal">
      <formula>0</formula>
    </cfRule>
  </conditionalFormatting>
  <conditionalFormatting sqref="G37:G38">
    <cfRule type="cellIs" dxfId="276" priority="337" operator="notEqual">
      <formula>0</formula>
    </cfRule>
    <cfRule type="cellIs" dxfId="275" priority="338" operator="equal">
      <formula>0</formula>
    </cfRule>
  </conditionalFormatting>
  <conditionalFormatting sqref="E37:E38">
    <cfRule type="cellIs" dxfId="274" priority="336" operator="equal">
      <formula>0</formula>
    </cfRule>
  </conditionalFormatting>
  <conditionalFormatting sqref="E37:E38">
    <cfRule type="cellIs" dxfId="273" priority="335" operator="equal">
      <formula>0</formula>
    </cfRule>
  </conditionalFormatting>
  <conditionalFormatting sqref="E37:E38">
    <cfRule type="cellIs" dxfId="272" priority="333" operator="notEqual">
      <formula>0</formula>
    </cfRule>
    <cfRule type="cellIs" dxfId="271" priority="334" operator="equal">
      <formula>0</formula>
    </cfRule>
  </conditionalFormatting>
  <conditionalFormatting sqref="E37:E38">
    <cfRule type="cellIs" dxfId="270" priority="331" operator="notEqual">
      <formula>0</formula>
    </cfRule>
    <cfRule type="cellIs" dxfId="269" priority="332" operator="equal">
      <formula>0</formula>
    </cfRule>
  </conditionalFormatting>
  <conditionalFormatting sqref="F37:F38">
    <cfRule type="cellIs" dxfId="268" priority="330" operator="equal">
      <formula>0</formula>
    </cfRule>
  </conditionalFormatting>
  <conditionalFormatting sqref="F37:F38">
    <cfRule type="cellIs" dxfId="267" priority="329" operator="equal">
      <formula>0</formula>
    </cfRule>
  </conditionalFormatting>
  <conditionalFormatting sqref="F37:F38">
    <cfRule type="cellIs" dxfId="266" priority="327" operator="notEqual">
      <formula>0</formula>
    </cfRule>
    <cfRule type="cellIs" dxfId="265" priority="328" operator="equal">
      <formula>0</formula>
    </cfRule>
  </conditionalFormatting>
  <conditionalFormatting sqref="F37:F38">
    <cfRule type="cellIs" dxfId="264" priority="325" operator="notEqual">
      <formula>0</formula>
    </cfRule>
    <cfRule type="cellIs" dxfId="263" priority="326" operator="equal">
      <formula>0</formula>
    </cfRule>
  </conditionalFormatting>
  <conditionalFormatting sqref="E39:F40">
    <cfRule type="cellIs" dxfId="262" priority="324" operator="equal">
      <formula>0</formula>
    </cfRule>
  </conditionalFormatting>
  <conditionalFormatting sqref="E39:F40">
    <cfRule type="cellIs" dxfId="261" priority="323" operator="equal">
      <formula>0</formula>
    </cfRule>
  </conditionalFormatting>
  <conditionalFormatting sqref="E39:F40">
    <cfRule type="cellIs" dxfId="260" priority="321" operator="notEqual">
      <formula>0</formula>
    </cfRule>
    <cfRule type="cellIs" dxfId="259" priority="322" operator="equal">
      <formula>0</formula>
    </cfRule>
  </conditionalFormatting>
  <conditionalFormatting sqref="E39:F40">
    <cfRule type="cellIs" dxfId="258" priority="319" operator="notEqual">
      <formula>0</formula>
    </cfRule>
    <cfRule type="cellIs" dxfId="257" priority="320" operator="equal">
      <formula>0</formula>
    </cfRule>
  </conditionalFormatting>
  <conditionalFormatting sqref="G39:G40">
    <cfRule type="cellIs" dxfId="256" priority="318" operator="equal">
      <formula>0</formula>
    </cfRule>
  </conditionalFormatting>
  <conditionalFormatting sqref="G39:G40">
    <cfRule type="cellIs" dxfId="255" priority="317" operator="equal">
      <formula>0</formula>
    </cfRule>
  </conditionalFormatting>
  <conditionalFormatting sqref="G39:G40">
    <cfRule type="cellIs" dxfId="254" priority="315" operator="notEqual">
      <formula>0</formula>
    </cfRule>
    <cfRule type="cellIs" dxfId="253" priority="316" operator="equal">
      <formula>0</formula>
    </cfRule>
  </conditionalFormatting>
  <conditionalFormatting sqref="G39:G40">
    <cfRule type="cellIs" dxfId="252" priority="313" operator="notEqual">
      <formula>0</formula>
    </cfRule>
    <cfRule type="cellIs" dxfId="251" priority="314" operator="equal">
      <formula>0</formula>
    </cfRule>
  </conditionalFormatting>
  <conditionalFormatting sqref="E39:E40">
    <cfRule type="cellIs" dxfId="250" priority="312" operator="equal">
      <formula>0</formula>
    </cfRule>
  </conditionalFormatting>
  <conditionalFormatting sqref="E39:E40">
    <cfRule type="cellIs" dxfId="249" priority="311" operator="equal">
      <formula>0</formula>
    </cfRule>
  </conditionalFormatting>
  <conditionalFormatting sqref="E39:E40">
    <cfRule type="cellIs" dxfId="248" priority="309" operator="notEqual">
      <formula>0</formula>
    </cfRule>
    <cfRule type="cellIs" dxfId="247" priority="310" operator="equal">
      <formula>0</formula>
    </cfRule>
  </conditionalFormatting>
  <conditionalFormatting sqref="E39:E40">
    <cfRule type="cellIs" dxfId="246" priority="307" operator="notEqual">
      <formula>0</formula>
    </cfRule>
    <cfRule type="cellIs" dxfId="245" priority="308" operator="equal">
      <formula>0</formula>
    </cfRule>
  </conditionalFormatting>
  <conditionalFormatting sqref="F39:F40">
    <cfRule type="cellIs" dxfId="244" priority="306" operator="equal">
      <formula>0</formula>
    </cfRule>
  </conditionalFormatting>
  <conditionalFormatting sqref="F39:F40">
    <cfRule type="cellIs" dxfId="243" priority="305" operator="equal">
      <formula>0</formula>
    </cfRule>
  </conditionalFormatting>
  <conditionalFormatting sqref="F39:F40">
    <cfRule type="cellIs" dxfId="242" priority="303" operator="notEqual">
      <formula>0</formula>
    </cfRule>
    <cfRule type="cellIs" dxfId="241" priority="304" operator="equal">
      <formula>0</formula>
    </cfRule>
  </conditionalFormatting>
  <conditionalFormatting sqref="F39:F40">
    <cfRule type="cellIs" dxfId="240" priority="301" operator="notEqual">
      <formula>0</formula>
    </cfRule>
    <cfRule type="cellIs" dxfId="239" priority="302" operator="equal">
      <formula>0</formula>
    </cfRule>
  </conditionalFormatting>
  <conditionalFormatting sqref="E41:F42">
    <cfRule type="cellIs" dxfId="238" priority="300" operator="equal">
      <formula>0</formula>
    </cfRule>
  </conditionalFormatting>
  <conditionalFormatting sqref="E41:F42">
    <cfRule type="cellIs" dxfId="237" priority="299" operator="equal">
      <formula>0</formula>
    </cfRule>
  </conditionalFormatting>
  <conditionalFormatting sqref="E41:F42">
    <cfRule type="cellIs" dxfId="236" priority="297" operator="notEqual">
      <formula>0</formula>
    </cfRule>
    <cfRule type="cellIs" dxfId="235" priority="298" operator="equal">
      <formula>0</formula>
    </cfRule>
  </conditionalFormatting>
  <conditionalFormatting sqref="E41:F42">
    <cfRule type="cellIs" dxfId="234" priority="295" operator="notEqual">
      <formula>0</formula>
    </cfRule>
    <cfRule type="cellIs" dxfId="233" priority="296" operator="equal">
      <formula>0</formula>
    </cfRule>
  </conditionalFormatting>
  <conditionalFormatting sqref="G41:G42">
    <cfRule type="cellIs" dxfId="232" priority="294" operator="equal">
      <formula>0</formula>
    </cfRule>
  </conditionalFormatting>
  <conditionalFormatting sqref="G41:G42">
    <cfRule type="cellIs" dxfId="231" priority="293" operator="equal">
      <formula>0</formula>
    </cfRule>
  </conditionalFormatting>
  <conditionalFormatting sqref="G41:G42">
    <cfRule type="cellIs" dxfId="230" priority="291" operator="notEqual">
      <formula>0</formula>
    </cfRule>
    <cfRule type="cellIs" dxfId="229" priority="292" operator="equal">
      <formula>0</formula>
    </cfRule>
  </conditionalFormatting>
  <conditionalFormatting sqref="G41:G42">
    <cfRule type="cellIs" dxfId="228" priority="289" operator="notEqual">
      <formula>0</formula>
    </cfRule>
    <cfRule type="cellIs" dxfId="227" priority="290" operator="equal">
      <formula>0</formula>
    </cfRule>
  </conditionalFormatting>
  <conditionalFormatting sqref="E41:E42">
    <cfRule type="cellIs" dxfId="226" priority="288" operator="equal">
      <formula>0</formula>
    </cfRule>
  </conditionalFormatting>
  <conditionalFormatting sqref="E41:E42">
    <cfRule type="cellIs" dxfId="225" priority="287" operator="equal">
      <formula>0</formula>
    </cfRule>
  </conditionalFormatting>
  <conditionalFormatting sqref="E41:E42">
    <cfRule type="cellIs" dxfId="224" priority="285" operator="notEqual">
      <formula>0</formula>
    </cfRule>
    <cfRule type="cellIs" dxfId="223" priority="286" operator="equal">
      <formula>0</formula>
    </cfRule>
  </conditionalFormatting>
  <conditionalFormatting sqref="E41:E42">
    <cfRule type="cellIs" dxfId="222" priority="283" operator="notEqual">
      <formula>0</formula>
    </cfRule>
    <cfRule type="cellIs" dxfId="221" priority="284" operator="equal">
      <formula>0</formula>
    </cfRule>
  </conditionalFormatting>
  <conditionalFormatting sqref="F41:F42">
    <cfRule type="cellIs" dxfId="220" priority="282" operator="equal">
      <formula>0</formula>
    </cfRule>
  </conditionalFormatting>
  <conditionalFormatting sqref="F41:F42">
    <cfRule type="cellIs" dxfId="219" priority="281" operator="equal">
      <formula>0</formula>
    </cfRule>
  </conditionalFormatting>
  <conditionalFormatting sqref="F41:F42">
    <cfRule type="cellIs" dxfId="218" priority="279" operator="notEqual">
      <formula>0</formula>
    </cfRule>
    <cfRule type="cellIs" dxfId="217" priority="280" operator="equal">
      <formula>0</formula>
    </cfRule>
  </conditionalFormatting>
  <conditionalFormatting sqref="F41:F42">
    <cfRule type="cellIs" dxfId="216" priority="277" operator="notEqual">
      <formula>0</formula>
    </cfRule>
    <cfRule type="cellIs" dxfId="215" priority="278" operator="equal">
      <formula>0</formula>
    </cfRule>
  </conditionalFormatting>
  <conditionalFormatting sqref="E43:F44">
    <cfRule type="cellIs" dxfId="214" priority="276" operator="equal">
      <formula>0</formula>
    </cfRule>
  </conditionalFormatting>
  <conditionalFormatting sqref="E43:F44">
    <cfRule type="cellIs" dxfId="213" priority="275" operator="equal">
      <formula>0</formula>
    </cfRule>
  </conditionalFormatting>
  <conditionalFormatting sqref="E43:F44">
    <cfRule type="cellIs" dxfId="212" priority="273" operator="notEqual">
      <formula>0</formula>
    </cfRule>
    <cfRule type="cellIs" dxfId="211" priority="274" operator="equal">
      <formula>0</formula>
    </cfRule>
  </conditionalFormatting>
  <conditionalFormatting sqref="E43:F44">
    <cfRule type="cellIs" dxfId="210" priority="271" operator="notEqual">
      <formula>0</formula>
    </cfRule>
    <cfRule type="cellIs" dxfId="209" priority="272" operator="equal">
      <formula>0</formula>
    </cfRule>
  </conditionalFormatting>
  <conditionalFormatting sqref="G43:G44">
    <cfRule type="cellIs" dxfId="208" priority="270" operator="equal">
      <formula>0</formula>
    </cfRule>
  </conditionalFormatting>
  <conditionalFormatting sqref="G43:G44">
    <cfRule type="cellIs" dxfId="207" priority="269" operator="equal">
      <formula>0</formula>
    </cfRule>
  </conditionalFormatting>
  <conditionalFormatting sqref="G43:G44">
    <cfRule type="cellIs" dxfId="206" priority="267" operator="notEqual">
      <formula>0</formula>
    </cfRule>
    <cfRule type="cellIs" dxfId="205" priority="268" operator="equal">
      <formula>0</formula>
    </cfRule>
  </conditionalFormatting>
  <conditionalFormatting sqref="G43:G44">
    <cfRule type="cellIs" dxfId="204" priority="265" operator="notEqual">
      <formula>0</formula>
    </cfRule>
    <cfRule type="cellIs" dxfId="203" priority="266" operator="equal">
      <formula>0</formula>
    </cfRule>
  </conditionalFormatting>
  <conditionalFormatting sqref="E43:E44">
    <cfRule type="cellIs" dxfId="202" priority="264" operator="equal">
      <formula>0</formula>
    </cfRule>
  </conditionalFormatting>
  <conditionalFormatting sqref="E43:E44">
    <cfRule type="cellIs" dxfId="201" priority="263" operator="equal">
      <formula>0</formula>
    </cfRule>
  </conditionalFormatting>
  <conditionalFormatting sqref="E43:E44">
    <cfRule type="cellIs" dxfId="200" priority="261" operator="notEqual">
      <formula>0</formula>
    </cfRule>
    <cfRule type="cellIs" dxfId="199" priority="262" operator="equal">
      <formula>0</formula>
    </cfRule>
  </conditionalFormatting>
  <conditionalFormatting sqref="E43:E44">
    <cfRule type="cellIs" dxfId="198" priority="259" operator="notEqual">
      <formula>0</formula>
    </cfRule>
    <cfRule type="cellIs" dxfId="197" priority="260" operator="equal">
      <formula>0</formula>
    </cfRule>
  </conditionalFormatting>
  <conditionalFormatting sqref="F43:F44">
    <cfRule type="cellIs" dxfId="196" priority="258" operator="equal">
      <formula>0</formula>
    </cfRule>
  </conditionalFormatting>
  <conditionalFormatting sqref="F43:F44">
    <cfRule type="cellIs" dxfId="195" priority="257" operator="equal">
      <formula>0</formula>
    </cfRule>
  </conditionalFormatting>
  <conditionalFormatting sqref="F43:F44">
    <cfRule type="cellIs" dxfId="194" priority="255" operator="notEqual">
      <formula>0</formula>
    </cfRule>
    <cfRule type="cellIs" dxfId="193" priority="256" operator="equal">
      <formula>0</formula>
    </cfRule>
  </conditionalFormatting>
  <conditionalFormatting sqref="F43:F44">
    <cfRule type="cellIs" dxfId="192" priority="253" operator="notEqual">
      <formula>0</formula>
    </cfRule>
    <cfRule type="cellIs" dxfId="191" priority="254" operator="equal">
      <formula>0</formula>
    </cfRule>
  </conditionalFormatting>
  <conditionalFormatting sqref="E45:F46">
    <cfRule type="cellIs" dxfId="190" priority="252" operator="equal">
      <formula>0</formula>
    </cfRule>
  </conditionalFormatting>
  <conditionalFormatting sqref="E45:F46">
    <cfRule type="cellIs" dxfId="189" priority="251" operator="equal">
      <formula>0</formula>
    </cfRule>
  </conditionalFormatting>
  <conditionalFormatting sqref="E45:F46">
    <cfRule type="cellIs" dxfId="188" priority="249" operator="notEqual">
      <formula>0</formula>
    </cfRule>
    <cfRule type="cellIs" dxfId="187" priority="250" operator="equal">
      <formula>0</formula>
    </cfRule>
  </conditionalFormatting>
  <conditionalFormatting sqref="E45:F46">
    <cfRule type="cellIs" dxfId="186" priority="247" operator="notEqual">
      <formula>0</formula>
    </cfRule>
    <cfRule type="cellIs" dxfId="185" priority="248" operator="equal">
      <formula>0</formula>
    </cfRule>
  </conditionalFormatting>
  <conditionalFormatting sqref="G45:G46">
    <cfRule type="cellIs" dxfId="184" priority="246" operator="equal">
      <formula>0</formula>
    </cfRule>
  </conditionalFormatting>
  <conditionalFormatting sqref="G45:G46">
    <cfRule type="cellIs" dxfId="183" priority="245" operator="equal">
      <formula>0</formula>
    </cfRule>
  </conditionalFormatting>
  <conditionalFormatting sqref="G45:G46">
    <cfRule type="cellIs" dxfId="182" priority="243" operator="notEqual">
      <formula>0</formula>
    </cfRule>
    <cfRule type="cellIs" dxfId="181" priority="244" operator="equal">
      <formula>0</formula>
    </cfRule>
  </conditionalFormatting>
  <conditionalFormatting sqref="G45:G46">
    <cfRule type="cellIs" dxfId="180" priority="241" operator="notEqual">
      <formula>0</formula>
    </cfRule>
    <cfRule type="cellIs" dxfId="179" priority="242" operator="equal">
      <formula>0</formula>
    </cfRule>
  </conditionalFormatting>
  <conditionalFormatting sqref="E45:E46">
    <cfRule type="cellIs" dxfId="178" priority="240" operator="equal">
      <formula>0</formula>
    </cfRule>
  </conditionalFormatting>
  <conditionalFormatting sqref="E45:E46">
    <cfRule type="cellIs" dxfId="177" priority="239" operator="equal">
      <formula>0</formula>
    </cfRule>
  </conditionalFormatting>
  <conditionalFormatting sqref="E45:E46">
    <cfRule type="cellIs" dxfId="176" priority="237" operator="notEqual">
      <formula>0</formula>
    </cfRule>
    <cfRule type="cellIs" dxfId="175" priority="238" operator="equal">
      <formula>0</formula>
    </cfRule>
  </conditionalFormatting>
  <conditionalFormatting sqref="E45:E46">
    <cfRule type="cellIs" dxfId="174" priority="235" operator="notEqual">
      <formula>0</formula>
    </cfRule>
    <cfRule type="cellIs" dxfId="173" priority="236" operator="equal">
      <formula>0</formula>
    </cfRule>
  </conditionalFormatting>
  <conditionalFormatting sqref="F45:F46">
    <cfRule type="cellIs" dxfId="172" priority="234" operator="equal">
      <formula>0</formula>
    </cfRule>
  </conditionalFormatting>
  <conditionalFormatting sqref="F45:F46">
    <cfRule type="cellIs" dxfId="171" priority="233" operator="equal">
      <formula>0</formula>
    </cfRule>
  </conditionalFormatting>
  <conditionalFormatting sqref="F45:F46">
    <cfRule type="cellIs" dxfId="170" priority="231" operator="notEqual">
      <formula>0</formula>
    </cfRule>
    <cfRule type="cellIs" dxfId="169" priority="232" operator="equal">
      <formula>0</formula>
    </cfRule>
  </conditionalFormatting>
  <conditionalFormatting sqref="F45:F46">
    <cfRule type="cellIs" dxfId="168" priority="229" operator="notEqual">
      <formula>0</formula>
    </cfRule>
    <cfRule type="cellIs" dxfId="167" priority="230" operator="equal">
      <formula>0</formula>
    </cfRule>
  </conditionalFormatting>
  <conditionalFormatting sqref="E47:F48">
    <cfRule type="cellIs" dxfId="166" priority="228" operator="equal">
      <formula>0</formula>
    </cfRule>
  </conditionalFormatting>
  <conditionalFormatting sqref="E47:F48">
    <cfRule type="cellIs" dxfId="165" priority="227" operator="equal">
      <formula>0</formula>
    </cfRule>
  </conditionalFormatting>
  <conditionalFormatting sqref="E47:F48">
    <cfRule type="cellIs" dxfId="164" priority="225" operator="notEqual">
      <formula>0</formula>
    </cfRule>
    <cfRule type="cellIs" dxfId="163" priority="226" operator="equal">
      <formula>0</formula>
    </cfRule>
  </conditionalFormatting>
  <conditionalFormatting sqref="E47:F48">
    <cfRule type="cellIs" dxfId="162" priority="223" operator="notEqual">
      <formula>0</formula>
    </cfRule>
    <cfRule type="cellIs" dxfId="161" priority="224" operator="equal">
      <formula>0</formula>
    </cfRule>
  </conditionalFormatting>
  <conditionalFormatting sqref="G47:G48">
    <cfRule type="cellIs" dxfId="160" priority="222" operator="equal">
      <formula>0</formula>
    </cfRule>
  </conditionalFormatting>
  <conditionalFormatting sqref="G47:G48">
    <cfRule type="cellIs" dxfId="159" priority="221" operator="equal">
      <formula>0</formula>
    </cfRule>
  </conditionalFormatting>
  <conditionalFormatting sqref="G47:G48">
    <cfRule type="cellIs" dxfId="158" priority="219" operator="notEqual">
      <formula>0</formula>
    </cfRule>
    <cfRule type="cellIs" dxfId="157" priority="220" operator="equal">
      <formula>0</formula>
    </cfRule>
  </conditionalFormatting>
  <conditionalFormatting sqref="G47:G48">
    <cfRule type="cellIs" dxfId="156" priority="217" operator="notEqual">
      <formula>0</formula>
    </cfRule>
    <cfRule type="cellIs" dxfId="155" priority="218" operator="equal">
      <formula>0</formula>
    </cfRule>
  </conditionalFormatting>
  <conditionalFormatting sqref="E47:E48">
    <cfRule type="cellIs" dxfId="154" priority="216" operator="equal">
      <formula>0</formula>
    </cfRule>
  </conditionalFormatting>
  <conditionalFormatting sqref="E47:E48">
    <cfRule type="cellIs" dxfId="153" priority="215" operator="equal">
      <formula>0</formula>
    </cfRule>
  </conditionalFormatting>
  <conditionalFormatting sqref="E47:E48">
    <cfRule type="cellIs" dxfId="152" priority="213" operator="notEqual">
      <formula>0</formula>
    </cfRule>
    <cfRule type="cellIs" dxfId="151" priority="214" operator="equal">
      <formula>0</formula>
    </cfRule>
  </conditionalFormatting>
  <conditionalFormatting sqref="E47:E48">
    <cfRule type="cellIs" dxfId="150" priority="211" operator="notEqual">
      <formula>0</formula>
    </cfRule>
    <cfRule type="cellIs" dxfId="149" priority="212" operator="equal">
      <formula>0</formula>
    </cfRule>
  </conditionalFormatting>
  <conditionalFormatting sqref="F47:F48">
    <cfRule type="cellIs" dxfId="148" priority="210" operator="equal">
      <formula>0</formula>
    </cfRule>
  </conditionalFormatting>
  <conditionalFormatting sqref="F47:F48">
    <cfRule type="cellIs" dxfId="147" priority="209" operator="equal">
      <formula>0</formula>
    </cfRule>
  </conditionalFormatting>
  <conditionalFormatting sqref="F47:F48">
    <cfRule type="cellIs" dxfId="146" priority="207" operator="notEqual">
      <formula>0</formula>
    </cfRule>
    <cfRule type="cellIs" dxfId="145" priority="208" operator="equal">
      <formula>0</formula>
    </cfRule>
  </conditionalFormatting>
  <conditionalFormatting sqref="F47:F48">
    <cfRule type="cellIs" dxfId="144" priority="205" operator="notEqual">
      <formula>0</formula>
    </cfRule>
    <cfRule type="cellIs" dxfId="143" priority="206" operator="equal">
      <formula>0</formula>
    </cfRule>
  </conditionalFormatting>
  <conditionalFormatting sqref="E49:F50">
    <cfRule type="cellIs" dxfId="142" priority="204" operator="equal">
      <formula>0</formula>
    </cfRule>
  </conditionalFormatting>
  <conditionalFormatting sqref="E49:F50">
    <cfRule type="cellIs" dxfId="141" priority="203" operator="equal">
      <formula>0</formula>
    </cfRule>
  </conditionalFormatting>
  <conditionalFormatting sqref="E49:F50">
    <cfRule type="cellIs" dxfId="140" priority="201" operator="notEqual">
      <formula>0</formula>
    </cfRule>
    <cfRule type="cellIs" dxfId="139" priority="202" operator="equal">
      <formula>0</formula>
    </cfRule>
  </conditionalFormatting>
  <conditionalFormatting sqref="E49:F50">
    <cfRule type="cellIs" dxfId="138" priority="199" operator="notEqual">
      <formula>0</formula>
    </cfRule>
    <cfRule type="cellIs" dxfId="137" priority="200" operator="equal">
      <formula>0</formula>
    </cfRule>
  </conditionalFormatting>
  <conditionalFormatting sqref="G49:G50">
    <cfRule type="cellIs" dxfId="136" priority="198" operator="equal">
      <formula>0</formula>
    </cfRule>
  </conditionalFormatting>
  <conditionalFormatting sqref="G49:G50">
    <cfRule type="cellIs" dxfId="135" priority="197" operator="equal">
      <formula>0</formula>
    </cfRule>
  </conditionalFormatting>
  <conditionalFormatting sqref="G49:G50">
    <cfRule type="cellIs" dxfId="134" priority="195" operator="notEqual">
      <formula>0</formula>
    </cfRule>
    <cfRule type="cellIs" dxfId="133" priority="196" operator="equal">
      <formula>0</formula>
    </cfRule>
  </conditionalFormatting>
  <conditionalFormatting sqref="G49:G50">
    <cfRule type="cellIs" dxfId="132" priority="193" operator="notEqual">
      <formula>0</formula>
    </cfRule>
    <cfRule type="cellIs" dxfId="131" priority="194" operator="equal">
      <formula>0</formula>
    </cfRule>
  </conditionalFormatting>
  <conditionalFormatting sqref="E49:E50">
    <cfRule type="cellIs" dxfId="130" priority="192" operator="equal">
      <formula>0</formula>
    </cfRule>
  </conditionalFormatting>
  <conditionalFormatting sqref="E49:E50">
    <cfRule type="cellIs" dxfId="129" priority="191" operator="equal">
      <formula>0</formula>
    </cfRule>
  </conditionalFormatting>
  <conditionalFormatting sqref="E49:E50">
    <cfRule type="cellIs" dxfId="128" priority="189" operator="notEqual">
      <formula>0</formula>
    </cfRule>
    <cfRule type="cellIs" dxfId="127" priority="190" operator="equal">
      <formula>0</formula>
    </cfRule>
  </conditionalFormatting>
  <conditionalFormatting sqref="E49:E50">
    <cfRule type="cellIs" dxfId="126" priority="187" operator="notEqual">
      <formula>0</formula>
    </cfRule>
    <cfRule type="cellIs" dxfId="125" priority="188" operator="equal">
      <formula>0</formula>
    </cfRule>
  </conditionalFormatting>
  <conditionalFormatting sqref="F49:F50">
    <cfRule type="cellIs" dxfId="124" priority="186" operator="equal">
      <formula>0</formula>
    </cfRule>
  </conditionalFormatting>
  <conditionalFormatting sqref="F49:F50">
    <cfRule type="cellIs" dxfId="123" priority="185" operator="equal">
      <formula>0</formula>
    </cfRule>
  </conditionalFormatting>
  <conditionalFormatting sqref="F49:F50">
    <cfRule type="cellIs" dxfId="122" priority="183" operator="notEqual">
      <formula>0</formula>
    </cfRule>
    <cfRule type="cellIs" dxfId="121" priority="184" operator="equal">
      <formula>0</formula>
    </cfRule>
  </conditionalFormatting>
  <conditionalFormatting sqref="F49:F50">
    <cfRule type="cellIs" dxfId="120" priority="181" operator="notEqual">
      <formula>0</formula>
    </cfRule>
    <cfRule type="cellIs" dxfId="119" priority="182" operator="equal">
      <formula>0</formula>
    </cfRule>
  </conditionalFormatting>
  <conditionalFormatting sqref="E53:F54">
    <cfRule type="cellIs" dxfId="118" priority="180" operator="equal">
      <formula>0</formula>
    </cfRule>
  </conditionalFormatting>
  <conditionalFormatting sqref="E53:F54">
    <cfRule type="cellIs" dxfId="117" priority="179" operator="equal">
      <formula>0</formula>
    </cfRule>
  </conditionalFormatting>
  <conditionalFormatting sqref="E53:F54">
    <cfRule type="cellIs" dxfId="116" priority="177" operator="notEqual">
      <formula>0</formula>
    </cfRule>
    <cfRule type="cellIs" dxfId="115" priority="178" operator="equal">
      <formula>0</formula>
    </cfRule>
  </conditionalFormatting>
  <conditionalFormatting sqref="E53:F54">
    <cfRule type="cellIs" dxfId="114" priority="175" operator="notEqual">
      <formula>0</formula>
    </cfRule>
    <cfRule type="cellIs" dxfId="113" priority="176" operator="equal">
      <formula>0</formula>
    </cfRule>
  </conditionalFormatting>
  <conditionalFormatting sqref="G53:G54">
    <cfRule type="cellIs" dxfId="112" priority="174" operator="equal">
      <formula>0</formula>
    </cfRule>
  </conditionalFormatting>
  <conditionalFormatting sqref="G53:G54">
    <cfRule type="cellIs" dxfId="111" priority="173" operator="equal">
      <formula>0</formula>
    </cfRule>
  </conditionalFormatting>
  <conditionalFormatting sqref="G53:G54">
    <cfRule type="cellIs" dxfId="110" priority="171" operator="notEqual">
      <formula>0</formula>
    </cfRule>
    <cfRule type="cellIs" dxfId="109" priority="172" operator="equal">
      <formula>0</formula>
    </cfRule>
  </conditionalFormatting>
  <conditionalFormatting sqref="G53:G54">
    <cfRule type="cellIs" dxfId="108" priority="169" operator="notEqual">
      <formula>0</formula>
    </cfRule>
    <cfRule type="cellIs" dxfId="107" priority="170" operator="equal">
      <formula>0</formula>
    </cfRule>
  </conditionalFormatting>
  <conditionalFormatting sqref="E53:E54">
    <cfRule type="cellIs" dxfId="106" priority="168" operator="equal">
      <formula>0</formula>
    </cfRule>
  </conditionalFormatting>
  <conditionalFormatting sqref="E53:E54">
    <cfRule type="cellIs" dxfId="105" priority="167" operator="equal">
      <formula>0</formula>
    </cfRule>
  </conditionalFormatting>
  <conditionalFormatting sqref="E53:E54">
    <cfRule type="cellIs" dxfId="104" priority="165" operator="notEqual">
      <formula>0</formula>
    </cfRule>
    <cfRule type="cellIs" dxfId="103" priority="166" operator="equal">
      <formula>0</formula>
    </cfRule>
  </conditionalFormatting>
  <conditionalFormatting sqref="E53:E54">
    <cfRule type="cellIs" dxfId="102" priority="163" operator="notEqual">
      <formula>0</formula>
    </cfRule>
    <cfRule type="cellIs" dxfId="101" priority="164" operator="equal">
      <formula>0</formula>
    </cfRule>
  </conditionalFormatting>
  <conditionalFormatting sqref="F53:F54">
    <cfRule type="cellIs" dxfId="100" priority="162" operator="equal">
      <formula>0</formula>
    </cfRule>
  </conditionalFormatting>
  <conditionalFormatting sqref="F53:F54">
    <cfRule type="cellIs" dxfId="99" priority="161" operator="equal">
      <formula>0</formula>
    </cfRule>
  </conditionalFormatting>
  <conditionalFormatting sqref="F53:F54">
    <cfRule type="cellIs" dxfId="98" priority="159" operator="notEqual">
      <formula>0</formula>
    </cfRule>
    <cfRule type="cellIs" dxfId="97" priority="160" operator="equal">
      <formula>0</formula>
    </cfRule>
  </conditionalFormatting>
  <conditionalFormatting sqref="F53:F54">
    <cfRule type="cellIs" dxfId="96" priority="157" operator="notEqual">
      <formula>0</formula>
    </cfRule>
    <cfRule type="cellIs" dxfId="95" priority="158" operator="equal">
      <formula>0</formula>
    </cfRule>
  </conditionalFormatting>
  <conditionalFormatting sqref="E57:F58">
    <cfRule type="cellIs" dxfId="94" priority="156" operator="equal">
      <formula>0</formula>
    </cfRule>
  </conditionalFormatting>
  <conditionalFormatting sqref="E57:F58">
    <cfRule type="cellIs" dxfId="93" priority="155" operator="equal">
      <formula>0</formula>
    </cfRule>
  </conditionalFormatting>
  <conditionalFormatting sqref="E57:F58">
    <cfRule type="cellIs" dxfId="92" priority="153" operator="notEqual">
      <formula>0</formula>
    </cfRule>
    <cfRule type="cellIs" dxfId="91" priority="154" operator="equal">
      <formula>0</formula>
    </cfRule>
  </conditionalFormatting>
  <conditionalFormatting sqref="E57:F58">
    <cfRule type="cellIs" dxfId="90" priority="151" operator="notEqual">
      <formula>0</formula>
    </cfRule>
    <cfRule type="cellIs" dxfId="89" priority="152" operator="equal">
      <formula>0</formula>
    </cfRule>
  </conditionalFormatting>
  <conditionalFormatting sqref="G57:G58">
    <cfRule type="cellIs" dxfId="88" priority="150" operator="equal">
      <formula>0</formula>
    </cfRule>
  </conditionalFormatting>
  <conditionalFormatting sqref="G57:G58">
    <cfRule type="cellIs" dxfId="87" priority="149" operator="equal">
      <formula>0</formula>
    </cfRule>
  </conditionalFormatting>
  <conditionalFormatting sqref="G57:G58">
    <cfRule type="cellIs" dxfId="86" priority="147" operator="notEqual">
      <formula>0</formula>
    </cfRule>
    <cfRule type="cellIs" dxfId="85" priority="148" operator="equal">
      <formula>0</formula>
    </cfRule>
  </conditionalFormatting>
  <conditionalFormatting sqref="G57:G58">
    <cfRule type="cellIs" dxfId="84" priority="145" operator="notEqual">
      <formula>0</formula>
    </cfRule>
    <cfRule type="cellIs" dxfId="83" priority="146" operator="equal">
      <formula>0</formula>
    </cfRule>
  </conditionalFormatting>
  <conditionalFormatting sqref="E57:E58">
    <cfRule type="cellIs" dxfId="82" priority="144" operator="equal">
      <formula>0</formula>
    </cfRule>
  </conditionalFormatting>
  <conditionalFormatting sqref="E57:E58">
    <cfRule type="cellIs" dxfId="81" priority="143" operator="equal">
      <formula>0</formula>
    </cfRule>
  </conditionalFormatting>
  <conditionalFormatting sqref="E57:E58">
    <cfRule type="cellIs" dxfId="80" priority="141" operator="notEqual">
      <formula>0</formula>
    </cfRule>
    <cfRule type="cellIs" dxfId="79" priority="142" operator="equal">
      <formula>0</formula>
    </cfRule>
  </conditionalFormatting>
  <conditionalFormatting sqref="E57:E58">
    <cfRule type="cellIs" dxfId="78" priority="139" operator="notEqual">
      <formula>0</formula>
    </cfRule>
    <cfRule type="cellIs" dxfId="77" priority="140" operator="equal">
      <formula>0</formula>
    </cfRule>
  </conditionalFormatting>
  <conditionalFormatting sqref="F57:F58">
    <cfRule type="cellIs" dxfId="76" priority="138" operator="equal">
      <formula>0</formula>
    </cfRule>
  </conditionalFormatting>
  <conditionalFormatting sqref="F57:F58">
    <cfRule type="cellIs" dxfId="75" priority="137" operator="equal">
      <formula>0</formula>
    </cfRule>
  </conditionalFormatting>
  <conditionalFormatting sqref="F57:F58">
    <cfRule type="cellIs" dxfId="74" priority="135" operator="notEqual">
      <formula>0</formula>
    </cfRule>
    <cfRule type="cellIs" dxfId="73" priority="136" operator="equal">
      <formula>0</formula>
    </cfRule>
  </conditionalFormatting>
  <conditionalFormatting sqref="F57:F58">
    <cfRule type="cellIs" dxfId="72" priority="133" operator="notEqual">
      <formula>0</formula>
    </cfRule>
    <cfRule type="cellIs" dxfId="71" priority="134" operator="equal">
      <formula>0</formula>
    </cfRule>
  </conditionalFormatting>
  <conditionalFormatting sqref="E62:F62">
    <cfRule type="cellIs" dxfId="70" priority="132" operator="equal">
      <formula>0</formula>
    </cfRule>
  </conditionalFormatting>
  <conditionalFormatting sqref="E62:F62">
    <cfRule type="cellIs" dxfId="69" priority="131" operator="equal">
      <formula>0</formula>
    </cfRule>
  </conditionalFormatting>
  <conditionalFormatting sqref="E62:F62">
    <cfRule type="cellIs" dxfId="68" priority="129" operator="notEqual">
      <formula>0</formula>
    </cfRule>
    <cfRule type="cellIs" dxfId="67" priority="130" operator="equal">
      <formula>0</formula>
    </cfRule>
  </conditionalFormatting>
  <conditionalFormatting sqref="E62:F62">
    <cfRule type="cellIs" dxfId="66" priority="127" operator="notEqual">
      <formula>0</formula>
    </cfRule>
    <cfRule type="cellIs" dxfId="65" priority="128" operator="equal">
      <formula>0</formula>
    </cfRule>
  </conditionalFormatting>
  <conditionalFormatting sqref="E62">
    <cfRule type="cellIs" dxfId="64" priority="120" operator="equal">
      <formula>0</formula>
    </cfRule>
  </conditionalFormatting>
  <conditionalFormatting sqref="E62">
    <cfRule type="cellIs" dxfId="63" priority="119" operator="equal">
      <formula>0</formula>
    </cfRule>
  </conditionalFormatting>
  <conditionalFormatting sqref="E62">
    <cfRule type="cellIs" dxfId="62" priority="117" operator="notEqual">
      <formula>0</formula>
    </cfRule>
    <cfRule type="cellIs" dxfId="61" priority="118" operator="equal">
      <formula>0</formula>
    </cfRule>
  </conditionalFormatting>
  <conditionalFormatting sqref="E62">
    <cfRule type="cellIs" dxfId="60" priority="115" operator="notEqual">
      <formula>0</formula>
    </cfRule>
    <cfRule type="cellIs" dxfId="59" priority="116" operator="equal">
      <formula>0</formula>
    </cfRule>
  </conditionalFormatting>
  <conditionalFormatting sqref="F62">
    <cfRule type="cellIs" dxfId="58" priority="114" operator="equal">
      <formula>0</formula>
    </cfRule>
  </conditionalFormatting>
  <conditionalFormatting sqref="F62">
    <cfRule type="cellIs" dxfId="57" priority="113" operator="equal">
      <formula>0</formula>
    </cfRule>
  </conditionalFormatting>
  <conditionalFormatting sqref="F62">
    <cfRule type="cellIs" dxfId="56" priority="111" operator="notEqual">
      <formula>0</formula>
    </cfRule>
    <cfRule type="cellIs" dxfId="55" priority="112" operator="equal">
      <formula>0</formula>
    </cfRule>
  </conditionalFormatting>
  <conditionalFormatting sqref="F62">
    <cfRule type="cellIs" dxfId="54" priority="109" operator="notEqual">
      <formula>0</formula>
    </cfRule>
    <cfRule type="cellIs" dxfId="53" priority="110" operator="equal">
      <formula>0</formula>
    </cfRule>
  </conditionalFormatting>
  <conditionalFormatting sqref="E59">
    <cfRule type="cellIs" dxfId="52" priority="102" operator="equal">
      <formula>0</formula>
    </cfRule>
  </conditionalFormatting>
  <conditionalFormatting sqref="F59">
    <cfRule type="cellIs" dxfId="51" priority="101" operator="equal">
      <formula>0</formula>
    </cfRule>
  </conditionalFormatting>
  <conditionalFormatting sqref="G59">
    <cfRule type="cellIs" dxfId="50" priority="100" operator="equal">
      <formula>0</formula>
    </cfRule>
  </conditionalFormatting>
  <conditionalFormatting sqref="E60">
    <cfRule type="cellIs" dxfId="49" priority="99" operator="equal">
      <formula>0</formula>
    </cfRule>
  </conditionalFormatting>
  <conditionalFormatting sqref="F60">
    <cfRule type="cellIs" dxfId="48" priority="98" operator="equal">
      <formula>0</formula>
    </cfRule>
  </conditionalFormatting>
  <conditionalFormatting sqref="G60">
    <cfRule type="cellIs" dxfId="47" priority="97" operator="equal">
      <formula>0</formula>
    </cfRule>
  </conditionalFormatting>
  <conditionalFormatting sqref="D59">
    <cfRule type="cellIs" dxfId="46" priority="95" operator="equal">
      <formula>0</formula>
    </cfRule>
  </conditionalFormatting>
  <conditionalFormatting sqref="D60">
    <cfRule type="cellIs" dxfId="45" priority="94" operator="equal">
      <formula>0</formula>
    </cfRule>
  </conditionalFormatting>
  <conditionalFormatting sqref="D61:D62">
    <cfRule type="cellIs" dxfId="44" priority="81" operator="equal">
      <formula>0</formula>
    </cfRule>
  </conditionalFormatting>
  <conditionalFormatting sqref="D61:D62">
    <cfRule type="cellIs" dxfId="43" priority="80" operator="equal">
      <formula>0</formula>
    </cfRule>
  </conditionalFormatting>
  <conditionalFormatting sqref="D61:D62">
    <cfRule type="cellIs" dxfId="42" priority="78" operator="notEqual">
      <formula>0</formula>
    </cfRule>
    <cfRule type="cellIs" dxfId="41" priority="79" operator="equal">
      <formula>0</formula>
    </cfRule>
  </conditionalFormatting>
  <conditionalFormatting sqref="D61:D62">
    <cfRule type="cellIs" dxfId="40" priority="76" operator="notEqual">
      <formula>0</formula>
    </cfRule>
    <cfRule type="cellIs" dxfId="39" priority="77" operator="equal">
      <formula>0</formula>
    </cfRule>
  </conditionalFormatting>
  <conditionalFormatting sqref="D61:D62">
    <cfRule type="cellIs" dxfId="38" priority="75" operator="equal">
      <formula>0</formula>
    </cfRule>
  </conditionalFormatting>
  <conditionalFormatting sqref="D61:D62">
    <cfRule type="cellIs" dxfId="37" priority="74" operator="equal">
      <formula>0</formula>
    </cfRule>
  </conditionalFormatting>
  <conditionalFormatting sqref="D61:D62">
    <cfRule type="cellIs" dxfId="36" priority="72" operator="notEqual">
      <formula>0</formula>
    </cfRule>
    <cfRule type="cellIs" dxfId="35" priority="73" operator="equal">
      <formula>0</formula>
    </cfRule>
  </conditionalFormatting>
  <conditionalFormatting sqref="D61:D62">
    <cfRule type="cellIs" dxfId="34" priority="70" operator="notEqual">
      <formula>0</formula>
    </cfRule>
    <cfRule type="cellIs" dxfId="33" priority="71" operator="equal">
      <formula>0</formula>
    </cfRule>
  </conditionalFormatting>
  <conditionalFormatting sqref="E16">
    <cfRule type="cellIs" dxfId="32" priority="69" operator="equal">
      <formula>0</formula>
    </cfRule>
  </conditionalFormatting>
  <conditionalFormatting sqref="F16">
    <cfRule type="cellIs" dxfId="31" priority="68" operator="equal">
      <formula>0</formula>
    </cfRule>
  </conditionalFormatting>
  <conditionalFormatting sqref="G16">
    <cfRule type="cellIs" dxfId="30" priority="67" operator="equal">
      <formula>0</formula>
    </cfRule>
  </conditionalFormatting>
  <conditionalFormatting sqref="F61">
    <cfRule type="cellIs" dxfId="29" priority="24" operator="equal">
      <formula>0</formula>
    </cfRule>
  </conditionalFormatting>
  <conditionalFormatting sqref="F61">
    <cfRule type="cellIs" dxfId="28" priority="23" operator="equal">
      <formula>0</formula>
    </cfRule>
  </conditionalFormatting>
  <conditionalFormatting sqref="F61">
    <cfRule type="cellIs" dxfId="27" priority="21" operator="notEqual">
      <formula>0</formula>
    </cfRule>
    <cfRule type="cellIs" dxfId="26" priority="22" operator="equal">
      <formula>0</formula>
    </cfRule>
  </conditionalFormatting>
  <conditionalFormatting sqref="F61">
    <cfRule type="cellIs" dxfId="25" priority="19" operator="notEqual">
      <formula>0</formula>
    </cfRule>
    <cfRule type="cellIs" dxfId="24" priority="20" operator="equal">
      <formula>0</formula>
    </cfRule>
  </conditionalFormatting>
  <conditionalFormatting sqref="E61">
    <cfRule type="cellIs" dxfId="23" priority="42" operator="equal">
      <formula>0</formula>
    </cfRule>
  </conditionalFormatting>
  <conditionalFormatting sqref="E61">
    <cfRule type="cellIs" dxfId="22" priority="41" operator="equal">
      <formula>0</formula>
    </cfRule>
  </conditionalFormatting>
  <conditionalFormatting sqref="E61">
    <cfRule type="cellIs" dxfId="21" priority="39" operator="notEqual">
      <formula>0</formula>
    </cfRule>
    <cfRule type="cellIs" dxfId="20" priority="40" operator="equal">
      <formula>0</formula>
    </cfRule>
  </conditionalFormatting>
  <conditionalFormatting sqref="E61">
    <cfRule type="cellIs" dxfId="19" priority="37" operator="notEqual">
      <formula>0</formula>
    </cfRule>
    <cfRule type="cellIs" dxfId="18" priority="38" operator="equal">
      <formula>0</formula>
    </cfRule>
  </conditionalFormatting>
  <conditionalFormatting sqref="E61">
    <cfRule type="cellIs" dxfId="17" priority="36" operator="equal">
      <formula>0</formula>
    </cfRule>
  </conditionalFormatting>
  <conditionalFormatting sqref="E61">
    <cfRule type="cellIs" dxfId="16" priority="35" operator="equal">
      <formula>0</formula>
    </cfRule>
  </conditionalFormatting>
  <conditionalFormatting sqref="E61">
    <cfRule type="cellIs" dxfId="15" priority="33" operator="notEqual">
      <formula>0</formula>
    </cfRule>
    <cfRule type="cellIs" dxfId="14" priority="34" operator="equal">
      <formula>0</formula>
    </cfRule>
  </conditionalFormatting>
  <conditionalFormatting sqref="E61">
    <cfRule type="cellIs" dxfId="13" priority="31" operator="notEqual">
      <formula>0</formula>
    </cfRule>
    <cfRule type="cellIs" dxfId="12" priority="32" operator="equal">
      <formula>0</formula>
    </cfRule>
  </conditionalFormatting>
  <conditionalFormatting sqref="F61">
    <cfRule type="cellIs" dxfId="11" priority="30" operator="equal">
      <formula>0</formula>
    </cfRule>
  </conditionalFormatting>
  <conditionalFormatting sqref="F61">
    <cfRule type="cellIs" dxfId="10" priority="29" operator="equal">
      <formula>0</formula>
    </cfRule>
  </conditionalFormatting>
  <conditionalFormatting sqref="F61">
    <cfRule type="cellIs" dxfId="9" priority="27" operator="notEqual">
      <formula>0</formula>
    </cfRule>
    <cfRule type="cellIs" dxfId="8" priority="28" operator="equal">
      <formula>0</formula>
    </cfRule>
  </conditionalFormatting>
  <conditionalFormatting sqref="F61">
    <cfRule type="cellIs" dxfId="7" priority="25" operator="notEqual">
      <formula>0</formula>
    </cfRule>
    <cfRule type="cellIs" dxfId="6" priority="26" operator="equal">
      <formula>0</formula>
    </cfRule>
  </conditionalFormatting>
  <conditionalFormatting sqref="G61:G62">
    <cfRule type="cellIs" dxfId="5" priority="6" operator="equal">
      <formula>0</formula>
    </cfRule>
  </conditionalFormatting>
  <conditionalFormatting sqref="G61:G62">
    <cfRule type="cellIs" dxfId="4" priority="5" operator="equal">
      <formula>0</formula>
    </cfRule>
  </conditionalFormatting>
  <conditionalFormatting sqref="G61:G62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G61:G62">
    <cfRule type="cellIs" dxfId="1" priority="1" operator="notEqual">
      <formula>0</formula>
    </cfRule>
    <cfRule type="cellIs" dxfId="0" priority="2" operator="equal">
      <formula>0</formula>
    </cfRule>
  </conditionalFormatting>
  <printOptions horizontalCentered="1"/>
  <pageMargins left="0.59055118110236227" right="0.59055118110236227" top="0.59055118110236227" bottom="0.59055118110236227" header="0.19685039370078741" footer="0.19685039370078741"/>
  <pageSetup paperSize="9" scale="91" fitToHeight="0" orientation="portrait" r:id="rId1"/>
  <headerFooter>
    <oddHeader>&amp;L &amp;C &amp;R</oddHeader>
    <oddFooter>&amp;L &amp;C 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13</vt:i4>
      </vt:variant>
    </vt:vector>
  </HeadingPairs>
  <TitlesOfParts>
    <vt:vector size="21" baseType="lpstr">
      <vt:lpstr>Instruções de Preenchimento</vt:lpstr>
      <vt:lpstr>Resumo do Orçamento</vt:lpstr>
      <vt:lpstr>Orçamento Sintético</vt:lpstr>
      <vt:lpstr>Orçamento Analítico</vt:lpstr>
      <vt:lpstr>Insumos e Serviços</vt:lpstr>
      <vt:lpstr>Composição de BDI</vt:lpstr>
      <vt:lpstr>Composição de Encargos Sociais</vt:lpstr>
      <vt:lpstr>Cronograma</vt:lpstr>
      <vt:lpstr>'Composição de BDI'!Area_de_impressao</vt:lpstr>
      <vt:lpstr>'Composição de Encargos Sociais'!Area_de_impressao</vt:lpstr>
      <vt:lpstr>Cronograma!Area_de_impressao</vt:lpstr>
      <vt:lpstr>'Insumos e Serviços'!Area_de_impressao</vt:lpstr>
      <vt:lpstr>'Orçamento Analítico'!Area_de_impressao</vt:lpstr>
      <vt:lpstr>'Orçamento Sintético'!Area_de_impressao</vt:lpstr>
      <vt:lpstr>'Resumo do Orçamento'!Area_de_impressao</vt:lpstr>
      <vt:lpstr>'Composição de BDI'!Titulos_de_impressao</vt:lpstr>
      <vt:lpstr>Cronograma!Titulos_de_impressao</vt:lpstr>
      <vt:lpstr>'Insumos e Serviços'!Titulos_de_impressao</vt:lpstr>
      <vt:lpstr>'Orçamento Analítico'!Titulos_de_impressao</vt:lpstr>
      <vt:lpstr>'Orçamento Sintético'!Titulos_de_impressao</vt:lpstr>
      <vt:lpstr>'Resumo do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2021-02-12T15:54:19Z</cp:lastPrinted>
  <dcterms:created xsi:type="dcterms:W3CDTF">2020-04-17T11:40:33Z</dcterms:created>
  <dcterms:modified xsi:type="dcterms:W3CDTF">2021-03-09T16:48:53Z</dcterms:modified>
</cp:coreProperties>
</file>