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SDA\Xerox\CPL\CPL2000\Trabalho 2021\PROCESSOS DIGITAIS\PE 56 - Garçom e Copeiragem\Edital e Anexos\"/>
    </mc:Choice>
  </mc:AlternateContent>
  <bookViews>
    <workbookView xWindow="0" yWindow="0" windowWidth="20460" windowHeight="7755" tabRatio="962" firstSheet="2" activeTab="3"/>
  </bookViews>
  <sheets>
    <sheet name="INSERIR-DADOS-44h" sheetId="11" r:id="rId1"/>
    <sheet name="INSERIR-DADOS- COPEIRA 12x36H" sheetId="17" r:id="rId2"/>
    <sheet name="INSERÇÃO-DADOS-MATERIAIS" sheetId="16" r:id="rId3"/>
    <sheet name="UNIFORMES E AUXÍLIOS" sheetId="18" r:id="rId4"/>
    <sheet name="DADOS-ESTATISTICOS" sheetId="15" r:id="rId5"/>
    <sheet name="ENCARGOS-SOCIAIS-E-TRABALHISTAS" sheetId="12" r:id="rId6"/>
    <sheet name="POSTO 44 HORAS - Encarregado" sheetId="14" r:id="rId7"/>
    <sheet name="POSTO 44 HORAS - Copeira" sheetId="19" r:id="rId8"/>
    <sheet name="POSTO 44 HORAS - GARÇOM" sheetId="21" r:id="rId9"/>
    <sheet name="POSTO 12X36 - Copeira" sheetId="20" r:id="rId10"/>
    <sheet name="Quadro Resumo" sheetId="22" r:id="rId11"/>
  </sheets>
  <definedNames>
    <definedName name="ACORDO_COLETIVO" localSheetId="1">'INSERIR-DADOS- COPEIRA 12x36H'!$F$14</definedName>
    <definedName name="ACORDO_COLETIVO">'INSERIR-DADOS-44h'!$F$14</definedName>
    <definedName name="AL_1_A_SAL_BASE" localSheetId="9">'POSTO 12X36 - Copeira'!$F$22</definedName>
    <definedName name="AL_1_A_SAL_BASE" localSheetId="7">'POSTO 44 HORAS - Copeira'!$F$22</definedName>
    <definedName name="AL_1_A_SAL_BASE" localSheetId="6">'POSTO 44 HORAS - Encarregado'!$F$22</definedName>
    <definedName name="AL_1_A_SAL_BASE" localSheetId="8">'POSTO 44 HORAS - GARÇOM'!$F$22</definedName>
    <definedName name="AL_1_B_ADIC_PERIC" localSheetId="9">'POSTO 12X36 - Copeira'!#REF!</definedName>
    <definedName name="AL_1_B_ADIC_PERIC" localSheetId="7">'POSTO 44 HORAS - Copeira'!#REF!</definedName>
    <definedName name="AL_1_B_ADIC_PERIC" localSheetId="6">'POSTO 44 HORAS - Encarregado'!#REF!</definedName>
    <definedName name="AL_1_B_ADIC_PERIC" localSheetId="8">'POSTO 44 HORAS - GARÇOM'!#REF!</definedName>
    <definedName name="AL_1_C_ADIC_NOT" localSheetId="9">'POSTO 12X36 - Copeira'!#REF!</definedName>
    <definedName name="AL_1_C_ADIC_NOT" localSheetId="7">'POSTO 44 HORAS - Copeira'!#REF!</definedName>
    <definedName name="AL_1_C_ADIC_NOT" localSheetId="6">'POSTO 44 HORAS - Encarregado'!#REF!</definedName>
    <definedName name="AL_1_C_ADIC_NOT" localSheetId="8">'POSTO 44 HORAS - GARÇOM'!#REF!</definedName>
    <definedName name="AL_1_D_ADIC_NOT_RED" localSheetId="9">'POSTO 12X36 - Copeira'!#REF!</definedName>
    <definedName name="AL_1_D_ADIC_NOT_RED" localSheetId="7">'POSTO 44 HORAS - Copeira'!#REF!</definedName>
    <definedName name="AL_1_D_ADIC_NOT_RED" localSheetId="6">'POSTO 44 HORAS - Encarregado'!#REF!</definedName>
    <definedName name="AL_1_D_ADIC_NOT_RED" localSheetId="8">'POSTO 44 HORAS - GARÇOM'!#REF!</definedName>
    <definedName name="AL_2_1_A_DEC_TERC" localSheetId="9">'POSTO 12X36 - Copeira'!$F$28</definedName>
    <definedName name="AL_2_1_A_DEC_TERC" localSheetId="7">'POSTO 44 HORAS - Copeira'!$F$28</definedName>
    <definedName name="AL_2_1_A_DEC_TERC" localSheetId="6">'POSTO 44 HORAS - Encarregado'!$F$28</definedName>
    <definedName name="AL_2_1_A_DEC_TERC" localSheetId="8">'POSTO 44 HORAS - GARÇOM'!$F$28</definedName>
    <definedName name="AL_2_1_B_ADIC_FERIAS" localSheetId="9">'POSTO 12X36 - Copeira'!$F$29</definedName>
    <definedName name="AL_2_1_B_ADIC_FERIAS" localSheetId="7">'POSTO 44 HORAS - Copeira'!$F$29</definedName>
    <definedName name="AL_2_1_B_ADIC_FERIAS" localSheetId="6">'POSTO 44 HORAS - Encarregado'!$F$29</definedName>
    <definedName name="AL_2_1_B_ADIC_FERIAS" localSheetId="8">'POSTO 44 HORAS - GARÇOM'!$F$29</definedName>
    <definedName name="AL_2_2_FGTS" localSheetId="9">'POSTO 12X36 - Copeira'!$F$40</definedName>
    <definedName name="AL_2_2_FGTS" localSheetId="7">'POSTO 44 HORAS - Copeira'!$F$40</definedName>
    <definedName name="AL_2_2_FGTS" localSheetId="6">'POSTO 44 HORAS - Encarregado'!$F$40</definedName>
    <definedName name="AL_2_2_FGTS" localSheetId="8">'POSTO 44 HORAS - GARÇOM'!$F$40</definedName>
    <definedName name="AL_2_3_A_TRANSP" localSheetId="9">'POSTO 12X36 - Copeira'!$F$44</definedName>
    <definedName name="AL_2_3_A_TRANSP" localSheetId="7">'POSTO 44 HORAS - Copeira'!$F$44</definedName>
    <definedName name="AL_2_3_A_TRANSP" localSheetId="6">'POSTO 44 HORAS - Encarregado'!$F$44</definedName>
    <definedName name="AL_2_3_A_TRANSP" localSheetId="8">'POSTO 44 HORAS - GARÇOM'!$F$44</definedName>
    <definedName name="AL_2_3_B_AUX_ALIMENT" localSheetId="9">'POSTO 12X36 - Copeira'!$F$45</definedName>
    <definedName name="AL_2_3_B_AUX_ALIMENT" localSheetId="7">'POSTO 44 HORAS - Copeira'!$F$45</definedName>
    <definedName name="AL_2_3_B_AUX_ALIMENT" localSheetId="6">'POSTO 44 HORAS - Encarregado'!$F$45</definedName>
    <definedName name="AL_2_3_B_AUX_ALIMENT" localSheetId="8">'POSTO 44 HORAS - GARÇOM'!$F$45</definedName>
    <definedName name="AL_2_3_C_OUTROS_BENEF" localSheetId="9">'POSTO 12X36 - Copeira'!$F$46</definedName>
    <definedName name="AL_2_3_C_OUTROS_BENEF" localSheetId="7">'POSTO 44 HORAS - Copeira'!$F$46</definedName>
    <definedName name="AL_2_3_C_OUTROS_BENEF" localSheetId="6">'POSTO 44 HORAS - Encarregado'!$F$46</definedName>
    <definedName name="AL_2_3_C_OUTROS_BENEF" localSheetId="8">'POSTO 44 HORAS - GARÇOM'!$F$46</definedName>
    <definedName name="AL_2_A_ATE_2_G_GPS" localSheetId="9">'POSTO 12X36 - Copeira'!$F$33:$F$39</definedName>
    <definedName name="AL_2_A_ATE_2_G_GPS" localSheetId="7">'POSTO 44 HORAS - Copeira'!$F$33:$F$39</definedName>
    <definedName name="AL_2_A_ATE_2_G_GPS" localSheetId="6">'POSTO 44 HORAS - Encarregado'!$F$33:$F$39</definedName>
    <definedName name="AL_2_A_ATE_2_G_GPS" localSheetId="8">'POSTO 44 HORAS - GARÇOM'!$F$33:$F$39</definedName>
    <definedName name="AL_6_A_CUSTOS_INDIRETOS" localSheetId="9">'POSTO 12X36 - Copeira'!$F$79</definedName>
    <definedName name="AL_6_A_CUSTOS_INDIRETOS" localSheetId="7">'POSTO 44 HORAS - Copeira'!$F$79</definedName>
    <definedName name="AL_6_A_CUSTOS_INDIRETOS" localSheetId="6">'POSTO 44 HORAS - Encarregado'!$F$78</definedName>
    <definedName name="AL_6_A_CUSTOS_INDIRETOS" localSheetId="8">'POSTO 44 HORAS - GARÇOM'!$F$79</definedName>
    <definedName name="AL_6_B_LUCRO" localSheetId="9">'POSTO 12X36 - Copeira'!$F$80</definedName>
    <definedName name="AL_6_B_LUCRO" localSheetId="7">'POSTO 44 HORAS - Copeira'!$F$80</definedName>
    <definedName name="AL_6_B_LUCRO" localSheetId="6">'POSTO 44 HORAS - Encarregado'!$F$79</definedName>
    <definedName name="AL_6_B_LUCRO" localSheetId="8">'POSTO 44 HORAS - GARÇOM'!$F$80</definedName>
    <definedName name="AL_6_C_1_PIS" localSheetId="9">'POSTO 12X36 - Copeira'!$F$82</definedName>
    <definedName name="AL_6_C_1_PIS" localSheetId="7">'POSTO 44 HORAS - Copeira'!$F$82</definedName>
    <definedName name="AL_6_C_1_PIS" localSheetId="6">'POSTO 44 HORAS - Encarregado'!$F$81</definedName>
    <definedName name="AL_6_C_1_PIS" localSheetId="8">'POSTO 44 HORAS - GARÇOM'!$F$82</definedName>
    <definedName name="AL_6_C_2_COFINS" localSheetId="9">'POSTO 12X36 - Copeira'!$F$83</definedName>
    <definedName name="AL_6_C_2_COFINS" localSheetId="7">'POSTO 44 HORAS - Copeira'!$F$83</definedName>
    <definedName name="AL_6_C_2_COFINS" localSheetId="6">'POSTO 44 HORAS - Encarregado'!$F$82</definedName>
    <definedName name="AL_6_C_2_COFINS" localSheetId="8">'POSTO 44 HORAS - GARÇOM'!$F$83</definedName>
    <definedName name="AL_6_C_3_ISS" localSheetId="9">'POSTO 12X36 - Copeira'!$F$84</definedName>
    <definedName name="AL_6_C_3_ISS" localSheetId="7">'POSTO 44 HORAS - Copeira'!$F$84</definedName>
    <definedName name="AL_6_C_3_ISS" localSheetId="6">'POSTO 44 HORAS - Encarregado'!$F$83</definedName>
    <definedName name="AL_6_C_3_ISS" localSheetId="8">'POSTO 44 HORAS - GARÇOM'!$F$84</definedName>
    <definedName name="AL_6_C_TRIBUTOS" localSheetId="9">'POSTO 12X36 - Copeira'!$F$81</definedName>
    <definedName name="AL_6_C_TRIBUTOS" localSheetId="7">'POSTO 44 HORAS - Copeira'!$F$81</definedName>
    <definedName name="AL_6_C_TRIBUTOS" localSheetId="6">'POSTO 44 HORAS - Encarregado'!$F$80</definedName>
    <definedName name="AL_6_C_TRIBUTOS" localSheetId="8">'POSTO 44 HORAS - GARÇOM'!$F$81</definedName>
    <definedName name="ALIMENTACAO_POR_DIA" localSheetId="1">'INSERIR-DADOS- COPEIRA 12x36H'!$F$37</definedName>
    <definedName name="ALIMENTACAO_POR_DIA">'INSERIR-DADOS-44h'!$F$47</definedName>
    <definedName name="CATEGORIA_PROFISSIONAL" localSheetId="1">'INSERIR-DADOS- COPEIRA 12x36H'!$D$23</definedName>
    <definedName name="CATEGORIA_PROFISSIONAL">'INSERIR-DADOS-44h'!$D$25</definedName>
    <definedName name="CBO" localSheetId="1">'INSERIR-DADOS- COPEIRA 12x36H'!$D$22</definedName>
    <definedName name="CBO">'INSERIR-DADOS-44h'!$D$24</definedName>
    <definedName name="DATA_APRESENTACAO_PROPOSTA" localSheetId="1">'INSERIR-DADOS- COPEIRA 12x36H'!$F$11</definedName>
    <definedName name="DATA_APRESENTACAO_PROPOSTA">'INSERIR-DADOS-44h'!$F$11</definedName>
    <definedName name="DATA_BASE_CATEGORIA" localSheetId="1">'INSERIR-DADOS- COPEIRA 12x36H'!$F$24</definedName>
    <definedName name="DATA_BASE_CATEGORIA">'INSERIR-DADOS-44h'!$F$30</definedName>
    <definedName name="DATA_DO_ORCAMENTO_ESTIMATIVO" localSheetId="1">'INSERIR-DADOS- COPEIRA 12x36H'!$F$2</definedName>
    <definedName name="DATA_DO_ORCAMENTO_ESTIMATIVO">'INSERIR-DADOS-44h'!$F$2</definedName>
    <definedName name="DATA_LICITACAO" localSheetId="1">'INSERIR-DADOS- COPEIRA 12x36H'!$D$8</definedName>
    <definedName name="DATA_LICITACAO">'INSERIR-DADOS-44h'!$D$8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 localSheetId="1">'INSERIR-DADOS- COPEIRA 12x36H'!$F$38</definedName>
    <definedName name="DIAS_TRABALHADOS_NO_MES">'INSERIR-DADOS-44h'!$F$48</definedName>
    <definedName name="DIVERSOS" localSheetId="8">'ENCARGOS-SOCIAIS-E-TRABALHISTAS'!#REF!</definedName>
    <definedName name="DIVERSOS">'ENCARGOS-SOCIAIS-E-TRABALHISTAS'!#REF!</definedName>
    <definedName name="DIVISOR_DE_HORAS">'DADOS-ESTATISTICOS'!$F$4</definedName>
    <definedName name="EMPREG_POR_POSTO" localSheetId="1">'INSERIR-DADOS- COPEIRA 12x36H'!#REF!</definedName>
    <definedName name="EMPREG_POR_POSTO">'INSERIR-DADOS-44h'!$E$21</definedName>
    <definedName name="EQUIPAMENTOS" localSheetId="1">'INSERIR-DADOS- COPEIRA 12x36H'!#REF!</definedName>
    <definedName name="EQUIPAMENTOS">'INSERIR-DADOS-44h'!#REF!</definedName>
    <definedName name="HORA_NORMAL">'DADOS-ESTATISTICOS'!$F$9</definedName>
    <definedName name="HORA_NOTURNA">'DADOS-ESTATISTICOS'!$F$10</definedName>
    <definedName name="HORARIO_LICITACAO" localSheetId="1">'INSERIR-DADOS- COPEIRA 12x36H'!$F$8</definedName>
    <definedName name="HORARIO_LICITACAO">'INSERIR-DADOS-44h'!$F$8</definedName>
    <definedName name="LOCAL_DE_EXECUCAO" localSheetId="1">'INSERIR-DADOS- COPEIRA 12x36H'!$D$12</definedName>
    <definedName name="LOCAL_DE_EXECUCAO">'INSERIR-DADOS-44h'!$D$12</definedName>
    <definedName name="MATERIAIS" localSheetId="1">'INSERIR-DADOS- COPEIRA 12x36H'!$F$54</definedName>
    <definedName name="MATERIAIS">'INSERIR-DADOS-44h'!$F$70</definedName>
    <definedName name="MEDIA_ANUAL_DIAS_TRABALHO_MES">'DADOS-ESTATISTICOS'!$F$7</definedName>
    <definedName name="MESES_NO_ANO">'DADOS-ESTATISTICOS'!$F$8</definedName>
    <definedName name="MOD_1_REMUNERACAO" localSheetId="9">'POSTO 12X36 - Copeira'!$F$24</definedName>
    <definedName name="MOD_1_REMUNERACAO" localSheetId="7">'POSTO 44 HORAS - Copeira'!$F$24</definedName>
    <definedName name="MOD_1_REMUNERACAO" localSheetId="6">'POSTO 44 HORAS - Encarregado'!$F$24</definedName>
    <definedName name="MOD_1_REMUNERACAO" localSheetId="8">'POSTO 44 HORAS - GARÇOM'!$F$24</definedName>
    <definedName name="MOD_2_ENCARGOS_BENEFICIOS" localSheetId="9">'POSTO 12X36 - Copeira'!$F$30+'POSTO 12X36 - Copeira'!$F$41+'POSTO 12X36 - Copeira'!$F$47</definedName>
    <definedName name="MOD_2_ENCARGOS_BENEFICIOS" localSheetId="7">'POSTO 44 HORAS - Copeira'!$F$30+'POSTO 44 HORAS - Copeira'!$F$41+'POSTO 44 HORAS - Copeira'!$F$47</definedName>
    <definedName name="MOD_2_ENCARGOS_BENEFICIOS" localSheetId="6">'POSTO 44 HORAS - Encarregado'!$F$30+'POSTO 44 HORAS - Encarregado'!$F$41+'POSTO 44 HORAS - Encarregado'!$F$47</definedName>
    <definedName name="MOD_2_ENCARGOS_BENEFICIOS" localSheetId="8">'POSTO 44 HORAS - GARÇOM'!$F$30+'POSTO 44 HORAS - GARÇOM'!$F$41+'POSTO 44 HORAS - GARÇOM'!$F$47</definedName>
    <definedName name="MOD_3_PROVISAO_RESCISAO" localSheetId="9">'POSTO 12X36 - Copeira'!$F$53</definedName>
    <definedName name="MOD_3_PROVISAO_RESCISAO" localSheetId="7">'POSTO 44 HORAS - Copeira'!$F$53</definedName>
    <definedName name="MOD_3_PROVISAO_RESCISAO" localSheetId="6">'POSTO 44 HORAS - Encarregado'!$F$53</definedName>
    <definedName name="MOD_3_PROVISAO_RESCISAO" localSheetId="8">'POSTO 44 HORAS - GARÇOM'!$F$53</definedName>
    <definedName name="MOD_4_CUSTO_REPOSICAO" localSheetId="9">'POSTO 12X36 - Copeira'!$F$64+'POSTO 12X36 - Copeira'!$F$68</definedName>
    <definedName name="MOD_4_CUSTO_REPOSICAO" localSheetId="7">'POSTO 44 HORAS - Copeira'!$F$64+'POSTO 44 HORAS - Copeira'!$F$68</definedName>
    <definedName name="MOD_4_CUSTO_REPOSICAO" localSheetId="6">'POSTO 44 HORAS - Encarregado'!$F$64+'POSTO 44 HORAS - Encarregado'!$F$68</definedName>
    <definedName name="MOD_4_CUSTO_REPOSICAO" localSheetId="8">'POSTO 44 HORAS - GARÇOM'!$F$64+'POSTO 44 HORAS - GARÇOM'!$F$68</definedName>
    <definedName name="MOD_5_INSUMOS" localSheetId="9">'POSTO 12X36 - Copeira'!$F$75</definedName>
    <definedName name="MOD_5_INSUMOS" localSheetId="7">'POSTO 44 HORAS - Copeira'!$F$75</definedName>
    <definedName name="MOD_5_INSUMOS" localSheetId="6">'POSTO 44 HORAS - Encarregado'!$F$74</definedName>
    <definedName name="MOD_5_INSUMOS" localSheetId="8">'POSTO 44 HORAS - GARÇOM'!$F$75</definedName>
    <definedName name="MOD_6_CUSTOS_IND_LUCRO_TRIB" localSheetId="9">'POSTO 12X36 - Copeira'!$F$85</definedName>
    <definedName name="MOD_6_CUSTOS_IND_LUCRO_TRIB" localSheetId="7">'POSTO 44 HORAS - Copeira'!$F$85</definedName>
    <definedName name="MOD_6_CUSTOS_IND_LUCRO_TRIB" localSheetId="6">'POSTO 44 HORAS - Encarregado'!$F$84</definedName>
    <definedName name="MOD_6_CUSTOS_IND_LUCRO_TRIB" localSheetId="8">'POSTO 44 HORAS - GARÇOM'!$F$85</definedName>
    <definedName name="MODALIDADE_DE_LICITACAO" localSheetId="1">'INSERIR-DADOS- COPEIRA 12x36H'!$D$7</definedName>
    <definedName name="MODALIDADE_DE_LICITACAO">'INSERIR-DADOS-44h'!$D$7</definedName>
    <definedName name="NUMERO_MESES_EXEC_CONTRATUAL" localSheetId="1">'INSERIR-DADOS- COPEIRA 12x36H'!$F$15</definedName>
    <definedName name="NUMERO_MESES_EXEC_CONTRATUAL">'INSERIR-DADOS-44h'!$F$15</definedName>
    <definedName name="NUMERO_PREGAO" localSheetId="1">'INSERIR-DADOS- COPEIRA 12x36H'!$F$7</definedName>
    <definedName name="NUMERO_PREGAO">'INSERIR-DADOS-44h'!$F$7</definedName>
    <definedName name="NUMERO_PROCESSO" localSheetId="1">'INSERIR-DADOS- COPEIRA 12x36H'!$D$6</definedName>
    <definedName name="NUMERO_PROCESSO">'INSERIR-DADOS-44h'!$D$6</definedName>
    <definedName name="OUTRAS_AUSENCIAS">'ENCARGOS-SOCIAIS-E-TRABALHISTAS'!$E$31</definedName>
    <definedName name="OUTRAS_AUSENCIAS_DESCRICAO" localSheetId="1">'INSERIR-DADOS- COPEIRA 12x36H'!$C$44</definedName>
    <definedName name="OUTRAS_AUSENCIAS_DESCRICAO">'INSERIR-DADOS-44h'!$C$56</definedName>
    <definedName name="OUTROS_BENEFICIOS_1" localSheetId="1">'INSERIR-DADOS- COPEIRA 12x36H'!$F$39</definedName>
    <definedName name="OUTROS_BENEFICIOS_1">'INSERIR-DADOS-44h'!$F$49</definedName>
    <definedName name="OUTROS_BENEFICIOS_1_DESCRICAO" localSheetId="1">'INSERIR-DADOS- COPEIRA 12x36H'!$C$39</definedName>
    <definedName name="OUTROS_BENEFICIOS_1_DESCRICAO">'INSERIR-DADOS-44h'!$C$49</definedName>
    <definedName name="OUTROS_BENEFICIOS_2" localSheetId="1">'INSERIR-DADOS- COPEIRA 12x36H'!#REF!</definedName>
    <definedName name="OUTROS_BENEFICIOS_2">'INSERIR-DADOS-44h'!$F$50</definedName>
    <definedName name="OUTROS_BENEFICIOS_2_DESCRICAO" localSheetId="1">'INSERIR-DADOS- COPEIRA 12x36H'!#REF!</definedName>
    <definedName name="OUTROS_BENEFICIOS_2_DESCRICAO">'INSERIR-DADOS-44h'!$C$50</definedName>
    <definedName name="OUTROS_BENEFICIOS_3" localSheetId="1">'INSERIR-DADOS- COPEIRA 12x36H'!#REF!</definedName>
    <definedName name="OUTROS_BENEFICIOS_3">'INSERIR-DADOS-44h'!$F$51</definedName>
    <definedName name="OUTROS_BENEFICIOS_3_DESCRICAO" localSheetId="1">'INSERIR-DADOS- COPEIRA 12x36H'!#REF!</definedName>
    <definedName name="OUTROS_BENEFICIOS_3_DESCRICAO">'INSERIR-DADOS-44h'!$C$51</definedName>
    <definedName name="OUTROS_INSUMOS" localSheetId="1">'INSERIR-DADOS- COPEIRA 12x36H'!$F$55</definedName>
    <definedName name="OUTROS_INSUMOS">'INSERIR-DADOS-44h'!$F$73</definedName>
    <definedName name="OUTROS_INSUMOS_DESCRICAO" localSheetId="1">'INSERIR-DADOS- COPEIRA 12x36H'!$C$55</definedName>
    <definedName name="OUTROS_INSUMOS_DESCRICAO">'INSERIR-DADOS-44h'!$C$73</definedName>
    <definedName name="OUTROS_REMUNERACAO_1" localSheetId="1">'INSERIR-DADOS- COPEIRA 12x36H'!#REF!</definedName>
    <definedName name="OUTROS_REMUNERACAO_1">'INSERIR-DADOS-44h'!$F$38</definedName>
    <definedName name="OUTROS_REMUNERACAO_1_DESCRICAO" localSheetId="1">'INSERIR-DADOS- COPEIRA 12x36H'!#REF!</definedName>
    <definedName name="OUTROS_REMUNERACAO_1_DESCRICAO">'INSERIR-DADOS-44h'!$C$38</definedName>
    <definedName name="OUTROS_REMUNERACAO_2" localSheetId="1">'INSERIR-DADOS- COPEIRA 12x36H'!$F$31</definedName>
    <definedName name="OUTROS_REMUNERACAO_2">'INSERIR-DADOS-44h'!$F$39</definedName>
    <definedName name="OUTROS_REMUNERACAO_2_DESCRICAO" localSheetId="1">'INSERIR-DADOS- COPEIRA 12x36H'!$C$31:$E$31</definedName>
    <definedName name="OUTROS_REMUNERACAO_2_DESCRICAO">'INSERIR-DADOS-44h'!$C$39:$D$39</definedName>
    <definedName name="OUTROS_REMUNERACAO_3" localSheetId="1">'INSERIR-DADOS- COPEIRA 12x36H'!#REF!</definedName>
    <definedName name="OUTROS_REMUNERACAO_3">'INSERIR-DADOS-44h'!#REF!</definedName>
    <definedName name="OUTROS_REMUNERACAO_3_DESCRICAO" localSheetId="1">'INSERIR-DADOS- COPEIRA 12x36H'!#REF!</definedName>
    <definedName name="OUTROS_REMUNERACAO_3_DESCRICAO">'INSERIR-DADOS-44h'!#REF!</definedName>
    <definedName name="PERC_ADIC_FERIAS">'ENCARGOS-SOCIAIS-E-TRABALHISTAS'!$E$6</definedName>
    <definedName name="PERC_ADIC_INS" localSheetId="1">'INSERIR-DADOS- COPEIRA 12x36H'!#REF!</definedName>
    <definedName name="PERC_ADIC_INS" localSheetId="9">'INSERIR-DADOS-44h'!#REF!</definedName>
    <definedName name="PERC_ADIC_INS" localSheetId="7">'INSERIR-DADOS-44h'!#REF!</definedName>
    <definedName name="PERC_ADIC_INS" localSheetId="8">'INSERIR-DADOS-44h'!#REF!</definedName>
    <definedName name="PERC_ADIC_INS" localSheetId="3">'INSERIR-DADOS-44h'!#REF!</definedName>
    <definedName name="PERC_ADIC_INS">'INSERIR-DADOS-44h'!#REF!</definedName>
    <definedName name="PERC_ADIC_NOT" localSheetId="1">'INSERIR-DADOS- COPEIRA 12x36H'!#REF!</definedName>
    <definedName name="PERC_ADIC_NOT" localSheetId="9">'INSERIR-DADOS-44h'!#REF!</definedName>
    <definedName name="PERC_ADIC_NOT" localSheetId="7">'INSERIR-DADOS-44h'!#REF!</definedName>
    <definedName name="PERC_ADIC_NOT" localSheetId="8">'INSERIR-DADOS-44h'!#REF!</definedName>
    <definedName name="PERC_ADIC_NOT" localSheetId="3">'INSERIR-DADOS-44h'!#REF!</definedName>
    <definedName name="PERC_ADIC_NOT">'INSERIR-DADOS-44h'!#REF!</definedName>
    <definedName name="PERC_ADIC_PERIC" localSheetId="1">'INSERIR-DADOS- COPEIRA 12x36H'!#REF!</definedName>
    <definedName name="PERC_ADIC_PERIC" localSheetId="9">'INSERIR-DADOS-44h'!#REF!</definedName>
    <definedName name="PERC_ADIC_PERIC" localSheetId="7">'INSERIR-DADOS-44h'!#REF!</definedName>
    <definedName name="PERC_ADIC_PERIC" localSheetId="8">'INSERIR-DADOS-44h'!#REF!</definedName>
    <definedName name="PERC_ADIC_PERIC" localSheetId="3">'INSERIR-DADOS-44h'!#REF!</definedName>
    <definedName name="PERC_ADIC_PERIC">'INSERIR-DADOS-44h'!#REF!</definedName>
    <definedName name="PERC_AVISO_PREVIO_IND">'ENCARGOS-SOCIAIS-E-TRABALHISTAS'!$E$20</definedName>
    <definedName name="PERC_AVISO_PREVIO_TRAB">'ENCARGOS-SOCIAIS-E-TRABALHISTAS'!$E$21</definedName>
    <definedName name="PERC_COFINS" localSheetId="1">'INSERIR-DADOS- COPEIRA 12x36H'!$F$62</definedName>
    <definedName name="PERC_COFINS">'INSERIR-DADOS-44h'!$F$80</definedName>
    <definedName name="PERC_CONTRIB_SOCIAL" localSheetId="1">'DADOS-ESTATISTICOS'!#REF!</definedName>
    <definedName name="PERC_CONTRIB_SOCIAL" localSheetId="9">'DADOS-ESTATISTICOS'!#REF!</definedName>
    <definedName name="PERC_CONTRIB_SOCIAL" localSheetId="7">'DADOS-ESTATISTICOS'!#REF!</definedName>
    <definedName name="PERC_CONTRIB_SOCIAL" localSheetId="8">'DADOS-ESTATISTICOS'!#REF!</definedName>
    <definedName name="PERC_CONTRIB_SOCIAL" localSheetId="3">'DADOS-ESTATISTICOS'!#REF!</definedName>
    <definedName name="PERC_CONTRIB_SOCIAL">'DADOS-ESTATISTICOS'!#REF!</definedName>
    <definedName name="PERC_CUSTOS_INDIRETOS" localSheetId="1">'INSERIR-DADOS- COPEIRA 12x36H'!$F$59</definedName>
    <definedName name="PERC_CUSTOS_INDIRETOS">'INSERIR-DADOS-44h'!$F$77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 localSheetId="1">'ENCARGOS-SOCIAIS-E-TRABALHISTAS'!#REF!</definedName>
    <definedName name="PERC_FGTS_AVISO_PREV_IND" localSheetId="9">'ENCARGOS-SOCIAIS-E-TRABALHISTAS'!#REF!</definedName>
    <definedName name="PERC_FGTS_AVISO_PREV_IND" localSheetId="7">'ENCARGOS-SOCIAIS-E-TRABALHISTAS'!#REF!</definedName>
    <definedName name="PERC_FGTS_AVISO_PREV_IND" localSheetId="8">'ENCARGOS-SOCIAIS-E-TRABALHISTAS'!#REF!</definedName>
    <definedName name="PERC_FGTS_AVISO_PREV_IND" localSheetId="3">'ENCARGOS-SOCIAIS-E-TRABALHISTAS'!#REF!</definedName>
    <definedName name="PERC_FGTS_AVISO_PREV_IND">'ENCARGOS-SOCIAIS-E-TRABALHISTAS'!#REF!</definedName>
    <definedName name="PERC_GPS_FGTS">'ENCARGOS-SOCIAIS-E-TRABALHISTAS'!$E$17</definedName>
    <definedName name="PERC_GPS_FGTS_AVISO_PREVIO_TRAB" localSheetId="1">'ENCARGOS-SOCIAIS-E-TRABALHISTAS'!#REF!</definedName>
    <definedName name="PERC_GPS_FGTS_AVISO_PREVIO_TRAB" localSheetId="9">'ENCARGOS-SOCIAIS-E-TRABALHISTAS'!#REF!</definedName>
    <definedName name="PERC_GPS_FGTS_AVISO_PREVIO_TRAB" localSheetId="7">'ENCARGOS-SOCIAIS-E-TRABALHISTAS'!#REF!</definedName>
    <definedName name="PERC_GPS_FGTS_AVISO_PREVIO_TRAB" localSheetId="8">'ENCARGOS-SOCIAIS-E-TRABALHISTAS'!#REF!</definedName>
    <definedName name="PERC_GPS_FGTS_AVISO_PREVIO_TRAB" localSheetId="3">'ENCARGOS-SOCIAIS-E-TRABALHISTAS'!#REF!</definedName>
    <definedName name="PERC_GPS_FGTS_AVISO_PREVIO_TRAB">'ENCARGOS-SOCIAIS-E-TRABALHISTAS'!#REF!</definedName>
    <definedName name="PERC_HORA_EXTRA" localSheetId="1">'INSERIR-DADOS- COPEIRA 12x36H'!$F$48</definedName>
    <definedName name="PERC_HORA_EXTRA">'INSERIR-DADOS-44h'!$F$62</definedName>
    <definedName name="PERC_INCRA">'ENCARGOS-SOCIAIS-E-TRABALHISTAS'!$E$15</definedName>
    <definedName name="PERC_INSS">'ENCARGOS-SOCIAIS-E-TRABALHISTAS'!$E$9</definedName>
    <definedName name="PERC_ISS" localSheetId="1">'INSERIR-DADOS- COPEIRA 12x36H'!$F$63</definedName>
    <definedName name="PERC_ISS">'INSERIR-DADOS-44h'!$F$81</definedName>
    <definedName name="PERC_LUCRO" localSheetId="1">'INSERIR-DADOS- COPEIRA 12x36H'!$F$60</definedName>
    <definedName name="PERC_LUCRO">'INSERIR-DADOS-44h'!$F$78</definedName>
    <definedName name="PERC_MOD_3_PROVISAO_RESCISAO" localSheetId="9">'POSTO 12X36 - Copeira'!$E$53</definedName>
    <definedName name="PERC_MOD_3_PROVISAO_RESCISAO" localSheetId="7">'POSTO 44 HORAS - Copeira'!$E$53</definedName>
    <definedName name="PERC_MOD_3_PROVISAO_RESCISAO" localSheetId="6">'POSTO 44 HORAS - Encarregado'!$E$53</definedName>
    <definedName name="PERC_MOD_3_PROVISAO_RESCISAO" localSheetId="8">'POSTO 44 HORAS - GARÇOM'!$E$53</definedName>
    <definedName name="PERC_MULTA_FGTS">'DADOS-ESTATISTICOS'!$F$20</definedName>
    <definedName name="PERC_MULTA_FGTS_AV_PREV_IND" localSheetId="1">'ENCARGOS-SOCIAIS-E-TRABALHISTAS'!#REF!</definedName>
    <definedName name="PERC_MULTA_FGTS_AV_PREV_IND" localSheetId="9">'ENCARGOS-SOCIAIS-E-TRABALHISTAS'!#REF!</definedName>
    <definedName name="PERC_MULTA_FGTS_AV_PREV_IND" localSheetId="7">'ENCARGOS-SOCIAIS-E-TRABALHISTAS'!#REF!</definedName>
    <definedName name="PERC_MULTA_FGTS_AV_PREV_IND" localSheetId="8">'ENCARGOS-SOCIAIS-E-TRABALHISTAS'!#REF!</definedName>
    <definedName name="PERC_MULTA_FGTS_AV_PREV_IND" localSheetId="3">'ENCARGOS-SOCIAIS-E-TRABALHISTAS'!#REF!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 localSheetId="1">'INSERIR-DADOS- COPEIRA 12x36H'!$F$61</definedName>
    <definedName name="PERC_PIS">'INSERIR-DADOS-44h'!$F$79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 localSheetId="1">'INSERIR-DADOS- COPEIRA 12x36H'!$F$44</definedName>
    <definedName name="PERC_SUBSTITUTO_OUTRAS_AUSENCIAS">'INSERIR-DADOS-44h'!$F$56</definedName>
    <definedName name="PERC_TRIBUTOS" localSheetId="9">'POSTO 12X36 - Copeira'!$E$81</definedName>
    <definedName name="PERC_TRIBUTOS" localSheetId="7">'POSTO 44 HORAS - Copeira'!$E$81</definedName>
    <definedName name="PERC_TRIBUTOS" localSheetId="6">'POSTO 44 HORAS - Encarregado'!$E$80</definedName>
    <definedName name="PERC_TRIBUTOS" localSheetId="8">'POSTO 44 HORAS - GARÇOM'!$E$81</definedName>
    <definedName name="QTDE_POSTOS" localSheetId="9">'INSERIR-DADOS-44h'!$F$21</definedName>
    <definedName name="QTDE_POSTOS" localSheetId="7">'INSERIR-DADOS-44h'!$F$21</definedName>
    <definedName name="QTDE_POSTOS" localSheetId="6">'INSERIR-DADOS-44h'!$F$21</definedName>
    <definedName name="QTDE_POSTOS" localSheetId="8">'INSERIR-DADOS-44h'!$F$21</definedName>
    <definedName name="RAMO" localSheetId="1">'INSERIR-DADOS- COPEIRA 12x36H'!$B$1</definedName>
    <definedName name="RAMO">'INSERIR-DADOS-44h'!$B$1</definedName>
    <definedName name="SAL_MINIMO" localSheetId="1">'INSERIR-DADOS- COPEIRA 12x36H'!$F$25</definedName>
    <definedName name="SAL_MINIMO">'INSERIR-DADOS-44h'!$F$31</definedName>
    <definedName name="SALARIO_BASE" localSheetId="1">'INSERIR-DADOS- COPEIRA 12x36H'!#REF!</definedName>
    <definedName name="SALARIO_BASE">'INSERIR-DADOS-44h'!$F$36</definedName>
    <definedName name="SUBMOD_2_1_DEC_TERC_ADIC_FERIAS" localSheetId="9">'POSTO 12X36 - Copeira'!$F$30</definedName>
    <definedName name="SUBMOD_2_1_DEC_TERC_ADIC_FERIAS" localSheetId="7">'POSTO 44 HORAS - Copeira'!$F$30</definedName>
    <definedName name="SUBMOD_2_1_DEC_TERC_ADIC_FERIAS" localSheetId="6">'POSTO 44 HORAS - Encarregado'!$F$30</definedName>
    <definedName name="SUBMOD_2_1_DEC_TERC_ADIC_FERIAS" localSheetId="8">'POSTO 44 HORAS - GARÇOM'!$F$30</definedName>
    <definedName name="SUBMOD_2_2_GPS_FGTS" localSheetId="9">'POSTO 12X36 - Copeira'!$F$41</definedName>
    <definedName name="SUBMOD_2_2_GPS_FGTS" localSheetId="7">'POSTO 44 HORAS - Copeira'!$F$41</definedName>
    <definedName name="SUBMOD_2_2_GPS_FGTS" localSheetId="6">'POSTO 44 HORAS - Encarregado'!$F$41</definedName>
    <definedName name="SUBMOD_2_2_GPS_FGTS" localSheetId="8">'POSTO 44 HORAS - GARÇOM'!$F$41</definedName>
    <definedName name="SUBMOD_2_3_BENEFICIOS" localSheetId="9">'POSTO 12X36 - Copeira'!$F$47</definedName>
    <definedName name="SUBMOD_2_3_BENEFICIOS" localSheetId="7">'POSTO 44 HORAS - Copeira'!$F$47</definedName>
    <definedName name="SUBMOD_2_3_BENEFICIOS" localSheetId="6">'POSTO 44 HORAS - Encarregado'!$F$47</definedName>
    <definedName name="SUBMOD_2_3_BENEFICIOS" localSheetId="8">'POSTO 44 HORAS - GARÇOM'!$F$47</definedName>
    <definedName name="SUBMOD_4_1_SUBSTITUTO" localSheetId="9">'POSTO 12X36 - Copeira'!$F$64</definedName>
    <definedName name="SUBMOD_4_1_SUBSTITUTO" localSheetId="7">'POSTO 44 HORAS - Copeira'!$F$64</definedName>
    <definedName name="SUBMOD_4_1_SUBSTITUTO" localSheetId="6">'POSTO 44 HORAS - Encarregado'!$F$64</definedName>
    <definedName name="SUBMOD_4_1_SUBSTITUTO" localSheetId="8">'POSTO 44 HORAS - GARÇOM'!$F$64</definedName>
    <definedName name="SUBMOD_4_2_INTRAJORNADA" localSheetId="9">'POSTO 12X36 - Copeira'!$F$68</definedName>
    <definedName name="SUBMOD_4_2_INTRAJORNADA" localSheetId="7">'POSTO 44 HORAS - Copeira'!$F$68</definedName>
    <definedName name="SUBMOD_4_2_INTRAJORNADA" localSheetId="6">'POSTO 44 HORAS - Encarregado'!$F$68</definedName>
    <definedName name="SUBMOD_4_2_INTRAJORNADA" localSheetId="8">'POSTO 44 HORAS - GARÇOM'!$F$68</definedName>
    <definedName name="TEMPO_INTERVALO_REFEICAO" localSheetId="1">'INSERIR-DADOS- COPEIRA 12x36H'!$F$49</definedName>
    <definedName name="TEMPO_INTERVALO_REFEICAO">'INSERIR-DADOS-44h'!$F$63</definedName>
    <definedName name="TIPO_DE_SERVICO" localSheetId="1">'INSERIR-DADOS- COPEIRA 12x36H'!#REF!</definedName>
    <definedName name="TIPO_DE_SERVICO">'INSERIR-DADOS-44h'!$C$21</definedName>
    <definedName name="TRANSPORTE_POR_DIA" localSheetId="1">'INSERIR-DADOS- COPEIRA 12x36H'!$F$36</definedName>
    <definedName name="TRANSPORTE_POR_DIA">'INSERIR-DADOS-44h'!$F$46</definedName>
    <definedName name="UG" localSheetId="1">'INSERIR-DADOS- COPEIRA 12x36H'!$B$2</definedName>
    <definedName name="UG">'INSERIR-DADOS-44h'!$B$2</definedName>
    <definedName name="UNIFORMES" localSheetId="1">'INSERIR-DADOS- COPEIRA 12x36H'!$F$53</definedName>
    <definedName name="UNIFORMES">'INSERIR-DADOS-44h'!$F$67</definedName>
    <definedName name="VALOR_TOTAL_EMPREGADO" localSheetId="9">'POSTO 12X36 - Copeira'!$F$95</definedName>
    <definedName name="VALOR_TOTAL_EMPREGADO" localSheetId="7">'POSTO 44 HORAS - Copeira'!$F$95</definedName>
    <definedName name="VALOR_TOTAL_EMPREGADO" localSheetId="6">'POSTO 44 HORAS - Encarregado'!$F$94</definedName>
    <definedName name="VALOR_TOTAL_EMPREGADO" localSheetId="8">'POSTO 44 HORAS - GARÇOM'!$F$95</definedName>
    <definedName name="VALOR_TOTAL_POSTO" localSheetId="9">'POSTO 12X36 - Copeira'!$F$96</definedName>
    <definedName name="VALOR_TOTAL_POSTO" localSheetId="7">'POSTO 44 HORAS - Copeira'!$F$96</definedName>
    <definedName name="VALOR_TOTAL_POSTO" localSheetId="6">'POSTO 44 HORAS - Encarregado'!$F$95</definedName>
    <definedName name="VALOR_TOTAL_POSTO" localSheetId="8">'POSTO 44 HORAS - GARÇOM'!$F$96</definedName>
  </definedNames>
  <calcPr calcId="152511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D85" i="18" l="1"/>
  <c r="C30" i="22"/>
  <c r="C23" i="22"/>
  <c r="E3" i="22"/>
  <c r="F46" i="20"/>
  <c r="F23" i="20"/>
  <c r="F17" i="20"/>
  <c r="F12" i="20"/>
  <c r="F10" i="20"/>
  <c r="D9" i="20"/>
  <c r="F8" i="20"/>
  <c r="F6" i="20"/>
  <c r="F2" i="20"/>
  <c r="B1" i="20"/>
  <c r="F46" i="21"/>
  <c r="F22" i="21"/>
  <c r="F19" i="21"/>
  <c r="F17" i="21"/>
  <c r="D16" i="21"/>
  <c r="D15" i="21"/>
  <c r="E14" i="21"/>
  <c r="F10" i="21"/>
  <c r="D9" i="21"/>
  <c r="F19" i="19"/>
  <c r="F10" i="19"/>
  <c r="D9" i="19"/>
  <c r="F45" i="19"/>
  <c r="D72" i="18"/>
  <c r="E72" i="18"/>
  <c r="F46" i="14"/>
  <c r="F19" i="14"/>
  <c r="F17" i="14"/>
  <c r="D16" i="20"/>
  <c r="D15" i="20"/>
  <c r="E14" i="20"/>
  <c r="F11" i="20"/>
  <c r="B6" i="20"/>
  <c r="D5" i="20"/>
  <c r="B2" i="20"/>
  <c r="E84" i="20"/>
  <c r="E83" i="20"/>
  <c r="E81" i="20" s="1"/>
  <c r="E82" i="20"/>
  <c r="E80" i="20"/>
  <c r="E79" i="20"/>
  <c r="F44" i="20"/>
  <c r="C16" i="22"/>
  <c r="C9" i="22"/>
  <c r="F74" i="20"/>
  <c r="C74" i="20"/>
  <c r="F44" i="21"/>
  <c r="F44" i="19"/>
  <c r="F47" i="19" s="1"/>
  <c r="F44" i="14"/>
  <c r="E63" i="20"/>
  <c r="C63" i="20"/>
  <c r="F45" i="20"/>
  <c r="C46" i="20"/>
  <c r="C23" i="20"/>
  <c r="F22" i="20"/>
  <c r="F74" i="21"/>
  <c r="C74" i="21"/>
  <c r="E63" i="21"/>
  <c r="C63" i="21"/>
  <c r="C46" i="21"/>
  <c r="F23" i="21"/>
  <c r="C23" i="21"/>
  <c r="F12" i="21"/>
  <c r="F74" i="19"/>
  <c r="C74" i="19"/>
  <c r="E63" i="19"/>
  <c r="C63" i="19"/>
  <c r="F46" i="19"/>
  <c r="C46" i="19"/>
  <c r="C23" i="19"/>
  <c r="F73" i="14"/>
  <c r="C73" i="14"/>
  <c r="C46" i="14"/>
  <c r="F23" i="19"/>
  <c r="D16" i="14"/>
  <c r="D15" i="14"/>
  <c r="D15" i="19"/>
  <c r="D16" i="19"/>
  <c r="E14" i="19"/>
  <c r="F12" i="19"/>
  <c r="C22" i="19"/>
  <c r="F22" i="19"/>
  <c r="F67" i="14"/>
  <c r="F68" i="14" s="1"/>
  <c r="F22" i="14"/>
  <c r="E14" i="14"/>
  <c r="F12" i="14"/>
  <c r="E84" i="21"/>
  <c r="E83" i="21"/>
  <c r="E82" i="21"/>
  <c r="E80" i="21"/>
  <c r="E79" i="21"/>
  <c r="F67" i="21"/>
  <c r="F68" i="21" s="1"/>
  <c r="F45" i="21"/>
  <c r="E40" i="21"/>
  <c r="E39" i="21"/>
  <c r="E38" i="21"/>
  <c r="E37" i="21"/>
  <c r="E36" i="21"/>
  <c r="E35" i="21"/>
  <c r="E34" i="21"/>
  <c r="E33" i="21"/>
  <c r="F11" i="21"/>
  <c r="F8" i="21"/>
  <c r="F6" i="21"/>
  <c r="D6" i="21"/>
  <c r="D5" i="21"/>
  <c r="F2" i="21"/>
  <c r="B2" i="21"/>
  <c r="B1" i="21"/>
  <c r="F67" i="20"/>
  <c r="F68" i="20" s="1"/>
  <c r="E40" i="20"/>
  <c r="E39" i="20"/>
  <c r="E38" i="20"/>
  <c r="E37" i="20"/>
  <c r="E36" i="20"/>
  <c r="E35" i="20"/>
  <c r="E34" i="20"/>
  <c r="E33" i="20"/>
  <c r="D6" i="20"/>
  <c r="E81" i="21"/>
  <c r="F24" i="21"/>
  <c r="F24" i="20"/>
  <c r="F47" i="20"/>
  <c r="E84" i="19"/>
  <c r="E83" i="19"/>
  <c r="E81" i="19" s="1"/>
  <c r="E82" i="19"/>
  <c r="E80" i="19"/>
  <c r="E79" i="19"/>
  <c r="F67" i="19"/>
  <c r="F68" i="19" s="1"/>
  <c r="E40" i="19"/>
  <c r="E39" i="19"/>
  <c r="E38" i="19"/>
  <c r="E37" i="19"/>
  <c r="E36" i="19"/>
  <c r="E35" i="19"/>
  <c r="E34" i="19"/>
  <c r="E33" i="19"/>
  <c r="F17" i="19"/>
  <c r="F11" i="19"/>
  <c r="F8" i="19"/>
  <c r="F6" i="19"/>
  <c r="D6" i="19"/>
  <c r="D5" i="19"/>
  <c r="F2" i="19"/>
  <c r="B2" i="19"/>
  <c r="B1" i="19"/>
  <c r="D74" i="18"/>
  <c r="E74" i="18"/>
  <c r="D73" i="18"/>
  <c r="E73" i="18"/>
  <c r="D71" i="18"/>
  <c r="E71" i="18"/>
  <c r="D70" i="18"/>
  <c r="E70" i="18"/>
  <c r="D69" i="18"/>
  <c r="E69" i="18"/>
  <c r="D68" i="18"/>
  <c r="E68" i="18"/>
  <c r="E75" i="18" s="1"/>
  <c r="D62" i="18"/>
  <c r="E62" i="18"/>
  <c r="D61" i="18"/>
  <c r="E61" i="18"/>
  <c r="D60" i="18"/>
  <c r="E60" i="18"/>
  <c r="D59" i="18"/>
  <c r="E59" i="18"/>
  <c r="D58" i="18"/>
  <c r="E58" i="18"/>
  <c r="D57" i="18"/>
  <c r="E57" i="18"/>
  <c r="D56" i="18"/>
  <c r="E56" i="18"/>
  <c r="D49" i="18"/>
  <c r="E49" i="18"/>
  <c r="D48" i="18"/>
  <c r="E48" i="18"/>
  <c r="D47" i="18"/>
  <c r="E47" i="18"/>
  <c r="D46" i="18"/>
  <c r="E46" i="18"/>
  <c r="D45" i="18"/>
  <c r="E45" i="18"/>
  <c r="D44" i="18"/>
  <c r="E44" i="18"/>
  <c r="D43" i="18"/>
  <c r="E43" i="18"/>
  <c r="E50" i="18" s="1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86" i="18"/>
  <c r="D84" i="18"/>
  <c r="D87" i="18" s="1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E25" i="18" s="1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4" i="18"/>
  <c r="E4" i="18"/>
  <c r="E12" i="18" s="1"/>
  <c r="E26" i="18" s="1"/>
  <c r="F24" i="19"/>
  <c r="E63" i="18"/>
  <c r="E76" i="18" s="1"/>
  <c r="E38" i="18"/>
  <c r="E51" i="18" s="1"/>
  <c r="E63" i="17"/>
  <c r="E61" i="17"/>
  <c r="F67" i="11"/>
  <c r="F72" i="14" s="1"/>
  <c r="F74" i="14" s="1"/>
  <c r="S40" i="16"/>
  <c r="U40" i="16" s="1"/>
  <c r="S41" i="16"/>
  <c r="U41" i="16" s="1"/>
  <c r="S42" i="16"/>
  <c r="U42" i="16" s="1"/>
  <c r="S39" i="16"/>
  <c r="U39" i="16" s="1"/>
  <c r="S30" i="16"/>
  <c r="U30" i="16" s="1"/>
  <c r="S29" i="16"/>
  <c r="U29" i="16" s="1"/>
  <c r="S8" i="16"/>
  <c r="S9" i="16"/>
  <c r="U9" i="16"/>
  <c r="S10" i="16"/>
  <c r="S11" i="16"/>
  <c r="U11" i="16" s="1"/>
  <c r="S12" i="16"/>
  <c r="U12" i="16" s="1"/>
  <c r="S13" i="16"/>
  <c r="U13" i="16"/>
  <c r="S14" i="16"/>
  <c r="S15" i="16"/>
  <c r="U15" i="16" s="1"/>
  <c r="S16" i="16"/>
  <c r="S17" i="16"/>
  <c r="U17" i="16"/>
  <c r="S18" i="16"/>
  <c r="U18" i="16"/>
  <c r="S19" i="16"/>
  <c r="S20" i="16"/>
  <c r="U20" i="16" s="1"/>
  <c r="S7" i="16"/>
  <c r="U7" i="16" s="1"/>
  <c r="U8" i="16"/>
  <c r="U10" i="16"/>
  <c r="U14" i="16"/>
  <c r="U16" i="16"/>
  <c r="U19" i="16"/>
  <c r="E21" i="12"/>
  <c r="F39" i="15"/>
  <c r="F31" i="15"/>
  <c r="D9" i="14"/>
  <c r="F2" i="14"/>
  <c r="E31" i="12"/>
  <c r="C31" i="12"/>
  <c r="E83" i="14"/>
  <c r="E82" i="14"/>
  <c r="E81" i="14"/>
  <c r="E79" i="14"/>
  <c r="E78" i="14"/>
  <c r="E63" i="14"/>
  <c r="C63" i="14"/>
  <c r="F45" i="14"/>
  <c r="F47" i="14" s="1"/>
  <c r="E39" i="14"/>
  <c r="E38" i="14"/>
  <c r="E37" i="14"/>
  <c r="E36" i="14"/>
  <c r="E35" i="14"/>
  <c r="E34" i="14"/>
  <c r="E33" i="14"/>
  <c r="F23" i="14"/>
  <c r="F24" i="14" s="1"/>
  <c r="F87" i="14" s="1"/>
  <c r="C23" i="14"/>
  <c r="F11" i="14"/>
  <c r="F10" i="14"/>
  <c r="F8" i="14"/>
  <c r="F6" i="14"/>
  <c r="D6" i="14"/>
  <c r="D5" i="14"/>
  <c r="B2" i="14"/>
  <c r="B1" i="14"/>
  <c r="E5" i="12"/>
  <c r="E6" i="12"/>
  <c r="E20" i="12"/>
  <c r="E26" i="12"/>
  <c r="E27" i="12"/>
  <c r="E28" i="12"/>
  <c r="E29" i="12"/>
  <c r="E79" i="11"/>
  <c r="E80" i="11"/>
  <c r="E81" i="11"/>
  <c r="E51" i="14"/>
  <c r="E58" i="14"/>
  <c r="E40" i="14"/>
  <c r="E17" i="12"/>
  <c r="E30" i="12"/>
  <c r="F38" i="15"/>
  <c r="U31" i="16"/>
  <c r="U32" i="16" s="1"/>
  <c r="F69" i="11"/>
  <c r="E60" i="21"/>
  <c r="E58" i="21"/>
  <c r="E29" i="21"/>
  <c r="F29" i="21"/>
  <c r="E61" i="21"/>
  <c r="F28" i="21"/>
  <c r="F30" i="21" s="1"/>
  <c r="E51" i="21"/>
  <c r="E50" i="20"/>
  <c r="E59" i="20"/>
  <c r="E60" i="20"/>
  <c r="E58" i="20"/>
  <c r="E29" i="20"/>
  <c r="E60" i="19"/>
  <c r="E58" i="19"/>
  <c r="E29" i="14"/>
  <c r="E29" i="19"/>
  <c r="E60" i="14"/>
  <c r="E59" i="19"/>
  <c r="E28" i="19"/>
  <c r="E22" i="12"/>
  <c r="E80" i="14"/>
  <c r="U43" i="16"/>
  <c r="F72" i="21"/>
  <c r="E52" i="14"/>
  <c r="E52" i="21"/>
  <c r="F36" i="21"/>
  <c r="F35" i="21"/>
  <c r="E52" i="20"/>
  <c r="E52" i="19"/>
  <c r="F29" i="14"/>
  <c r="F91" i="14"/>
  <c r="F47" i="21" l="1"/>
  <c r="U21" i="16"/>
  <c r="U22" i="16" s="1"/>
  <c r="B48" i="16" s="1"/>
  <c r="B50" i="16" s="1"/>
  <c r="F73" i="21" s="1"/>
  <c r="F75" i="21" s="1"/>
  <c r="F92" i="21" s="1"/>
  <c r="F70" i="11"/>
  <c r="F73" i="19" s="1"/>
  <c r="F53" i="17"/>
  <c r="F72" i="20" s="1"/>
  <c r="F68" i="11"/>
  <c r="F72" i="19" s="1"/>
  <c r="F94" i="19"/>
  <c r="F93" i="14"/>
  <c r="F94" i="21"/>
  <c r="F94" i="20"/>
  <c r="E62" i="21"/>
  <c r="E62" i="20"/>
  <c r="E62" i="14"/>
  <c r="E61" i="20"/>
  <c r="E61" i="19"/>
  <c r="E59" i="21"/>
  <c r="E50" i="14"/>
  <c r="E28" i="21"/>
  <c r="F28" i="20"/>
  <c r="E28" i="14"/>
  <c r="F28" i="19"/>
  <c r="F28" i="14"/>
  <c r="F30" i="14" s="1"/>
  <c r="E51" i="20"/>
  <c r="E51" i="19"/>
  <c r="F88" i="21"/>
  <c r="F40" i="21"/>
  <c r="F38" i="21"/>
  <c r="F34" i="21"/>
  <c r="F37" i="21"/>
  <c r="F33" i="21"/>
  <c r="F39" i="21"/>
  <c r="F50" i="21"/>
  <c r="F52" i="21"/>
  <c r="E50" i="19"/>
  <c r="E61" i="14"/>
  <c r="E62" i="19"/>
  <c r="E59" i="14"/>
  <c r="E28" i="20"/>
  <c r="E50" i="21"/>
  <c r="F88" i="19"/>
  <c r="F29" i="19"/>
  <c r="F88" i="20"/>
  <c r="F29" i="20"/>
  <c r="F75" i="19" l="1"/>
  <c r="F92" i="19" s="1"/>
  <c r="F54" i="17"/>
  <c r="F73" i="20" s="1"/>
  <c r="F75" i="20"/>
  <c r="F92" i="20" s="1"/>
  <c r="F30" i="19"/>
  <c r="F30" i="20"/>
  <c r="F41" i="21"/>
  <c r="F34" i="14"/>
  <c r="F33" i="14"/>
  <c r="F36" i="14"/>
  <c r="F38" i="14"/>
  <c r="F52" i="14"/>
  <c r="F40" i="14"/>
  <c r="F50" i="14" s="1"/>
  <c r="F35" i="14"/>
  <c r="F39" i="14"/>
  <c r="F37" i="14"/>
  <c r="F40" i="20" l="1"/>
  <c r="F36" i="20"/>
  <c r="F38" i="20"/>
  <c r="F37" i="20"/>
  <c r="F35" i="20"/>
  <c r="F33" i="20"/>
  <c r="F39" i="20"/>
  <c r="F50" i="20"/>
  <c r="F52" i="20"/>
  <c r="F34" i="20"/>
  <c r="F41" i="14"/>
  <c r="F89" i="21"/>
  <c r="F51" i="21"/>
  <c r="F53" i="21" s="1"/>
  <c r="F39" i="19"/>
  <c r="F33" i="19"/>
  <c r="F34" i="19"/>
  <c r="F35" i="19"/>
  <c r="F52" i="19"/>
  <c r="F36" i="19"/>
  <c r="F37" i="19"/>
  <c r="F38" i="19"/>
  <c r="F40" i="19"/>
  <c r="F50" i="19" s="1"/>
  <c r="F41" i="19" l="1"/>
  <c r="F41" i="20"/>
  <c r="F90" i="21"/>
  <c r="F61" i="21"/>
  <c r="F58" i="21"/>
  <c r="F63" i="21"/>
  <c r="F62" i="21"/>
  <c r="F59" i="21"/>
  <c r="F60" i="21"/>
  <c r="F51" i="14"/>
  <c r="F53" i="14" s="1"/>
  <c r="F88" i="14"/>
  <c r="F58" i="14" l="1"/>
  <c r="F60" i="14"/>
  <c r="F62" i="14"/>
  <c r="F63" i="14"/>
  <c r="F59" i="14"/>
  <c r="F89" i="14"/>
  <c r="F61" i="14"/>
  <c r="F51" i="19"/>
  <c r="F53" i="19" s="1"/>
  <c r="F89" i="19"/>
  <c r="F64" i="21"/>
  <c r="F89" i="20"/>
  <c r="F63" i="20"/>
  <c r="F51" i="20"/>
  <c r="F53" i="20" s="1"/>
  <c r="F91" i="21" l="1"/>
  <c r="F79" i="21"/>
  <c r="F58" i="20"/>
  <c r="F60" i="20"/>
  <c r="F90" i="20"/>
  <c r="F62" i="20"/>
  <c r="F59" i="20"/>
  <c r="F61" i="20"/>
  <c r="F90" i="19"/>
  <c r="F58" i="19"/>
  <c r="F59" i="19"/>
  <c r="F63" i="19"/>
  <c r="F62" i="19"/>
  <c r="F60" i="19"/>
  <c r="F61" i="19"/>
  <c r="F64" i="14"/>
  <c r="F64" i="19" l="1"/>
  <c r="F80" i="21"/>
  <c r="F83" i="21" s="1"/>
  <c r="F90" i="14"/>
  <c r="F78" i="14"/>
  <c r="F64" i="20"/>
  <c r="F79" i="14" l="1"/>
  <c r="F82" i="14" s="1"/>
  <c r="F84" i="21"/>
  <c r="F91" i="20"/>
  <c r="F79" i="20"/>
  <c r="F82" i="21"/>
  <c r="F91" i="19"/>
  <c r="F79" i="19"/>
  <c r="F81" i="21" l="1"/>
  <c r="F85" i="21" s="1"/>
  <c r="F93" i="21" s="1"/>
  <c r="F95" i="21" s="1"/>
  <c r="F97" i="21" s="1"/>
  <c r="F98" i="21" s="1"/>
  <c r="F83" i="14"/>
  <c r="F80" i="19"/>
  <c r="F82" i="19" s="1"/>
  <c r="F80" i="20"/>
  <c r="F84" i="20" s="1"/>
  <c r="F81" i="14"/>
  <c r="F80" i="14" l="1"/>
  <c r="F84" i="14" s="1"/>
  <c r="F92" i="14" s="1"/>
  <c r="F94" i="14" s="1"/>
  <c r="F96" i="14" s="1"/>
  <c r="F97" i="14" s="1"/>
  <c r="F96" i="21"/>
  <c r="D30" i="22" s="1"/>
  <c r="E30" i="22" s="1"/>
  <c r="E31" i="22" s="1"/>
  <c r="E32" i="22" s="1"/>
  <c r="F84" i="19"/>
  <c r="F95" i="14"/>
  <c r="D9" i="22" s="1"/>
  <c r="E9" i="22" s="1"/>
  <c r="E10" i="22" s="1"/>
  <c r="F82" i="20"/>
  <c r="F83" i="20"/>
  <c r="F83" i="19"/>
  <c r="F81" i="19" l="1"/>
  <c r="F85" i="19" s="1"/>
  <c r="F93" i="19" s="1"/>
  <c r="F95" i="19" s="1"/>
  <c r="F97" i="19" s="1"/>
  <c r="F98" i="19" s="1"/>
  <c r="F81" i="20"/>
  <c r="F85" i="20" s="1"/>
  <c r="F93" i="20" s="1"/>
  <c r="F95" i="20" s="1"/>
  <c r="F96" i="20" s="1"/>
  <c r="D23" i="22" s="1"/>
  <c r="E23" i="22" s="1"/>
  <c r="E24" i="22" s="1"/>
  <c r="E25" i="22" s="1"/>
  <c r="F96" i="19"/>
  <c r="D16" i="22" s="1"/>
  <c r="E16" i="22" s="1"/>
  <c r="E17" i="22" s="1"/>
  <c r="E18" i="22" s="1"/>
  <c r="E11" i="22"/>
  <c r="F97" i="20" l="1"/>
  <c r="E35" i="22"/>
  <c r="E36" i="22"/>
</calcChain>
</file>

<file path=xl/sharedStrings.xml><?xml version="1.0" encoding="utf-8"?>
<sst xmlns="http://schemas.openxmlformats.org/spreadsheetml/2006/main" count="1265" uniqueCount="330">
  <si>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</si>
  <si>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</si>
  <si>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</si>
  <si>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</si>
  <si>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</si>
  <si>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</si>
  <si>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</si>
  <si>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</si>
  <si>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</si>
  <si>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</si>
  <si>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</si>
  <si>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</si>
  <si>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</si>
  <si>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</si>
  <si>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</si>
  <si>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</si>
  <si>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</si>
  <si>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</si>
  <si>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</si>
  <si>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</si>
  <si>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</si>
  <si>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</si>
  <si>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</si>
  <si>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</si>
  <si>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</si>
  <si>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</si>
  <si>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</si>
  <si>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</si>
  <si>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</si>
  <si>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</si>
  <si>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</si>
  <si>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</si>
  <si>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</si>
  <si>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</si>
  <si>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</si>
  <si>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</si>
  <si>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</si>
  <si>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</si>
  <si>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</si>
  <si>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</si>
  <si>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</si>
  <si>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</si>
  <si>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</si>
  <si>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</si>
  <si>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</si>
  <si>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</si>
  <si>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</si>
  <si>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</si>
  <si>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</si>
  <si>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</si>
  <si>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</si>
  <si>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</si>
  <si>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</si>
  <si>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</si>
  <si>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</si>
  <si>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</si>
  <si>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</si>
  <si>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</si>
  <si>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</si>
  <si>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</si>
  <si>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</si>
  <si>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</si>
  <si>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</si>
  <si>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</si>
  <si>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</si>
  <si>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</si>
  <si>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</si>
  <si>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</si>
  <si>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</si>
  <si>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</si>
  <si>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</si>
  <si>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</si>
  <si>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</si>
  <si>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Quantidade de Postos</t>
  </si>
  <si>
    <t>Outros (Especificar)</t>
  </si>
  <si>
    <t>SESC</t>
  </si>
  <si>
    <t>SENAC</t>
  </si>
  <si>
    <t>Riscos Ambientas do Trabalho</t>
  </si>
  <si>
    <t>2.3</t>
  </si>
  <si>
    <t>Salário-Base</t>
  </si>
  <si>
    <t>13º Salário e Adicional de Férias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</si>
  <si>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</si>
  <si>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</si>
  <si>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</si>
  <si>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</si>
  <si>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</si>
  <si>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</si>
  <si>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</si>
  <si>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</si>
  <si>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</si>
  <si>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</si>
  <si>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</si>
  <si>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</si>
  <si>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</si>
  <si>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</si>
  <si>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</si>
  <si>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</si>
  <si>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</si>
  <si>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</si>
  <si>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</si>
  <si>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</si>
  <si>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</si>
  <si>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</si>
  <si>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</si>
  <si>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</si>
  <si>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</si>
  <si>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</si>
  <si>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</si>
  <si>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</si>
  <si>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</si>
  <si>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</si>
  <si>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</si>
  <si>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</si>
  <si>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</si>
  <si>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</si>
  <si>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</si>
  <si>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</si>
  <si>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</si>
  <si>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</si>
  <si>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</si>
  <si>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</si>
  <si>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</si>
  <si>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</si>
  <si>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</si>
  <si>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</si>
  <si>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</si>
  <si>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</si>
  <si>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</si>
  <si>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</si>
  <si>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</si>
  <si>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</si>
  <si>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</si>
  <si>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</si>
  <si>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Outros Benefícios 1 (Especificar)</t>
  </si>
  <si>
    <t>Outros Benefícios 2 (Especificar)</t>
  </si>
  <si>
    <t>Outros Benefícios 3 (Especificar)</t>
  </si>
  <si>
    <t>XX/XX/20XX</t>
  </si>
  <si>
    <t>XX/20XX</t>
  </si>
  <si>
    <t>Outras Ausências (Especificar - em %)</t>
  </si>
  <si>
    <t>OBSERVAÇÃO</t>
  </si>
  <si>
    <t>CUSTOS POR EMPREGADO</t>
  </si>
  <si>
    <t>Dias Trabalhados no mês (15 dias intercalados ou 22 dias úteis)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</si>
  <si>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</si>
  <si>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</si>
  <si>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</si>
  <si>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</si>
  <si>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</si>
  <si>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</si>
  <si>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</si>
  <si>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</si>
  <si>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</si>
  <si>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</si>
  <si>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</si>
  <si>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</si>
  <si>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</si>
  <si>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</si>
  <si>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</si>
  <si>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</si>
  <si>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</si>
  <si>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</si>
  <si>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</si>
  <si>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</si>
  <si>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</si>
  <si>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</si>
  <si>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</si>
  <si>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</si>
  <si>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</si>
  <si>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</si>
  <si>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</si>
  <si>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</si>
  <si>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TABELA 1</t>
  </si>
  <si>
    <t>ENTREGA: INÍCIO DO CONTRATO</t>
  </si>
  <si>
    <t>REPOSIÇÃO ESTIMADA: MENSAL</t>
  </si>
  <si>
    <t>DESCRIÇÃO</t>
  </si>
  <si>
    <t>UN</t>
  </si>
  <si>
    <t>Sede</t>
  </si>
  <si>
    <t>Brasília II</t>
  </si>
  <si>
    <t>Brazlândia</t>
  </si>
  <si>
    <t>Ceilândia</t>
  </si>
  <si>
    <t>Gama</t>
  </si>
  <si>
    <t>Garagem</t>
  </si>
  <si>
    <t>Infância</t>
  </si>
  <si>
    <t>Paranoá</t>
  </si>
  <si>
    <t>Planaltina</t>
  </si>
  <si>
    <t>Samambaia</t>
  </si>
  <si>
    <t>Santa Maria</t>
  </si>
  <si>
    <t>São Sebastião</t>
  </si>
  <si>
    <t>Sobradinho</t>
  </si>
  <si>
    <t>Taguatinga</t>
  </si>
  <si>
    <t>VALOR UNITÁRIO (R$)</t>
  </si>
  <si>
    <t>VALOR TOTAL (R$)</t>
  </si>
  <si>
    <t>PCT</t>
  </si>
  <si>
    <t xml:space="preserve">Valor (A) total dos materiais que serão fornecidos MENSALMENTE </t>
  </si>
  <si>
    <t>TABELA 2</t>
  </si>
  <si>
    <t>ENTREGA INÍCIO DO CONTRATO</t>
  </si>
  <si>
    <t>REPOSIÇÃO ESTIMADA: TRIMESTRAL</t>
  </si>
  <si>
    <t>Águas Claras</t>
  </si>
  <si>
    <t xml:space="preserve">Valor (B) total dos materiais que serão fornecidos TRIMESTRALMENTE </t>
  </si>
  <si>
    <t>TABELA 3</t>
  </si>
  <si>
    <t>REPOSIÇÃO ESTIMADA: ANUAL</t>
  </si>
  <si>
    <t>PAR</t>
  </si>
  <si>
    <t>Água sanitária 1lt.</t>
  </si>
  <si>
    <t xml:space="preserve">Detergente biodegradável, para lavar louça, neutro, embalagem de 500ml </t>
  </si>
  <si>
    <t xml:space="preserve">Esponja de fibra com dupla face (verde e amarelo) </t>
  </si>
  <si>
    <t>Esponja de fibra cor azul dupla face.</t>
  </si>
  <si>
    <t>Flanela branca de 1ª qualidade, medindo 50x50cm</t>
  </si>
  <si>
    <t xml:space="preserve">Lã de aço, pacote com 8 un. </t>
  </si>
  <si>
    <t>Sabão neutro em barra, 200gr. Pacote com 5 unidades</t>
  </si>
  <si>
    <t>Sabão em pó, caixa com 1kg.</t>
  </si>
  <si>
    <t>Álcool 70%, embalagem de 1lt</t>
  </si>
  <si>
    <t>Limpador multiuso, embalagem de 500ml</t>
  </si>
  <si>
    <t>Luva de látex, amarela multiúso, antiderrapantes na face palmar.</t>
  </si>
  <si>
    <t>Pano seca tudo, para pia, com alto poder de absorção, resistente ao manuseio, confeccionado dimensões não inferiores a 40cmx38cm.</t>
  </si>
  <si>
    <t>Recanto das Emas</t>
  </si>
  <si>
    <t>Borrifador, para álcool, capacidade mínima de 500ml</t>
  </si>
  <si>
    <t>Rodo em estrutura plástica, tamanho entre 30 e 40cm</t>
  </si>
  <si>
    <t xml:space="preserve">Valor (C) total dos materiais que serão fornecidos ANUALMENTE </t>
  </si>
  <si>
    <t>Porta detergente/esponja, que acomode os dois em apenas um produto, confeccionado em plástico, design que não permita o acúmulo de água</t>
  </si>
  <si>
    <t>Balde plástico, capacidade mínima de 5lt e máxima de 8lt</t>
  </si>
  <si>
    <t>Porta mantimentos, confeccionado em plástico, capacidade mínima de 6lt</t>
  </si>
  <si>
    <t>Rodo de pia, confeccionado em plástico</t>
  </si>
  <si>
    <r>
      <t xml:space="preserve">Pano de prato, 100% algodão, dimensões não inferiores a </t>
    </r>
    <r>
      <rPr>
        <b/>
        <sz val="9"/>
        <rFont val="Times New Roman"/>
        <family val="1"/>
      </rPr>
      <t>70cmx40cm</t>
    </r>
  </si>
  <si>
    <r>
      <t xml:space="preserve">Pano de chão, 100% algodão, dimensões não inferiores a </t>
    </r>
    <r>
      <rPr>
        <b/>
        <sz val="9"/>
        <rFont val="Times New Roman"/>
        <family val="1"/>
      </rPr>
      <t>60cmx40cm</t>
    </r>
  </si>
  <si>
    <t>Serviço</t>
  </si>
  <si>
    <t>Encarregado (44 horas)</t>
  </si>
  <si>
    <t>Copeira (44 horas)</t>
  </si>
  <si>
    <t>Copeira (12x36 horas)</t>
  </si>
  <si>
    <t>Garçom (44 horas)</t>
  </si>
  <si>
    <t>Encarregado</t>
  </si>
  <si>
    <t>RAMO: MINISTÉRIO PÚBLICO DO DISTRITO FEDERAL E TERRITÓRIOS</t>
  </si>
  <si>
    <t>08191.032667/2021-16</t>
  </si>
  <si>
    <t>Unidades do MPDFT</t>
  </si>
  <si>
    <t>DF</t>
  </si>
  <si>
    <t>Salário-Base (em R$) - Copeira (44 horas)</t>
  </si>
  <si>
    <t>Salário-Base (em R$) - Copeira (12x36 horas)</t>
  </si>
  <si>
    <t>Outras Remunerações  (Especificar)</t>
  </si>
  <si>
    <t>4101-05</t>
  </si>
  <si>
    <t>5134-25</t>
  </si>
  <si>
    <t>5134-05</t>
  </si>
  <si>
    <t>Salário-Base (em R$) - Encarregado (44 horas)</t>
  </si>
  <si>
    <t>Salário-Base (em R$) - Garçom (44 horas)</t>
  </si>
  <si>
    <t>Descrição</t>
  </si>
  <si>
    <t xml:space="preserve">Quantidade Anual </t>
  </si>
  <si>
    <r>
      <t xml:space="preserve">Preço </t>
    </r>
    <r>
      <rPr>
        <b/>
        <sz val="14"/>
        <rFont val="Times New Roman"/>
        <family val="1"/>
      </rPr>
      <t>Unitário</t>
    </r>
  </si>
  <si>
    <t>Custo Anual do Uniforme por Funcionário</t>
  </si>
  <si>
    <t>Custo Mensal do Uniforme por Funcionário</t>
  </si>
  <si>
    <t>Paletó</t>
  </si>
  <si>
    <t xml:space="preserve">Calça </t>
  </si>
  <si>
    <t>Cinto</t>
  </si>
  <si>
    <t>Sapato</t>
  </si>
  <si>
    <t>Total Masculino – R$</t>
  </si>
  <si>
    <t>Total Feminino – R$</t>
  </si>
  <si>
    <t>MÉDIA UNIFORME MASCULINO/FEMININO (R$)</t>
  </si>
  <si>
    <t>AUXÍLIOS MENSAIS - Pagamento por Ressarcimento</t>
  </si>
  <si>
    <t>TIPO DE AUXÍLIO</t>
  </si>
  <si>
    <t>Quantidade de Benefícios *</t>
  </si>
  <si>
    <t>Valor Mensal Por Funcionário (R$)</t>
  </si>
  <si>
    <t>Valor Mensal do Auxílio</t>
  </si>
  <si>
    <t>Auxílio Saúde - Plano Ambulatorial</t>
  </si>
  <si>
    <t>Assistência Odontológica</t>
  </si>
  <si>
    <t>Seguro de Vida / Assistência Funeral</t>
  </si>
  <si>
    <t>De acordo com o tópico 19 do Capítulo XV do Edital, os custos com os benefícios referentes ao Auxílio Saúde – Plano Ambulatorial, Seguro de Vida e Assistência Funeral e Assistência Odontológica serão ressarcidos mediante a apresentação dos comprovantes das despesas efetivas com os benefícios dos empregados vinculados ao contrato. O valor mensal a ser ressarcido será exclusivamente com os profissionais ocupantes dos postos de trabalho e será limitado ao constante da Convenção Coletiva de Trabalho da Categoria. Não caberá incidência de encargos, impostos, taxas de lucro e de administração sobre o valor dos benefícios em tela, em razão de sua natureza.</t>
  </si>
  <si>
    <t>* Cotar apenas 1 (uma) unidade de cada um dos benefícios</t>
  </si>
  <si>
    <t>UNIFORME MASCULINO - COPEIRO</t>
  </si>
  <si>
    <t>UNIFORME FEMININO - COPEIRA</t>
  </si>
  <si>
    <t>UNIFORME MASCULINO - GARÇOM</t>
  </si>
  <si>
    <t>UNIFORME FEMININO - GARÇONETE</t>
  </si>
  <si>
    <t>Avental</t>
  </si>
  <si>
    <t>Meia</t>
  </si>
  <si>
    <t>Touca</t>
  </si>
  <si>
    <t>Camisa Social</t>
  </si>
  <si>
    <t>Blazer</t>
  </si>
  <si>
    <t>Laço</t>
  </si>
  <si>
    <t>Gravata Borboleta</t>
  </si>
  <si>
    <t>UNIFORME MASCULINO - ENCARREGADO</t>
  </si>
  <si>
    <t>UNIFORME FEMININO - ENCARREGADA</t>
  </si>
  <si>
    <t>Gravata Social</t>
  </si>
  <si>
    <t>Uniformes Encarregado/Encarregada</t>
  </si>
  <si>
    <t>Uniformes Copeiro/Copeira</t>
  </si>
  <si>
    <t>Uniformes Garçom/Garçonete</t>
  </si>
  <si>
    <t>QUADRO RESUMO - VALOR GLOBAL DA CONTRATAÇÃO</t>
  </si>
  <si>
    <t>TIPO DE SERVIÇO</t>
  </si>
  <si>
    <t>Valor Mensal Por Posto (R$)</t>
  </si>
  <si>
    <t>Valor Mensal da Contratação</t>
  </si>
  <si>
    <t>VALOR MENSAL DA CONTRATAÇÃO DE ENCARREGADO</t>
  </si>
  <si>
    <t>VALOR ANUAL DA CONTRATAÇÃO DE ENCARREGADO</t>
  </si>
  <si>
    <t>VALOR MENSAL DA CONTRATAÇÃO</t>
  </si>
  <si>
    <t>VALOR GLOBAL DA CONTRATAÇÃO</t>
  </si>
  <si>
    <t>CARGO: ENCARREGADO/ENCARREGADA</t>
  </si>
  <si>
    <t>CARGO: COPEIRO/COPEIRA (44 HORAS)</t>
  </si>
  <si>
    <t>CARGO: COPEIRO/COPEIRA (12X36 HORAS)</t>
  </si>
  <si>
    <t>Encarregado/Encarregada</t>
  </si>
  <si>
    <t>Garçom/Garçonete</t>
  </si>
  <si>
    <t>Copeiro(a) (44 horas)</t>
  </si>
  <si>
    <t>Encarregado(a) (44 horas)</t>
  </si>
  <si>
    <t>Garçom/Garçonete (44 horas)</t>
  </si>
  <si>
    <t>Copeiro/Copeira</t>
  </si>
  <si>
    <t>Auxílios Mensais - Pagamento por Ressarcimento</t>
  </si>
  <si>
    <t>VALOR TOTAL ANUAL DA CATEGORIA</t>
  </si>
  <si>
    <t>VALOR TOTAL MENSAL DA CATEGORIA</t>
  </si>
  <si>
    <t>VALOR TOTAL MENSAL POR POSTO</t>
  </si>
  <si>
    <t>Copeiragem</t>
  </si>
  <si>
    <t>VALOR MENSAL DA CONTRATAÇÃO DE COPEIRO/COPEIRA (44 HORAS)</t>
  </si>
  <si>
    <t>VALOR ANUAL DA CONTRATAÇÃO DE COPEIRO/COPEIRA (44 HORAS)</t>
  </si>
  <si>
    <t>VALOR MENSAL DA CONTRATAÇÃO DE COPEIRO/COPEIRA (12x36 HORAS)</t>
  </si>
  <si>
    <t>VALOR ANUAL DA CONTRATAÇÃO DE COPEIRO/COPEIRA (12x36 HORAS)</t>
  </si>
  <si>
    <t>CARGO: GARÇOM/GARÇONETE (44 HORAS)</t>
  </si>
  <si>
    <t>VALOR MENSAL DA CONTRATAÇÃO DE GARÇOM/GARÇONETE (44 HORAS)</t>
  </si>
  <si>
    <t>VALOR ANUAL DA CONTRATAÇÃO DE GARÇOM/GARÇONETE (44 HORAS)</t>
  </si>
  <si>
    <t>Obs: As células em verde podem ser preenchidas</t>
  </si>
  <si>
    <t>Modalidade de Licitação:</t>
  </si>
  <si>
    <t>Copeira/Copeiro</t>
  </si>
  <si>
    <t>UNIDADE GESTORA (SIGLA): S.D.A</t>
  </si>
  <si>
    <t>Copeira(o) (44 horas)</t>
  </si>
  <si>
    <t>Encarregado(a)</t>
  </si>
  <si>
    <t>Copeira(o)</t>
  </si>
  <si>
    <t>Obs: As células em verde podem ser preenchidas de acordo com a realidade da empresa</t>
  </si>
  <si>
    <t>56/2021</t>
  </si>
  <si>
    <t>Lenço</t>
  </si>
  <si>
    <t>Calça</t>
  </si>
  <si>
    <t>xx/xxxx</t>
  </si>
  <si>
    <t>Qtde Total de postos a Contratar</t>
  </si>
  <si>
    <t>Fórmula: A+B+C/12 (nº de meses) = valor encontrado D</t>
  </si>
  <si>
    <t>VALOR D</t>
  </si>
  <si>
    <t>XX/XX/XXXX</t>
  </si>
  <si>
    <t>Edifício Sede</t>
  </si>
  <si>
    <t>Outros Benefícios (Especificar)</t>
  </si>
  <si>
    <t>UNIDADE GESTORA: S.D.A.</t>
  </si>
  <si>
    <t>xx:xx</t>
  </si>
  <si>
    <t>VALOR MENSAL POR 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</si>
</sst>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#,##0.00_ ;\-#,##0.00\ "/>
    <numFmt numFmtId="165" formatCode="#,##0.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</numFmts>
  <fonts count="7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indexed="9"/>
      <name val="Segoe UI Light"/>
      <family val="2"/>
    </font>
    <font>
      <sz val="11"/>
      <color indexed="10"/>
      <name val="Segoe UI Light"/>
      <family val="2"/>
    </font>
    <font>
      <b/>
      <sz val="16"/>
      <color indexed="16"/>
      <name val="Segoe UI Light"/>
      <family val="2"/>
    </font>
    <font>
      <sz val="11"/>
      <color indexed="60"/>
      <name val="Segoe UI Light"/>
      <family val="2"/>
    </font>
    <font>
      <i/>
      <sz val="10"/>
      <color indexed="9"/>
      <name val="Segoe UI Light"/>
      <family val="2"/>
    </font>
    <font>
      <b/>
      <sz val="14"/>
      <color indexed="60"/>
      <name val="Segoe UI Light"/>
      <family val="2"/>
    </font>
    <font>
      <b/>
      <sz val="11"/>
      <color indexed="16"/>
      <name val="Segoe UI Light"/>
      <family val="2"/>
    </font>
    <font>
      <b/>
      <sz val="14"/>
      <color indexed="16"/>
      <name val="Segoe UI Light"/>
      <family val="2"/>
    </font>
    <font>
      <b/>
      <sz val="12"/>
      <color indexed="16"/>
      <name val="Segoe UI Light"/>
      <family val="2"/>
    </font>
    <font>
      <b/>
      <sz val="20"/>
      <color indexed="60"/>
      <name val="Segoe UI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Times New Roman"/>
      <family val="1"/>
      <charset val="1"/>
    </font>
    <font>
      <sz val="10"/>
      <name val="Arial"/>
      <family val="2"/>
    </font>
    <font>
      <b/>
      <sz val="12"/>
      <color indexed="63"/>
      <name val="Times New Roman"/>
      <family val="1"/>
      <charset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  <charset val="1"/>
    </font>
    <font>
      <b/>
      <sz val="14"/>
      <color indexed="63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"/>
      <family val="2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6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6"/>
      <name val="Times New Roman"/>
      <family val="1"/>
      <charset val="1"/>
    </font>
    <font>
      <sz val="8"/>
      <name val="Arial"/>
      <family val="2"/>
      <charset val="1"/>
    </font>
    <font>
      <b/>
      <sz val="1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</font>
    <font>
      <b/>
      <sz val="13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name val="Arial"/>
      <family val="2"/>
      <charset val="1"/>
    </font>
    <font>
      <sz val="12"/>
      <name val="Segoe UI Light"/>
      <family val="2"/>
    </font>
    <font>
      <b/>
      <sz val="20"/>
      <name val="Times New Roman"/>
      <family val="1"/>
      <charset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44" fontId="18" fillId="0" borderId="0" applyFont="0" applyFill="0" applyBorder="0" applyAlignment="0" applyProtection="0"/>
    <xf numFmtId="166" fontId="18" fillId="0" borderId="0" applyFill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9" fontId="18" fillId="0" borderId="0" applyFon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421">
    <xf numFmtId="0" fontId="0" fillId="0" borderId="0" xfId="0"/>
    <xf numFmtId="0" fontId="25" fillId="24" borderId="4" xfId="0" applyFont="1" applyFill="1" applyBorder="1" applyAlignment="1" applyProtection="1">
      <alignment horizontal="center" vertical="center"/>
    </xf>
    <xf numFmtId="0" fontId="25" fillId="24" borderId="4" xfId="0" applyFont="1" applyFill="1" applyBorder="1" applyAlignment="1" applyProtection="1">
      <alignment horizontal="center" vertical="center" wrapText="1"/>
    </xf>
    <xf numFmtId="0" fontId="25" fillId="25" borderId="4" xfId="0" applyFont="1" applyFill="1" applyBorder="1" applyAlignment="1" applyProtection="1">
      <alignment horizontal="center" vertical="center" wrapText="1"/>
    </xf>
    <xf numFmtId="0" fontId="22" fillId="26" borderId="0" xfId="0" applyFont="1" applyFill="1" applyBorder="1" applyAlignment="1" applyProtection="1"/>
    <xf numFmtId="0" fontId="22" fillId="27" borderId="0" xfId="0" applyFont="1" applyFill="1" applyBorder="1" applyAlignment="1" applyProtection="1">
      <alignment horizontal="left" vertical="center" wrapText="1"/>
    </xf>
    <xf numFmtId="0" fontId="19" fillId="27" borderId="0" xfId="0" applyFont="1" applyFill="1" applyProtection="1"/>
    <xf numFmtId="39" fontId="19" fillId="27" borderId="0" xfId="0" applyNumberFormat="1" applyFont="1" applyFill="1" applyBorder="1" applyAlignment="1" applyProtection="1">
      <alignment horizontal="right"/>
    </xf>
    <xf numFmtId="0" fontId="19" fillId="27" borderId="0" xfId="0" applyFont="1" applyFill="1" applyBorder="1" applyAlignment="1" applyProtection="1">
      <alignment horizontal="left" vertical="center" wrapText="1"/>
    </xf>
    <xf numFmtId="0" fontId="23" fillId="27" borderId="0" xfId="0" applyFont="1" applyFill="1" applyBorder="1" applyAlignment="1" applyProtection="1">
      <alignment horizontal="left" vertical="center"/>
    </xf>
    <xf numFmtId="0" fontId="19" fillId="27" borderId="0" xfId="0" applyFont="1" applyFill="1" applyBorder="1" applyProtection="1"/>
    <xf numFmtId="0" fontId="19" fillId="27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7" borderId="0" xfId="0" applyNumberFormat="1" applyFont="1" applyFill="1" applyBorder="1" applyAlignment="1" applyProtection="1">
      <alignment horizontal="center" vertical="center" wrapText="1"/>
    </xf>
    <xf numFmtId="39" fontId="19" fillId="27" borderId="0" xfId="0" applyNumberFormat="1" applyFont="1" applyFill="1" applyAlignment="1" applyProtection="1">
      <alignment horizontal="center"/>
    </xf>
    <xf numFmtId="0" fontId="22" fillId="27" borderId="0" xfId="0" applyFont="1" applyFill="1" applyBorder="1" applyAlignment="1" applyProtection="1">
      <alignment horizontal="center" vertical="center" wrapText="1"/>
    </xf>
    <xf numFmtId="39" fontId="19" fillId="27" borderId="0" xfId="0" applyNumberFormat="1" applyFont="1" applyFill="1" applyBorder="1" applyAlignment="1" applyProtection="1">
      <alignment horizontal="center" vertical="center" wrapText="1"/>
    </xf>
    <xf numFmtId="0" fontId="25" fillId="24" borderId="4" xfId="0" applyFont="1" applyFill="1" applyBorder="1" applyAlignment="1" applyProtection="1">
      <alignment horizontal="center"/>
    </xf>
    <xf numFmtId="0" fontId="19" fillId="28" borderId="4" xfId="0" applyFont="1" applyFill="1" applyBorder="1" applyAlignment="1" applyProtection="1"/>
    <xf numFmtId="0" fontId="25" fillId="27" borderId="0" xfId="0" applyFont="1" applyFill="1" applyBorder="1" applyAlignment="1" applyProtection="1">
      <alignment horizontal="center"/>
    </xf>
    <xf numFmtId="0" fontId="19" fillId="27" borderId="0" xfId="0" applyFont="1" applyFill="1" applyBorder="1" applyAlignment="1" applyProtection="1">
      <alignment horizontal="left"/>
    </xf>
    <xf numFmtId="0" fontId="29" fillId="24" borderId="4" xfId="0" applyFont="1" applyFill="1" applyBorder="1" applyAlignment="1" applyProtection="1">
      <alignment horizontal="center" vertical="center" wrapText="1"/>
    </xf>
    <xf numFmtId="39" fontId="24" fillId="28" borderId="4" xfId="0" applyNumberFormat="1" applyFont="1" applyFill="1" applyBorder="1" applyAlignment="1" applyProtection="1">
      <alignment horizontal="center" vertical="center" wrapText="1"/>
    </xf>
    <xf numFmtId="39" fontId="19" fillId="28" borderId="4" xfId="0" applyNumberFormat="1" applyFont="1" applyFill="1" applyBorder="1" applyAlignment="1" applyProtection="1">
      <alignment horizontal="right" vertical="center" wrapText="1"/>
    </xf>
    <xf numFmtId="39" fontId="25" fillId="24" borderId="4" xfId="0" applyNumberFormat="1" applyFont="1" applyFill="1" applyBorder="1" applyAlignment="1" applyProtection="1">
      <alignment horizontal="right" vertical="center" wrapText="1"/>
    </xf>
    <xf numFmtId="2" fontId="19" fillId="28" borderId="4" xfId="0" applyNumberFormat="1" applyFont="1" applyFill="1" applyBorder="1" applyAlignment="1" applyProtection="1">
      <alignment horizontal="center" vertical="center"/>
    </xf>
    <xf numFmtId="2" fontId="25" fillId="24" borderId="4" xfId="0" applyNumberFormat="1" applyFont="1" applyFill="1" applyBorder="1" applyAlignment="1" applyProtection="1">
      <alignment horizontal="center" vertical="center"/>
    </xf>
    <xf numFmtId="4" fontId="25" fillId="29" borderId="4" xfId="0" applyNumberFormat="1" applyFont="1" applyFill="1" applyBorder="1" applyAlignment="1" applyProtection="1">
      <alignment horizontal="right" vertical="center" wrapText="1"/>
    </xf>
    <xf numFmtId="4" fontId="25" fillId="24" borderId="4" xfId="0" applyNumberFormat="1" applyFont="1" applyFill="1" applyBorder="1" applyAlignment="1" applyProtection="1">
      <alignment horizontal="right"/>
    </xf>
    <xf numFmtId="4" fontId="25" fillId="24" borderId="4" xfId="0" applyNumberFormat="1" applyFont="1" applyFill="1" applyBorder="1" applyAlignment="1" applyProtection="1">
      <alignment horizontal="right" vertical="center"/>
    </xf>
    <xf numFmtId="2" fontId="19" fillId="28" borderId="4" xfId="0" applyNumberFormat="1" applyFont="1" applyFill="1" applyBorder="1" applyAlignment="1" applyProtection="1">
      <alignment horizontal="center" vertical="center" wrapText="1"/>
    </xf>
    <xf numFmtId="39" fontId="19" fillId="28" borderId="4" xfId="0" applyNumberFormat="1" applyFont="1" applyFill="1" applyBorder="1" applyAlignment="1" applyProtection="1">
      <alignment horizontal="center" vertical="center" wrapText="1"/>
    </xf>
    <xf numFmtId="0" fontId="31" fillId="27" borderId="0" xfId="0" applyFont="1" applyFill="1" applyAlignment="1" applyProtection="1">
      <alignment horizontal="left"/>
    </xf>
    <xf numFmtId="0" fontId="32" fillId="27" borderId="0" xfId="0" applyFont="1" applyFill="1" applyBorder="1" applyAlignment="1" applyProtection="1">
      <alignment horizontal="left" vertical="center"/>
    </xf>
    <xf numFmtId="164" fontId="19" fillId="28" borderId="4" xfId="0" applyNumberFormat="1" applyFont="1" applyFill="1" applyBorder="1" applyAlignment="1" applyProtection="1">
      <alignment horizontal="center" vertical="center" wrapText="1"/>
    </xf>
    <xf numFmtId="4" fontId="19" fillId="30" borderId="4" xfId="0" applyNumberFormat="1" applyFont="1" applyFill="1" applyBorder="1" applyAlignment="1" applyProtection="1">
      <alignment horizontal="right" vertical="center" wrapText="1"/>
    </xf>
    <xf numFmtId="39" fontId="19" fillId="30" borderId="4" xfId="0" applyNumberFormat="1" applyFont="1" applyFill="1" applyBorder="1" applyAlignment="1" applyProtection="1">
      <alignment horizontal="right" vertical="center" wrapText="1"/>
    </xf>
    <xf numFmtId="2" fontId="19" fillId="30" borderId="4" xfId="0" applyNumberFormat="1" applyFont="1" applyFill="1" applyBorder="1" applyAlignment="1" applyProtection="1">
      <alignment horizontal="center" vertical="center" wrapText="1"/>
    </xf>
    <xf numFmtId="39" fontId="19" fillId="30" borderId="4" xfId="0" applyNumberFormat="1" applyFont="1" applyFill="1" applyBorder="1" applyAlignment="1" applyProtection="1">
      <alignment horizontal="center" vertical="center" wrapText="1"/>
    </xf>
    <xf numFmtId="39" fontId="24" fillId="30" borderId="4" xfId="0" applyNumberFormat="1" applyFont="1" applyFill="1" applyBorder="1" applyAlignment="1" applyProtection="1">
      <alignment horizontal="center" vertical="center" wrapText="1"/>
    </xf>
    <xf numFmtId="39" fontId="24" fillId="28" borderId="4" xfId="0" applyNumberFormat="1" applyFont="1" applyFill="1" applyBorder="1" applyAlignment="1" applyProtection="1">
      <alignment horizontal="right" vertical="center" wrapText="1"/>
    </xf>
    <xf numFmtId="39" fontId="24" fillId="30" borderId="4" xfId="0" applyNumberFormat="1" applyFont="1" applyFill="1" applyBorder="1" applyAlignment="1" applyProtection="1">
      <alignment horizontal="right" vertical="center" wrapText="1"/>
    </xf>
    <xf numFmtId="0" fontId="19" fillId="31" borderId="4" xfId="0" applyFont="1" applyFill="1" applyBorder="1" applyAlignment="1" applyProtection="1">
      <alignment horizontal="justify" vertical="center" wrapText="1"/>
    </xf>
    <xf numFmtId="3" fontId="19" fillId="28" borderId="4" xfId="0" applyNumberFormat="1" applyFont="1" applyFill="1" applyBorder="1" applyAlignment="1" applyProtection="1">
      <alignment horizontal="right" vertical="center" wrapText="1"/>
    </xf>
    <xf numFmtId="165" fontId="19" fillId="28" borderId="4" xfId="0" applyNumberFormat="1" applyFont="1" applyFill="1" applyBorder="1" applyAlignment="1" applyProtection="1">
      <alignment horizontal="right" vertical="center" wrapText="1"/>
    </xf>
    <xf numFmtId="3" fontId="19" fillId="30" borderId="4" xfId="0" applyNumberFormat="1" applyFont="1" applyFill="1" applyBorder="1" applyAlignment="1" applyProtection="1">
      <alignment horizontal="right" vertical="center" wrapText="1"/>
    </xf>
    <xf numFmtId="165" fontId="19" fillId="30" borderId="4" xfId="0" applyNumberFormat="1" applyFont="1" applyFill="1" applyBorder="1" applyAlignment="1" applyProtection="1">
      <alignment horizontal="right" vertical="center" wrapText="1"/>
    </xf>
    <xf numFmtId="37" fontId="19" fillId="30" borderId="4" xfId="0" applyNumberFormat="1" applyFont="1" applyFill="1" applyBorder="1" applyAlignment="1" applyProtection="1">
      <alignment horizontal="right" vertical="center" wrapText="1"/>
    </xf>
    <xf numFmtId="37" fontId="19" fillId="28" borderId="4" xfId="0" applyNumberFormat="1" applyFont="1" applyFill="1" applyBorder="1" applyAlignment="1" applyProtection="1">
      <alignment horizontal="right" vertical="center" wrapText="1"/>
    </xf>
    <xf numFmtId="0" fontId="25" fillId="24" borderId="10" xfId="0" applyFont="1" applyFill="1" applyBorder="1" applyAlignment="1" applyProtection="1">
      <alignment horizontal="center" vertical="center"/>
    </xf>
    <xf numFmtId="14" fontId="20" fillId="31" borderId="11" xfId="0" applyNumberFormat="1" applyFont="1" applyFill="1" applyBorder="1" applyAlignment="1" applyProtection="1">
      <alignment horizontal="right"/>
    </xf>
    <xf numFmtId="14" fontId="20" fillId="31" borderId="11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2" borderId="4" xfId="0" applyNumberFormat="1" applyFont="1" applyFill="1" applyBorder="1" applyAlignment="1" applyProtection="1">
      <alignment horizontal="center"/>
    </xf>
    <xf numFmtId="2" fontId="19" fillId="32" borderId="4" xfId="0" applyNumberFormat="1" applyFont="1" applyFill="1" applyBorder="1" applyAlignment="1" applyProtection="1">
      <alignment horizontal="center"/>
    </xf>
    <xf numFmtId="0" fontId="19" fillId="28" borderId="4" xfId="0" applyNumberFormat="1" applyFont="1" applyFill="1" applyBorder="1" applyAlignment="1" applyProtection="1">
      <alignment horizontal="center"/>
    </xf>
    <xf numFmtId="0" fontId="19" fillId="30" borderId="4" xfId="0" applyNumberFormat="1" applyFont="1" applyFill="1" applyBorder="1" applyAlignment="1" applyProtection="1">
      <alignment horizontal="center"/>
    </xf>
    <xf numFmtId="0" fontId="27" fillId="27" borderId="0" xfId="0" applyFont="1" applyFill="1" applyAlignment="1" applyProtection="1">
      <alignment vertical="center"/>
    </xf>
    <xf numFmtId="0" fontId="19" fillId="27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7" borderId="0" xfId="0" applyFont="1" applyFill="1" applyProtection="1"/>
    <xf numFmtId="0" fontId="26" fillId="27" borderId="0" xfId="0" applyFont="1" applyFill="1" applyProtection="1"/>
    <xf numFmtId="0" fontId="26" fillId="27" borderId="0" xfId="0" applyFont="1" applyFill="1" applyAlignment="1" applyProtection="1">
      <alignment wrapText="1"/>
    </xf>
    <xf numFmtId="0" fontId="26" fillId="27" borderId="0" xfId="0" applyFont="1" applyFill="1" applyAlignment="1" applyProtection="1">
      <alignment horizontal="center" wrapText="1"/>
    </xf>
    <xf numFmtId="0" fontId="19" fillId="27" borderId="0" xfId="0" applyFont="1" applyFill="1" applyAlignment="1" applyProtection="1">
      <alignment wrapText="1"/>
    </xf>
    <xf numFmtId="37" fontId="19" fillId="30" borderId="4" xfId="0" applyNumberFormat="1" applyFont="1" applyFill="1" applyBorder="1" applyAlignment="1" applyProtection="1">
      <alignment horizontal="center"/>
    </xf>
    <xf numFmtId="0" fontId="22" fillId="26" borderId="0" xfId="0" applyFont="1" applyFill="1" applyBorder="1" applyAlignment="1" applyProtection="1">
      <alignment horizontal="left"/>
    </xf>
    <xf numFmtId="49" fontId="19" fillId="26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7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7" borderId="0" xfId="0" applyFont="1" applyFill="1" applyProtection="1"/>
    <xf numFmtId="0" fontId="19" fillId="30" borderId="4" xfId="0" applyFont="1" applyFill="1" applyBorder="1" applyAlignment="1" applyProtection="1"/>
    <xf numFmtId="14" fontId="19" fillId="31" borderId="4" xfId="0" applyNumberFormat="1" applyFont="1" applyFill="1" applyBorder="1" applyAlignment="1" applyProtection="1">
      <alignment horizontal="center"/>
    </xf>
    <xf numFmtId="49" fontId="19" fillId="31" borderId="4" xfId="0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left" indent="13"/>
    </xf>
    <xf numFmtId="167" fontId="0" fillId="0" borderId="0" xfId="0" applyNumberFormat="1" applyBorder="1"/>
    <xf numFmtId="44" fontId="38" fillId="0" borderId="0" xfId="31" applyFont="1" applyBorder="1" applyAlignment="1" applyProtection="1"/>
    <xf numFmtId="44" fontId="41" fillId="0" borderId="0" xfId="31" applyFont="1" applyBorder="1" applyAlignment="1" applyProtection="1"/>
    <xf numFmtId="0" fontId="0" fillId="0" borderId="0" xfId="0" applyBorder="1"/>
    <xf numFmtId="167" fontId="38" fillId="0" borderId="0" xfId="0" applyNumberFormat="1" applyFont="1" applyBorder="1" applyAlignment="1"/>
    <xf numFmtId="167" fontId="38" fillId="0" borderId="12" xfId="0" applyNumberFormat="1" applyFont="1" applyBorder="1" applyAlignment="1"/>
    <xf numFmtId="0" fontId="38" fillId="0" borderId="13" xfId="0" applyFont="1" applyBorder="1" applyAlignment="1">
      <alignment horizontal="center" vertical="center" wrapText="1"/>
    </xf>
    <xf numFmtId="44" fontId="38" fillId="0" borderId="12" xfId="31" applyFont="1" applyBorder="1" applyAlignment="1" applyProtection="1"/>
    <xf numFmtId="0" fontId="19" fillId="27" borderId="0" xfId="0" applyFont="1" applyFill="1" applyAlignment="1" applyProtection="1">
      <alignment horizontal="justify" vertical="center" wrapText="1"/>
    </xf>
    <xf numFmtId="166" fontId="18" fillId="33" borderId="14" xfId="32" applyFill="1" applyBorder="1" applyAlignment="1" applyProtection="1">
      <alignment horizontal="center" vertical="top" wrapText="1"/>
      <protection locked="0"/>
    </xf>
    <xf numFmtId="166" fontId="18" fillId="0" borderId="14" xfId="32" applyBorder="1" applyAlignment="1" applyProtection="1">
      <alignment horizontal="center" vertical="top" wrapText="1"/>
    </xf>
    <xf numFmtId="0" fontId="35" fillId="27" borderId="15" xfId="0" applyFont="1" applyFill="1" applyBorder="1" applyAlignment="1" applyProtection="1">
      <alignment horizontal="center"/>
    </xf>
    <xf numFmtId="166" fontId="58" fillId="0" borderId="14" xfId="32" applyFont="1" applyBorder="1" applyAlignment="1" applyProtection="1">
      <alignment horizontal="center" vertical="top" wrapText="1"/>
    </xf>
    <xf numFmtId="0" fontId="0" fillId="0" borderId="0" xfId="0" applyProtection="1"/>
    <xf numFmtId="44" fontId="59" fillId="0" borderId="16" xfId="31" applyFont="1" applyBorder="1" applyAlignment="1" applyProtection="1"/>
    <xf numFmtId="0" fontId="0" fillId="0" borderId="0" xfId="0" applyProtection="1">
      <protection locked="0"/>
    </xf>
    <xf numFmtId="166" fontId="18" fillId="0" borderId="17" xfId="32" applyFill="1" applyBorder="1" applyAlignment="1" applyProtection="1">
      <alignment vertical="center" wrapText="1"/>
    </xf>
    <xf numFmtId="7" fontId="55" fillId="34" borderId="18" xfId="31" applyNumberFormat="1" applyFont="1" applyFill="1" applyBorder="1" applyAlignment="1" applyProtection="1">
      <alignment vertical="center" wrapText="1"/>
    </xf>
    <xf numFmtId="0" fontId="0" fillId="27" borderId="0" xfId="0" applyFill="1" applyBorder="1" applyAlignment="1" applyProtection="1">
      <alignment wrapText="1"/>
      <protection locked="0"/>
    </xf>
    <xf numFmtId="0" fontId="0" fillId="27" borderId="0" xfId="0" applyFill="1" applyBorder="1" applyAlignment="1" applyProtection="1">
      <alignment wrapText="1"/>
    </xf>
    <xf numFmtId="39" fontId="19" fillId="35" borderId="4" xfId="0" applyNumberFormat="1" applyFont="1" applyFill="1" applyBorder="1" applyAlignment="1" applyProtection="1">
      <alignment horizontal="right" vertical="center" wrapText="1"/>
      <protection locked="0"/>
    </xf>
    <xf numFmtId="37" fontId="19" fillId="35" borderId="4" xfId="0" applyNumberFormat="1" applyFont="1" applyFill="1" applyBorder="1" applyAlignment="1" applyProtection="1">
      <alignment horizontal="right" vertical="center" wrapText="1"/>
      <protection locked="0"/>
    </xf>
    <xf numFmtId="0" fontId="61" fillId="36" borderId="19" xfId="0" applyFont="1" applyFill="1" applyBorder="1" applyProtection="1"/>
    <xf numFmtId="14" fontId="61" fillId="36" borderId="19" xfId="0" applyNumberFormat="1" applyFont="1" applyFill="1" applyBorder="1" applyProtection="1"/>
    <xf numFmtId="0" fontId="62" fillId="0" borderId="0" xfId="0" applyFont="1" applyFill="1" applyProtection="1"/>
    <xf numFmtId="0" fontId="53" fillId="37" borderId="16" xfId="0" applyFont="1" applyFill="1" applyBorder="1" applyAlignment="1" applyProtection="1">
      <alignment horizontal="center" vertical="center" wrapText="1"/>
    </xf>
    <xf numFmtId="3" fontId="64" fillId="37" borderId="16" xfId="0" applyNumberFormat="1" applyFont="1" applyFill="1" applyBorder="1" applyAlignment="1" applyProtection="1">
      <alignment horizontal="center" vertical="center" wrapText="1"/>
    </xf>
    <xf numFmtId="44" fontId="65" fillId="37" borderId="16" xfId="31" applyFont="1" applyFill="1" applyBorder="1" applyAlignment="1" applyProtection="1">
      <alignment horizontal="center" vertical="center" wrapText="1"/>
    </xf>
    <xf numFmtId="44" fontId="65" fillId="37" borderId="16" xfId="31" applyFont="1" applyFill="1" applyBorder="1" applyAlignment="1" applyProtection="1">
      <alignment vertical="center" wrapText="1"/>
    </xf>
    <xf numFmtId="44" fontId="66" fillId="37" borderId="16" xfId="31" applyFont="1" applyFill="1" applyBorder="1" applyAlignment="1" applyProtection="1">
      <alignment vertical="center" wrapText="1"/>
    </xf>
    <xf numFmtId="44" fontId="66" fillId="37" borderId="16" xfId="31" applyFont="1" applyFill="1" applyBorder="1" applyAlignment="1" applyProtection="1">
      <alignment horizontal="center" vertical="center" wrapText="1"/>
    </xf>
    <xf numFmtId="0" fontId="67" fillId="27" borderId="0" xfId="0" applyFont="1" applyFill="1" applyBorder="1" applyAlignment="1" applyProtection="1">
      <alignment horizontal="center" vertical="center"/>
    </xf>
    <xf numFmtId="44" fontId="68" fillId="27" borderId="0" xfId="31" applyFont="1" applyFill="1" applyBorder="1" applyAlignment="1" applyProtection="1">
      <alignment horizontal="center" vertical="center" wrapText="1"/>
    </xf>
    <xf numFmtId="0" fontId="67" fillId="27" borderId="0" xfId="0" applyFont="1" applyFill="1" applyBorder="1" applyAlignment="1" applyProtection="1">
      <alignment horizontal="center" vertical="center" wrapText="1"/>
    </xf>
    <xf numFmtId="44" fontId="18" fillId="27" borderId="0" xfId="31" applyFont="1" applyFill="1" applyBorder="1" applyAlignment="1" applyProtection="1">
      <alignment horizontal="center" vertical="center" wrapText="1"/>
    </xf>
    <xf numFmtId="4" fontId="63" fillId="0" borderId="12" xfId="0" applyNumberFormat="1" applyFont="1" applyFill="1" applyBorder="1" applyAlignment="1" applyProtection="1">
      <alignment vertical="center" wrapText="1"/>
    </xf>
    <xf numFmtId="0" fontId="53" fillId="38" borderId="16" xfId="0" applyFont="1" applyFill="1" applyBorder="1" applyAlignment="1" applyProtection="1">
      <alignment horizontal="center" vertical="center" wrapText="1"/>
    </xf>
    <xf numFmtId="0" fontId="53" fillId="38" borderId="0" xfId="0" applyFont="1" applyFill="1" applyBorder="1" applyAlignment="1" applyProtection="1">
      <alignment horizontal="center" vertical="center" wrapText="1"/>
    </xf>
    <xf numFmtId="0" fontId="53" fillId="38" borderId="13" xfId="0" applyFont="1" applyFill="1" applyBorder="1" applyAlignment="1" applyProtection="1">
      <alignment horizontal="center" vertical="center" wrapText="1"/>
    </xf>
    <xf numFmtId="3" fontId="64" fillId="38" borderId="16" xfId="0" applyNumberFormat="1" applyFont="1" applyFill="1" applyBorder="1" applyAlignment="1" applyProtection="1">
      <alignment horizontal="center" vertical="center" wrapText="1"/>
    </xf>
    <xf numFmtId="44" fontId="65" fillId="38" borderId="16" xfId="31" applyFont="1" applyFill="1" applyBorder="1" applyAlignment="1" applyProtection="1">
      <alignment horizontal="center" vertical="center" wrapText="1"/>
    </xf>
    <xf numFmtId="44" fontId="65" fillId="38" borderId="20" xfId="31" applyFont="1" applyFill="1" applyBorder="1" applyAlignment="1" applyProtection="1">
      <alignment vertical="center" wrapText="1"/>
    </xf>
    <xf numFmtId="44" fontId="66" fillId="38" borderId="13" xfId="31" applyFont="1" applyFill="1" applyBorder="1" applyAlignment="1" applyProtection="1">
      <alignment vertical="center" wrapText="1"/>
    </xf>
    <xf numFmtId="44" fontId="66" fillId="38" borderId="21" xfId="31" applyFont="1" applyFill="1" applyBorder="1" applyAlignment="1" applyProtection="1">
      <alignment vertical="center" wrapText="1"/>
    </xf>
    <xf numFmtId="0" fontId="53" fillId="39" borderId="16" xfId="0" applyFont="1" applyFill="1" applyBorder="1" applyAlignment="1" applyProtection="1">
      <alignment horizontal="center" vertical="center" wrapText="1"/>
    </xf>
    <xf numFmtId="0" fontId="53" fillId="39" borderId="0" xfId="0" applyFont="1" applyFill="1" applyBorder="1" applyAlignment="1" applyProtection="1">
      <alignment horizontal="center" vertical="center" wrapText="1"/>
    </xf>
    <xf numFmtId="0" fontId="53" fillId="39" borderId="13" xfId="0" applyFont="1" applyFill="1" applyBorder="1" applyAlignment="1" applyProtection="1">
      <alignment horizontal="center" vertical="center" wrapText="1"/>
    </xf>
    <xf numFmtId="3" fontId="64" fillId="39" borderId="16" xfId="0" applyNumberFormat="1" applyFont="1" applyFill="1" applyBorder="1" applyAlignment="1" applyProtection="1">
      <alignment horizontal="center" vertical="center" wrapText="1"/>
    </xf>
    <xf numFmtId="44" fontId="65" fillId="39" borderId="16" xfId="31" applyFont="1" applyFill="1" applyBorder="1" applyAlignment="1" applyProtection="1">
      <alignment horizontal="center" vertical="center" wrapText="1"/>
    </xf>
    <xf numFmtId="44" fontId="65" fillId="39" borderId="20" xfId="31" applyFont="1" applyFill="1" applyBorder="1" applyAlignment="1" applyProtection="1">
      <alignment vertical="center" wrapText="1"/>
    </xf>
    <xf numFmtId="44" fontId="66" fillId="39" borderId="13" xfId="31" applyFont="1" applyFill="1" applyBorder="1" applyAlignment="1" applyProtection="1">
      <alignment vertical="center" wrapText="1"/>
    </xf>
    <xf numFmtId="44" fontId="66" fillId="39" borderId="21" xfId="31" applyFont="1" applyFill="1" applyBorder="1" applyAlignment="1" applyProtection="1">
      <alignment vertical="center" wrapText="1"/>
    </xf>
    <xf numFmtId="0" fontId="53" fillId="28" borderId="16" xfId="0" applyFont="1" applyFill="1" applyBorder="1" applyAlignment="1" applyProtection="1">
      <alignment horizontal="center" vertical="center" wrapText="1"/>
    </xf>
    <xf numFmtId="0" fontId="53" fillId="28" borderId="0" xfId="0" applyFont="1" applyFill="1" applyBorder="1" applyAlignment="1" applyProtection="1">
      <alignment horizontal="center" vertical="center" wrapText="1"/>
    </xf>
    <xf numFmtId="3" fontId="64" fillId="28" borderId="16" xfId="0" applyNumberFormat="1" applyFont="1" applyFill="1" applyBorder="1" applyAlignment="1" applyProtection="1">
      <alignment horizontal="center" vertical="center" wrapText="1"/>
    </xf>
    <xf numFmtId="44" fontId="65" fillId="28" borderId="16" xfId="31" applyFont="1" applyFill="1" applyBorder="1" applyAlignment="1" applyProtection="1">
      <alignment horizontal="center" vertical="center" wrapText="1"/>
    </xf>
    <xf numFmtId="44" fontId="65" fillId="28" borderId="20" xfId="31" applyFont="1" applyFill="1" applyBorder="1" applyAlignment="1" applyProtection="1">
      <alignment vertical="center" wrapText="1"/>
    </xf>
    <xf numFmtId="44" fontId="66" fillId="28" borderId="13" xfId="31" applyFont="1" applyFill="1" applyBorder="1" applyAlignment="1" applyProtection="1">
      <alignment vertical="center" wrapText="1"/>
    </xf>
    <xf numFmtId="44" fontId="66" fillId="28" borderId="21" xfId="31" applyFont="1" applyFill="1" applyBorder="1" applyAlignment="1" applyProtection="1">
      <alignment vertical="center" wrapText="1"/>
    </xf>
    <xf numFmtId="0" fontId="20" fillId="31" borderId="19" xfId="0" applyFont="1" applyFill="1" applyBorder="1" applyAlignment="1" applyProtection="1">
      <alignment horizontal="right"/>
    </xf>
    <xf numFmtId="0" fontId="55" fillId="0" borderId="22" xfId="0" applyFont="1" applyBorder="1" applyAlignment="1" applyProtection="1">
      <alignment horizontal="center" vertical="center" wrapText="1"/>
    </xf>
    <xf numFmtId="14" fontId="20" fillId="40" borderId="19" xfId="0" applyNumberFormat="1" applyFont="1" applyFill="1" applyBorder="1" applyAlignment="1" applyProtection="1">
      <protection locked="0"/>
    </xf>
    <xf numFmtId="10" fontId="19" fillId="28" borderId="4" xfId="35" applyNumberFormat="1" applyFont="1" applyFill="1" applyBorder="1" applyAlignment="1" applyProtection="1">
      <alignment horizontal="center" vertical="center" wrapText="1"/>
    </xf>
    <xf numFmtId="44" fontId="26" fillId="27" borderId="0" xfId="0" applyNumberFormat="1" applyFont="1" applyFill="1" applyProtection="1"/>
    <xf numFmtId="44" fontId="0" fillId="0" borderId="0" xfId="31" applyFont="1"/>
    <xf numFmtId="0" fontId="19" fillId="28" borderId="4" xfId="0" applyFont="1" applyFill="1" applyBorder="1" applyAlignment="1" applyProtection="1">
      <alignment horizontal="center"/>
    </xf>
    <xf numFmtId="0" fontId="19" fillId="28" borderId="4" xfId="0" applyFont="1" applyFill="1" applyBorder="1" applyAlignment="1" applyProtection="1">
      <alignment horizontal="left" vertical="center" wrapText="1"/>
    </xf>
    <xf numFmtId="0" fontId="53" fillId="28" borderId="13" xfId="0" applyFont="1" applyFill="1" applyBorder="1" applyAlignment="1" applyProtection="1">
      <alignment horizontal="center" vertical="center" wrapText="1"/>
    </xf>
    <xf numFmtId="2" fontId="19" fillId="35" borderId="4" xfId="0" applyNumberFormat="1" applyFont="1" applyFill="1" applyBorder="1" applyAlignment="1" applyProtection="1">
      <alignment horizontal="center" vertical="center" wrapText="1"/>
      <protection locked="0"/>
    </xf>
    <xf numFmtId="2" fontId="19" fillId="35" borderId="4" xfId="0" applyNumberFormat="1" applyFont="1" applyFill="1" applyBorder="1" applyAlignment="1" applyProtection="1">
      <alignment horizontal="center" vertical="center"/>
      <protection locked="0"/>
    </xf>
    <xf numFmtId="0" fontId="25" fillId="24" borderId="19" xfId="0" applyFont="1" applyFill="1" applyBorder="1" applyAlignment="1" applyProtection="1">
      <alignment horizontal="center" vertical="center"/>
    </xf>
    <xf numFmtId="0" fontId="25" fillId="25" borderId="19" xfId="0" applyFont="1" applyFill="1" applyBorder="1" applyAlignment="1" applyProtection="1">
      <alignment horizontal="center" vertical="center" wrapText="1"/>
    </xf>
    <xf numFmtId="0" fontId="19" fillId="30" borderId="19" xfId="0" applyFont="1" applyFill="1" applyBorder="1" applyAlignment="1" applyProtection="1">
      <alignment horizontal="center"/>
    </xf>
    <xf numFmtId="39" fontId="19" fillId="35" borderId="19" xfId="0" applyNumberFormat="1" applyFont="1" applyFill="1" applyBorder="1" applyAlignment="1" applyProtection="1">
      <alignment horizontal="right" vertical="center" wrapText="1"/>
      <protection locked="0"/>
    </xf>
    <xf numFmtId="0" fontId="19" fillId="28" borderId="19" xfId="0" applyFont="1" applyFill="1" applyBorder="1" applyAlignment="1" applyProtection="1">
      <alignment horizontal="center"/>
    </xf>
    <xf numFmtId="37" fontId="19" fillId="35" borderId="19" xfId="0" applyNumberFormat="1" applyFont="1" applyFill="1" applyBorder="1" applyAlignment="1" applyProtection="1">
      <alignment horizontal="right" vertical="center" wrapText="1"/>
      <protection locked="0"/>
    </xf>
    <xf numFmtId="39" fontId="19" fillId="35" borderId="19" xfId="0" applyNumberFormat="1" applyFont="1" applyFill="1" applyBorder="1" applyAlignment="1" applyProtection="1">
      <alignment vertical="center" wrapText="1"/>
      <protection locked="0"/>
    </xf>
    <xf numFmtId="39" fontId="19" fillId="35" borderId="19" xfId="0" applyNumberFormat="1" applyFont="1" applyFill="1" applyBorder="1" applyAlignment="1" applyProtection="1">
      <alignment horizontal="center" vertical="center" wrapText="1"/>
      <protection locked="0"/>
    </xf>
    <xf numFmtId="4" fontId="19" fillId="35" borderId="19" xfId="0" applyNumberFormat="1" applyFont="1" applyFill="1" applyBorder="1" applyAlignment="1" applyProtection="1">
      <alignment horizontal="right" vertical="center" wrapText="1"/>
      <protection locked="0"/>
    </xf>
    <xf numFmtId="0" fontId="25" fillId="24" borderId="19" xfId="0" applyFont="1" applyFill="1" applyBorder="1" applyAlignment="1" applyProtection="1">
      <alignment horizontal="center"/>
    </xf>
    <xf numFmtId="0" fontId="19" fillId="31" borderId="19" xfId="0" applyFont="1" applyFill="1" applyBorder="1" applyAlignment="1" applyProtection="1">
      <alignment horizontal="justify" vertical="center" wrapText="1"/>
    </xf>
    <xf numFmtId="0" fontId="19" fillId="30" borderId="19" xfId="0" applyNumberFormat="1" applyFont="1" applyFill="1" applyBorder="1" applyAlignment="1" applyProtection="1">
      <alignment horizontal="center"/>
    </xf>
    <xf numFmtId="0" fontId="25" fillId="24" borderId="19" xfId="0" applyFont="1" applyFill="1" applyBorder="1" applyAlignment="1" applyProtection="1">
      <alignment horizontal="center" vertical="center" wrapText="1"/>
    </xf>
    <xf numFmtId="0" fontId="19" fillId="24" borderId="19" xfId="0" applyFont="1" applyFill="1" applyBorder="1" applyAlignment="1" applyProtection="1">
      <alignment horizontal="center" vertical="center"/>
    </xf>
    <xf numFmtId="0" fontId="19" fillId="30" borderId="19" xfId="0" applyFont="1" applyFill="1" applyBorder="1" applyAlignment="1" applyProtection="1"/>
    <xf numFmtId="0" fontId="19" fillId="28" borderId="19" xfId="0" applyFont="1" applyFill="1" applyBorder="1" applyAlignment="1" applyProtection="1"/>
    <xf numFmtId="4" fontId="22" fillId="35" borderId="19" xfId="0" applyNumberFormat="1" applyFont="1" applyFill="1" applyBorder="1" applyAlignment="1" applyProtection="1">
      <alignment horizontal="right" vertical="center" wrapText="1"/>
      <protection locked="0"/>
    </xf>
    <xf numFmtId="4" fontId="19" fillId="35" borderId="19" xfId="0" applyNumberFormat="1" applyFont="1" applyFill="1" applyBorder="1" applyAlignment="1" applyProtection="1">
      <alignment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</xf>
    <xf numFmtId="14" fontId="19" fillId="40" borderId="19" xfId="0" applyNumberFormat="1" applyFont="1" applyFill="1" applyBorder="1" applyAlignment="1" applyProtection="1">
      <alignment horizontal="center"/>
      <protection locked="0"/>
    </xf>
    <xf numFmtId="49" fontId="19" fillId="40" borderId="19" xfId="0" applyNumberFormat="1" applyFont="1" applyFill="1" applyBorder="1" applyAlignment="1" applyProtection="1">
      <alignment horizontal="center"/>
      <protection locked="0"/>
    </xf>
    <xf numFmtId="49" fontId="19" fillId="41" borderId="19" xfId="0" applyNumberFormat="1" applyFont="1" applyFill="1" applyBorder="1" applyAlignment="1" applyProtection="1">
      <alignment horizontal="center"/>
    </xf>
    <xf numFmtId="0" fontId="19" fillId="41" borderId="19" xfId="0" applyFont="1" applyFill="1" applyBorder="1" applyAlignment="1" applyProtection="1">
      <alignment horizontal="center" vertical="center"/>
    </xf>
    <xf numFmtId="4" fontId="69" fillId="41" borderId="19" xfId="0" applyNumberFormat="1" applyFont="1" applyFill="1" applyBorder="1" applyAlignment="1" applyProtection="1">
      <alignment horizontal="right"/>
    </xf>
    <xf numFmtId="39" fontId="19" fillId="24" borderId="19" xfId="0" applyNumberFormat="1" applyFont="1" applyFill="1" applyBorder="1" applyAlignment="1" applyProtection="1">
      <alignment vertical="center" wrapText="1"/>
    </xf>
    <xf numFmtId="3" fontId="19" fillId="24" borderId="4" xfId="0" applyNumberFormat="1" applyFont="1" applyFill="1" applyBorder="1" applyAlignment="1" applyProtection="1">
      <alignment horizontal="right" vertical="center" wrapText="1"/>
    </xf>
    <xf numFmtId="39" fontId="19" fillId="24" borderId="19" xfId="0" applyNumberFormat="1" applyFont="1" applyFill="1" applyBorder="1" applyAlignment="1" applyProtection="1">
      <alignment horizontal="right" vertical="center" wrapText="1"/>
    </xf>
    <xf numFmtId="0" fontId="26" fillId="27" borderId="0" xfId="0" applyFont="1" applyFill="1" applyProtection="1">
      <protection locked="0"/>
    </xf>
    <xf numFmtId="0" fontId="30" fillId="27" borderId="0" xfId="0" applyFont="1" applyFill="1" applyBorder="1" applyAlignment="1" applyProtection="1">
      <alignment horizontal="left" vertical="center"/>
      <protection locked="0"/>
    </xf>
    <xf numFmtId="0" fontId="28" fillId="27" borderId="0" xfId="0" applyFont="1" applyFill="1" applyBorder="1" applyAlignment="1" applyProtection="1">
      <alignment horizontal="left" vertical="center" wrapText="1"/>
      <protection locked="0"/>
    </xf>
    <xf numFmtId="39" fontId="28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7" borderId="0" xfId="0" applyFont="1" applyFill="1" applyAlignment="1" applyProtection="1">
      <alignment horizontal="justify" vertical="center" wrapText="1"/>
      <protection locked="0"/>
    </xf>
    <xf numFmtId="4" fontId="19" fillId="41" borderId="19" xfId="0" applyNumberFormat="1" applyFont="1" applyFill="1" applyBorder="1" applyAlignment="1" applyProtection="1">
      <alignment horizontal="right"/>
    </xf>
    <xf numFmtId="10" fontId="19" fillId="35" borderId="19" xfId="0" applyNumberFormat="1" applyFont="1" applyFill="1" applyBorder="1" applyAlignment="1" applyProtection="1">
      <alignment horizontal="right" vertical="center" wrapText="1"/>
      <protection locked="0"/>
    </xf>
    <xf numFmtId="0" fontId="19" fillId="27" borderId="0" xfId="0" applyFont="1" applyFill="1" applyProtection="1">
      <protection locked="0"/>
    </xf>
    <xf numFmtId="0" fontId="19" fillId="26" borderId="0" xfId="0" applyFont="1" applyFill="1" applyProtection="1">
      <protection locked="0"/>
    </xf>
    <xf numFmtId="44" fontId="44" fillId="35" borderId="19" xfId="31" applyFont="1" applyFill="1" applyBorder="1" applyAlignment="1" applyProtection="1">
      <alignment horizontal="center" vertical="center" wrapText="1"/>
      <protection locked="0"/>
    </xf>
    <xf numFmtId="0" fontId="31" fillId="27" borderId="0" xfId="0" applyFont="1" applyFill="1" applyAlignment="1" applyProtection="1">
      <alignment horizontal="left"/>
      <protection locked="0"/>
    </xf>
    <xf numFmtId="0" fontId="22" fillId="27" borderId="0" xfId="0" applyFont="1" applyFill="1" applyBorder="1" applyAlignment="1" applyProtection="1">
      <alignment horizontal="left" vertical="center" wrapText="1"/>
      <protection locked="0"/>
    </xf>
    <xf numFmtId="0" fontId="22" fillId="27" borderId="0" xfId="0" applyFont="1" applyFill="1" applyBorder="1" applyAlignment="1" applyProtection="1">
      <alignment horizontal="center" vertical="center" wrapText="1"/>
      <protection locked="0"/>
    </xf>
    <xf numFmtId="39" fontId="22" fillId="27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4" xfId="0" applyFont="1" applyFill="1" applyBorder="1" applyAlignment="1" applyProtection="1">
      <alignment horizontal="center" vertical="center"/>
      <protection locked="0"/>
    </xf>
    <xf numFmtId="0" fontId="25" fillId="25" borderId="4" xfId="0" applyFont="1" applyFill="1" applyBorder="1" applyAlignment="1" applyProtection="1">
      <alignment horizontal="center" vertical="center" wrapText="1"/>
      <protection locked="0"/>
    </xf>
    <xf numFmtId="3" fontId="19" fillId="30" borderId="4" xfId="0" applyNumberFormat="1" applyFont="1" applyFill="1" applyBorder="1" applyAlignment="1" applyProtection="1">
      <alignment horizontal="right" vertical="center" wrapText="1"/>
      <protection locked="0"/>
    </xf>
    <xf numFmtId="3" fontId="19" fillId="28" borderId="4" xfId="0" applyNumberFormat="1" applyFont="1" applyFill="1" applyBorder="1" applyAlignment="1" applyProtection="1">
      <alignment horizontal="right" vertical="center" wrapText="1"/>
      <protection locked="0"/>
    </xf>
    <xf numFmtId="0" fontId="55" fillId="37" borderId="23" xfId="0" applyFont="1" applyFill="1" applyBorder="1" applyAlignment="1" applyProtection="1">
      <alignment horizontal="center" vertical="center"/>
    </xf>
    <xf numFmtId="0" fontId="55" fillId="37" borderId="24" xfId="0" applyFont="1" applyFill="1" applyBorder="1" applyAlignment="1" applyProtection="1">
      <alignment horizontal="center" vertical="center" wrapText="1"/>
    </xf>
    <xf numFmtId="0" fontId="55" fillId="34" borderId="25" xfId="0" applyFont="1" applyFill="1" applyBorder="1" applyAlignment="1" applyProtection="1">
      <alignment horizontal="center" vertical="center" wrapText="1"/>
    </xf>
    <xf numFmtId="3" fontId="60" fillId="27" borderId="19" xfId="0" applyNumberFormat="1" applyFont="1" applyFill="1" applyBorder="1" applyAlignment="1" applyProtection="1">
      <alignment horizontal="center" vertical="center" wrapText="1"/>
    </xf>
    <xf numFmtId="0" fontId="0" fillId="27" borderId="0" xfId="0" applyFill="1"/>
    <xf numFmtId="0" fontId="55" fillId="37" borderId="16" xfId="0" applyFont="1" applyFill="1" applyBorder="1" applyAlignment="1" applyProtection="1">
      <alignment horizontal="center" vertical="center"/>
    </xf>
    <xf numFmtId="0" fontId="55" fillId="37" borderId="26" xfId="0" applyFont="1" applyFill="1" applyBorder="1" applyAlignment="1" applyProtection="1">
      <alignment horizontal="center" vertical="center" wrapText="1"/>
    </xf>
    <xf numFmtId="0" fontId="55" fillId="37" borderId="26" xfId="0" applyFont="1" applyFill="1" applyBorder="1" applyAlignment="1" applyProtection="1">
      <alignment horizontal="center" vertical="top" wrapText="1"/>
    </xf>
    <xf numFmtId="0" fontId="35" fillId="27" borderId="14" xfId="0" applyFont="1" applyFill="1" applyBorder="1" applyAlignment="1" applyProtection="1">
      <alignment horizontal="center" wrapText="1"/>
    </xf>
    <xf numFmtId="0" fontId="0" fillId="27" borderId="0" xfId="0" applyFill="1" applyProtection="1"/>
    <xf numFmtId="0" fontId="0" fillId="27" borderId="0" xfId="0" applyFill="1" applyBorder="1" applyProtection="1"/>
    <xf numFmtId="0" fontId="36" fillId="37" borderId="22" xfId="0" applyFont="1" applyFill="1" applyBorder="1" applyAlignment="1" applyProtection="1">
      <alignment horizontal="center" vertical="center" wrapText="1"/>
    </xf>
    <xf numFmtId="0" fontId="47" fillId="37" borderId="19" xfId="0" applyFont="1" applyFill="1" applyBorder="1" applyAlignment="1" applyProtection="1">
      <alignment horizontal="center" vertical="center" wrapText="1"/>
    </xf>
    <xf numFmtId="0" fontId="47" fillId="37" borderId="19" xfId="0" applyFont="1" applyFill="1" applyBorder="1" applyAlignment="1" applyProtection="1">
      <alignment horizontal="center" vertical="center" textRotation="90" wrapText="1"/>
    </xf>
    <xf numFmtId="0" fontId="50" fillId="37" borderId="19" xfId="0" applyFont="1" applyFill="1" applyBorder="1" applyAlignment="1" applyProtection="1">
      <alignment horizontal="center" vertical="center" wrapText="1"/>
    </xf>
    <xf numFmtId="0" fontId="50" fillId="37" borderId="17" xfId="0" applyFont="1" applyFill="1" applyBorder="1" applyAlignment="1" applyProtection="1">
      <alignment horizontal="center" vertical="center" wrapText="1"/>
    </xf>
    <xf numFmtId="0" fontId="44" fillId="27" borderId="22" xfId="0" applyFont="1" applyFill="1" applyBorder="1" applyAlignment="1" applyProtection="1">
      <alignment horizontal="left" vertical="center" wrapText="1"/>
    </xf>
    <xf numFmtId="0" fontId="35" fillId="27" borderId="19" xfId="0" applyFont="1" applyFill="1" applyBorder="1" applyAlignment="1" applyProtection="1">
      <alignment horizontal="center" vertical="center" wrapText="1"/>
    </xf>
    <xf numFmtId="0" fontId="44" fillId="27" borderId="19" xfId="0" applyFont="1" applyFill="1" applyBorder="1" applyAlignment="1" applyProtection="1">
      <alignment horizontal="center" vertical="center" wrapText="1"/>
    </xf>
    <xf numFmtId="0" fontId="47" fillId="27" borderId="19" xfId="0" applyFont="1" applyFill="1" applyBorder="1" applyAlignment="1" applyProtection="1">
      <alignment horizontal="center" vertical="center" wrapText="1"/>
    </xf>
    <xf numFmtId="44" fontId="51" fillId="0" borderId="17" xfId="0" applyNumberFormat="1" applyFont="1" applyFill="1" applyBorder="1" applyAlignment="1" applyProtection="1">
      <alignment horizontal="center" vertical="center"/>
    </xf>
    <xf numFmtId="0" fontId="44" fillId="0" borderId="22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center" vertical="center" wrapText="1"/>
    </xf>
    <xf numFmtId="0" fontId="44" fillId="0" borderId="19" xfId="0" applyFont="1" applyFill="1" applyBorder="1" applyAlignment="1" applyProtection="1">
      <alignment horizontal="center" vertical="center" wrapText="1"/>
    </xf>
    <xf numFmtId="0" fontId="47" fillId="0" borderId="19" xfId="0" applyFont="1" applyFill="1" applyBorder="1" applyAlignment="1" applyProtection="1">
      <alignment horizontal="center" vertical="center" wrapText="1"/>
    </xf>
    <xf numFmtId="44" fontId="53" fillId="0" borderId="17" xfId="31" applyFont="1" applyFill="1" applyBorder="1" applyAlignment="1" applyProtection="1">
      <alignment horizontal="center" vertical="center" wrapText="1"/>
    </xf>
    <xf numFmtId="44" fontId="53" fillId="0" borderId="27" xfId="3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44" fillId="0" borderId="19" xfId="0" applyFont="1" applyBorder="1" applyAlignment="1" applyProtection="1">
      <alignment horizontal="center" vertical="center" wrapText="1"/>
    </xf>
    <xf numFmtId="44" fontId="42" fillId="0" borderId="17" xfId="0" applyNumberFormat="1" applyFont="1" applyBorder="1" applyAlignment="1" applyProtection="1">
      <alignment horizontal="center" vertical="center" wrapText="1"/>
    </xf>
    <xf numFmtId="44" fontId="42" fillId="0" borderId="27" xfId="0" applyNumberFormat="1" applyFont="1" applyBorder="1" applyAlignment="1" applyProtection="1">
      <alignment horizontal="center" vertical="center" wrapText="1"/>
    </xf>
    <xf numFmtId="0" fontId="46" fillId="37" borderId="22" xfId="0" applyFont="1" applyFill="1" applyBorder="1" applyAlignment="1" applyProtection="1">
      <alignment horizontal="center" vertical="center" wrapText="1"/>
    </xf>
    <xf numFmtId="0" fontId="45" fillId="37" borderId="19" xfId="0" applyFont="1" applyFill="1" applyBorder="1" applyAlignment="1" applyProtection="1">
      <alignment horizontal="center" vertical="center" wrapText="1"/>
    </xf>
    <xf numFmtId="0" fontId="45" fillId="37" borderId="19" xfId="0" applyFont="1" applyFill="1" applyBorder="1" applyAlignment="1" applyProtection="1">
      <alignment horizontal="center" vertical="center" textRotation="90" wrapText="1"/>
    </xf>
    <xf numFmtId="0" fontId="40" fillId="37" borderId="19" xfId="0" applyFont="1" applyFill="1" applyBorder="1" applyAlignment="1" applyProtection="1">
      <alignment horizontal="center" vertical="center" wrapText="1"/>
    </xf>
    <xf numFmtId="0" fontId="40" fillId="37" borderId="17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44" fontId="0" fillId="0" borderId="17" xfId="0" applyNumberFormat="1" applyFill="1" applyBorder="1" applyAlignment="1" applyProtection="1">
      <alignment horizontal="center" vertical="center"/>
    </xf>
    <xf numFmtId="0" fontId="20" fillId="40" borderId="19" xfId="0" applyFont="1" applyFill="1" applyBorder="1" applyAlignment="1" applyProtection="1">
      <protection locked="0"/>
    </xf>
    <xf numFmtId="166" fontId="18" fillId="35" borderId="19" xfId="32" applyFill="1" applyBorder="1" applyAlignment="1" applyProtection="1">
      <alignment horizontal="center" vertical="center" wrapText="1"/>
      <protection locked="0"/>
    </xf>
    <xf numFmtId="0" fontId="20" fillId="31" borderId="19" xfId="0" applyFont="1" applyFill="1" applyBorder="1" applyAlignment="1" applyProtection="1">
      <alignment horizontal="center"/>
    </xf>
    <xf numFmtId="39" fontId="19" fillId="30" borderId="19" xfId="0" applyNumberFormat="1" applyFont="1" applyFill="1" applyBorder="1" applyAlignment="1" applyProtection="1">
      <alignment horizontal="left" vertical="center" wrapText="1"/>
    </xf>
    <xf numFmtId="0" fontId="19" fillId="27" borderId="0" xfId="0" applyFont="1" applyFill="1" applyAlignment="1" applyProtection="1">
      <alignment horizontal="justify" vertical="center" wrapText="1"/>
      <protection locked="0"/>
    </xf>
    <xf numFmtId="0" fontId="19" fillId="30" borderId="19" xfId="0" applyFont="1" applyFill="1" applyBorder="1" applyAlignment="1" applyProtection="1">
      <alignment horizontal="left" vertical="center" wrapText="1"/>
    </xf>
    <xf numFmtId="0" fontId="19" fillId="28" borderId="19" xfId="0" applyFont="1" applyFill="1" applyBorder="1" applyAlignment="1" applyProtection="1">
      <alignment horizontal="left" vertical="center" wrapText="1"/>
    </xf>
    <xf numFmtId="0" fontId="19" fillId="28" borderId="11" xfId="0" applyFont="1" applyFill="1" applyBorder="1" applyAlignment="1" applyProtection="1">
      <alignment horizontal="left" vertical="center" wrapText="1"/>
    </xf>
    <xf numFmtId="0" fontId="19" fillId="28" borderId="28" xfId="0" applyFont="1" applyFill="1" applyBorder="1" applyAlignment="1" applyProtection="1">
      <alignment horizontal="left" vertical="center" wrapText="1"/>
    </xf>
    <xf numFmtId="0" fontId="19" fillId="28" borderId="10" xfId="0" applyFont="1" applyFill="1" applyBorder="1" applyAlignment="1" applyProtection="1">
      <alignment horizontal="left" vertical="center" wrapText="1"/>
    </xf>
    <xf numFmtId="0" fontId="25" fillId="24" borderId="4" xfId="0" applyFont="1" applyFill="1" applyBorder="1" applyAlignment="1" applyProtection="1">
      <alignment horizontal="left" vertical="center"/>
    </xf>
    <xf numFmtId="39" fontId="19" fillId="30" borderId="4" xfId="0" applyNumberFormat="1" applyFont="1" applyFill="1" applyBorder="1" applyAlignment="1" applyProtection="1">
      <alignment horizontal="left" vertical="center" wrapText="1"/>
    </xf>
    <xf numFmtId="0" fontId="25" fillId="25" borderId="19" xfId="0" applyFont="1" applyFill="1" applyBorder="1" applyAlignment="1" applyProtection="1">
      <alignment horizontal="left" vertical="center" wrapText="1"/>
    </xf>
    <xf numFmtId="0" fontId="19" fillId="28" borderId="19" xfId="0" applyFont="1" applyFill="1" applyBorder="1" applyAlignment="1" applyProtection="1">
      <alignment horizontal="left"/>
    </xf>
    <xf numFmtId="0" fontId="19" fillId="30" borderId="19" xfId="0" applyFont="1" applyFill="1" applyBorder="1" applyAlignment="1" applyProtection="1">
      <alignment horizontal="left"/>
    </xf>
    <xf numFmtId="0" fontId="25" fillId="24" borderId="19" xfId="0" applyFont="1" applyFill="1" applyBorder="1" applyAlignment="1" applyProtection="1">
      <alignment horizontal="left" vertical="center" wrapText="1"/>
    </xf>
    <xf numFmtId="39" fontId="19" fillId="24" borderId="19" xfId="0" applyNumberFormat="1" applyFont="1" applyFill="1" applyBorder="1" applyAlignment="1" applyProtection="1">
      <alignment horizontal="left" vertical="center" wrapText="1"/>
    </xf>
    <xf numFmtId="0" fontId="31" fillId="27" borderId="0" xfId="0" applyFont="1" applyFill="1" applyBorder="1" applyAlignment="1" applyProtection="1">
      <alignment horizontal="left" wrapText="1"/>
    </xf>
    <xf numFmtId="0" fontId="25" fillId="24" borderId="19" xfId="0" applyFont="1" applyFill="1" applyBorder="1" applyAlignment="1" applyProtection="1">
      <alignment horizontal="left" vertical="center"/>
    </xf>
    <xf numFmtId="39" fontId="19" fillId="24" borderId="29" xfId="0" applyNumberFormat="1" applyFont="1" applyFill="1" applyBorder="1" applyAlignment="1" applyProtection="1">
      <alignment horizontal="left" vertical="center" wrapText="1"/>
    </xf>
    <xf numFmtId="39" fontId="19" fillId="24" borderId="31" xfId="0" applyNumberFormat="1" applyFont="1" applyFill="1" applyBorder="1" applyAlignment="1" applyProtection="1">
      <alignment horizontal="left" vertical="center" wrapText="1"/>
    </xf>
    <xf numFmtId="0" fontId="19" fillId="24" borderId="19" xfId="0" applyFont="1" applyFill="1" applyBorder="1" applyAlignment="1" applyProtection="1">
      <alignment horizontal="center"/>
    </xf>
    <xf numFmtId="0" fontId="20" fillId="41" borderId="29" xfId="0" applyFont="1" applyFill="1" applyBorder="1" applyAlignment="1" applyProtection="1">
      <alignment horizontal="left"/>
    </xf>
    <xf numFmtId="0" fontId="20" fillId="41" borderId="30" xfId="0" applyFont="1" applyFill="1" applyBorder="1" applyAlignment="1" applyProtection="1">
      <alignment horizontal="left"/>
    </xf>
    <xf numFmtId="0" fontId="20" fillId="41" borderId="31" xfId="0" applyFont="1" applyFill="1" applyBorder="1" applyAlignment="1" applyProtection="1">
      <alignment horizontal="left"/>
    </xf>
    <xf numFmtId="0" fontId="20" fillId="41" borderId="19" xfId="0" applyFont="1" applyFill="1" applyBorder="1" applyAlignment="1" applyProtection="1">
      <alignment horizontal="left"/>
    </xf>
    <xf numFmtId="0" fontId="27" fillId="27" borderId="0" xfId="0" applyFont="1" applyFill="1" applyBorder="1" applyAlignment="1" applyProtection="1">
      <alignment horizontal="center"/>
    </xf>
    <xf numFmtId="0" fontId="25" fillId="24" borderId="19" xfId="0" applyFont="1" applyFill="1" applyBorder="1" applyAlignment="1" applyProtection="1">
      <alignment horizontal="left"/>
    </xf>
    <xf numFmtId="0" fontId="19" fillId="32" borderId="19" xfId="0" applyFont="1" applyFill="1" applyBorder="1" applyAlignment="1" applyProtection="1">
      <alignment horizontal="left"/>
    </xf>
    <xf numFmtId="49" fontId="19" fillId="40" borderId="19" xfId="0" applyNumberFormat="1" applyFont="1" applyFill="1" applyBorder="1" applyAlignment="1" applyProtection="1">
      <alignment horizontal="center"/>
      <protection locked="0"/>
    </xf>
    <xf numFmtId="0" fontId="19" fillId="41" borderId="19" xfId="0" applyFont="1" applyFill="1" applyBorder="1" applyAlignment="1" applyProtection="1">
      <alignment horizontal="center"/>
    </xf>
    <xf numFmtId="0" fontId="19" fillId="30" borderId="19" xfId="0" applyFont="1" applyFill="1" applyBorder="1" applyAlignment="1" applyProtection="1">
      <alignment horizontal="center"/>
    </xf>
    <xf numFmtId="0" fontId="69" fillId="35" borderId="0" xfId="0" applyFont="1" applyFill="1" applyAlignment="1" applyProtection="1">
      <alignment horizontal="left"/>
      <protection locked="0"/>
    </xf>
    <xf numFmtId="0" fontId="19" fillId="31" borderId="19" xfId="0" applyFont="1" applyFill="1" applyBorder="1" applyAlignment="1" applyProtection="1">
      <alignment horizontal="left"/>
    </xf>
    <xf numFmtId="0" fontId="19" fillId="41" borderId="19" xfId="0" applyFont="1" applyFill="1" applyBorder="1" applyAlignment="1" applyProtection="1">
      <alignment horizontal="right"/>
    </xf>
    <xf numFmtId="0" fontId="19" fillId="41" borderId="19" xfId="0" applyFont="1" applyFill="1" applyBorder="1" applyAlignment="1" applyProtection="1">
      <alignment horizontal="center" vertical="center"/>
    </xf>
    <xf numFmtId="0" fontId="19" fillId="31" borderId="19" xfId="0" applyFont="1" applyFill="1" applyBorder="1" applyAlignment="1" applyProtection="1">
      <alignment horizontal="left" vertical="center" wrapText="1"/>
    </xf>
    <xf numFmtId="39" fontId="19" fillId="35" borderId="19" xfId="0" applyNumberFormat="1" applyFont="1" applyFill="1" applyBorder="1" applyAlignment="1" applyProtection="1">
      <alignment horizontal="left" vertical="center" wrapText="1"/>
      <protection locked="0"/>
    </xf>
    <xf numFmtId="4" fontId="19" fillId="35" borderId="19" xfId="0" applyNumberFormat="1" applyFont="1" applyFill="1" applyBorder="1" applyAlignment="1" applyProtection="1">
      <alignment horizontal="left" vertical="center" wrapText="1"/>
      <protection locked="0"/>
    </xf>
    <xf numFmtId="0" fontId="48" fillId="37" borderId="34" xfId="0" applyFont="1" applyFill="1" applyBorder="1" applyAlignment="1" applyProtection="1">
      <alignment horizontal="center"/>
    </xf>
    <xf numFmtId="0" fontId="48" fillId="37" borderId="35" xfId="0" applyFont="1" applyFill="1" applyBorder="1" applyAlignment="1" applyProtection="1">
      <alignment horizontal="center"/>
    </xf>
    <xf numFmtId="0" fontId="48" fillId="37" borderId="36" xfId="0" applyFont="1" applyFill="1" applyBorder="1" applyAlignment="1" applyProtection="1">
      <alignment horizontal="center"/>
    </xf>
    <xf numFmtId="0" fontId="48" fillId="37" borderId="22" xfId="0" applyFont="1" applyFill="1" applyBorder="1" applyAlignment="1" applyProtection="1">
      <alignment horizontal="center"/>
    </xf>
    <xf numFmtId="0" fontId="48" fillId="37" borderId="19" xfId="0" applyFont="1" applyFill="1" applyBorder="1" applyAlignment="1" applyProtection="1">
      <alignment horizontal="center"/>
    </xf>
    <xf numFmtId="0" fontId="48" fillId="37" borderId="17" xfId="0" applyFont="1" applyFill="1" applyBorder="1" applyAlignment="1" applyProtection="1">
      <alignment horizontal="center"/>
    </xf>
    <xf numFmtId="0" fontId="49" fillId="0" borderId="22" xfId="0" applyFont="1" applyBorder="1" applyAlignment="1" applyProtection="1">
      <alignment horizontal="center" vertical="top" wrapText="1"/>
    </xf>
    <xf numFmtId="0" fontId="49" fillId="0" borderId="19" xfId="0" applyFont="1" applyBorder="1" applyAlignment="1" applyProtection="1">
      <alignment horizontal="center" vertical="top" wrapText="1"/>
    </xf>
    <xf numFmtId="0" fontId="49" fillId="0" borderId="32" xfId="0" applyFont="1" applyBorder="1" applyAlignment="1" applyProtection="1">
      <alignment horizontal="center" vertical="top" wrapText="1"/>
    </xf>
    <xf numFmtId="0" fontId="49" fillId="0" borderId="21" xfId="0" applyFont="1" applyBorder="1" applyAlignment="1" applyProtection="1">
      <alignment horizontal="center" vertical="top" wrapText="1"/>
    </xf>
    <xf numFmtId="0" fontId="39" fillId="37" borderId="22" xfId="0" applyFont="1" applyFill="1" applyBorder="1" applyAlignment="1" applyProtection="1">
      <alignment horizontal="center"/>
    </xf>
    <xf numFmtId="0" fontId="39" fillId="37" borderId="19" xfId="0" applyFont="1" applyFill="1" applyBorder="1" applyAlignment="1" applyProtection="1">
      <alignment horizontal="center"/>
    </xf>
    <xf numFmtId="0" fontId="39" fillId="37" borderId="17" xfId="0" applyFont="1" applyFill="1" applyBorder="1" applyAlignment="1" applyProtection="1">
      <alignment horizontal="center"/>
    </xf>
    <xf numFmtId="0" fontId="42" fillId="0" borderId="33" xfId="0" applyFont="1" applyBorder="1" applyAlignment="1">
      <alignment horizontal="left" indent="13"/>
    </xf>
    <xf numFmtId="0" fontId="52" fillId="0" borderId="22" xfId="0" applyFont="1" applyFill="1" applyBorder="1" applyAlignment="1" applyProtection="1">
      <alignment horizontal="center" vertical="center" wrapText="1"/>
    </xf>
    <xf numFmtId="0" fontId="52" fillId="0" borderId="19" xfId="0" applyFont="1" applyFill="1" applyBorder="1" applyAlignment="1" applyProtection="1">
      <alignment horizontal="center" vertical="center" wrapText="1"/>
    </xf>
    <xf numFmtId="0" fontId="52" fillId="0" borderId="32" xfId="0" applyFont="1" applyFill="1" applyBorder="1" applyAlignment="1" applyProtection="1">
      <alignment horizontal="center" vertical="center" wrapText="1"/>
    </xf>
    <xf numFmtId="0" fontId="52" fillId="0" borderId="21" xfId="0" applyFont="1" applyFill="1" applyBorder="1" applyAlignment="1" applyProtection="1">
      <alignment horizontal="center" vertical="center" wrapText="1"/>
    </xf>
    <xf numFmtId="0" fontId="55" fillId="37" borderId="46" xfId="0" applyFont="1" applyFill="1" applyBorder="1" applyAlignment="1" applyProtection="1">
      <alignment horizontal="right" vertical="center"/>
    </xf>
    <xf numFmtId="0" fontId="55" fillId="37" borderId="30" xfId="0" applyFont="1" applyFill="1" applyBorder="1" applyAlignment="1" applyProtection="1">
      <alignment horizontal="right" vertical="center"/>
    </xf>
    <xf numFmtId="0" fontId="55" fillId="37" borderId="31" xfId="0" applyFont="1" applyFill="1" applyBorder="1" applyAlignment="1" applyProtection="1">
      <alignment horizontal="right" vertical="center"/>
    </xf>
    <xf numFmtId="0" fontId="0" fillId="42" borderId="19" xfId="0" applyFill="1" applyBorder="1" applyAlignment="1" applyProtection="1">
      <alignment horizontal="center" wrapText="1"/>
    </xf>
    <xf numFmtId="0" fontId="58" fillId="27" borderId="0" xfId="0" applyFont="1" applyFill="1" applyBorder="1" applyAlignment="1" applyProtection="1">
      <alignment horizontal="left" wrapText="1"/>
    </xf>
    <xf numFmtId="0" fontId="57" fillId="0" borderId="42" xfId="0" applyFont="1" applyBorder="1" applyAlignment="1" applyProtection="1">
      <alignment horizontal="center" vertical="top" wrapText="1"/>
    </xf>
    <xf numFmtId="0" fontId="57" fillId="0" borderId="43" xfId="0" applyFont="1" applyBorder="1" applyAlignment="1" applyProtection="1">
      <alignment horizontal="center" vertical="top" wrapText="1"/>
    </xf>
    <xf numFmtId="0" fontId="57" fillId="0" borderId="26" xfId="0" applyFont="1" applyBorder="1" applyAlignment="1" applyProtection="1">
      <alignment horizontal="center" vertical="top" wrapText="1"/>
    </xf>
    <xf numFmtId="0" fontId="56" fillId="37" borderId="42" xfId="0" applyFont="1" applyFill="1" applyBorder="1" applyAlignment="1" applyProtection="1">
      <alignment horizontal="center" vertical="center" wrapText="1"/>
    </xf>
    <xf numFmtId="0" fontId="56" fillId="37" borderId="43" xfId="0" applyFont="1" applyFill="1" applyBorder="1" applyAlignment="1" applyProtection="1">
      <alignment horizontal="center" vertical="center" wrapText="1"/>
    </xf>
    <xf numFmtId="0" fontId="56" fillId="37" borderId="26" xfId="0" applyFont="1" applyFill="1" applyBorder="1" applyAlignment="1" applyProtection="1">
      <alignment horizontal="center" vertical="center" wrapText="1"/>
    </xf>
    <xf numFmtId="0" fontId="54" fillId="0" borderId="37" xfId="0" applyFont="1" applyBorder="1" applyAlignment="1" applyProtection="1">
      <alignment horizontal="center" vertical="center"/>
    </xf>
    <xf numFmtId="0" fontId="54" fillId="0" borderId="38" xfId="0" applyFont="1" applyBorder="1" applyAlignment="1" applyProtection="1">
      <alignment horizontal="center" vertical="center"/>
    </xf>
    <xf numFmtId="0" fontId="54" fillId="0" borderId="39" xfId="0" applyFont="1" applyBorder="1" applyAlignment="1" applyProtection="1">
      <alignment horizontal="center" vertical="center"/>
    </xf>
    <xf numFmtId="0" fontId="54" fillId="0" borderId="44" xfId="0" applyFont="1" applyBorder="1" applyAlignment="1" applyProtection="1">
      <alignment horizontal="center" vertical="center"/>
    </xf>
    <xf numFmtId="0" fontId="54" fillId="0" borderId="45" xfId="0" applyFont="1" applyBorder="1" applyAlignment="1" applyProtection="1">
      <alignment horizontal="center" vertical="center"/>
    </xf>
    <xf numFmtId="0" fontId="54" fillId="0" borderId="14" xfId="0" applyFont="1" applyBorder="1" applyAlignment="1" applyProtection="1">
      <alignment horizontal="center" vertical="center"/>
    </xf>
    <xf numFmtId="0" fontId="54" fillId="0" borderId="4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41" xfId="0" applyFont="1" applyBorder="1" applyAlignment="1" applyProtection="1">
      <alignment horizontal="center" vertical="center"/>
    </xf>
    <xf numFmtId="0" fontId="19" fillId="30" borderId="11" xfId="0" applyFont="1" applyFill="1" applyBorder="1" applyAlignment="1" applyProtection="1">
      <alignment horizontal="left" vertical="center" wrapText="1"/>
    </xf>
    <xf numFmtId="0" fontId="19" fillId="30" borderId="28" xfId="0" applyFont="1" applyFill="1" applyBorder="1" applyAlignment="1" applyProtection="1">
      <alignment horizontal="left" vertical="center" wrapText="1"/>
    </xf>
    <xf numFmtId="0" fontId="19" fillId="30" borderId="10" xfId="0" applyFont="1" applyFill="1" applyBorder="1" applyAlignment="1" applyProtection="1">
      <alignment horizontal="left" vertical="center" wrapText="1"/>
    </xf>
    <xf numFmtId="0" fontId="25" fillId="25" borderId="4" xfId="0" applyFont="1" applyFill="1" applyBorder="1" applyAlignment="1" applyProtection="1">
      <alignment horizontal="left" vertical="center" wrapText="1"/>
    </xf>
    <xf numFmtId="39" fontId="19" fillId="28" borderId="4" xfId="0" applyNumberFormat="1" applyFont="1" applyFill="1" applyBorder="1" applyAlignment="1" applyProtection="1">
      <alignment horizontal="left" vertical="center" wrapText="1"/>
    </xf>
    <xf numFmtId="0" fontId="25" fillId="24" borderId="11" xfId="0" applyFont="1" applyFill="1" applyBorder="1" applyAlignment="1" applyProtection="1">
      <alignment horizontal="left" vertical="center"/>
    </xf>
    <xf numFmtId="0" fontId="25" fillId="24" borderId="28" xfId="0" applyFont="1" applyFill="1" applyBorder="1" applyAlignment="1" applyProtection="1">
      <alignment horizontal="left" vertical="center"/>
    </xf>
    <xf numFmtId="0" fontId="25" fillId="24" borderId="10" xfId="0" applyFont="1" applyFill="1" applyBorder="1" applyAlignment="1" applyProtection="1">
      <alignment horizontal="left" vertical="center"/>
    </xf>
    <xf numFmtId="0" fontId="19" fillId="28" borderId="11" xfId="0" applyFont="1" applyFill="1" applyBorder="1" applyAlignment="1" applyProtection="1">
      <alignment horizontal="left" vertical="center"/>
    </xf>
    <xf numFmtId="0" fontId="19" fillId="28" borderId="28" xfId="0" applyFont="1" applyFill="1" applyBorder="1" applyAlignment="1" applyProtection="1">
      <alignment horizontal="left" vertical="center"/>
    </xf>
    <xf numFmtId="0" fontId="19" fillId="28" borderId="10" xfId="0" applyFont="1" applyFill="1" applyBorder="1" applyAlignment="1" applyProtection="1">
      <alignment horizontal="left" vertical="center"/>
    </xf>
    <xf numFmtId="0" fontId="25" fillId="25" borderId="11" xfId="0" applyFont="1" applyFill="1" applyBorder="1" applyAlignment="1" applyProtection="1">
      <alignment horizontal="left" vertical="center" wrapText="1"/>
    </xf>
    <xf numFmtId="0" fontId="25" fillId="25" borderId="10" xfId="0" applyFont="1" applyFill="1" applyBorder="1" applyAlignment="1" applyProtection="1">
      <alignment horizontal="left" vertical="center" wrapText="1"/>
    </xf>
    <xf numFmtId="0" fontId="19" fillId="28" borderId="4" xfId="0" applyFont="1" applyFill="1" applyBorder="1" applyAlignment="1" applyProtection="1">
      <alignment horizontal="left"/>
    </xf>
    <xf numFmtId="0" fontId="25" fillId="24" borderId="11" xfId="0" applyFont="1" applyFill="1" applyBorder="1" applyAlignment="1" applyProtection="1">
      <alignment horizontal="left" vertical="center" wrapText="1"/>
    </xf>
    <xf numFmtId="0" fontId="25" fillId="24" borderId="28" xfId="0" applyFont="1" applyFill="1" applyBorder="1" applyAlignment="1" applyProtection="1">
      <alignment horizontal="left" vertical="center" wrapText="1"/>
    </xf>
    <xf numFmtId="0" fontId="25" fillId="24" borderId="10" xfId="0" applyFont="1" applyFill="1" applyBorder="1" applyAlignment="1" applyProtection="1">
      <alignment horizontal="left" vertical="center" wrapText="1"/>
    </xf>
    <xf numFmtId="0" fontId="25" fillId="24" borderId="4" xfId="0" applyFont="1" applyFill="1" applyBorder="1" applyAlignment="1" applyProtection="1">
      <alignment horizontal="left" vertical="center"/>
      <protection locked="0"/>
    </xf>
    <xf numFmtId="39" fontId="19" fillId="30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28" borderId="11" xfId="0" applyFont="1" applyFill="1" applyBorder="1" applyAlignment="1" applyProtection="1">
      <alignment horizontal="left" vertical="center" wrapText="1"/>
      <protection locked="0"/>
    </xf>
    <xf numFmtId="0" fontId="19" fillId="28" borderId="28" xfId="0" applyFont="1" applyFill="1" applyBorder="1" applyAlignment="1" applyProtection="1">
      <alignment horizontal="left" vertical="center" wrapText="1"/>
      <protection locked="0"/>
    </xf>
    <xf numFmtId="0" fontId="19" fillId="28" borderId="10" xfId="0" applyFont="1" applyFill="1" applyBorder="1" applyAlignment="1" applyProtection="1">
      <alignment horizontal="left" vertical="center" wrapText="1"/>
      <protection locked="0"/>
    </xf>
    <xf numFmtId="0" fontId="31" fillId="27" borderId="47" xfId="0" applyFont="1" applyFill="1" applyBorder="1" applyAlignment="1" applyProtection="1">
      <alignment horizontal="left" vertical="center" wrapText="1"/>
    </xf>
    <xf numFmtId="0" fontId="19" fillId="30" borderId="4" xfId="0" applyFont="1" applyFill="1" applyBorder="1" applyAlignment="1" applyProtection="1">
      <alignment horizontal="left" vertical="center" wrapText="1"/>
    </xf>
    <xf numFmtId="0" fontId="19" fillId="28" borderId="4" xfId="0" applyFont="1" applyFill="1" applyBorder="1" applyAlignment="1" applyProtection="1">
      <alignment horizontal="left" vertical="center" wrapText="1"/>
    </xf>
    <xf numFmtId="0" fontId="25" fillId="24" borderId="4" xfId="0" applyFont="1" applyFill="1" applyBorder="1" applyAlignment="1" applyProtection="1">
      <alignment horizontal="left" vertical="center" wrapText="1"/>
    </xf>
    <xf numFmtId="0" fontId="19" fillId="28" borderId="4" xfId="0" applyFont="1" applyFill="1" applyBorder="1" applyAlignment="1" applyProtection="1">
      <alignment horizontal="justify" vertical="center"/>
    </xf>
    <xf numFmtId="0" fontId="25" fillId="24" borderId="4" xfId="0" applyFont="1" applyFill="1" applyBorder="1" applyAlignment="1" applyProtection="1">
      <alignment horizontal="justify" vertical="center" wrapText="1"/>
    </xf>
    <xf numFmtId="0" fontId="19" fillId="30" borderId="4" xfId="0" applyFont="1" applyFill="1" applyBorder="1" applyAlignment="1" applyProtection="1">
      <alignment horizontal="justify" vertical="center"/>
    </xf>
    <xf numFmtId="0" fontId="19" fillId="35" borderId="4" xfId="0" applyFont="1" applyFill="1" applyBorder="1" applyAlignment="1" applyProtection="1">
      <alignment horizontal="left" vertical="center" wrapText="1"/>
      <protection locked="0"/>
    </xf>
    <xf numFmtId="0" fontId="19" fillId="32" borderId="4" xfId="0" applyFont="1" applyFill="1" applyBorder="1" applyAlignment="1" applyProtection="1">
      <alignment horizontal="left"/>
    </xf>
    <xf numFmtId="0" fontId="19" fillId="31" borderId="4" xfId="0" applyFont="1" applyFill="1" applyBorder="1" applyAlignment="1" applyProtection="1">
      <alignment horizontal="left" vertical="center"/>
    </xf>
    <xf numFmtId="0" fontId="19" fillId="32" borderId="4" xfId="0" applyFont="1" applyFill="1" applyBorder="1" applyAlignment="1" applyProtection="1">
      <alignment horizontal="left" vertical="center"/>
    </xf>
    <xf numFmtId="0" fontId="19" fillId="31" borderId="4" xfId="0" applyFont="1" applyFill="1" applyBorder="1" applyAlignment="1" applyProtection="1">
      <alignment horizontal="left"/>
    </xf>
    <xf numFmtId="0" fontId="19" fillId="31" borderId="4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2" borderId="11" xfId="0" applyFont="1" applyFill="1" applyBorder="1" applyAlignment="1" applyProtection="1">
      <alignment horizontal="left"/>
    </xf>
    <xf numFmtId="0" fontId="20" fillId="32" borderId="28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left"/>
    </xf>
    <xf numFmtId="0" fontId="20" fillId="31" borderId="11" xfId="0" applyFont="1" applyFill="1" applyBorder="1" applyAlignment="1" applyProtection="1">
      <alignment horizontal="left"/>
    </xf>
    <xf numFmtId="0" fontId="20" fillId="31" borderId="28" xfId="0" applyFont="1" applyFill="1" applyBorder="1" applyAlignment="1" applyProtection="1">
      <alignment horizontal="left"/>
    </xf>
    <xf numFmtId="0" fontId="20" fillId="31" borderId="10" xfId="0" applyFont="1" applyFill="1" applyBorder="1" applyAlignment="1" applyProtection="1">
      <alignment horizontal="left"/>
    </xf>
    <xf numFmtId="0" fontId="25" fillId="24" borderId="49" xfId="0" applyFont="1" applyFill="1" applyBorder="1" applyAlignment="1" applyProtection="1">
      <alignment horizontal="left"/>
    </xf>
    <xf numFmtId="0" fontId="19" fillId="32" borderId="4" xfId="0" applyFont="1" applyFill="1" applyBorder="1" applyAlignment="1" applyProtection="1">
      <alignment horizontal="center"/>
    </xf>
    <xf numFmtId="0" fontId="25" fillId="29" borderId="4" xfId="0" applyFont="1" applyFill="1" applyBorder="1" applyAlignment="1" applyProtection="1">
      <alignment horizontal="left" vertical="center" wrapText="1"/>
    </xf>
    <xf numFmtId="0" fontId="31" fillId="27" borderId="0" xfId="0" applyFont="1" applyFill="1" applyBorder="1" applyAlignment="1" applyProtection="1">
      <alignment horizontal="justify" vertical="center" wrapText="1"/>
    </xf>
    <xf numFmtId="39" fontId="19" fillId="30" borderId="11" xfId="0" applyNumberFormat="1" applyFont="1" applyFill="1" applyBorder="1" applyAlignment="1" applyProtection="1">
      <alignment horizontal="left" vertical="center" wrapText="1"/>
    </xf>
    <xf numFmtId="39" fontId="19" fillId="30" borderId="28" xfId="0" applyNumberFormat="1" applyFont="1" applyFill="1" applyBorder="1" applyAlignment="1" applyProtection="1">
      <alignment horizontal="left" vertical="center" wrapText="1"/>
    </xf>
    <xf numFmtId="39" fontId="19" fillId="30" borderId="10" xfId="0" applyNumberFormat="1" applyFont="1" applyFill="1" applyBorder="1" applyAlignment="1" applyProtection="1">
      <alignment horizontal="left" vertical="center" wrapText="1"/>
    </xf>
    <xf numFmtId="0" fontId="19" fillId="30" borderId="4" xfId="0" applyFont="1" applyFill="1" applyBorder="1" applyAlignment="1" applyProtection="1">
      <alignment horizontal="left"/>
    </xf>
    <xf numFmtId="0" fontId="19" fillId="30" borderId="4" xfId="0" applyFont="1" applyFill="1" applyBorder="1" applyAlignment="1" applyProtection="1">
      <alignment horizontal="center"/>
    </xf>
    <xf numFmtId="0" fontId="34" fillId="27" borderId="48" xfId="0" applyFont="1" applyFill="1" applyBorder="1" applyAlignment="1" applyProtection="1">
      <alignment horizontal="center" vertical="center"/>
    </xf>
    <xf numFmtId="0" fontId="19" fillId="28" borderId="4" xfId="0" applyFont="1" applyFill="1" applyBorder="1" applyAlignment="1" applyProtection="1">
      <alignment horizontal="center"/>
    </xf>
    <xf numFmtId="0" fontId="24" fillId="28" borderId="4" xfId="0" applyFont="1" applyFill="1" applyBorder="1" applyAlignment="1" applyProtection="1">
      <alignment horizontal="left" vertical="center" wrapText="1" indent="1"/>
    </xf>
    <xf numFmtId="4" fontId="19" fillId="28" borderId="4" xfId="0" applyNumberFormat="1" applyFont="1" applyFill="1" applyBorder="1" applyAlignment="1" applyProtection="1">
      <alignment horizontal="left" vertical="center" wrapText="1"/>
    </xf>
    <xf numFmtId="0" fontId="24" fillId="30" borderId="4" xfId="0" applyFont="1" applyFill="1" applyBorder="1" applyAlignment="1" applyProtection="1">
      <alignment horizontal="left" vertical="center" wrapText="1" indent="1"/>
    </xf>
    <xf numFmtId="0" fontId="61" fillId="36" borderId="19" xfId="0" applyFont="1" applyFill="1" applyBorder="1" applyAlignment="1" applyProtection="1">
      <alignment horizontal="left"/>
    </xf>
    <xf numFmtId="0" fontId="61" fillId="36" borderId="29" xfId="0" applyFont="1" applyFill="1" applyBorder="1" applyAlignment="1" applyProtection="1">
      <alignment horizontal="center"/>
    </xf>
    <xf numFmtId="0" fontId="61" fillId="36" borderId="30" xfId="0" applyFont="1" applyFill="1" applyBorder="1" applyAlignment="1" applyProtection="1">
      <alignment horizontal="center"/>
    </xf>
    <xf numFmtId="0" fontId="61" fillId="36" borderId="31" xfId="0" applyFont="1" applyFill="1" applyBorder="1" applyAlignment="1" applyProtection="1">
      <alignment horizontal="center"/>
    </xf>
    <xf numFmtId="0" fontId="70" fillId="27" borderId="37" xfId="0" applyFont="1" applyFill="1" applyBorder="1" applyAlignment="1" applyProtection="1">
      <alignment horizontal="center" vertical="center"/>
    </xf>
    <xf numFmtId="0" fontId="70" fillId="27" borderId="38" xfId="0" applyFont="1" applyFill="1" applyBorder="1" applyAlignment="1" applyProtection="1">
      <alignment horizontal="center" vertical="center"/>
    </xf>
    <xf numFmtId="0" fontId="70" fillId="27" borderId="39" xfId="0" applyFont="1" applyFill="1" applyBorder="1" applyAlignment="1" applyProtection="1">
      <alignment horizontal="center" vertical="center"/>
    </xf>
    <xf numFmtId="0" fontId="70" fillId="27" borderId="44" xfId="0" applyFont="1" applyFill="1" applyBorder="1" applyAlignment="1" applyProtection="1">
      <alignment horizontal="center" vertical="center"/>
    </xf>
    <xf numFmtId="0" fontId="70" fillId="27" borderId="45" xfId="0" applyFont="1" applyFill="1" applyBorder="1" applyAlignment="1" applyProtection="1">
      <alignment horizontal="center" vertical="center"/>
    </xf>
    <xf numFmtId="0" fontId="70" fillId="27" borderId="14" xfId="0" applyFont="1" applyFill="1" applyBorder="1" applyAlignment="1" applyProtection="1">
      <alignment horizontal="center" vertical="center"/>
    </xf>
    <xf numFmtId="0" fontId="63" fillId="37" borderId="13" xfId="0" applyFont="1" applyFill="1" applyBorder="1" applyAlignment="1" applyProtection="1">
      <alignment horizontal="center" vertical="center" wrapText="1"/>
    </xf>
    <xf numFmtId="0" fontId="63" fillId="37" borderId="50" xfId="0" applyFont="1" applyFill="1" applyBorder="1" applyAlignment="1" applyProtection="1">
      <alignment horizontal="center" vertical="center" wrapText="1"/>
    </xf>
    <xf numFmtId="0" fontId="63" fillId="37" borderId="12" xfId="0" applyFont="1" applyFill="1" applyBorder="1" applyAlignment="1" applyProtection="1">
      <alignment horizontal="center" vertical="center" wrapText="1"/>
    </xf>
    <xf numFmtId="0" fontId="63" fillId="28" borderId="42" xfId="0" applyFont="1" applyFill="1" applyBorder="1" applyAlignment="1" applyProtection="1">
      <alignment horizontal="center" vertical="center" wrapText="1"/>
    </xf>
    <xf numFmtId="0" fontId="63" fillId="28" borderId="43" xfId="0" applyFont="1" applyFill="1" applyBorder="1" applyAlignment="1" applyProtection="1">
      <alignment horizontal="center" vertical="center" wrapText="1"/>
    </xf>
    <xf numFmtId="0" fontId="63" fillId="28" borderId="51" xfId="0" applyFont="1" applyFill="1" applyBorder="1" applyAlignment="1" applyProtection="1">
      <alignment horizontal="center" vertical="center" wrapText="1"/>
    </xf>
    <xf numFmtId="0" fontId="63" fillId="38" borderId="42" xfId="0" applyFont="1" applyFill="1" applyBorder="1" applyAlignment="1" applyProtection="1">
      <alignment horizontal="center" vertical="center" wrapText="1"/>
    </xf>
    <xf numFmtId="0" fontId="63" fillId="38" borderId="43" xfId="0" applyFont="1" applyFill="1" applyBorder="1" applyAlignment="1" applyProtection="1">
      <alignment horizontal="center" vertical="center" wrapText="1"/>
    </xf>
    <xf numFmtId="0" fontId="63" fillId="38" borderId="51" xfId="0" applyFont="1" applyFill="1" applyBorder="1" applyAlignment="1" applyProtection="1">
      <alignment horizontal="center" vertical="center" wrapText="1"/>
    </xf>
    <xf numFmtId="0" fontId="53" fillId="38" borderId="13" xfId="0" applyFont="1" applyFill="1" applyBorder="1" applyAlignment="1" applyProtection="1">
      <alignment horizontal="center" vertical="center"/>
    </xf>
    <xf numFmtId="0" fontId="53" fillId="38" borderId="12" xfId="0" applyFont="1" applyFill="1" applyBorder="1" applyAlignment="1" applyProtection="1">
      <alignment horizontal="center" vertical="center"/>
    </xf>
    <xf numFmtId="0" fontId="52" fillId="38" borderId="13" xfId="0" applyFont="1" applyFill="1" applyBorder="1" applyAlignment="1" applyProtection="1">
      <alignment horizontal="center" vertical="center" wrapText="1"/>
    </xf>
    <xf numFmtId="0" fontId="52" fillId="38" borderId="12" xfId="0" applyFont="1" applyFill="1" applyBorder="1" applyAlignment="1" applyProtection="1">
      <alignment horizontal="center" vertical="center" wrapText="1"/>
    </xf>
    <xf numFmtId="0" fontId="53" fillId="37" borderId="13" xfId="0" applyFont="1" applyFill="1" applyBorder="1" applyAlignment="1" applyProtection="1">
      <alignment horizontal="center" vertical="center"/>
    </xf>
    <xf numFmtId="0" fontId="53" fillId="37" borderId="12" xfId="0" applyFont="1" applyFill="1" applyBorder="1" applyAlignment="1" applyProtection="1">
      <alignment horizontal="center" vertical="center"/>
    </xf>
    <xf numFmtId="0" fontId="52" fillId="37" borderId="13" xfId="0" applyFont="1" applyFill="1" applyBorder="1" applyAlignment="1" applyProtection="1">
      <alignment horizontal="center" vertical="center" wrapText="1"/>
    </xf>
    <xf numFmtId="0" fontId="52" fillId="37" borderId="12" xfId="0" applyFont="1" applyFill="1" applyBorder="1" applyAlignment="1" applyProtection="1">
      <alignment horizontal="center" vertical="center" wrapText="1"/>
    </xf>
    <xf numFmtId="0" fontId="52" fillId="37" borderId="13" xfId="0" applyFont="1" applyFill="1" applyBorder="1" applyAlignment="1" applyProtection="1">
      <alignment horizontal="center" vertical="center"/>
    </xf>
    <xf numFmtId="0" fontId="52" fillId="37" borderId="50" xfId="0" applyFont="1" applyFill="1" applyBorder="1" applyAlignment="1" applyProtection="1">
      <alignment horizontal="center" vertical="center"/>
    </xf>
    <xf numFmtId="0" fontId="52" fillId="37" borderId="12" xfId="0" applyFont="1" applyFill="1" applyBorder="1" applyAlignment="1" applyProtection="1">
      <alignment horizontal="center" vertical="center"/>
    </xf>
    <xf numFmtId="0" fontId="52" fillId="38" borderId="52" xfId="0" applyFont="1" applyFill="1" applyBorder="1" applyAlignment="1" applyProtection="1">
      <alignment horizontal="center" vertical="center"/>
    </xf>
    <xf numFmtId="0" fontId="52" fillId="38" borderId="53" xfId="0" applyFont="1" applyFill="1" applyBorder="1" applyAlignment="1" applyProtection="1">
      <alignment horizontal="center" vertical="center"/>
    </xf>
    <xf numFmtId="0" fontId="52" fillId="38" borderId="54" xfId="0" applyFont="1" applyFill="1" applyBorder="1" applyAlignment="1" applyProtection="1">
      <alignment horizontal="center" vertical="center"/>
    </xf>
    <xf numFmtId="0" fontId="52" fillId="38" borderId="32" xfId="0" applyFont="1" applyFill="1" applyBorder="1" applyAlignment="1" applyProtection="1">
      <alignment horizontal="center" vertical="center"/>
    </xf>
    <xf numFmtId="0" fontId="52" fillId="38" borderId="21" xfId="0" applyFont="1" applyFill="1" applyBorder="1" applyAlignment="1" applyProtection="1">
      <alignment horizontal="center" vertical="center"/>
    </xf>
    <xf numFmtId="0" fontId="63" fillId="0" borderId="13" xfId="0" applyFont="1" applyFill="1" applyBorder="1" applyAlignment="1" applyProtection="1">
      <alignment horizontal="center" vertical="center" wrapText="1"/>
    </xf>
    <xf numFmtId="0" fontId="63" fillId="0" borderId="50" xfId="0" applyFont="1" applyFill="1" applyBorder="1" applyAlignment="1" applyProtection="1">
      <alignment horizontal="center" vertical="center" wrapText="1"/>
    </xf>
    <xf numFmtId="0" fontId="63" fillId="39" borderId="42" xfId="0" applyFont="1" applyFill="1" applyBorder="1" applyAlignment="1" applyProtection="1">
      <alignment horizontal="center" vertical="center" wrapText="1"/>
    </xf>
    <xf numFmtId="0" fontId="63" fillId="39" borderId="43" xfId="0" applyFont="1" applyFill="1" applyBorder="1" applyAlignment="1" applyProtection="1">
      <alignment horizontal="center" vertical="center" wrapText="1"/>
    </xf>
    <xf numFmtId="0" fontId="63" fillId="39" borderId="51" xfId="0" applyFont="1" applyFill="1" applyBorder="1" applyAlignment="1" applyProtection="1">
      <alignment horizontal="center" vertical="center" wrapText="1"/>
    </xf>
    <xf numFmtId="0" fontId="53" fillId="39" borderId="13" xfId="0" applyFont="1" applyFill="1" applyBorder="1" applyAlignment="1" applyProtection="1">
      <alignment horizontal="center" vertical="center"/>
    </xf>
    <xf numFmtId="0" fontId="53" fillId="39" borderId="12" xfId="0" applyFont="1" applyFill="1" applyBorder="1" applyAlignment="1" applyProtection="1">
      <alignment horizontal="center" vertical="center"/>
    </xf>
    <xf numFmtId="0" fontId="52" fillId="39" borderId="13" xfId="0" applyFont="1" applyFill="1" applyBorder="1" applyAlignment="1" applyProtection="1">
      <alignment horizontal="center" vertical="center" wrapText="1"/>
    </xf>
    <xf numFmtId="0" fontId="52" fillId="39" borderId="12" xfId="0" applyFont="1" applyFill="1" applyBorder="1" applyAlignment="1" applyProtection="1">
      <alignment horizontal="center" vertical="center" wrapText="1"/>
    </xf>
    <xf numFmtId="0" fontId="52" fillId="39" borderId="52" xfId="0" applyFont="1" applyFill="1" applyBorder="1" applyAlignment="1" applyProtection="1">
      <alignment horizontal="center" vertical="center"/>
    </xf>
    <xf numFmtId="0" fontId="52" fillId="39" borderId="53" xfId="0" applyFont="1" applyFill="1" applyBorder="1" applyAlignment="1" applyProtection="1">
      <alignment horizontal="center" vertical="center"/>
    </xf>
    <xf numFmtId="0" fontId="52" fillId="39" borderId="54" xfId="0" applyFont="1" applyFill="1" applyBorder="1" applyAlignment="1" applyProtection="1">
      <alignment horizontal="center" vertical="center"/>
    </xf>
    <xf numFmtId="0" fontId="52" fillId="39" borderId="32" xfId="0" applyFont="1" applyFill="1" applyBorder="1" applyAlignment="1" applyProtection="1">
      <alignment horizontal="center" vertical="center"/>
    </xf>
    <xf numFmtId="0" fontId="52" fillId="39" borderId="21" xfId="0" applyFont="1" applyFill="1" applyBorder="1" applyAlignment="1" applyProtection="1">
      <alignment horizontal="center" vertical="center"/>
    </xf>
    <xf numFmtId="0" fontId="53" fillId="28" borderId="13" xfId="0" applyFont="1" applyFill="1" applyBorder="1" applyAlignment="1" applyProtection="1">
      <alignment horizontal="center" vertical="center" wrapText="1"/>
    </xf>
    <xf numFmtId="0" fontId="53" fillId="28" borderId="12" xfId="0" applyFont="1" applyFill="1" applyBorder="1" applyAlignment="1" applyProtection="1">
      <alignment horizontal="center" vertical="center" wrapText="1"/>
    </xf>
    <xf numFmtId="0" fontId="53" fillId="28" borderId="13" xfId="0" applyFont="1" applyFill="1" applyBorder="1" applyAlignment="1" applyProtection="1">
      <alignment horizontal="center" vertical="center"/>
    </xf>
    <xf numFmtId="0" fontId="53" fillId="28" borderId="12" xfId="0" applyFont="1" applyFill="1" applyBorder="1" applyAlignment="1" applyProtection="1">
      <alignment horizontal="center" vertical="center"/>
    </xf>
    <xf numFmtId="0" fontId="52" fillId="28" borderId="52" xfId="0" applyFont="1" applyFill="1" applyBorder="1" applyAlignment="1" applyProtection="1">
      <alignment horizontal="center" vertical="center"/>
    </xf>
    <xf numFmtId="0" fontId="52" fillId="28" borderId="53" xfId="0" applyFont="1" applyFill="1" applyBorder="1" applyAlignment="1" applyProtection="1">
      <alignment horizontal="center" vertical="center"/>
    </xf>
    <xf numFmtId="0" fontId="52" fillId="28" borderId="54" xfId="0" applyFont="1" applyFill="1" applyBorder="1" applyAlignment="1" applyProtection="1">
      <alignment horizontal="center" vertical="center"/>
    </xf>
    <xf numFmtId="0" fontId="52" fillId="28" borderId="32" xfId="0" applyFont="1" applyFill="1" applyBorder="1" applyAlignment="1" applyProtection="1">
      <alignment horizontal="center" vertical="center"/>
    </xf>
    <xf numFmtId="0" fontId="52" fillId="28" borderId="21" xfId="0" applyFont="1" applyFill="1" applyBorder="1" applyAlignment="1" applyProtection="1">
      <alignment horizontal="center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 2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1 1 1" xfId="4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87"/>
  <sheetViews>
    <sheetView topLeftCell="A31" zoomScale="95" zoomScaleNormal="95" workbookViewId="0">
      <selection activeCell="I44" sqref="I44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0" style="12" customWidth="1"/>
    <col min="4" max="4" width="28.28515625" style="12" customWidth="1"/>
    <col min="5" max="5" width="14.85546875" style="12" customWidth="1"/>
    <col min="6" max="6" width="16.5703125" style="12" customWidth="1"/>
    <col min="7" max="16384" width="9.140625" style="6"/>
  </cols>
  <sheetData>
    <row r="1" spans="1:6" ht="20.25" x14ac:dyDescent="0.35">
      <c r="B1" s="252" t="s">
        <v>229</v>
      </c>
      <c r="C1" s="253"/>
      <c r="D1" s="253"/>
      <c r="E1" s="253"/>
      <c r="F1" s="254"/>
    </row>
    <row r="2" spans="1:6" ht="20.25" x14ac:dyDescent="0.35">
      <c r="B2" s="255" t="s">
        <v>312</v>
      </c>
      <c r="C2" s="255"/>
      <c r="D2" s="255"/>
      <c r="E2" s="136" t="s">
        <v>49</v>
      </c>
      <c r="F2" s="138" t="s">
        <v>324</v>
      </c>
    </row>
    <row r="3" spans="1:6" x14ac:dyDescent="0.3">
      <c r="B3" s="52"/>
      <c r="C3" s="52"/>
      <c r="D3" s="52"/>
      <c r="E3" s="52"/>
      <c r="F3" s="52"/>
    </row>
    <row r="4" spans="1:6" s="52" customFormat="1" ht="25.5" x14ac:dyDescent="0.5">
      <c r="B4" s="256" t="s">
        <v>143</v>
      </c>
      <c r="C4" s="256"/>
      <c r="D4" s="256"/>
      <c r="E4" s="256"/>
      <c r="F4" s="256"/>
    </row>
    <row r="5" spans="1:6" s="52" customFormat="1" ht="15.95" customHeight="1" x14ac:dyDescent="0.3">
      <c r="B5" s="257" t="s">
        <v>83</v>
      </c>
      <c r="C5" s="257"/>
      <c r="D5" s="257"/>
      <c r="E5" s="257"/>
      <c r="F5" s="257"/>
    </row>
    <row r="6" spans="1:6" s="52" customFormat="1" ht="15.95" customHeight="1" x14ac:dyDescent="0.3">
      <c r="B6" s="258" t="s">
        <v>161</v>
      </c>
      <c r="C6" s="258"/>
      <c r="D6" s="260" t="s">
        <v>230</v>
      </c>
      <c r="E6" s="260"/>
      <c r="F6" s="260"/>
    </row>
    <row r="7" spans="1:6" s="52" customFormat="1" ht="15.75" customHeight="1" x14ac:dyDescent="0.3">
      <c r="B7" s="263" t="s">
        <v>310</v>
      </c>
      <c r="C7" s="263"/>
      <c r="D7" s="264" t="s">
        <v>30</v>
      </c>
      <c r="E7" s="264"/>
      <c r="F7" s="168" t="s">
        <v>317</v>
      </c>
    </row>
    <row r="8" spans="1:6" s="52" customFormat="1" ht="15.75" customHeight="1" x14ac:dyDescent="0.3">
      <c r="B8" s="258" t="s">
        <v>98</v>
      </c>
      <c r="C8" s="258"/>
      <c r="D8" s="259" t="s">
        <v>136</v>
      </c>
      <c r="E8" s="259"/>
      <c r="F8" s="167" t="s">
        <v>328</v>
      </c>
    </row>
    <row r="9" spans="1:6" s="53" customFormat="1" ht="9.75" customHeight="1" x14ac:dyDescent="0.3">
      <c r="C9" s="4"/>
      <c r="D9" s="67"/>
      <c r="E9" s="67"/>
      <c r="F9" s="68"/>
    </row>
    <row r="10" spans="1:6" s="53" customFormat="1" ht="15.75" customHeight="1" x14ac:dyDescent="0.3">
      <c r="B10" s="257" t="s">
        <v>97</v>
      </c>
      <c r="C10" s="257"/>
      <c r="D10" s="257"/>
      <c r="E10" s="257"/>
      <c r="F10" s="257"/>
    </row>
    <row r="11" spans="1:6" s="52" customFormat="1" ht="18" customHeight="1" x14ac:dyDescent="0.3">
      <c r="B11" s="156" t="s">
        <v>2</v>
      </c>
      <c r="C11" s="258" t="s">
        <v>55</v>
      </c>
      <c r="D11" s="258"/>
      <c r="E11" s="258"/>
      <c r="F11" s="166" t="s">
        <v>324</v>
      </c>
    </row>
    <row r="12" spans="1:6" s="52" customFormat="1" ht="15.95" customHeight="1" x14ac:dyDescent="0.15">
      <c r="B12" s="147" t="s">
        <v>3</v>
      </c>
      <c r="C12" s="157" t="s">
        <v>31</v>
      </c>
      <c r="D12" s="265" t="s">
        <v>231</v>
      </c>
      <c r="E12" s="265"/>
      <c r="F12" s="265"/>
    </row>
    <row r="13" spans="1:6" s="52" customFormat="1" ht="15.95" customHeight="1" x14ac:dyDescent="0.3">
      <c r="B13" s="156" t="s">
        <v>4</v>
      </c>
      <c r="C13" s="258" t="s">
        <v>131</v>
      </c>
      <c r="D13" s="258"/>
      <c r="E13" s="258"/>
      <c r="F13" s="169" t="s">
        <v>232</v>
      </c>
    </row>
    <row r="14" spans="1:6" s="52" customFormat="1" ht="18.75" customHeight="1" x14ac:dyDescent="0.3">
      <c r="B14" s="147" t="s">
        <v>5</v>
      </c>
      <c r="C14" s="266" t="s">
        <v>32</v>
      </c>
      <c r="D14" s="266"/>
      <c r="E14" s="266"/>
      <c r="F14" s="167" t="s">
        <v>320</v>
      </c>
    </row>
    <row r="15" spans="1:6" s="52" customFormat="1" ht="15.95" customHeight="1" x14ac:dyDescent="0.3">
      <c r="B15" s="147" t="s">
        <v>6</v>
      </c>
      <c r="C15" s="258" t="s">
        <v>56</v>
      </c>
      <c r="D15" s="258"/>
      <c r="E15" s="258"/>
      <c r="F15" s="158">
        <v>12</v>
      </c>
    </row>
    <row r="16" spans="1:6" s="52" customFormat="1" ht="15.95" customHeight="1" x14ac:dyDescent="0.3">
      <c r="A16" s="53"/>
      <c r="B16" s="53"/>
      <c r="C16" s="4"/>
      <c r="D16" s="67"/>
      <c r="E16" s="67"/>
      <c r="F16" s="68"/>
    </row>
    <row r="17" spans="1:6" s="52" customFormat="1" x14ac:dyDescent="0.3">
      <c r="A17" s="53"/>
      <c r="B17" s="257" t="s">
        <v>99</v>
      </c>
      <c r="C17" s="257"/>
      <c r="D17" s="257"/>
      <c r="E17" s="257"/>
      <c r="F17" s="257"/>
    </row>
    <row r="18" spans="1:6" s="69" customFormat="1" ht="33" x14ac:dyDescent="0.2">
      <c r="B18" s="147" t="s">
        <v>132</v>
      </c>
      <c r="C18" s="147" t="s">
        <v>26</v>
      </c>
      <c r="D18" s="159" t="s">
        <v>100</v>
      </c>
      <c r="E18" s="159" t="s">
        <v>144</v>
      </c>
      <c r="F18" s="159" t="s">
        <v>101</v>
      </c>
    </row>
    <row r="19" spans="1:6" s="69" customFormat="1" x14ac:dyDescent="0.2">
      <c r="B19" s="147">
        <v>1</v>
      </c>
      <c r="C19" s="160" t="s">
        <v>224</v>
      </c>
      <c r="D19" s="160" t="s">
        <v>223</v>
      </c>
      <c r="E19" s="160">
        <v>1</v>
      </c>
      <c r="F19" s="160">
        <v>1</v>
      </c>
    </row>
    <row r="20" spans="1:6" s="69" customFormat="1" x14ac:dyDescent="0.2">
      <c r="B20" s="147">
        <v>2</v>
      </c>
      <c r="C20" s="160" t="s">
        <v>225</v>
      </c>
      <c r="D20" s="160" t="s">
        <v>223</v>
      </c>
      <c r="E20" s="160">
        <v>1</v>
      </c>
      <c r="F20" s="160">
        <v>24</v>
      </c>
    </row>
    <row r="21" spans="1:6" s="52" customFormat="1" ht="16.5" customHeight="1" x14ac:dyDescent="0.3">
      <c r="B21" s="156">
        <v>3</v>
      </c>
      <c r="C21" s="160" t="s">
        <v>227</v>
      </c>
      <c r="D21" s="160" t="s">
        <v>223</v>
      </c>
      <c r="E21" s="160">
        <v>1</v>
      </c>
      <c r="F21" s="160">
        <v>22</v>
      </c>
    </row>
    <row r="22" spans="1:6" s="52" customFormat="1" ht="15.95" customHeight="1" x14ac:dyDescent="0.3">
      <c r="B22" s="70"/>
      <c r="C22" s="70"/>
      <c r="D22" s="70"/>
      <c r="E22" s="70"/>
      <c r="F22" s="70"/>
    </row>
    <row r="23" spans="1:6" s="52" customFormat="1" ht="15" customHeight="1" x14ac:dyDescent="0.3">
      <c r="B23" s="257" t="s">
        <v>102</v>
      </c>
      <c r="C23" s="257"/>
      <c r="D23" s="257"/>
      <c r="E23" s="257"/>
      <c r="F23" s="257"/>
    </row>
    <row r="24" spans="1:6" s="52" customFormat="1" ht="15" customHeight="1" x14ac:dyDescent="0.3">
      <c r="A24" s="53"/>
      <c r="B24" s="156">
        <v>1</v>
      </c>
      <c r="C24" s="161" t="s">
        <v>51</v>
      </c>
      <c r="D24" s="261" t="s">
        <v>236</v>
      </c>
      <c r="E24" s="261"/>
      <c r="F24" s="261"/>
    </row>
    <row r="25" spans="1:6" s="52" customFormat="1" ht="15.95" customHeight="1" x14ac:dyDescent="0.3">
      <c r="B25" s="156">
        <v>2</v>
      </c>
      <c r="C25" s="162" t="s">
        <v>53</v>
      </c>
      <c r="D25" s="251" t="s">
        <v>314</v>
      </c>
      <c r="E25" s="251"/>
      <c r="F25" s="251"/>
    </row>
    <row r="26" spans="1:6" s="52" customFormat="1" ht="15.95" customHeight="1" x14ac:dyDescent="0.3">
      <c r="B26" s="156">
        <v>3</v>
      </c>
      <c r="C26" s="161" t="s">
        <v>51</v>
      </c>
      <c r="D26" s="261" t="s">
        <v>237</v>
      </c>
      <c r="E26" s="261"/>
      <c r="F26" s="261"/>
    </row>
    <row r="27" spans="1:6" s="52" customFormat="1" ht="15.95" customHeight="1" x14ac:dyDescent="0.3">
      <c r="B27" s="156">
        <v>4</v>
      </c>
      <c r="C27" s="162" t="s">
        <v>53</v>
      </c>
      <c r="D27" s="251" t="s">
        <v>315</v>
      </c>
      <c r="E27" s="251"/>
      <c r="F27" s="251"/>
    </row>
    <row r="28" spans="1:6" s="52" customFormat="1" ht="15.95" customHeight="1" x14ac:dyDescent="0.3">
      <c r="B28" s="156">
        <v>5</v>
      </c>
      <c r="C28" s="161" t="s">
        <v>51</v>
      </c>
      <c r="D28" s="261" t="s">
        <v>238</v>
      </c>
      <c r="E28" s="261"/>
      <c r="F28" s="261"/>
    </row>
    <row r="29" spans="1:6" s="52" customFormat="1" ht="15.95" customHeight="1" x14ac:dyDescent="0.3">
      <c r="B29" s="156">
        <v>6</v>
      </c>
      <c r="C29" s="162" t="s">
        <v>53</v>
      </c>
      <c r="D29" s="251" t="s">
        <v>292</v>
      </c>
      <c r="E29" s="251"/>
      <c r="F29" s="251"/>
    </row>
    <row r="30" spans="1:6" s="52" customFormat="1" ht="15.95" customHeight="1" x14ac:dyDescent="0.3">
      <c r="B30" s="156">
        <v>7</v>
      </c>
      <c r="C30" s="244" t="s">
        <v>54</v>
      </c>
      <c r="D30" s="244"/>
      <c r="E30" s="244"/>
      <c r="F30" s="166" t="s">
        <v>324</v>
      </c>
    </row>
    <row r="31" spans="1:6" s="52" customFormat="1" ht="15.95" customHeight="1" x14ac:dyDescent="0.3">
      <c r="B31" s="156">
        <v>8</v>
      </c>
      <c r="C31" s="243" t="s">
        <v>125</v>
      </c>
      <c r="D31" s="243"/>
      <c r="E31" s="243"/>
      <c r="F31" s="170">
        <v>1100</v>
      </c>
    </row>
    <row r="32" spans="1:6" s="52" customFormat="1" x14ac:dyDescent="0.3">
      <c r="B32" s="19"/>
      <c r="C32" s="20"/>
      <c r="D32" s="20"/>
      <c r="E32" s="20"/>
      <c r="F32" s="71"/>
    </row>
    <row r="33" spans="1:6" s="52" customFormat="1" ht="25.5" x14ac:dyDescent="0.5">
      <c r="B33" s="72" t="s">
        <v>140</v>
      </c>
      <c r="C33" s="6"/>
      <c r="D33" s="6"/>
      <c r="E33" s="6"/>
      <c r="F33" s="6"/>
    </row>
    <row r="34" spans="1:6" x14ac:dyDescent="0.3">
      <c r="B34" s="32" t="s">
        <v>8</v>
      </c>
      <c r="E34" s="7"/>
      <c r="F34" s="7"/>
    </row>
    <row r="35" spans="1:6" x14ac:dyDescent="0.3">
      <c r="B35" s="147">
        <v>1</v>
      </c>
      <c r="C35" s="242" t="s">
        <v>9</v>
      </c>
      <c r="D35" s="242"/>
      <c r="E35" s="242"/>
      <c r="F35" s="148" t="s">
        <v>107</v>
      </c>
    </row>
    <row r="36" spans="1:6" x14ac:dyDescent="0.3">
      <c r="B36" s="147" t="s">
        <v>2</v>
      </c>
      <c r="C36" s="233" t="s">
        <v>239</v>
      </c>
      <c r="D36" s="233"/>
      <c r="E36" s="233"/>
      <c r="F36" s="163"/>
    </row>
    <row r="37" spans="1:6" ht="16.5" customHeight="1" x14ac:dyDescent="0.3">
      <c r="B37" s="147" t="s">
        <v>3</v>
      </c>
      <c r="C37" s="233" t="s">
        <v>233</v>
      </c>
      <c r="D37" s="233"/>
      <c r="E37" s="233"/>
      <c r="F37" s="163"/>
    </row>
    <row r="38" spans="1:6" x14ac:dyDescent="0.3">
      <c r="B38" s="147" t="s">
        <v>4</v>
      </c>
      <c r="C38" s="233" t="s">
        <v>240</v>
      </c>
      <c r="D38" s="233"/>
      <c r="E38" s="233"/>
      <c r="F38" s="163"/>
    </row>
    <row r="39" spans="1:6" ht="16.5" customHeight="1" x14ac:dyDescent="0.3">
      <c r="B39" s="147" t="s">
        <v>5</v>
      </c>
      <c r="C39" s="153" t="s">
        <v>235</v>
      </c>
      <c r="D39" s="249" t="s">
        <v>294</v>
      </c>
      <c r="E39" s="250"/>
      <c r="F39" s="163">
        <v>0</v>
      </c>
    </row>
    <row r="40" spans="1:6" x14ac:dyDescent="0.3">
      <c r="B40" s="147" t="s">
        <v>6</v>
      </c>
      <c r="C40" s="153" t="s">
        <v>235</v>
      </c>
      <c r="D40" s="249" t="s">
        <v>313</v>
      </c>
      <c r="E40" s="250"/>
      <c r="F40" s="163">
        <v>0</v>
      </c>
    </row>
    <row r="41" spans="1:6" x14ac:dyDescent="0.3">
      <c r="B41" s="147" t="s">
        <v>7</v>
      </c>
      <c r="C41" s="153" t="s">
        <v>235</v>
      </c>
      <c r="D41" s="249" t="s">
        <v>295</v>
      </c>
      <c r="E41" s="250"/>
      <c r="F41" s="163">
        <v>0</v>
      </c>
    </row>
    <row r="42" spans="1:6" s="62" customFormat="1" x14ac:dyDescent="0.3"/>
    <row r="43" spans="1:6" s="62" customFormat="1" x14ac:dyDescent="0.3">
      <c r="A43" s="6"/>
      <c r="B43" s="32" t="s">
        <v>57</v>
      </c>
      <c r="C43" s="12"/>
      <c r="D43" s="12"/>
      <c r="E43" s="14"/>
      <c r="F43" s="14"/>
    </row>
    <row r="44" spans="1:6" s="62" customFormat="1" x14ac:dyDescent="0.3">
      <c r="A44" s="6"/>
      <c r="B44" s="32" t="s">
        <v>62</v>
      </c>
      <c r="C44" s="53"/>
      <c r="D44" s="53"/>
      <c r="E44" s="53"/>
      <c r="F44" s="53"/>
    </row>
    <row r="45" spans="1:6" s="62" customFormat="1" ht="15" customHeight="1" x14ac:dyDescent="0.3">
      <c r="A45" s="6"/>
      <c r="B45" s="147" t="s">
        <v>78</v>
      </c>
      <c r="C45" s="242" t="s">
        <v>14</v>
      </c>
      <c r="D45" s="242"/>
      <c r="E45" s="148" t="s">
        <v>33</v>
      </c>
      <c r="F45" s="148" t="s">
        <v>108</v>
      </c>
    </row>
    <row r="46" spans="1:6" s="62" customFormat="1" x14ac:dyDescent="0.3">
      <c r="A46" s="6"/>
      <c r="B46" s="147" t="s">
        <v>2</v>
      </c>
      <c r="C46" s="244" t="s">
        <v>15</v>
      </c>
      <c r="D46" s="244"/>
      <c r="E46" s="149" t="s">
        <v>34</v>
      </c>
      <c r="F46" s="150">
        <v>0</v>
      </c>
    </row>
    <row r="47" spans="1:6" s="62" customFormat="1" x14ac:dyDescent="0.3">
      <c r="B47" s="147" t="s">
        <v>3</v>
      </c>
      <c r="C47" s="243" t="s">
        <v>61</v>
      </c>
      <c r="D47" s="243"/>
      <c r="E47" s="151" t="s">
        <v>34</v>
      </c>
      <c r="F47" s="150">
        <v>0</v>
      </c>
    </row>
    <row r="48" spans="1:6" s="62" customFormat="1" x14ac:dyDescent="0.3">
      <c r="B48" s="147" t="s">
        <v>4</v>
      </c>
      <c r="C48" s="244" t="s">
        <v>141</v>
      </c>
      <c r="D48" s="244"/>
      <c r="E48" s="149" t="s">
        <v>128</v>
      </c>
      <c r="F48" s="152">
        <v>22</v>
      </c>
    </row>
    <row r="49" spans="1:6" ht="19.5" customHeight="1" x14ac:dyDescent="0.3">
      <c r="B49" s="147" t="s">
        <v>5</v>
      </c>
      <c r="C49" s="153" t="s">
        <v>133</v>
      </c>
      <c r="D49" s="171" t="s">
        <v>294</v>
      </c>
      <c r="E49" s="154"/>
      <c r="F49" s="155">
        <v>0</v>
      </c>
    </row>
    <row r="50" spans="1:6" x14ac:dyDescent="0.3">
      <c r="B50" s="147" t="s">
        <v>6</v>
      </c>
      <c r="C50" s="153" t="s">
        <v>134</v>
      </c>
      <c r="D50" s="171" t="s">
        <v>293</v>
      </c>
      <c r="E50" s="154"/>
      <c r="F50" s="155">
        <v>0</v>
      </c>
    </row>
    <row r="51" spans="1:6" x14ac:dyDescent="0.3">
      <c r="B51" s="147" t="s">
        <v>7</v>
      </c>
      <c r="C51" s="153" t="s">
        <v>135</v>
      </c>
      <c r="D51" s="171" t="s">
        <v>295</v>
      </c>
      <c r="E51" s="154"/>
      <c r="F51" s="155">
        <v>0</v>
      </c>
    </row>
    <row r="52" spans="1:6" s="62" customFormat="1" x14ac:dyDescent="0.3"/>
    <row r="53" spans="1:6" s="52" customFormat="1" x14ac:dyDescent="0.3">
      <c r="B53" s="32" t="s">
        <v>64</v>
      </c>
      <c r="C53" s="5"/>
      <c r="D53" s="15"/>
      <c r="E53" s="6"/>
      <c r="F53" s="6"/>
    </row>
    <row r="54" spans="1:6" s="52" customFormat="1" ht="15" customHeight="1" x14ac:dyDescent="0.3">
      <c r="B54" s="32" t="s">
        <v>88</v>
      </c>
      <c r="C54" s="5"/>
      <c r="D54" s="15"/>
      <c r="E54" s="13"/>
      <c r="F54" s="13"/>
    </row>
    <row r="55" spans="1:6" x14ac:dyDescent="0.3">
      <c r="A55" s="52"/>
      <c r="B55" s="147" t="s">
        <v>19</v>
      </c>
      <c r="C55" s="245" t="s">
        <v>89</v>
      </c>
      <c r="D55" s="245"/>
      <c r="E55" s="245"/>
      <c r="F55" s="148" t="s">
        <v>1</v>
      </c>
    </row>
    <row r="56" spans="1:6" s="62" customFormat="1" x14ac:dyDescent="0.3">
      <c r="B56" s="159" t="s">
        <v>2</v>
      </c>
      <c r="C56" s="164" t="s">
        <v>138</v>
      </c>
      <c r="D56" s="246" t="s">
        <v>294</v>
      </c>
      <c r="E56" s="246"/>
      <c r="F56" s="150">
        <v>0</v>
      </c>
    </row>
    <row r="57" spans="1:6" s="62" customFormat="1" x14ac:dyDescent="0.3">
      <c r="B57" s="159" t="s">
        <v>3</v>
      </c>
      <c r="C57" s="164" t="s">
        <v>138</v>
      </c>
      <c r="D57" s="246" t="s">
        <v>293</v>
      </c>
      <c r="E57" s="246"/>
      <c r="F57" s="150">
        <v>0</v>
      </c>
    </row>
    <row r="58" spans="1:6" s="62" customFormat="1" x14ac:dyDescent="0.3">
      <c r="B58" s="159" t="s">
        <v>4</v>
      </c>
      <c r="C58" s="164" t="s">
        <v>138</v>
      </c>
      <c r="D58" s="246" t="s">
        <v>295</v>
      </c>
      <c r="E58" s="246"/>
      <c r="F58" s="150">
        <v>0</v>
      </c>
    </row>
    <row r="59" spans="1:6" x14ac:dyDescent="0.3">
      <c r="B59" s="62"/>
      <c r="C59" s="62"/>
      <c r="D59" s="62"/>
      <c r="E59" s="62"/>
      <c r="F59" s="62"/>
    </row>
    <row r="60" spans="1:6" hidden="1" x14ac:dyDescent="0.3">
      <c r="B60" s="32" t="s">
        <v>164</v>
      </c>
      <c r="C60" s="5"/>
      <c r="D60" s="15"/>
      <c r="E60" s="13"/>
      <c r="F60" s="13"/>
    </row>
    <row r="61" spans="1:6" hidden="1" x14ac:dyDescent="0.3">
      <c r="B61" s="1" t="s">
        <v>20</v>
      </c>
      <c r="C61" s="240" t="s">
        <v>163</v>
      </c>
      <c r="D61" s="240"/>
      <c r="E61" s="240"/>
      <c r="F61" s="3" t="s">
        <v>159</v>
      </c>
    </row>
    <row r="62" spans="1:6" ht="15" hidden="1" customHeight="1" x14ac:dyDescent="0.3">
      <c r="B62" s="1" t="s">
        <v>2</v>
      </c>
      <c r="C62" s="241" t="s">
        <v>112</v>
      </c>
      <c r="D62" s="241"/>
      <c r="E62" s="241"/>
      <c r="F62" s="172"/>
    </row>
    <row r="63" spans="1:6" s="62" customFormat="1" hidden="1" x14ac:dyDescent="0.3">
      <c r="B63" s="1" t="s">
        <v>3</v>
      </c>
      <c r="C63" s="237" t="s">
        <v>121</v>
      </c>
      <c r="D63" s="238"/>
      <c r="E63" s="239"/>
      <c r="F63" s="172"/>
    </row>
    <row r="64" spans="1:6" x14ac:dyDescent="0.3">
      <c r="B64" s="62"/>
      <c r="C64" s="62"/>
      <c r="D64" s="62"/>
      <c r="E64" s="62"/>
      <c r="F64" s="62"/>
    </row>
    <row r="65" spans="1:6" ht="15.75" customHeight="1" x14ac:dyDescent="0.3">
      <c r="B65" s="32" t="s">
        <v>68</v>
      </c>
      <c r="C65" s="5"/>
      <c r="D65" s="5"/>
      <c r="E65" s="13"/>
      <c r="F65" s="13"/>
    </row>
    <row r="66" spans="1:6" x14ac:dyDescent="0.3">
      <c r="B66" s="147">
        <v>5</v>
      </c>
      <c r="C66" s="242" t="s">
        <v>0</v>
      </c>
      <c r="D66" s="242"/>
      <c r="E66" s="242"/>
      <c r="F66" s="148" t="s">
        <v>13</v>
      </c>
    </row>
    <row r="67" spans="1:6" x14ac:dyDescent="0.3">
      <c r="B67" s="156" t="s">
        <v>2</v>
      </c>
      <c r="C67" s="235" t="s">
        <v>277</v>
      </c>
      <c r="D67" s="235"/>
      <c r="E67" s="235"/>
      <c r="F67" s="173">
        <f>'UNIFORMES E AUXÍLIOS'!E76</f>
        <v>0</v>
      </c>
    </row>
    <row r="68" spans="1:6" x14ac:dyDescent="0.3">
      <c r="B68" s="156" t="s">
        <v>3</v>
      </c>
      <c r="C68" s="235" t="s">
        <v>278</v>
      </c>
      <c r="D68" s="235"/>
      <c r="E68" s="235"/>
      <c r="F68" s="173">
        <f>'UNIFORMES E AUXÍLIOS'!E26</f>
        <v>0</v>
      </c>
    </row>
    <row r="69" spans="1:6" x14ac:dyDescent="0.3">
      <c r="B69" s="156" t="s">
        <v>4</v>
      </c>
      <c r="C69" s="235" t="s">
        <v>279</v>
      </c>
      <c r="D69" s="235"/>
      <c r="E69" s="235"/>
      <c r="F69" s="173">
        <f>'UNIFORMES E AUXÍLIOS'!E51</f>
        <v>0</v>
      </c>
    </row>
    <row r="70" spans="1:6" s="63" customFormat="1" x14ac:dyDescent="0.3">
      <c r="A70" s="6"/>
      <c r="B70" s="156" t="s">
        <v>5</v>
      </c>
      <c r="C70" s="236" t="s">
        <v>17</v>
      </c>
      <c r="D70" s="236"/>
      <c r="E70" s="236"/>
      <c r="F70" s="173">
        <f>'INSERÇÃO-DADOS-MATERIAIS'!B50</f>
        <v>0</v>
      </c>
    </row>
    <row r="71" spans="1:6" s="63" customFormat="1" ht="16.5" customHeight="1" x14ac:dyDescent="0.3">
      <c r="A71" s="6"/>
      <c r="B71" s="156" t="s">
        <v>6</v>
      </c>
      <c r="C71" s="153" t="s">
        <v>74</v>
      </c>
      <c r="D71" s="246" t="s">
        <v>291</v>
      </c>
      <c r="E71" s="246"/>
      <c r="F71" s="150">
        <v>0</v>
      </c>
    </row>
    <row r="72" spans="1:6" s="63" customFormat="1" x14ac:dyDescent="0.3">
      <c r="A72" s="6"/>
      <c r="B72" s="156" t="s">
        <v>7</v>
      </c>
      <c r="C72" s="153" t="s">
        <v>74</v>
      </c>
      <c r="D72" s="246" t="s">
        <v>296</v>
      </c>
      <c r="E72" s="246"/>
      <c r="F72" s="150">
        <v>0</v>
      </c>
    </row>
    <row r="73" spans="1:6" s="62" customFormat="1" x14ac:dyDescent="0.3">
      <c r="B73" s="156" t="s">
        <v>10</v>
      </c>
      <c r="C73" s="153" t="s">
        <v>74</v>
      </c>
      <c r="D73" s="246" t="s">
        <v>292</v>
      </c>
      <c r="E73" s="246"/>
      <c r="F73" s="155">
        <v>0</v>
      </c>
    </row>
    <row r="74" spans="1:6" s="64" customFormat="1" ht="16.5" customHeight="1" x14ac:dyDescent="0.3">
      <c r="A74" s="6"/>
      <c r="B74" s="62"/>
      <c r="C74" s="62"/>
      <c r="D74" s="62"/>
      <c r="E74" s="62"/>
      <c r="F74" s="62"/>
    </row>
    <row r="75" spans="1:6" s="65" customFormat="1" ht="16.5" customHeight="1" x14ac:dyDescent="0.3">
      <c r="A75" s="6"/>
      <c r="B75" s="247" t="s">
        <v>67</v>
      </c>
      <c r="C75" s="247"/>
      <c r="D75" s="247"/>
      <c r="E75" s="247"/>
      <c r="F75" s="247"/>
    </row>
    <row r="76" spans="1:6" s="65" customFormat="1" x14ac:dyDescent="0.3">
      <c r="A76" s="63"/>
      <c r="B76" s="147">
        <v>6</v>
      </c>
      <c r="C76" s="248" t="s">
        <v>21</v>
      </c>
      <c r="D76" s="248"/>
      <c r="E76" s="248"/>
      <c r="F76" s="148" t="s">
        <v>1</v>
      </c>
    </row>
    <row r="77" spans="1:6" s="65" customFormat="1" x14ac:dyDescent="0.3">
      <c r="A77" s="63"/>
      <c r="B77" s="147" t="s">
        <v>2</v>
      </c>
      <c r="C77" s="235" t="s">
        <v>69</v>
      </c>
      <c r="D77" s="235"/>
      <c r="E77" s="235"/>
      <c r="F77" s="153">
        <v>4.7300000000000004</v>
      </c>
    </row>
    <row r="78" spans="1:6" s="65" customFormat="1" x14ac:dyDescent="0.3">
      <c r="A78" s="64"/>
      <c r="B78" s="159" t="s">
        <v>3</v>
      </c>
      <c r="C78" s="236" t="s">
        <v>28</v>
      </c>
      <c r="D78" s="236"/>
      <c r="E78" s="236"/>
      <c r="F78" s="153">
        <v>5.57</v>
      </c>
    </row>
    <row r="79" spans="1:6" x14ac:dyDescent="0.3">
      <c r="B79" s="165" t="s">
        <v>70</v>
      </c>
      <c r="C79" s="235" t="s">
        <v>23</v>
      </c>
      <c r="D79" s="235"/>
      <c r="E79" s="235">
        <f>PERC_PIS</f>
        <v>0.65</v>
      </c>
      <c r="F79" s="153">
        <v>0.65</v>
      </c>
    </row>
    <row r="80" spans="1:6" x14ac:dyDescent="0.3">
      <c r="B80" s="165" t="s">
        <v>71</v>
      </c>
      <c r="C80" s="236" t="s">
        <v>24</v>
      </c>
      <c r="D80" s="236"/>
      <c r="E80" s="236">
        <f>PERC_COFINS</f>
        <v>3</v>
      </c>
      <c r="F80" s="153">
        <v>3</v>
      </c>
    </row>
    <row r="81" spans="2:6" s="62" customFormat="1" x14ac:dyDescent="0.3">
      <c r="B81" s="165" t="s">
        <v>72</v>
      </c>
      <c r="C81" s="235" t="s">
        <v>25</v>
      </c>
      <c r="D81" s="235"/>
      <c r="E81" s="235">
        <f>PERC_ISS</f>
        <v>5</v>
      </c>
      <c r="F81" s="153">
        <v>5</v>
      </c>
    </row>
    <row r="82" spans="2:6" x14ac:dyDescent="0.3">
      <c r="B82" s="174"/>
      <c r="C82" s="174"/>
      <c r="D82" s="174"/>
      <c r="E82" s="174"/>
      <c r="F82" s="174"/>
    </row>
    <row r="83" spans="2:6" ht="33.75" customHeight="1" x14ac:dyDescent="0.3">
      <c r="B83" s="175" t="s">
        <v>139</v>
      </c>
      <c r="C83" s="176"/>
      <c r="D83" s="176"/>
      <c r="E83" s="176"/>
      <c r="F83" s="177"/>
    </row>
    <row r="84" spans="2:6" ht="32.25" customHeight="1" x14ac:dyDescent="0.3">
      <c r="B84" s="234" t="s">
        <v>160</v>
      </c>
      <c r="C84" s="234"/>
      <c r="D84" s="234"/>
      <c r="E84" s="234"/>
      <c r="F84" s="234"/>
    </row>
    <row r="85" spans="2:6" ht="32.25" customHeight="1" x14ac:dyDescent="0.3">
      <c r="B85" s="178"/>
      <c r="C85" s="178"/>
      <c r="D85" s="178"/>
      <c r="E85" s="178"/>
      <c r="F85" s="178"/>
    </row>
    <row r="86" spans="2:6" ht="18" customHeight="1" x14ac:dyDescent="0.3">
      <c r="B86" s="262" t="s">
        <v>309</v>
      </c>
      <c r="C86" s="262"/>
      <c r="D86" s="178"/>
      <c r="E86" s="178"/>
      <c r="F86" s="178"/>
    </row>
    <row r="87" spans="2:6" ht="21.75" customHeight="1" x14ac:dyDescent="0.3">
      <c r="B87" s="85"/>
      <c r="C87" s="85"/>
      <c r="D87" s="85"/>
      <c r="E87" s="85"/>
      <c r="F87" s="85"/>
    </row>
  </sheetData>
  <sheetProtection algorithmName="SHA-512" hashValue="9K4UJeV45Nt7WIiaIiVI3p5+cwBha7dgZt/+aPCvlRM65ICzqWHFNDFRg4R3i4ziUL44Cq32dWZ0n1pS3NhFhA==" saltValue="q9n8BNnaJvLjdjMqPIKpYA==" spinCount="100000" sheet="1" objects="1" scenarios="1"/>
  <mergeCells count="61">
    <mergeCell ref="B86:C86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38:E38"/>
    <mergeCell ref="C46:D46"/>
    <mergeCell ref="B23:F23"/>
    <mergeCell ref="D25:F25"/>
    <mergeCell ref="D24:F24"/>
    <mergeCell ref="D28:F28"/>
    <mergeCell ref="D29:F29"/>
    <mergeCell ref="D39:E39"/>
    <mergeCell ref="B1:F1"/>
    <mergeCell ref="B2:D2"/>
    <mergeCell ref="B4:F4"/>
    <mergeCell ref="B5:F5"/>
    <mergeCell ref="C15:E15"/>
    <mergeCell ref="D8:E8"/>
    <mergeCell ref="B6:C6"/>
    <mergeCell ref="D6:F6"/>
    <mergeCell ref="D26:F26"/>
    <mergeCell ref="D27:F27"/>
    <mergeCell ref="C31:E31"/>
    <mergeCell ref="C30:E30"/>
    <mergeCell ref="C37:E37"/>
    <mergeCell ref="C35:E35"/>
    <mergeCell ref="C66:E66"/>
    <mergeCell ref="C67:E67"/>
    <mergeCell ref="C70:E70"/>
    <mergeCell ref="D40:E40"/>
    <mergeCell ref="D41:E41"/>
    <mergeCell ref="C77:E77"/>
    <mergeCell ref="B75:F75"/>
    <mergeCell ref="C68:E68"/>
    <mergeCell ref="C69:E69"/>
    <mergeCell ref="D73:E73"/>
    <mergeCell ref="D71:E71"/>
    <mergeCell ref="D72:E72"/>
    <mergeCell ref="C76:E76"/>
    <mergeCell ref="C36:E36"/>
    <mergeCell ref="B84:F84"/>
    <mergeCell ref="C79:E79"/>
    <mergeCell ref="C81:E81"/>
    <mergeCell ref="C78:E78"/>
    <mergeCell ref="C80:E80"/>
    <mergeCell ref="C63:E63"/>
    <mergeCell ref="C61:E61"/>
    <mergeCell ref="C62:E62"/>
    <mergeCell ref="C45:D45"/>
    <mergeCell ref="C47:D47"/>
    <mergeCell ref="C48:D48"/>
    <mergeCell ref="C55:E55"/>
    <mergeCell ref="D56:E56"/>
    <mergeCell ref="D57:E57"/>
    <mergeCell ref="D58:E58"/>
  </mergeCells>
  <phoneticPr fontId="37" type="noConversion"/>
  <dataValidations count="10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8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8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7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7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6:F37">
      <formula1>F31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8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63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62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topLeftCell="A87" zoomScaleNormal="100" zoomScaleSheetLayoutView="100" workbookViewId="0">
      <selection activeCell="G101" sqref="G101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6"/>
  </cols>
  <sheetData>
    <row r="1" spans="2:6" ht="20.25" x14ac:dyDescent="0.35">
      <c r="B1" s="343" t="str">
        <f>'INSERIR-DADOS- COPEIRA 12x36H'!RAMO</f>
        <v>RAMO: MINISTÉRIO PÚBLICO DO DISTRITO FEDERAL E TERRITÓRIOS</v>
      </c>
      <c r="C1" s="344"/>
      <c r="D1" s="344"/>
      <c r="E1" s="344"/>
      <c r="F1" s="345"/>
    </row>
    <row r="2" spans="2:6" ht="20.25" x14ac:dyDescent="0.35">
      <c r="B2" s="346" t="str">
        <f>'INSERIR-DADOS- COPEIRA 12x36H'!UG</f>
        <v>UNIDADE GESTORA (SIGLA): S.D.A</v>
      </c>
      <c r="C2" s="347"/>
      <c r="D2" s="348"/>
      <c r="E2" s="50" t="s">
        <v>49</v>
      </c>
      <c r="F2" s="51" t="str">
        <f>'INSERIR-DADOS- COPEIRA 12x36H'!DATA_DO_ORCAMENTO_ESTIMATIVO</f>
        <v>XX/XX/20XX</v>
      </c>
    </row>
    <row r="3" spans="2:6" s="52" customFormat="1" ht="25.5" x14ac:dyDescent="0.5">
      <c r="B3" s="256" t="s">
        <v>142</v>
      </c>
      <c r="C3" s="256"/>
      <c r="D3" s="256"/>
      <c r="E3" s="256"/>
      <c r="F3" s="256"/>
    </row>
    <row r="4" spans="2:6" s="52" customFormat="1" ht="15.95" customHeight="1" x14ac:dyDescent="0.3">
      <c r="B4" s="349" t="s">
        <v>83</v>
      </c>
      <c r="C4" s="349"/>
      <c r="D4" s="349"/>
      <c r="E4" s="349"/>
      <c r="F4" s="349"/>
    </row>
    <row r="5" spans="2:6" s="52" customFormat="1" ht="15.95" customHeight="1" x14ac:dyDescent="0.3">
      <c r="B5" s="337" t="s">
        <v>161</v>
      </c>
      <c r="C5" s="337"/>
      <c r="D5" s="350" t="str">
        <f>'INSERIR-DADOS- COPEIRA 12x36H'!D6:F6</f>
        <v>08191.032667/2021-16</v>
      </c>
      <c r="E5" s="350"/>
      <c r="F5" s="350"/>
    </row>
    <row r="6" spans="2:6" s="52" customFormat="1" ht="15.75" customHeight="1" x14ac:dyDescent="0.3">
      <c r="B6" s="340" t="str">
        <f>'INSERIR-DADOS- COPEIRA 12x36H'!B7:C7</f>
        <v>Modalidade de Licitação:</v>
      </c>
      <c r="C6" s="340"/>
      <c r="D6" s="341" t="str">
        <f>MODALIDADE_DE_LICITACAO</f>
        <v>Pregão nº</v>
      </c>
      <c r="E6" s="341"/>
      <c r="F6" s="75" t="str">
        <f>NUMERO_PREGAO</f>
        <v>56/2021</v>
      </c>
    </row>
    <row r="7" spans="2:6" s="53" customFormat="1" ht="15.75" customHeight="1" x14ac:dyDescent="0.3">
      <c r="B7" s="342" t="s">
        <v>50</v>
      </c>
      <c r="C7" s="342"/>
      <c r="D7" s="342"/>
      <c r="E7" s="342"/>
      <c r="F7" s="342"/>
    </row>
    <row r="8" spans="2:6" s="52" customFormat="1" ht="18" customHeight="1" x14ac:dyDescent="0.3">
      <c r="B8" s="17" t="s">
        <v>2</v>
      </c>
      <c r="C8" s="337" t="s">
        <v>55</v>
      </c>
      <c r="D8" s="337"/>
      <c r="E8" s="337"/>
      <c r="F8" s="54" t="str">
        <f>'INSERIR-DADOS- COPEIRA 12x36H'!DATA_APRESENTACAO_PROPOSTA</f>
        <v>XX/XX/20XX</v>
      </c>
    </row>
    <row r="9" spans="2:6" s="52" customFormat="1" ht="15.95" customHeight="1" x14ac:dyDescent="0.15">
      <c r="B9" s="1" t="s">
        <v>3</v>
      </c>
      <c r="C9" s="42" t="s">
        <v>31</v>
      </c>
      <c r="D9" s="338" t="str">
        <f>'INSERIR-DADOS- COPEIRA 12x36H'!D12:F12</f>
        <v>Edifício Sede</v>
      </c>
      <c r="E9" s="338"/>
      <c r="F9" s="338"/>
    </row>
    <row r="10" spans="2:6" s="52" customFormat="1" ht="18.75" customHeight="1" x14ac:dyDescent="0.3">
      <c r="B10" s="17" t="s">
        <v>4</v>
      </c>
      <c r="C10" s="337" t="s">
        <v>32</v>
      </c>
      <c r="D10" s="337"/>
      <c r="E10" s="337"/>
      <c r="F10" s="55" t="str">
        <f>'INSERIR-DADOS- COPEIRA 12x36H'!ACORDO_COLETIVO</f>
        <v>XX/20XX</v>
      </c>
    </row>
    <row r="11" spans="2:6" s="52" customFormat="1" ht="15.95" customHeight="1" x14ac:dyDescent="0.3">
      <c r="B11" s="1" t="s">
        <v>5</v>
      </c>
      <c r="C11" s="338" t="s">
        <v>56</v>
      </c>
      <c r="D11" s="338"/>
      <c r="E11" s="338"/>
      <c r="F11" s="56">
        <f>'INSERIR-DADOS- COPEIRA 12x36H'!NUMERO_MESES_EXEC_CONTRATUAL</f>
        <v>12</v>
      </c>
    </row>
    <row r="12" spans="2:6" s="52" customFormat="1" x14ac:dyDescent="0.3">
      <c r="B12" s="1" t="s">
        <v>6</v>
      </c>
      <c r="C12" s="339" t="s">
        <v>73</v>
      </c>
      <c r="D12" s="339"/>
      <c r="E12" s="339"/>
      <c r="F12" s="57">
        <f>'INSERIR-DADOS- COPEIRA 12x36H'!F19</f>
        <v>1</v>
      </c>
    </row>
    <row r="13" spans="2:6" s="60" customFormat="1" ht="15" customHeight="1" x14ac:dyDescent="0.2">
      <c r="B13" s="58" t="s">
        <v>140</v>
      </c>
      <c r="C13" s="59"/>
      <c r="D13" s="59"/>
      <c r="E13" s="59"/>
      <c r="F13" s="59"/>
    </row>
    <row r="14" spans="2:6" s="52" customFormat="1" x14ac:dyDescent="0.3">
      <c r="B14" s="17">
        <v>1</v>
      </c>
      <c r="C14" s="356" t="s">
        <v>52</v>
      </c>
      <c r="D14" s="356"/>
      <c r="E14" s="357" t="str">
        <f>'INSERIR-DADOS- COPEIRA 12x36H'!C19</f>
        <v>Copeira (12x36 horas)</v>
      </c>
      <c r="F14" s="357"/>
    </row>
    <row r="15" spans="2:6" s="53" customFormat="1" x14ac:dyDescent="0.3">
      <c r="B15" s="17">
        <v>2</v>
      </c>
      <c r="C15" s="18" t="s">
        <v>51</v>
      </c>
      <c r="D15" s="359" t="str">
        <f>'INSERIR-DADOS- COPEIRA 12x36H'!D22:F22</f>
        <v>5134-25</v>
      </c>
      <c r="E15" s="359"/>
      <c r="F15" s="359"/>
    </row>
    <row r="16" spans="2:6" s="52" customFormat="1" ht="15" customHeight="1" x14ac:dyDescent="0.3">
      <c r="B16" s="17">
        <v>3</v>
      </c>
      <c r="C16" s="73" t="s">
        <v>53</v>
      </c>
      <c r="D16" s="357" t="str">
        <f>'INSERIR-DADOS- COPEIRA 12x36H'!D23:F23</f>
        <v>Copeira/Copeiro</v>
      </c>
      <c r="E16" s="357"/>
      <c r="F16" s="357"/>
    </row>
    <row r="17" spans="2:7" s="52" customFormat="1" ht="15" customHeight="1" x14ac:dyDescent="0.3">
      <c r="B17" s="17">
        <v>4</v>
      </c>
      <c r="C17" s="320" t="s">
        <v>54</v>
      </c>
      <c r="D17" s="320"/>
      <c r="E17" s="320"/>
      <c r="F17" s="74">
        <f>'INSERIR-DADOS- COPEIRA 12x36H'!DATA_BASE_CATEGORIA</f>
        <v>44197</v>
      </c>
    </row>
    <row r="18" spans="2:7" s="61" customFormat="1" ht="20.25" customHeight="1" x14ac:dyDescent="0.3">
      <c r="B18" s="358" t="s">
        <v>35</v>
      </c>
      <c r="C18" s="358"/>
      <c r="D18" s="358"/>
      <c r="E18" s="358"/>
      <c r="F18" s="358"/>
    </row>
    <row r="19" spans="2:7" x14ac:dyDescent="0.3">
      <c r="B19" s="240" t="s">
        <v>47</v>
      </c>
      <c r="C19" s="240"/>
      <c r="D19" s="240"/>
      <c r="E19" s="240"/>
      <c r="F19" s="66">
        <v>2</v>
      </c>
    </row>
    <row r="20" spans="2:7" x14ac:dyDescent="0.3">
      <c r="B20" s="32" t="s">
        <v>8</v>
      </c>
      <c r="E20" s="7"/>
      <c r="F20" s="7"/>
    </row>
    <row r="21" spans="2:7" x14ac:dyDescent="0.3">
      <c r="B21" s="1">
        <v>1</v>
      </c>
      <c r="C21" s="310" t="s">
        <v>9</v>
      </c>
      <c r="D21" s="310"/>
      <c r="E21" s="310"/>
      <c r="F21" s="3" t="s">
        <v>13</v>
      </c>
    </row>
    <row r="22" spans="2:7" x14ac:dyDescent="0.3">
      <c r="B22" s="1" t="s">
        <v>2</v>
      </c>
      <c r="C22" s="241" t="s">
        <v>79</v>
      </c>
      <c r="D22" s="241"/>
      <c r="E22" s="241"/>
      <c r="F22" s="35">
        <f>'INSERIR-DADOS- COPEIRA 12x36H'!F30</f>
        <v>0</v>
      </c>
    </row>
    <row r="23" spans="2:7" x14ac:dyDescent="0.3">
      <c r="B23" s="1" t="s">
        <v>10</v>
      </c>
      <c r="C23" s="353" t="str">
        <f>'INSERIR-DADOS- COPEIRA 12x36H'!C31:E31</f>
        <v>Outras Remunerações  (Especificar)</v>
      </c>
      <c r="D23" s="354"/>
      <c r="E23" s="355"/>
      <c r="F23" s="35">
        <f>'INSERIR-DADOS- COPEIRA 12x36H'!OUTROS_REMUNERACAO_2</f>
        <v>0</v>
      </c>
    </row>
    <row r="24" spans="2:7" x14ac:dyDescent="0.3">
      <c r="B24" s="351" t="s">
        <v>41</v>
      </c>
      <c r="C24" s="351"/>
      <c r="D24" s="351"/>
      <c r="E24" s="351"/>
      <c r="F24" s="27">
        <f>SUM(F22:F23)</f>
        <v>0</v>
      </c>
    </row>
    <row r="25" spans="2:7" x14ac:dyDescent="0.3">
      <c r="B25" s="32" t="s">
        <v>57</v>
      </c>
      <c r="E25" s="14"/>
      <c r="F25" s="14"/>
    </row>
    <row r="26" spans="2:7" x14ac:dyDescent="0.3">
      <c r="B26" s="32" t="s">
        <v>96</v>
      </c>
      <c r="C26" s="5"/>
      <c r="D26" s="15"/>
      <c r="E26" s="13"/>
      <c r="F26" s="13"/>
    </row>
    <row r="27" spans="2:7" x14ac:dyDescent="0.3">
      <c r="B27" s="1" t="s">
        <v>58</v>
      </c>
      <c r="C27" s="240" t="s">
        <v>80</v>
      </c>
      <c r="D27" s="240"/>
      <c r="E27" s="3" t="s">
        <v>1</v>
      </c>
      <c r="F27" s="3" t="s">
        <v>13</v>
      </c>
    </row>
    <row r="28" spans="2:7" x14ac:dyDescent="0.3">
      <c r="B28" s="1" t="s">
        <v>2</v>
      </c>
      <c r="C28" s="330" t="s">
        <v>42</v>
      </c>
      <c r="D28" s="330"/>
      <c r="E28" s="37">
        <f>PERC_DEC_TERC</f>
        <v>8.33</v>
      </c>
      <c r="F28" s="36">
        <f>PERC_DEC_TERC%*MOD_1_REMUNERACAO</f>
        <v>0</v>
      </c>
    </row>
    <row r="29" spans="2:7" s="10" customFormat="1" x14ac:dyDescent="0.3">
      <c r="B29" s="2" t="s">
        <v>3</v>
      </c>
      <c r="C29" s="331" t="s">
        <v>81</v>
      </c>
      <c r="D29" s="331"/>
      <c r="E29" s="25">
        <f>PERC_ADIC_FERIAS</f>
        <v>2.78</v>
      </c>
      <c r="F29" s="23">
        <f>PERC_ADIC_FERIAS%*MOD_1_REMUNERACAO</f>
        <v>0</v>
      </c>
      <c r="G29" s="6"/>
    </row>
    <row r="30" spans="2:7" s="62" customFormat="1" x14ac:dyDescent="0.3">
      <c r="B30" s="312" t="s">
        <v>41</v>
      </c>
      <c r="C30" s="313"/>
      <c r="D30" s="313"/>
      <c r="E30" s="314"/>
      <c r="F30" s="28">
        <f>SUM(F28:F29)</f>
        <v>0</v>
      </c>
    </row>
    <row r="31" spans="2:7" s="62" customFormat="1" ht="31.5" customHeight="1" x14ac:dyDescent="0.3">
      <c r="B31" s="352" t="s">
        <v>59</v>
      </c>
      <c r="C31" s="352"/>
      <c r="D31" s="352"/>
      <c r="E31" s="352"/>
      <c r="F31" s="352"/>
    </row>
    <row r="32" spans="2:7" s="62" customFormat="1" ht="34.5" customHeight="1" x14ac:dyDescent="0.3">
      <c r="B32" s="1" t="s">
        <v>60</v>
      </c>
      <c r="C32" s="334" t="s">
        <v>82</v>
      </c>
      <c r="D32" s="334"/>
      <c r="E32" s="3" t="s">
        <v>1</v>
      </c>
      <c r="F32" s="3" t="s">
        <v>13</v>
      </c>
    </row>
    <row r="33" spans="2:6" x14ac:dyDescent="0.3">
      <c r="B33" s="1" t="s">
        <v>2</v>
      </c>
      <c r="C33" s="330" t="s">
        <v>36</v>
      </c>
      <c r="D33" s="330"/>
      <c r="E33" s="37">
        <f>PERC_INSS</f>
        <v>20</v>
      </c>
      <c r="F33" s="36">
        <f>PERC_INSS%*(MOD_1_REMUNERACAO+SUBMOD_2_1_DEC_TERC_ADIC_FERIAS)</f>
        <v>0</v>
      </c>
    </row>
    <row r="34" spans="2:6" s="52" customFormat="1" x14ac:dyDescent="0.15">
      <c r="B34" s="2" t="s">
        <v>3</v>
      </c>
      <c r="C34" s="331" t="s">
        <v>38</v>
      </c>
      <c r="D34" s="331"/>
      <c r="E34" s="30">
        <f>PERC_SAL_EDUCACAO</f>
        <v>2.5</v>
      </c>
      <c r="F34" s="23">
        <f>PERC_SAL_EDUCACAO%*(MOD_1_REMUNERACAO+SUBMOD_2_1_DEC_TERC_ADIC_FERIAS)</f>
        <v>0</v>
      </c>
    </row>
    <row r="35" spans="2:6" s="52" customFormat="1" x14ac:dyDescent="0.15">
      <c r="B35" s="2" t="s">
        <v>4</v>
      </c>
      <c r="C35" s="330" t="s">
        <v>77</v>
      </c>
      <c r="D35" s="330"/>
      <c r="E35" s="37">
        <f>PERC_RAT</f>
        <v>1</v>
      </c>
      <c r="F35" s="36">
        <f>PERC_RAT%*(MOD_1_REMUNERACAO+SUBMOD_2_1_DEC_TERC_ADIC_FERIAS)</f>
        <v>0</v>
      </c>
    </row>
    <row r="36" spans="2:6" s="52" customFormat="1" x14ac:dyDescent="0.15">
      <c r="B36" s="2" t="s">
        <v>5</v>
      </c>
      <c r="C36" s="331" t="s">
        <v>75</v>
      </c>
      <c r="D36" s="331"/>
      <c r="E36" s="25">
        <f>PERC_SESC</f>
        <v>1.5</v>
      </c>
      <c r="F36" s="23">
        <f>PERC_SESC%*(MOD_1_REMUNERACAO+SUBMOD_2_1_DEC_TERC_ADIC_FERIAS)</f>
        <v>0</v>
      </c>
    </row>
    <row r="37" spans="2:6" s="52" customFormat="1" x14ac:dyDescent="0.15">
      <c r="B37" s="2" t="s">
        <v>6</v>
      </c>
      <c r="C37" s="330" t="s">
        <v>76</v>
      </c>
      <c r="D37" s="330"/>
      <c r="E37" s="37">
        <f>PERC_SENAC</f>
        <v>1</v>
      </c>
      <c r="F37" s="36">
        <f>PERC_SENAC%*(MOD_1_REMUNERACAO+SUBMOD_2_1_DEC_TERC_ADIC_FERIAS)</f>
        <v>0</v>
      </c>
    </row>
    <row r="38" spans="2:6" s="53" customFormat="1" x14ac:dyDescent="0.15">
      <c r="B38" s="2" t="s">
        <v>7</v>
      </c>
      <c r="C38" s="331" t="s">
        <v>40</v>
      </c>
      <c r="D38" s="331"/>
      <c r="E38" s="30">
        <f>PERC_SEBRAE</f>
        <v>0.6</v>
      </c>
      <c r="F38" s="23">
        <f>PERC_SEBRAE%*(MOD_1_REMUNERACAO+SUBMOD_2_1_DEC_TERC_ADIC_FERIAS)</f>
        <v>0</v>
      </c>
    </row>
    <row r="39" spans="2:6" s="53" customFormat="1" x14ac:dyDescent="0.15">
      <c r="B39" s="2" t="s">
        <v>10</v>
      </c>
      <c r="C39" s="330" t="s">
        <v>37</v>
      </c>
      <c r="D39" s="330"/>
      <c r="E39" s="37">
        <f>PERC_INCRA</f>
        <v>0.2</v>
      </c>
      <c r="F39" s="36">
        <f>PERC_INCRA%*(MOD_1_REMUNERACAO+SUBMOD_2_1_DEC_TERC_ADIC_FERIAS)</f>
        <v>0</v>
      </c>
    </row>
    <row r="40" spans="2:6" x14ac:dyDescent="0.3">
      <c r="B40" s="2" t="s">
        <v>11</v>
      </c>
      <c r="C40" s="331" t="s">
        <v>39</v>
      </c>
      <c r="D40" s="331"/>
      <c r="E40" s="30">
        <f>PERC_FGTS</f>
        <v>8</v>
      </c>
      <c r="F40" s="23">
        <f>PERC_FGTS%*(MOD_1_REMUNERACAO+SUBMOD_2_1_DEC_TERC_ADIC_FERIAS)</f>
        <v>0</v>
      </c>
    </row>
    <row r="41" spans="2:6" x14ac:dyDescent="0.3">
      <c r="B41" s="312" t="s">
        <v>41</v>
      </c>
      <c r="C41" s="313"/>
      <c r="D41" s="313"/>
      <c r="E41" s="314"/>
      <c r="F41" s="29">
        <f>SUM(F33:F40)</f>
        <v>0</v>
      </c>
    </row>
    <row r="42" spans="2:6" ht="15.75" customHeight="1" x14ac:dyDescent="0.3">
      <c r="B42" s="32" t="s">
        <v>62</v>
      </c>
      <c r="C42" s="53"/>
      <c r="D42" s="53"/>
      <c r="E42" s="53"/>
      <c r="F42" s="53"/>
    </row>
    <row r="43" spans="2:6" ht="15.75" customHeight="1" x14ac:dyDescent="0.3">
      <c r="B43" s="1" t="s">
        <v>78</v>
      </c>
      <c r="C43" s="310" t="s">
        <v>14</v>
      </c>
      <c r="D43" s="310"/>
      <c r="E43" s="310"/>
      <c r="F43" s="3" t="s">
        <v>13</v>
      </c>
    </row>
    <row r="44" spans="2:6" x14ac:dyDescent="0.3">
      <c r="B44" s="17" t="s">
        <v>2</v>
      </c>
      <c r="C44" s="330" t="s">
        <v>15</v>
      </c>
      <c r="D44" s="330"/>
      <c r="E44" s="330"/>
      <c r="F44" s="36">
        <f>('INSERIR-DADOS- COPEIRA 12x36H'!TRANSPORTE_POR_DIA*'INSERIR-DADOS- COPEIRA 12x36H'!DIAS_TRABALHADOS_NO_MES)-('INSERIR-DADOS- COPEIRA 12x36H'!F30*6%)</f>
        <v>0</v>
      </c>
    </row>
    <row r="45" spans="2:6" s="62" customFormat="1" x14ac:dyDescent="0.3">
      <c r="B45" s="17" t="s">
        <v>3</v>
      </c>
      <c r="C45" s="331" t="s">
        <v>61</v>
      </c>
      <c r="D45" s="331"/>
      <c r="E45" s="331"/>
      <c r="F45" s="23">
        <f>'INSERIR-DADOS- COPEIRA 12x36H'!ALIMENTACAO_POR_DIA*'INSERIR-DADOS- COPEIRA 12x36H'!DIAS_TRABALHADOS_NO_MES</f>
        <v>0</v>
      </c>
    </row>
    <row r="46" spans="2:6" s="62" customFormat="1" x14ac:dyDescent="0.3">
      <c r="B46" s="17" t="s">
        <v>4</v>
      </c>
      <c r="C46" s="353" t="str">
        <f>'INSERIR-DADOS- COPEIRA 12x36H'!C39:D39</f>
        <v>Outros Benefícios (Especificar)</v>
      </c>
      <c r="D46" s="354"/>
      <c r="E46" s="355"/>
      <c r="F46" s="36">
        <f>'INSERIR-DADOS- COPEIRA 12x36H'!OUTROS_BENEFICIOS_1</f>
        <v>0</v>
      </c>
    </row>
    <row r="47" spans="2:6" s="62" customFormat="1" ht="15" customHeight="1" x14ac:dyDescent="0.3">
      <c r="B47" s="351" t="s">
        <v>41</v>
      </c>
      <c r="C47" s="351"/>
      <c r="D47" s="351"/>
      <c r="E47" s="351"/>
      <c r="F47" s="27">
        <f>SUM(F44:F46)</f>
        <v>0</v>
      </c>
    </row>
    <row r="48" spans="2:6" s="62" customFormat="1" x14ac:dyDescent="0.3">
      <c r="B48" s="32" t="s">
        <v>63</v>
      </c>
      <c r="C48" s="5"/>
      <c r="D48" s="15"/>
      <c r="E48" s="13"/>
      <c r="F48" s="13"/>
    </row>
    <row r="49" spans="2:6" s="62" customFormat="1" ht="15" customHeight="1" x14ac:dyDescent="0.3">
      <c r="B49" s="1">
        <v>3</v>
      </c>
      <c r="C49" s="240" t="s">
        <v>43</v>
      </c>
      <c r="D49" s="240"/>
      <c r="E49" s="3" t="s">
        <v>1</v>
      </c>
      <c r="F49" s="3" t="s">
        <v>13</v>
      </c>
    </row>
    <row r="50" spans="2:6" s="62" customFormat="1" x14ac:dyDescent="0.3">
      <c r="B50" s="1" t="s">
        <v>2</v>
      </c>
      <c r="C50" s="335" t="s">
        <v>44</v>
      </c>
      <c r="D50" s="335"/>
      <c r="E50" s="37">
        <f>PERC_AVISO_PREVIO_IND</f>
        <v>0.28999999999999998</v>
      </c>
      <c r="F50" s="36">
        <f>PERC_AVISO_PREVIO_IND%*(MOD_1_REMUNERACAO+SUBMOD_2_1_DEC_TERC_ADIC_FERIAS+AL_2_2_FGTS+SUBMOD_2_3_BENEFICIOS)</f>
        <v>0</v>
      </c>
    </row>
    <row r="51" spans="2:6" s="62" customFormat="1" x14ac:dyDescent="0.3">
      <c r="B51" s="2" t="s">
        <v>3</v>
      </c>
      <c r="C51" s="333" t="s">
        <v>45</v>
      </c>
      <c r="D51" s="333"/>
      <c r="E51" s="30">
        <f>PERC_AVISO_PREVIO_TRAB</f>
        <v>1.1599999999999999</v>
      </c>
      <c r="F51" s="23">
        <f>PERC_AVISO_PREVIO_TRAB%*(MOD_1_REMUNERACAO+SUBMOD_2_1_DEC_TERC_ADIC_FERIAS+SUBMOD_2_2_GPS_FGTS+SUBMOD_2_3_BENEFICIOS)</f>
        <v>0</v>
      </c>
    </row>
    <row r="52" spans="2:6" s="52" customFormat="1" x14ac:dyDescent="0.15">
      <c r="B52" s="2" t="s">
        <v>4</v>
      </c>
      <c r="C52" s="335" t="s">
        <v>169</v>
      </c>
      <c r="D52" s="335"/>
      <c r="E52" s="37">
        <f>PERC_MULTA_FGTS_AV_PREV_TRAB</f>
        <v>0.04</v>
      </c>
      <c r="F52" s="36">
        <f>PERC_MULTA_FGTS_AV_PREV_TRAB%*(MOD_1_REMUNERACAO+SUBMOD_2_1_DEC_TERC_ADIC_FERIAS)</f>
        <v>0</v>
      </c>
    </row>
    <row r="53" spans="2:6" s="52" customFormat="1" x14ac:dyDescent="0.3">
      <c r="B53" s="312" t="s">
        <v>41</v>
      </c>
      <c r="C53" s="313"/>
      <c r="D53" s="313"/>
      <c r="E53" s="314"/>
      <c r="F53" s="28">
        <f>SUM(F50:F52)</f>
        <v>0</v>
      </c>
    </row>
    <row r="54" spans="2:6" ht="7.5" customHeight="1" x14ac:dyDescent="0.3">
      <c r="B54" s="9"/>
      <c r="C54" s="10"/>
      <c r="D54" s="11"/>
      <c r="E54" s="7"/>
      <c r="F54" s="7"/>
    </row>
    <row r="55" spans="2:6" s="52" customFormat="1" ht="15.95" customHeight="1" x14ac:dyDescent="0.3">
      <c r="B55" s="32" t="s">
        <v>64</v>
      </c>
      <c r="C55" s="5"/>
      <c r="D55" s="15"/>
      <c r="E55" s="6"/>
      <c r="F55" s="6"/>
    </row>
    <row r="56" spans="2:6" s="52" customFormat="1" ht="15.95" customHeight="1" x14ac:dyDescent="0.3">
      <c r="B56" s="32" t="s">
        <v>88</v>
      </c>
      <c r="C56" s="5"/>
      <c r="D56" s="15"/>
      <c r="E56" s="13"/>
      <c r="F56" s="13"/>
    </row>
    <row r="57" spans="2:6" s="52" customFormat="1" x14ac:dyDescent="0.15">
      <c r="B57" s="1" t="s">
        <v>19</v>
      </c>
      <c r="C57" s="332" t="s">
        <v>89</v>
      </c>
      <c r="D57" s="332"/>
      <c r="E57" s="3" t="s">
        <v>1</v>
      </c>
      <c r="F57" s="3" t="s">
        <v>13</v>
      </c>
    </row>
    <row r="58" spans="2:6" s="52" customFormat="1" ht="15.95" customHeight="1" x14ac:dyDescent="0.15">
      <c r="B58" s="2" t="s">
        <v>2</v>
      </c>
      <c r="C58" s="330" t="s">
        <v>90</v>
      </c>
      <c r="D58" s="330"/>
      <c r="E58" s="37">
        <f>PERC_SUBSTITUTO_FERIAS</f>
        <v>8.33</v>
      </c>
      <c r="F58" s="36">
        <f>PERC_SUBSTITUTO_FERIAS%*(MOD_1_REMUNERACAO+MOD_2_ENCARGOS_BENEFICIOS+MOD_3_PROVISAO_RESCISAO)</f>
        <v>0</v>
      </c>
    </row>
    <row r="59" spans="2:6" s="52" customFormat="1" ht="15.95" customHeight="1" x14ac:dyDescent="0.15">
      <c r="B59" s="2" t="s">
        <v>3</v>
      </c>
      <c r="C59" s="331" t="s">
        <v>91</v>
      </c>
      <c r="D59" s="331"/>
      <c r="E59" s="30">
        <f>PERC_SUBSTITUTO_AUSENCIAS_LEGAIS</f>
        <v>2.2200000000000002</v>
      </c>
      <c r="F59" s="23">
        <f>PERC_SUBSTITUTO_AUSENCIAS_LEGAIS%*(MOD_1_REMUNERACAO+MOD_2_ENCARGOS_BENEFICIOS+MOD_3_PROVISAO_RESCISAO)</f>
        <v>0</v>
      </c>
    </row>
    <row r="60" spans="2:6" s="52" customFormat="1" ht="15.95" customHeight="1" x14ac:dyDescent="0.15">
      <c r="B60" s="2" t="s">
        <v>4</v>
      </c>
      <c r="C60" s="330" t="s">
        <v>92</v>
      </c>
      <c r="D60" s="330"/>
      <c r="E60" s="37">
        <f>PERC_SUBSTITUTO_LICENCA_PATERNIDADE</f>
        <v>0.04</v>
      </c>
      <c r="F60" s="36">
        <f>PERC_SUBSTITUTO_LICENCA_PATERNIDADE%*(MOD_1_REMUNERACAO+MOD_2_ENCARGOS_BENEFICIOS+MOD_3_PROVISAO_RESCISAO)</f>
        <v>0</v>
      </c>
    </row>
    <row r="61" spans="2:6" s="52" customFormat="1" x14ac:dyDescent="0.15">
      <c r="B61" s="2" t="s">
        <v>5</v>
      </c>
      <c r="C61" s="331" t="s">
        <v>93</v>
      </c>
      <c r="D61" s="331"/>
      <c r="E61" s="30">
        <f>PERC_SUBSTITUTO_ACID_TRAB</f>
        <v>0.02</v>
      </c>
      <c r="F61" s="23">
        <f>PERC_SUBSTITUTO_ACID_TRAB%*(MOD_1_REMUNERACAO+MOD_2_ENCARGOS_BENEFICIOS+MOD_3_PROVISAO_RESCISAO)</f>
        <v>0</v>
      </c>
    </row>
    <row r="62" spans="2:6" s="52" customFormat="1" x14ac:dyDescent="0.15">
      <c r="B62" s="2" t="s">
        <v>6</v>
      </c>
      <c r="C62" s="330" t="s">
        <v>94</v>
      </c>
      <c r="D62" s="330"/>
      <c r="E62" s="37">
        <f>PERC_SUBSTITUTO_AFAST_MATERN</f>
        <v>0.14000000000000001</v>
      </c>
      <c r="F62" s="36">
        <f>PERC_SUBSTITUTO_AFAST_MATERN%*(MOD_1_REMUNERACAO+MOD_2_ENCARGOS_BENEFICIOS+MOD_3_PROVISAO_RESCISAO)</f>
        <v>0</v>
      </c>
    </row>
    <row r="63" spans="2:6" s="52" customFormat="1" x14ac:dyDescent="0.15">
      <c r="B63" s="2" t="s">
        <v>7</v>
      </c>
      <c r="C63" s="361" t="str">
        <f>'INSERIR-DADOS- COPEIRA 12x36H'!C44:E44</f>
        <v>Outras Ausências (Especificar - em %)</v>
      </c>
      <c r="D63" s="331"/>
      <c r="E63" s="139">
        <f>'INSERIR-DADOS- COPEIRA 12x36H'!PERC_SUBSTITUTO_OUTRAS_AUSENCIAS</f>
        <v>0</v>
      </c>
      <c r="F63" s="23">
        <f>(MOD_1_REMUNERACAO+SUBMOD_2_1_DEC_TERC_ADIC_FERIAS+SUBMOD_2_2_GPS_FGTS+SUBMOD_2_3_BENEFICIOS+MOD_3_PROVISAO_RESCISAO)*E63</f>
        <v>0</v>
      </c>
    </row>
    <row r="64" spans="2:6" s="52" customFormat="1" x14ac:dyDescent="0.3">
      <c r="B64" s="312" t="s">
        <v>41</v>
      </c>
      <c r="C64" s="313"/>
      <c r="D64" s="313"/>
      <c r="E64" s="314"/>
      <c r="F64" s="28">
        <f>SUM(F58:F63)</f>
        <v>0</v>
      </c>
    </row>
    <row r="65" spans="2:6" s="52" customFormat="1" ht="15" hidden="1" customHeight="1" x14ac:dyDescent="0.3">
      <c r="B65" s="32" t="s">
        <v>164</v>
      </c>
      <c r="C65" s="5"/>
      <c r="D65" s="15"/>
      <c r="E65" s="13"/>
      <c r="F65" s="13"/>
    </row>
    <row r="66" spans="2:6" s="52" customFormat="1" hidden="1" x14ac:dyDescent="0.15">
      <c r="B66" s="1" t="s">
        <v>20</v>
      </c>
      <c r="C66" s="240" t="s">
        <v>163</v>
      </c>
      <c r="D66" s="240"/>
      <c r="E66" s="240"/>
      <c r="F66" s="3" t="s">
        <v>13</v>
      </c>
    </row>
    <row r="67" spans="2:6" s="52" customFormat="1" hidden="1" x14ac:dyDescent="0.15">
      <c r="B67" s="1" t="s">
        <v>2</v>
      </c>
      <c r="C67" s="330" t="s">
        <v>95</v>
      </c>
      <c r="D67" s="330"/>
      <c r="E67" s="330"/>
      <c r="F67" s="35">
        <f>IF(DIAS_TRABALHADOS_NO_MES=15,((MOD_1_REMUNERACAO+MOD_2_ENCARGOS_BENEFICIOS+MOD_3_PROVISAO_RESCISAO)/DIVISOR_DE_HORAS)*((TEMPO_INTERVALO_REFEICAO/HORA_NORMAL)+PERC_HORA_EXTRA%)*DIAS_TRABALHADOS_NO_MES,0)</f>
        <v>0</v>
      </c>
    </row>
    <row r="68" spans="2:6" s="52" customFormat="1" hidden="1" x14ac:dyDescent="0.3">
      <c r="B68" s="240" t="s">
        <v>41</v>
      </c>
      <c r="C68" s="240"/>
      <c r="D68" s="240"/>
      <c r="E68" s="240"/>
      <c r="F68" s="28">
        <f>SUM(F67)</f>
        <v>0</v>
      </c>
    </row>
    <row r="69" spans="2:6" ht="7.5" customHeight="1" x14ac:dyDescent="0.3">
      <c r="B69" s="9"/>
      <c r="C69" s="10"/>
      <c r="D69" s="11"/>
      <c r="E69" s="7"/>
      <c r="F69" s="7"/>
    </row>
    <row r="70" spans="2:6" x14ac:dyDescent="0.3">
      <c r="B70" s="32" t="s">
        <v>68</v>
      </c>
      <c r="C70" s="5"/>
      <c r="D70" s="5"/>
      <c r="E70" s="13"/>
      <c r="F70" s="13"/>
    </row>
    <row r="71" spans="2:6" ht="15.75" customHeight="1" x14ac:dyDescent="0.3">
      <c r="B71" s="1">
        <v>5</v>
      </c>
      <c r="C71" s="310" t="s">
        <v>0</v>
      </c>
      <c r="D71" s="310"/>
      <c r="E71" s="310"/>
      <c r="F71" s="3" t="s">
        <v>13</v>
      </c>
    </row>
    <row r="72" spans="2:6" x14ac:dyDescent="0.3">
      <c r="B72" s="17" t="s">
        <v>2</v>
      </c>
      <c r="C72" s="330" t="s">
        <v>16</v>
      </c>
      <c r="D72" s="330"/>
      <c r="E72" s="330"/>
      <c r="F72" s="36">
        <f>'INSERIR-DADOS- COPEIRA 12x36H'!UNIFORMES</f>
        <v>0</v>
      </c>
    </row>
    <row r="73" spans="2:6" x14ac:dyDescent="0.3">
      <c r="B73" s="17" t="s">
        <v>3</v>
      </c>
      <c r="C73" s="331" t="s">
        <v>17</v>
      </c>
      <c r="D73" s="331"/>
      <c r="E73" s="331"/>
      <c r="F73" s="23">
        <f>'INSERIR-DADOS- COPEIRA 12x36H'!MATERIAIS/2</f>
        <v>0</v>
      </c>
    </row>
    <row r="74" spans="2:6" x14ac:dyDescent="0.3">
      <c r="B74" s="17" t="s">
        <v>4</v>
      </c>
      <c r="C74" s="361" t="str">
        <f>'INSERIR-DADOS- COPEIRA 12x36H'!C55:E55</f>
        <v>Outros (Especificar)</v>
      </c>
      <c r="D74" s="331"/>
      <c r="E74" s="331"/>
      <c r="F74" s="23">
        <f>'INSERIR-DADOS- COPEIRA 12x36H'!OUTROS_INSUMOS</f>
        <v>0</v>
      </c>
    </row>
    <row r="75" spans="2:6" x14ac:dyDescent="0.3">
      <c r="B75" s="351" t="s">
        <v>41</v>
      </c>
      <c r="C75" s="351"/>
      <c r="D75" s="351"/>
      <c r="E75" s="351"/>
      <c r="F75" s="27">
        <f>SUM(F72:F74)</f>
        <v>0</v>
      </c>
    </row>
    <row r="76" spans="2:6" ht="7.5" customHeight="1" x14ac:dyDescent="0.3">
      <c r="B76" s="9"/>
      <c r="C76" s="10"/>
      <c r="D76" s="11"/>
      <c r="E76" s="7"/>
      <c r="F76" s="7"/>
    </row>
    <row r="77" spans="2:6" ht="15" customHeight="1" x14ac:dyDescent="0.3">
      <c r="B77" s="247" t="s">
        <v>67</v>
      </c>
      <c r="C77" s="247"/>
      <c r="D77" s="247"/>
      <c r="E77" s="247"/>
      <c r="F77" s="247"/>
    </row>
    <row r="78" spans="2:6" x14ac:dyDescent="0.3">
      <c r="B78" s="1">
        <v>6</v>
      </c>
      <c r="C78" s="240" t="s">
        <v>21</v>
      </c>
      <c r="D78" s="240"/>
      <c r="E78" s="3" t="s">
        <v>1</v>
      </c>
      <c r="F78" s="3" t="s">
        <v>13</v>
      </c>
    </row>
    <row r="79" spans="2:6" x14ac:dyDescent="0.3">
      <c r="B79" s="1" t="s">
        <v>2</v>
      </c>
      <c r="C79" s="330" t="s">
        <v>69</v>
      </c>
      <c r="D79" s="330"/>
      <c r="E79" s="38">
        <f>'INSERIR-DADOS- COPEIRA 12x36H'!PERC_CUSTOS_INDIRETOS</f>
        <v>4.7300000000000004</v>
      </c>
      <c r="F79" s="36">
        <f>PERC_CUSTOS_INDIRETOS%*(MOD_1_REMUNERACAO+MOD_2_ENCARGOS_BENEFICIOS+MOD_3_PROVISAO_RESCISAO+MOD_4_CUSTO_REPOSICAO+MOD_5_INSUMOS)</f>
        <v>0</v>
      </c>
    </row>
    <row r="80" spans="2:6" ht="15.75" customHeight="1" x14ac:dyDescent="0.3">
      <c r="B80" s="2" t="s">
        <v>3</v>
      </c>
      <c r="C80" s="331" t="s">
        <v>28</v>
      </c>
      <c r="D80" s="331"/>
      <c r="E80" s="31">
        <f>'INSERIR-DADOS- COPEIRA 12x36H'!PERC_LUCRO</f>
        <v>5.57</v>
      </c>
      <c r="F80" s="23">
        <f>PERC_LUCRO%*(MOD_1_REMUNERACAO+MOD_2_ENCARGOS_BENEFICIOS+MOD_3_PROVISAO_RESCISAO+MOD_4_CUSTO_REPOSICAO+MOD_5_INSUMOS+AL_6_A_CUSTOS_INDIRETOS)</f>
        <v>0</v>
      </c>
    </row>
    <row r="81" spans="2:6" x14ac:dyDescent="0.3">
      <c r="B81" s="2" t="s">
        <v>4</v>
      </c>
      <c r="C81" s="330" t="s">
        <v>22</v>
      </c>
      <c r="D81" s="330"/>
      <c r="E81" s="38">
        <f>SUM(E82:E84)</f>
        <v>8.65</v>
      </c>
      <c r="F81" s="36">
        <f>SUM(F82:F84)</f>
        <v>0</v>
      </c>
    </row>
    <row r="82" spans="2:6" ht="15.75" customHeight="1" x14ac:dyDescent="0.3">
      <c r="B82" s="21" t="s">
        <v>70</v>
      </c>
      <c r="C82" s="360" t="s">
        <v>23</v>
      </c>
      <c r="D82" s="360"/>
      <c r="E82" s="22">
        <f>'INSERIR-DADOS- COPEIRA 12x36H'!PERC_PIS</f>
        <v>0.65</v>
      </c>
      <c r="F82" s="40">
        <f>((MOD_1_REMUNERACAO+MOD_2_ENCARGOS_BENEFICIOS+MOD_3_PROVISAO_RESCISAO+MOD_4_CUSTO_REPOSICAO+MOD_5_INSUMOS+AL_6_A_CUSTOS_INDIRETOS+AL_6_B_LUCRO)*PERC_PIS%)/(1-PERC_TRIBUTOS%)</f>
        <v>0</v>
      </c>
    </row>
    <row r="83" spans="2:6" x14ac:dyDescent="0.3">
      <c r="B83" s="21" t="s">
        <v>71</v>
      </c>
      <c r="C83" s="362" t="s">
        <v>24</v>
      </c>
      <c r="D83" s="362"/>
      <c r="E83" s="39">
        <f>'INSERIR-DADOS- COPEIRA 12x36H'!PERC_COFINS</f>
        <v>3</v>
      </c>
      <c r="F83" s="41">
        <f>((MOD_1_REMUNERACAO+MOD_2_ENCARGOS_BENEFICIOS+MOD_3_PROVISAO_RESCISAO+MOD_4_CUSTO_REPOSICAO+MOD_5_INSUMOS+AL_6_A_CUSTOS_INDIRETOS+AL_6_B_LUCRO)*PERC_COFINS%)/(1-PERC_TRIBUTOS%)</f>
        <v>0</v>
      </c>
    </row>
    <row r="84" spans="2:6" s="63" customFormat="1" x14ac:dyDescent="0.3">
      <c r="B84" s="21" t="s">
        <v>72</v>
      </c>
      <c r="C84" s="360" t="s">
        <v>25</v>
      </c>
      <c r="D84" s="360"/>
      <c r="E84" s="22">
        <f>'INSERIR-DADOS- COPEIRA 12x36H'!PERC_ISS</f>
        <v>5</v>
      </c>
      <c r="F84" s="40">
        <f>((MOD_1_REMUNERACAO+MOD_2_ENCARGOS_BENEFICIOS+MOD_3_PROVISAO_RESCISAO+MOD_4_CUSTO_REPOSICAO+MOD_5_INSUMOS+AL_6_A_CUSTOS_INDIRETOS+AL_6_B_LUCRO)*PERC_ISS%)/(1-PERC_TRIBUTOS%)</f>
        <v>0</v>
      </c>
    </row>
    <row r="85" spans="2:6" s="63" customFormat="1" x14ac:dyDescent="0.3">
      <c r="B85" s="312" t="s">
        <v>41</v>
      </c>
      <c r="C85" s="313"/>
      <c r="D85" s="313"/>
      <c r="E85" s="314"/>
      <c r="F85" s="24">
        <f>AL_6_A_CUSTOS_INDIRETOS+AL_6_B_LUCRO+AL_6_C_TRIBUTOS</f>
        <v>0</v>
      </c>
    </row>
    <row r="86" spans="2:6" s="63" customFormat="1" ht="20.25" x14ac:dyDescent="0.3">
      <c r="B86" s="33" t="s">
        <v>48</v>
      </c>
      <c r="C86" s="8"/>
      <c r="D86" s="8"/>
      <c r="E86" s="8"/>
      <c r="F86" s="16"/>
    </row>
    <row r="87" spans="2:6" s="64" customFormat="1" ht="16.5" customHeight="1" x14ac:dyDescent="0.3">
      <c r="B87" s="2" t="s">
        <v>84</v>
      </c>
      <c r="C87" s="321" t="s">
        <v>85</v>
      </c>
      <c r="D87" s="322"/>
      <c r="E87" s="323"/>
      <c r="F87" s="3" t="s">
        <v>18</v>
      </c>
    </row>
    <row r="88" spans="2:6" s="63" customFormat="1" x14ac:dyDescent="0.3">
      <c r="B88" s="1">
        <v>1</v>
      </c>
      <c r="C88" s="330" t="s">
        <v>9</v>
      </c>
      <c r="D88" s="330"/>
      <c r="E88" s="330"/>
      <c r="F88" s="36">
        <f>MOD_1_REMUNERACAO</f>
        <v>0</v>
      </c>
    </row>
    <row r="89" spans="2:6" s="65" customFormat="1" ht="16.5" customHeight="1" x14ac:dyDescent="0.3">
      <c r="B89" s="2">
        <v>2</v>
      </c>
      <c r="C89" s="331" t="s">
        <v>86</v>
      </c>
      <c r="D89" s="331"/>
      <c r="E89" s="331"/>
      <c r="F89" s="23">
        <f>MOD_2_ENCARGOS_BENEFICIOS</f>
        <v>0</v>
      </c>
    </row>
    <row r="90" spans="2:6" s="65" customFormat="1" x14ac:dyDescent="0.3">
      <c r="B90" s="2">
        <v>3</v>
      </c>
      <c r="C90" s="330" t="s">
        <v>43</v>
      </c>
      <c r="D90" s="330"/>
      <c r="E90" s="330"/>
      <c r="F90" s="36">
        <f>MOD_3_PROVISAO_RESCISAO</f>
        <v>0</v>
      </c>
    </row>
    <row r="91" spans="2:6" s="65" customFormat="1" x14ac:dyDescent="0.3">
      <c r="B91" s="2">
        <v>4</v>
      </c>
      <c r="C91" s="331" t="s">
        <v>46</v>
      </c>
      <c r="D91" s="331"/>
      <c r="E91" s="331"/>
      <c r="F91" s="23">
        <f>MOD_4_CUSTO_REPOSICAO</f>
        <v>0</v>
      </c>
    </row>
    <row r="92" spans="2:6" s="65" customFormat="1" x14ac:dyDescent="0.3">
      <c r="B92" s="2">
        <v>5</v>
      </c>
      <c r="C92" s="330" t="s">
        <v>0</v>
      </c>
      <c r="D92" s="330"/>
      <c r="E92" s="330"/>
      <c r="F92" s="36">
        <f>MOD_5_INSUMOS</f>
        <v>0</v>
      </c>
    </row>
    <row r="93" spans="2:6" s="65" customFormat="1" x14ac:dyDescent="0.3">
      <c r="B93" s="2">
        <v>6</v>
      </c>
      <c r="C93" s="331" t="s">
        <v>21</v>
      </c>
      <c r="D93" s="331"/>
      <c r="E93" s="331"/>
      <c r="F93" s="23">
        <f>MOD_6_CUSTOS_IND_LUCRO_TRIB</f>
        <v>0</v>
      </c>
    </row>
    <row r="94" spans="2:6" s="65" customFormat="1" x14ac:dyDescent="0.3">
      <c r="B94" s="2">
        <v>7</v>
      </c>
      <c r="C94" s="237" t="s">
        <v>297</v>
      </c>
      <c r="D94" s="238"/>
      <c r="E94" s="239"/>
      <c r="F94" s="23">
        <f>'UNIFORMES E AUXÍLIOS'!D87</f>
        <v>0</v>
      </c>
    </row>
    <row r="95" spans="2:6" ht="16.5" customHeight="1" x14ac:dyDescent="0.3">
      <c r="B95" s="332" t="s">
        <v>87</v>
      </c>
      <c r="C95" s="332"/>
      <c r="D95" s="332"/>
      <c r="E95" s="332"/>
      <c r="F95" s="24">
        <f>SUM(F88:F94)</f>
        <v>0</v>
      </c>
    </row>
    <row r="96" spans="2:6" ht="16.5" customHeight="1" x14ac:dyDescent="0.3">
      <c r="B96" s="332" t="s">
        <v>300</v>
      </c>
      <c r="C96" s="332"/>
      <c r="D96" s="332"/>
      <c r="E96" s="332"/>
      <c r="F96" s="24">
        <f>VALOR_TOTAL_EMPREGADO*F19</f>
        <v>0</v>
      </c>
    </row>
    <row r="97" spans="2:6" x14ac:dyDescent="0.3">
      <c r="B97" s="332" t="s">
        <v>299</v>
      </c>
      <c r="C97" s="332"/>
      <c r="D97" s="332"/>
      <c r="E97" s="332"/>
      <c r="F97" s="24">
        <f>VALOR_TOTAL_POSTO*12</f>
        <v>0</v>
      </c>
    </row>
  </sheetData>
  <sheetProtection algorithmName="SHA-512" hashValue="N+V5hMESTxPVwFMREJ9d2QK6JAARQ1RvLRvk96TYZL2BxePfMRhLkJrGelFrhCUlHBH7ThgQ9Yn/gHZD59YT5A==" saltValue="+s3M5zQKO40iywVdIRYZYQ==" spinCount="100000" sheet="1" objects="1" scenarios="1"/>
  <mergeCells count="86">
    <mergeCell ref="B95:E95"/>
    <mergeCell ref="B96:E96"/>
    <mergeCell ref="B97:E97"/>
    <mergeCell ref="C91:E91"/>
    <mergeCell ref="C92:E92"/>
    <mergeCell ref="C94:E94"/>
    <mergeCell ref="C93:E93"/>
    <mergeCell ref="B85:E85"/>
    <mergeCell ref="C87:E87"/>
    <mergeCell ref="C88:E88"/>
    <mergeCell ref="C89:E89"/>
    <mergeCell ref="C90:E90"/>
    <mergeCell ref="B64:E64"/>
    <mergeCell ref="C66:E66"/>
    <mergeCell ref="C72:E72"/>
    <mergeCell ref="C79:D79"/>
    <mergeCell ref="C80:D80"/>
    <mergeCell ref="C74:E74"/>
    <mergeCell ref="B75:E75"/>
    <mergeCell ref="B77:F77"/>
    <mergeCell ref="C78:D78"/>
    <mergeCell ref="C67:E67"/>
    <mergeCell ref="B68:E68"/>
    <mergeCell ref="C71:E71"/>
    <mergeCell ref="C59:D59"/>
    <mergeCell ref="C60:D60"/>
    <mergeCell ref="C61:D61"/>
    <mergeCell ref="C62:D62"/>
    <mergeCell ref="C63:D63"/>
    <mergeCell ref="C83:D83"/>
    <mergeCell ref="C84:D84"/>
    <mergeCell ref="C73:E73"/>
    <mergeCell ref="C81:D81"/>
    <mergeCell ref="C82:D82"/>
    <mergeCell ref="C58:D58"/>
    <mergeCell ref="C45:E45"/>
    <mergeCell ref="C46:E46"/>
    <mergeCell ref="B47:E47"/>
    <mergeCell ref="C49:D49"/>
    <mergeCell ref="C50:D50"/>
    <mergeCell ref="C51:D51"/>
    <mergeCell ref="C52:D52"/>
    <mergeCell ref="B53:E53"/>
    <mergeCell ref="C57:D57"/>
    <mergeCell ref="C44:E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B41:E41"/>
    <mergeCell ref="C43:E43"/>
    <mergeCell ref="C22:E22"/>
    <mergeCell ref="B31:F31"/>
    <mergeCell ref="C23:E23"/>
    <mergeCell ref="B24:E24"/>
    <mergeCell ref="C27:D27"/>
    <mergeCell ref="C28:D28"/>
    <mergeCell ref="C29:D29"/>
    <mergeCell ref="B30:E30"/>
    <mergeCell ref="D6:E6"/>
    <mergeCell ref="B7:F7"/>
    <mergeCell ref="C21:E21"/>
    <mergeCell ref="C11:E11"/>
    <mergeCell ref="C12:E12"/>
    <mergeCell ref="C14:D14"/>
    <mergeCell ref="E14:F14"/>
    <mergeCell ref="D15:F15"/>
    <mergeCell ref="D16:F16"/>
    <mergeCell ref="C17:E17"/>
    <mergeCell ref="C8:E8"/>
    <mergeCell ref="D9:F9"/>
    <mergeCell ref="C10:E10"/>
    <mergeCell ref="B6:C6"/>
    <mergeCell ref="B18:F18"/>
    <mergeCell ref="B19:E19"/>
    <mergeCell ref="B1:F1"/>
    <mergeCell ref="B2:D2"/>
    <mergeCell ref="B3:F3"/>
    <mergeCell ref="B4:F4"/>
    <mergeCell ref="B5:C5"/>
    <mergeCell ref="D5:F5"/>
  </mergeCells>
  <phoneticPr fontId="37" type="noConversion"/>
  <printOptions horizontalCentered="1"/>
  <pageMargins left="0.08" right="0.05" top="0.19685039370078741" bottom="0.15748031496062992" header="0.19685039370078741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="85" zoomScaleNormal="85" workbookViewId="0">
      <selection activeCell="H7" sqref="H7"/>
    </sheetView>
  </sheetViews>
  <sheetFormatPr defaultRowHeight="12.75" x14ac:dyDescent="0.2"/>
  <cols>
    <col min="1" max="1" width="26" customWidth="1"/>
    <col min="2" max="2" width="29" customWidth="1"/>
    <col min="3" max="3" width="22.42578125" customWidth="1"/>
    <col min="4" max="4" width="27.28515625" customWidth="1"/>
    <col min="5" max="5" width="22" customWidth="1"/>
    <col min="7" max="7" width="15.85546875" bestFit="1" customWidth="1"/>
  </cols>
  <sheetData>
    <row r="2" spans="1:5" ht="20.25" x14ac:dyDescent="0.3">
      <c r="A2" s="363" t="s">
        <v>229</v>
      </c>
      <c r="B2" s="363"/>
      <c r="C2" s="363"/>
      <c r="D2" s="363"/>
      <c r="E2" s="363"/>
    </row>
    <row r="3" spans="1:5" ht="20.25" x14ac:dyDescent="0.3">
      <c r="A3" s="364" t="s">
        <v>327</v>
      </c>
      <c r="B3" s="365"/>
      <c r="C3" s="366"/>
      <c r="D3" s="99" t="s">
        <v>49</v>
      </c>
      <c r="E3" s="100" t="str">
        <f>DATA_DO_ORCAMENTO_ESTIMATIVO</f>
        <v>XX/XX/XXXX</v>
      </c>
    </row>
    <row r="4" spans="1:5" ht="13.5" thickBot="1" x14ac:dyDescent="0.25">
      <c r="A4" s="101"/>
      <c r="B4" s="101"/>
      <c r="C4" s="101"/>
      <c r="D4" s="101"/>
      <c r="E4" s="101"/>
    </row>
    <row r="5" spans="1:5" x14ac:dyDescent="0.2">
      <c r="A5" s="367" t="s">
        <v>280</v>
      </c>
      <c r="B5" s="368"/>
      <c r="C5" s="368"/>
      <c r="D5" s="368"/>
      <c r="E5" s="369"/>
    </row>
    <row r="6" spans="1:5" ht="32.25" customHeight="1" thickBot="1" x14ac:dyDescent="0.25">
      <c r="A6" s="370"/>
      <c r="B6" s="371"/>
      <c r="C6" s="371"/>
      <c r="D6" s="371"/>
      <c r="E6" s="372"/>
    </row>
    <row r="7" spans="1:5" ht="23.25" thickBot="1" x14ac:dyDescent="0.25">
      <c r="A7" s="373" t="s">
        <v>288</v>
      </c>
      <c r="B7" s="374"/>
      <c r="C7" s="374"/>
      <c r="D7" s="374"/>
      <c r="E7" s="375"/>
    </row>
    <row r="8" spans="1:5" ht="32.25" thickBot="1" x14ac:dyDescent="0.25">
      <c r="A8" s="386" t="s">
        <v>281</v>
      </c>
      <c r="B8" s="387"/>
      <c r="C8" s="102" t="s">
        <v>73</v>
      </c>
      <c r="D8" s="102" t="s">
        <v>282</v>
      </c>
      <c r="E8" s="102" t="s">
        <v>283</v>
      </c>
    </row>
    <row r="9" spans="1:5" ht="30" customHeight="1" thickBot="1" x14ac:dyDescent="0.25">
      <c r="A9" s="388" t="s">
        <v>228</v>
      </c>
      <c r="B9" s="389"/>
      <c r="C9" s="103">
        <f>'INSERIR-DADOS-44h'!F19</f>
        <v>1</v>
      </c>
      <c r="D9" s="104">
        <f>'POSTO 44 HORAS - Encarregado'!VALOR_TOTAL_POSTO</f>
        <v>0</v>
      </c>
      <c r="E9" s="105">
        <f>D9*C9</f>
        <v>0</v>
      </c>
    </row>
    <row r="10" spans="1:5" ht="19.5" thickBot="1" x14ac:dyDescent="0.25">
      <c r="A10" s="390" t="s">
        <v>284</v>
      </c>
      <c r="B10" s="391"/>
      <c r="C10" s="391"/>
      <c r="D10" s="392"/>
      <c r="E10" s="106">
        <f>SUM(E9)</f>
        <v>0</v>
      </c>
    </row>
    <row r="11" spans="1:5" ht="19.5" thickBot="1" x14ac:dyDescent="0.25">
      <c r="A11" s="390" t="s">
        <v>285</v>
      </c>
      <c r="B11" s="391"/>
      <c r="C11" s="391"/>
      <c r="D11" s="392"/>
      <c r="E11" s="107">
        <f>E10*12</f>
        <v>0</v>
      </c>
    </row>
    <row r="12" spans="1:5" ht="15" x14ac:dyDescent="0.2">
      <c r="A12" s="108"/>
      <c r="B12" s="108"/>
      <c r="C12" s="108"/>
      <c r="D12" s="108"/>
      <c r="E12" s="109"/>
    </row>
    <row r="13" spans="1:5" ht="15" thickBot="1" x14ac:dyDescent="0.25">
      <c r="A13" s="110"/>
      <c r="B13" s="110"/>
      <c r="C13" s="110"/>
      <c r="D13" s="110"/>
      <c r="E13" s="111"/>
    </row>
    <row r="14" spans="1:5" ht="23.25" thickBot="1" x14ac:dyDescent="0.25">
      <c r="A14" s="379" t="s">
        <v>289</v>
      </c>
      <c r="B14" s="380"/>
      <c r="C14" s="380"/>
      <c r="D14" s="380"/>
      <c r="E14" s="381"/>
    </row>
    <row r="15" spans="1:5" ht="32.25" thickBot="1" x14ac:dyDescent="0.25">
      <c r="A15" s="382" t="s">
        <v>281</v>
      </c>
      <c r="B15" s="383"/>
      <c r="C15" s="113" t="s">
        <v>73</v>
      </c>
      <c r="D15" s="114" t="s">
        <v>282</v>
      </c>
      <c r="E15" s="115" t="s">
        <v>283</v>
      </c>
    </row>
    <row r="16" spans="1:5" ht="27" customHeight="1" thickBot="1" x14ac:dyDescent="0.25">
      <c r="A16" s="384" t="s">
        <v>301</v>
      </c>
      <c r="B16" s="385"/>
      <c r="C16" s="116">
        <f>'INSERIR-DADOS-44h'!F20</f>
        <v>24</v>
      </c>
      <c r="D16" s="117">
        <f>'POSTO 44 HORAS - Copeira'!VALOR_TOTAL_POSTO</f>
        <v>0</v>
      </c>
      <c r="E16" s="118">
        <f>D16*C16</f>
        <v>0</v>
      </c>
    </row>
    <row r="17" spans="1:5" ht="19.5" thickBot="1" x14ac:dyDescent="0.25">
      <c r="A17" s="393" t="s">
        <v>302</v>
      </c>
      <c r="B17" s="394"/>
      <c r="C17" s="394"/>
      <c r="D17" s="395"/>
      <c r="E17" s="119">
        <f>SUM(E16)</f>
        <v>0</v>
      </c>
    </row>
    <row r="18" spans="1:5" ht="19.5" thickBot="1" x14ac:dyDescent="0.25">
      <c r="A18" s="396" t="s">
        <v>303</v>
      </c>
      <c r="B18" s="397"/>
      <c r="C18" s="397"/>
      <c r="D18" s="397"/>
      <c r="E18" s="120">
        <f>E17*12</f>
        <v>0</v>
      </c>
    </row>
    <row r="19" spans="1:5" ht="14.25" x14ac:dyDescent="0.2">
      <c r="A19" s="110"/>
      <c r="B19" s="110"/>
      <c r="C19" s="110"/>
      <c r="D19" s="110"/>
      <c r="E19" s="111"/>
    </row>
    <row r="20" spans="1:5" ht="15" thickBot="1" x14ac:dyDescent="0.25">
      <c r="A20" s="110"/>
      <c r="B20" s="110"/>
      <c r="C20" s="110"/>
      <c r="D20" s="110"/>
      <c r="E20" s="111"/>
    </row>
    <row r="21" spans="1:5" ht="23.25" thickBot="1" x14ac:dyDescent="0.25">
      <c r="A21" s="400" t="s">
        <v>290</v>
      </c>
      <c r="B21" s="401"/>
      <c r="C21" s="401"/>
      <c r="D21" s="401"/>
      <c r="E21" s="402"/>
    </row>
    <row r="22" spans="1:5" ht="32.25" thickBot="1" x14ac:dyDescent="0.25">
      <c r="A22" s="403" t="s">
        <v>281</v>
      </c>
      <c r="B22" s="404"/>
      <c r="C22" s="121" t="s">
        <v>73</v>
      </c>
      <c r="D22" s="122" t="s">
        <v>282</v>
      </c>
      <c r="E22" s="123" t="s">
        <v>283</v>
      </c>
    </row>
    <row r="23" spans="1:5" ht="29.25" customHeight="1" thickBot="1" x14ac:dyDescent="0.25">
      <c r="A23" s="405" t="s">
        <v>301</v>
      </c>
      <c r="B23" s="406"/>
      <c r="C23" s="124">
        <f>'INSERIR-DADOS- COPEIRA 12x36H'!F19</f>
        <v>1</v>
      </c>
      <c r="D23" s="125">
        <f>'POSTO 12X36 - Copeira'!VALOR_TOTAL_POSTO</f>
        <v>0</v>
      </c>
      <c r="E23" s="126">
        <f>D23*C23</f>
        <v>0</v>
      </c>
    </row>
    <row r="24" spans="1:5" ht="19.5" thickBot="1" x14ac:dyDescent="0.25">
      <c r="A24" s="407" t="s">
        <v>304</v>
      </c>
      <c r="B24" s="408"/>
      <c r="C24" s="408"/>
      <c r="D24" s="409"/>
      <c r="E24" s="127">
        <f>SUM(E23)</f>
        <v>0</v>
      </c>
    </row>
    <row r="25" spans="1:5" ht="19.5" thickBot="1" x14ac:dyDescent="0.25">
      <c r="A25" s="410" t="s">
        <v>305</v>
      </c>
      <c r="B25" s="411"/>
      <c r="C25" s="411"/>
      <c r="D25" s="411"/>
      <c r="E25" s="128">
        <f>E24*12</f>
        <v>0</v>
      </c>
    </row>
    <row r="26" spans="1:5" ht="14.25" x14ac:dyDescent="0.2">
      <c r="A26" s="110"/>
      <c r="B26" s="110"/>
      <c r="C26" s="110"/>
      <c r="D26" s="110"/>
      <c r="E26" s="111"/>
    </row>
    <row r="27" spans="1:5" ht="15" thickBot="1" x14ac:dyDescent="0.25">
      <c r="A27" s="110"/>
      <c r="B27" s="110"/>
      <c r="C27" s="110"/>
      <c r="D27" s="110"/>
      <c r="E27" s="111"/>
    </row>
    <row r="28" spans="1:5" ht="23.25" thickBot="1" x14ac:dyDescent="0.25">
      <c r="A28" s="376" t="s">
        <v>306</v>
      </c>
      <c r="B28" s="377"/>
      <c r="C28" s="377"/>
      <c r="D28" s="377"/>
      <c r="E28" s="378"/>
    </row>
    <row r="29" spans="1:5" ht="32.25" thickBot="1" x14ac:dyDescent="0.25">
      <c r="A29" s="414" t="s">
        <v>281</v>
      </c>
      <c r="B29" s="415"/>
      <c r="C29" s="129" t="s">
        <v>73</v>
      </c>
      <c r="D29" s="130" t="s">
        <v>282</v>
      </c>
      <c r="E29" s="144" t="s">
        <v>283</v>
      </c>
    </row>
    <row r="30" spans="1:5" ht="23.25" customHeight="1" thickBot="1" x14ac:dyDescent="0.25">
      <c r="A30" s="412" t="s">
        <v>292</v>
      </c>
      <c r="B30" s="413"/>
      <c r="C30" s="131">
        <f>'INSERIR-DADOS-44h'!F21</f>
        <v>22</v>
      </c>
      <c r="D30" s="132">
        <f>'POSTO 44 HORAS - GARÇOM'!VALOR_TOTAL_POSTO</f>
        <v>0</v>
      </c>
      <c r="E30" s="133">
        <f>D30*C30</f>
        <v>0</v>
      </c>
    </row>
    <row r="31" spans="1:5" ht="19.5" thickBot="1" x14ac:dyDescent="0.25">
      <c r="A31" s="416" t="s">
        <v>307</v>
      </c>
      <c r="B31" s="417"/>
      <c r="C31" s="417"/>
      <c r="D31" s="418"/>
      <c r="E31" s="134">
        <f>SUM(E30)</f>
        <v>0</v>
      </c>
    </row>
    <row r="32" spans="1:5" ht="19.5" thickBot="1" x14ac:dyDescent="0.25">
      <c r="A32" s="419" t="s">
        <v>308</v>
      </c>
      <c r="B32" s="420"/>
      <c r="C32" s="420"/>
      <c r="D32" s="420"/>
      <c r="E32" s="135">
        <f>E31*12</f>
        <v>0</v>
      </c>
    </row>
    <row r="33" spans="1:7" ht="14.25" x14ac:dyDescent="0.2">
      <c r="A33" s="110"/>
      <c r="B33" s="110"/>
      <c r="C33" s="110"/>
      <c r="D33" s="110"/>
      <c r="E33" s="111"/>
    </row>
    <row r="34" spans="1:7" ht="15" thickBot="1" x14ac:dyDescent="0.25">
      <c r="A34" s="110"/>
      <c r="B34" s="110"/>
      <c r="C34" s="110"/>
      <c r="D34" s="110"/>
      <c r="E34" s="111"/>
    </row>
    <row r="35" spans="1:7" ht="23.25" thickBot="1" x14ac:dyDescent="0.25">
      <c r="A35" s="398" t="s">
        <v>286</v>
      </c>
      <c r="B35" s="399"/>
      <c r="C35" s="399"/>
      <c r="D35" s="399"/>
      <c r="E35" s="112">
        <f>E10+E17+E24+E31</f>
        <v>0</v>
      </c>
    </row>
    <row r="36" spans="1:7" ht="23.25" thickBot="1" x14ac:dyDescent="0.25">
      <c r="A36" s="398" t="s">
        <v>287</v>
      </c>
      <c r="B36" s="399"/>
      <c r="C36" s="399"/>
      <c r="D36" s="399"/>
      <c r="E36" s="112">
        <f>E11+E18+E25+E32</f>
        <v>0</v>
      </c>
    </row>
    <row r="39" spans="1:7" x14ac:dyDescent="0.2">
      <c r="G39" s="141"/>
    </row>
    <row r="41" spans="1:7" x14ac:dyDescent="0.2">
      <c r="E41" s="141"/>
    </row>
  </sheetData>
  <sheetProtection algorithmName="SHA-512" hashValue="3IVTXx/UjyTwJ2rUjG3D8E7dCYTEqTsClp5/FOj4wVOCT/t+YU9Xm1XD1M6mJ/fwhJKKwlgeFaTF+ppZEczvDg==" saltValue="B3nzxHMBOUwcGsSrNEcpFA==" spinCount="100000" sheet="1" objects="1" scenarios="1"/>
  <mergeCells count="25">
    <mergeCell ref="A36:D36"/>
    <mergeCell ref="A21:E21"/>
    <mergeCell ref="A22:B22"/>
    <mergeCell ref="A23:B23"/>
    <mergeCell ref="A24:D24"/>
    <mergeCell ref="A25:D25"/>
    <mergeCell ref="A30:B30"/>
    <mergeCell ref="A29:B29"/>
    <mergeCell ref="A31:D31"/>
    <mergeCell ref="A32:D32"/>
    <mergeCell ref="A35:D35"/>
    <mergeCell ref="A2:E2"/>
    <mergeCell ref="A3:C3"/>
    <mergeCell ref="A5:E6"/>
    <mergeCell ref="A7:E7"/>
    <mergeCell ref="A28:E28"/>
    <mergeCell ref="A14:E14"/>
    <mergeCell ref="A15:B15"/>
    <mergeCell ref="A16:B16"/>
    <mergeCell ref="A8:B8"/>
    <mergeCell ref="A9:B9"/>
    <mergeCell ref="A10:D10"/>
    <mergeCell ref="A11:D11"/>
    <mergeCell ref="A17:D17"/>
    <mergeCell ref="A18:D18"/>
  </mergeCells>
  <phoneticPr fontId="3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9"/>
  <sheetViews>
    <sheetView topLeftCell="A34" workbookViewId="0">
      <selection activeCell="F53" sqref="F53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10.85546875" style="12" customWidth="1"/>
    <col min="5" max="5" width="13.5703125" style="12" customWidth="1"/>
    <col min="6" max="6" width="15.42578125" style="12" bestFit="1" customWidth="1"/>
    <col min="7" max="16384" width="9.140625" style="6"/>
  </cols>
  <sheetData>
    <row r="1" spans="1:6" ht="20.25" x14ac:dyDescent="0.35">
      <c r="B1" s="255" t="s">
        <v>229</v>
      </c>
      <c r="C1" s="255"/>
      <c r="D1" s="255"/>
      <c r="E1" s="255"/>
      <c r="F1" s="255"/>
    </row>
    <row r="2" spans="1:6" ht="20.25" x14ac:dyDescent="0.35">
      <c r="B2" s="255" t="s">
        <v>312</v>
      </c>
      <c r="C2" s="255"/>
      <c r="D2" s="255"/>
      <c r="E2" s="232" t="s">
        <v>49</v>
      </c>
      <c r="F2" s="230" t="s">
        <v>136</v>
      </c>
    </row>
    <row r="3" spans="1:6" x14ac:dyDescent="0.3">
      <c r="B3" s="52"/>
      <c r="C3" s="52"/>
      <c r="D3" s="52"/>
      <c r="E3" s="52"/>
      <c r="F3" s="52"/>
    </row>
    <row r="4" spans="1:6" s="52" customFormat="1" ht="25.5" x14ac:dyDescent="0.5">
      <c r="B4" s="256" t="s">
        <v>143</v>
      </c>
      <c r="C4" s="256"/>
      <c r="D4" s="256"/>
      <c r="E4" s="256"/>
      <c r="F4" s="256"/>
    </row>
    <row r="5" spans="1:6" s="52" customFormat="1" ht="15.95" customHeight="1" x14ac:dyDescent="0.3">
      <c r="B5" s="257" t="s">
        <v>83</v>
      </c>
      <c r="C5" s="257"/>
      <c r="D5" s="257"/>
      <c r="E5" s="257"/>
      <c r="F5" s="257"/>
    </row>
    <row r="6" spans="1:6" s="52" customFormat="1" ht="15.95" customHeight="1" x14ac:dyDescent="0.3">
      <c r="B6" s="258" t="s">
        <v>29</v>
      </c>
      <c r="C6" s="258"/>
      <c r="D6" s="260" t="s">
        <v>230</v>
      </c>
      <c r="E6" s="260"/>
      <c r="F6" s="260"/>
    </row>
    <row r="7" spans="1:6" s="52" customFormat="1" ht="15.75" customHeight="1" x14ac:dyDescent="0.3">
      <c r="B7" s="263" t="s">
        <v>310</v>
      </c>
      <c r="C7" s="263"/>
      <c r="D7" s="264" t="s">
        <v>30</v>
      </c>
      <c r="E7" s="264"/>
      <c r="F7" s="168" t="s">
        <v>317</v>
      </c>
    </row>
    <row r="8" spans="1:6" s="52" customFormat="1" ht="15.75" customHeight="1" x14ac:dyDescent="0.3">
      <c r="B8" s="258" t="s">
        <v>98</v>
      </c>
      <c r="C8" s="258"/>
      <c r="D8" s="259" t="s">
        <v>136</v>
      </c>
      <c r="E8" s="259"/>
      <c r="F8" s="167" t="s">
        <v>328</v>
      </c>
    </row>
    <row r="9" spans="1:6" s="53" customFormat="1" ht="9.75" customHeight="1" x14ac:dyDescent="0.3">
      <c r="C9" s="4"/>
      <c r="D9" s="67"/>
      <c r="E9" s="67"/>
      <c r="F9" s="68"/>
    </row>
    <row r="10" spans="1:6" s="53" customFormat="1" ht="15.75" customHeight="1" x14ac:dyDescent="0.3">
      <c r="B10" s="257" t="s">
        <v>97</v>
      </c>
      <c r="C10" s="257"/>
      <c r="D10" s="257"/>
      <c r="E10" s="257"/>
      <c r="F10" s="257"/>
    </row>
    <row r="11" spans="1:6" s="52" customFormat="1" ht="18" customHeight="1" x14ac:dyDescent="0.3">
      <c r="B11" s="156" t="s">
        <v>2</v>
      </c>
      <c r="C11" s="258" t="s">
        <v>55</v>
      </c>
      <c r="D11" s="258"/>
      <c r="E11" s="258"/>
      <c r="F11" s="166" t="s">
        <v>136</v>
      </c>
    </row>
    <row r="12" spans="1:6" s="52" customFormat="1" ht="15.95" customHeight="1" x14ac:dyDescent="0.15">
      <c r="B12" s="147" t="s">
        <v>3</v>
      </c>
      <c r="C12" s="157" t="s">
        <v>31</v>
      </c>
      <c r="D12" s="265" t="s">
        <v>325</v>
      </c>
      <c r="E12" s="265"/>
      <c r="F12" s="265"/>
    </row>
    <row r="13" spans="1:6" s="52" customFormat="1" ht="15.95" customHeight="1" x14ac:dyDescent="0.3">
      <c r="B13" s="156" t="s">
        <v>4</v>
      </c>
      <c r="C13" s="258" t="s">
        <v>131</v>
      </c>
      <c r="D13" s="258"/>
      <c r="E13" s="258"/>
      <c r="F13" s="169" t="s">
        <v>232</v>
      </c>
    </row>
    <row r="14" spans="1:6" s="52" customFormat="1" ht="18.75" customHeight="1" x14ac:dyDescent="0.3">
      <c r="B14" s="147" t="s">
        <v>5</v>
      </c>
      <c r="C14" s="266" t="s">
        <v>32</v>
      </c>
      <c r="D14" s="266"/>
      <c r="E14" s="266"/>
      <c r="F14" s="167" t="s">
        <v>137</v>
      </c>
    </row>
    <row r="15" spans="1:6" s="52" customFormat="1" ht="15.95" customHeight="1" x14ac:dyDescent="0.3">
      <c r="B15" s="147" t="s">
        <v>6</v>
      </c>
      <c r="C15" s="258" t="s">
        <v>56</v>
      </c>
      <c r="D15" s="258"/>
      <c r="E15" s="258"/>
      <c r="F15" s="158">
        <v>12</v>
      </c>
    </row>
    <row r="16" spans="1:6" s="52" customFormat="1" ht="15.95" customHeight="1" x14ac:dyDescent="0.3">
      <c r="A16" s="53"/>
      <c r="B16" s="53"/>
      <c r="C16" s="4"/>
      <c r="D16" s="67"/>
      <c r="E16" s="67"/>
      <c r="F16" s="68"/>
    </row>
    <row r="17" spans="1:6" s="52" customFormat="1" x14ac:dyDescent="0.3">
      <c r="A17" s="53"/>
      <c r="B17" s="257" t="s">
        <v>99</v>
      </c>
      <c r="C17" s="257"/>
      <c r="D17" s="257"/>
      <c r="E17" s="257"/>
      <c r="F17" s="257"/>
    </row>
    <row r="18" spans="1:6" s="69" customFormat="1" ht="49.5" x14ac:dyDescent="0.2">
      <c r="B18" s="147" t="s">
        <v>132</v>
      </c>
      <c r="C18" s="147" t="s">
        <v>26</v>
      </c>
      <c r="D18" s="159" t="s">
        <v>100</v>
      </c>
      <c r="E18" s="159" t="s">
        <v>144</v>
      </c>
      <c r="F18" s="159" t="s">
        <v>321</v>
      </c>
    </row>
    <row r="19" spans="1:6" s="69" customFormat="1" x14ac:dyDescent="0.2">
      <c r="B19" s="147">
        <v>1</v>
      </c>
      <c r="C19" s="147" t="s">
        <v>226</v>
      </c>
      <c r="D19" s="147" t="s">
        <v>223</v>
      </c>
      <c r="E19" s="147">
        <v>2</v>
      </c>
      <c r="F19" s="147">
        <v>1</v>
      </c>
    </row>
    <row r="20" spans="1:6" s="52" customFormat="1" ht="15.95" customHeight="1" x14ac:dyDescent="0.3">
      <c r="B20" s="70"/>
      <c r="C20" s="70"/>
      <c r="D20" s="70"/>
      <c r="E20" s="70"/>
      <c r="F20" s="70"/>
    </row>
    <row r="21" spans="1:6" s="52" customFormat="1" ht="15" customHeight="1" x14ac:dyDescent="0.3">
      <c r="B21" s="257" t="s">
        <v>102</v>
      </c>
      <c r="C21" s="257"/>
      <c r="D21" s="257"/>
      <c r="E21" s="257"/>
      <c r="F21" s="257"/>
    </row>
    <row r="22" spans="1:6" s="52" customFormat="1" ht="15" customHeight="1" x14ac:dyDescent="0.3">
      <c r="A22" s="53"/>
      <c r="B22" s="156">
        <v>1</v>
      </c>
      <c r="C22" s="161" t="s">
        <v>51</v>
      </c>
      <c r="D22" s="261" t="s">
        <v>237</v>
      </c>
      <c r="E22" s="261"/>
      <c r="F22" s="261"/>
    </row>
    <row r="23" spans="1:6" s="52" customFormat="1" ht="15.95" customHeight="1" x14ac:dyDescent="0.3">
      <c r="B23" s="156">
        <v>2</v>
      </c>
      <c r="C23" s="162" t="s">
        <v>53</v>
      </c>
      <c r="D23" s="251" t="s">
        <v>311</v>
      </c>
      <c r="E23" s="251"/>
      <c r="F23" s="251"/>
    </row>
    <row r="24" spans="1:6" s="52" customFormat="1" ht="15.95" customHeight="1" x14ac:dyDescent="0.3">
      <c r="B24" s="156">
        <v>3</v>
      </c>
      <c r="C24" s="244" t="s">
        <v>54</v>
      </c>
      <c r="D24" s="244"/>
      <c r="E24" s="244"/>
      <c r="F24" s="166">
        <v>44197</v>
      </c>
    </row>
    <row r="25" spans="1:6" s="52" customFormat="1" ht="15.95" customHeight="1" x14ac:dyDescent="0.3">
      <c r="B25" s="156">
        <v>4</v>
      </c>
      <c r="C25" s="243" t="s">
        <v>125</v>
      </c>
      <c r="D25" s="243"/>
      <c r="E25" s="243"/>
      <c r="F25" s="179">
        <v>1100</v>
      </c>
    </row>
    <row r="26" spans="1:6" s="52" customFormat="1" x14ac:dyDescent="0.3">
      <c r="B26" s="19"/>
      <c r="C26" s="20"/>
      <c r="D26" s="20"/>
      <c r="E26" s="20"/>
      <c r="F26" s="71"/>
    </row>
    <row r="27" spans="1:6" s="52" customFormat="1" ht="25.5" x14ac:dyDescent="0.5">
      <c r="B27" s="72" t="s">
        <v>140</v>
      </c>
      <c r="C27" s="6"/>
      <c r="D27" s="6"/>
      <c r="E27" s="6"/>
      <c r="F27" s="6"/>
    </row>
    <row r="28" spans="1:6" x14ac:dyDescent="0.3">
      <c r="B28" s="32" t="s">
        <v>8</v>
      </c>
      <c r="E28" s="7"/>
      <c r="F28" s="7"/>
    </row>
    <row r="29" spans="1:6" x14ac:dyDescent="0.3">
      <c r="B29" s="147">
        <v>1</v>
      </c>
      <c r="C29" s="242" t="s">
        <v>9</v>
      </c>
      <c r="D29" s="242"/>
      <c r="E29" s="242"/>
      <c r="F29" s="148" t="s">
        <v>107</v>
      </c>
    </row>
    <row r="30" spans="1:6" x14ac:dyDescent="0.3">
      <c r="B30" s="147" t="s">
        <v>2</v>
      </c>
      <c r="C30" s="233" t="s">
        <v>234</v>
      </c>
      <c r="D30" s="233"/>
      <c r="E30" s="233"/>
      <c r="F30" s="155">
        <v>0</v>
      </c>
    </row>
    <row r="31" spans="1:6" x14ac:dyDescent="0.3">
      <c r="B31" s="147" t="s">
        <v>3</v>
      </c>
      <c r="C31" s="267" t="s">
        <v>235</v>
      </c>
      <c r="D31" s="267"/>
      <c r="E31" s="267"/>
      <c r="F31" s="155">
        <v>0</v>
      </c>
    </row>
    <row r="32" spans="1:6" s="62" customFormat="1" x14ac:dyDescent="0.3"/>
    <row r="33" spans="1:6" s="62" customFormat="1" x14ac:dyDescent="0.3">
      <c r="A33" s="6"/>
      <c r="B33" s="32" t="s">
        <v>57</v>
      </c>
      <c r="C33" s="12"/>
      <c r="D33" s="12"/>
      <c r="E33" s="14"/>
      <c r="F33" s="14"/>
    </row>
    <row r="34" spans="1:6" s="62" customFormat="1" x14ac:dyDescent="0.3">
      <c r="A34" s="6"/>
      <c r="B34" s="32" t="s">
        <v>62</v>
      </c>
      <c r="C34" s="53"/>
      <c r="D34" s="53"/>
      <c r="E34" s="53"/>
      <c r="F34" s="53"/>
    </row>
    <row r="35" spans="1:6" s="62" customFormat="1" ht="15" customHeight="1" x14ac:dyDescent="0.3">
      <c r="A35" s="6"/>
      <c r="B35" s="147" t="s">
        <v>78</v>
      </c>
      <c r="C35" s="242" t="s">
        <v>14</v>
      </c>
      <c r="D35" s="242"/>
      <c r="E35" s="148" t="s">
        <v>33</v>
      </c>
      <c r="F35" s="148" t="s">
        <v>108</v>
      </c>
    </row>
    <row r="36" spans="1:6" s="62" customFormat="1" x14ac:dyDescent="0.3">
      <c r="A36" s="6"/>
      <c r="B36" s="147" t="s">
        <v>2</v>
      </c>
      <c r="C36" s="244" t="s">
        <v>15</v>
      </c>
      <c r="D36" s="244"/>
      <c r="E36" s="149" t="s">
        <v>34</v>
      </c>
      <c r="F36" s="150">
        <v>0</v>
      </c>
    </row>
    <row r="37" spans="1:6" s="62" customFormat="1" x14ac:dyDescent="0.3">
      <c r="B37" s="147" t="s">
        <v>3</v>
      </c>
      <c r="C37" s="243" t="s">
        <v>61</v>
      </c>
      <c r="D37" s="243"/>
      <c r="E37" s="151" t="s">
        <v>34</v>
      </c>
      <c r="F37" s="150">
        <v>0</v>
      </c>
    </row>
    <row r="38" spans="1:6" s="62" customFormat="1" x14ac:dyDescent="0.3">
      <c r="B38" s="147" t="s">
        <v>4</v>
      </c>
      <c r="C38" s="244" t="s">
        <v>141</v>
      </c>
      <c r="D38" s="244"/>
      <c r="E38" s="149" t="s">
        <v>128</v>
      </c>
      <c r="F38" s="152">
        <v>15</v>
      </c>
    </row>
    <row r="39" spans="1:6" x14ac:dyDescent="0.3">
      <c r="B39" s="147" t="s">
        <v>5</v>
      </c>
      <c r="C39" s="267" t="s">
        <v>326</v>
      </c>
      <c r="D39" s="267"/>
      <c r="E39" s="154"/>
      <c r="F39" s="155">
        <v>0</v>
      </c>
    </row>
    <row r="40" spans="1:6" s="62" customFormat="1" x14ac:dyDescent="0.3"/>
    <row r="41" spans="1:6" s="52" customFormat="1" x14ac:dyDescent="0.3">
      <c r="B41" s="32" t="s">
        <v>64</v>
      </c>
      <c r="C41" s="5"/>
      <c r="D41" s="15"/>
      <c r="E41" s="6"/>
      <c r="F41" s="6"/>
    </row>
    <row r="42" spans="1:6" s="52" customFormat="1" ht="15" customHeight="1" x14ac:dyDescent="0.3">
      <c r="B42" s="32" t="s">
        <v>88</v>
      </c>
      <c r="C42" s="5"/>
      <c r="D42" s="15"/>
      <c r="E42" s="13"/>
      <c r="F42" s="13"/>
    </row>
    <row r="43" spans="1:6" x14ac:dyDescent="0.3">
      <c r="A43" s="52"/>
      <c r="B43" s="147" t="s">
        <v>19</v>
      </c>
      <c r="C43" s="245" t="s">
        <v>89</v>
      </c>
      <c r="D43" s="245"/>
      <c r="E43" s="245"/>
      <c r="F43" s="148" t="s">
        <v>1</v>
      </c>
    </row>
    <row r="44" spans="1:6" s="62" customFormat="1" x14ac:dyDescent="0.3">
      <c r="B44" s="159" t="s">
        <v>2</v>
      </c>
      <c r="C44" s="268" t="s">
        <v>138</v>
      </c>
      <c r="D44" s="268"/>
      <c r="E44" s="268"/>
      <c r="F44" s="180"/>
    </row>
    <row r="45" spans="1:6" x14ac:dyDescent="0.3">
      <c r="B45" s="62"/>
      <c r="C45" s="62"/>
      <c r="D45" s="62"/>
      <c r="E45" s="62"/>
      <c r="F45" s="62"/>
    </row>
    <row r="46" spans="1:6" hidden="1" x14ac:dyDescent="0.3">
      <c r="B46" s="32" t="s">
        <v>164</v>
      </c>
      <c r="C46" s="5"/>
      <c r="D46" s="15"/>
      <c r="E46" s="13"/>
      <c r="F46" s="13"/>
    </row>
    <row r="47" spans="1:6" hidden="1" x14ac:dyDescent="0.3">
      <c r="B47" s="1" t="s">
        <v>20</v>
      </c>
      <c r="C47" s="240" t="s">
        <v>163</v>
      </c>
      <c r="D47" s="240"/>
      <c r="E47" s="240"/>
      <c r="F47" s="3" t="s">
        <v>159</v>
      </c>
    </row>
    <row r="48" spans="1:6" ht="15" hidden="1" customHeight="1" x14ac:dyDescent="0.3">
      <c r="B48" s="1" t="s">
        <v>2</v>
      </c>
      <c r="C48" s="241" t="s">
        <v>112</v>
      </c>
      <c r="D48" s="241"/>
      <c r="E48" s="241"/>
      <c r="F48" s="172"/>
    </row>
    <row r="49" spans="1:6" s="62" customFormat="1" hidden="1" x14ac:dyDescent="0.3">
      <c r="B49" s="1" t="s">
        <v>3</v>
      </c>
      <c r="C49" s="237" t="s">
        <v>121</v>
      </c>
      <c r="D49" s="238"/>
      <c r="E49" s="239"/>
      <c r="F49" s="172"/>
    </row>
    <row r="50" spans="1:6" hidden="1" x14ac:dyDescent="0.3">
      <c r="B50" s="62"/>
      <c r="C50" s="62"/>
      <c r="D50" s="62"/>
      <c r="E50" s="62"/>
      <c r="F50" s="62"/>
    </row>
    <row r="51" spans="1:6" ht="15.75" customHeight="1" x14ac:dyDescent="0.3">
      <c r="B51" s="32" t="s">
        <v>68</v>
      </c>
      <c r="C51" s="5"/>
      <c r="D51" s="5"/>
      <c r="E51" s="13"/>
      <c r="F51" s="13"/>
    </row>
    <row r="52" spans="1:6" x14ac:dyDescent="0.3">
      <c r="B52" s="147">
        <v>5</v>
      </c>
      <c r="C52" s="242" t="s">
        <v>0</v>
      </c>
      <c r="D52" s="242"/>
      <c r="E52" s="242"/>
      <c r="F52" s="148" t="s">
        <v>13</v>
      </c>
    </row>
    <row r="53" spans="1:6" x14ac:dyDescent="0.3">
      <c r="B53" s="156" t="s">
        <v>2</v>
      </c>
      <c r="C53" s="235" t="s">
        <v>16</v>
      </c>
      <c r="D53" s="235"/>
      <c r="E53" s="235"/>
      <c r="F53" s="173">
        <f>'UNIFORMES E AUXÍLIOS'!E26</f>
        <v>0</v>
      </c>
    </row>
    <row r="54" spans="1:6" s="63" customFormat="1" x14ac:dyDescent="0.3">
      <c r="A54" s="6"/>
      <c r="B54" s="156" t="s">
        <v>3</v>
      </c>
      <c r="C54" s="236" t="s">
        <v>17</v>
      </c>
      <c r="D54" s="236"/>
      <c r="E54" s="236"/>
      <c r="F54" s="173">
        <f>'INSERÇÃO-DADOS-MATERIAIS'!B50</f>
        <v>0</v>
      </c>
    </row>
    <row r="55" spans="1:6" s="62" customFormat="1" x14ac:dyDescent="0.3">
      <c r="B55" s="156" t="s">
        <v>4</v>
      </c>
      <c r="C55" s="267" t="s">
        <v>74</v>
      </c>
      <c r="D55" s="267"/>
      <c r="E55" s="267"/>
      <c r="F55" s="155">
        <v>0</v>
      </c>
    </row>
    <row r="56" spans="1:6" s="64" customFormat="1" ht="16.5" customHeight="1" x14ac:dyDescent="0.3">
      <c r="A56" s="6"/>
      <c r="B56" s="62"/>
      <c r="C56" s="62"/>
      <c r="D56" s="62"/>
      <c r="E56" s="62"/>
      <c r="F56" s="62"/>
    </row>
    <row r="57" spans="1:6" s="65" customFormat="1" ht="16.5" customHeight="1" x14ac:dyDescent="0.3">
      <c r="A57" s="6"/>
      <c r="B57" s="247" t="s">
        <v>67</v>
      </c>
      <c r="C57" s="247"/>
      <c r="D57" s="247"/>
      <c r="E57" s="247"/>
      <c r="F57" s="247"/>
    </row>
    <row r="58" spans="1:6" s="65" customFormat="1" x14ac:dyDescent="0.3">
      <c r="A58" s="63"/>
      <c r="B58" s="147">
        <v>6</v>
      </c>
      <c r="C58" s="248" t="s">
        <v>21</v>
      </c>
      <c r="D58" s="248"/>
      <c r="E58" s="248"/>
      <c r="F58" s="148" t="s">
        <v>1</v>
      </c>
    </row>
    <row r="59" spans="1:6" s="65" customFormat="1" x14ac:dyDescent="0.3">
      <c r="A59" s="63"/>
      <c r="B59" s="147" t="s">
        <v>2</v>
      </c>
      <c r="C59" s="235" t="s">
        <v>69</v>
      </c>
      <c r="D59" s="235"/>
      <c r="E59" s="235"/>
      <c r="F59" s="153">
        <v>4.7300000000000004</v>
      </c>
    </row>
    <row r="60" spans="1:6" s="65" customFormat="1" x14ac:dyDescent="0.3">
      <c r="A60" s="64"/>
      <c r="B60" s="159" t="s">
        <v>3</v>
      </c>
      <c r="C60" s="236" t="s">
        <v>28</v>
      </c>
      <c r="D60" s="236"/>
      <c r="E60" s="236"/>
      <c r="F60" s="153">
        <v>5.57</v>
      </c>
    </row>
    <row r="61" spans="1:6" x14ac:dyDescent="0.3">
      <c r="B61" s="165" t="s">
        <v>70</v>
      </c>
      <c r="C61" s="235" t="s">
        <v>23</v>
      </c>
      <c r="D61" s="235"/>
      <c r="E61" s="235">
        <f>PERC_PIS</f>
        <v>0.65</v>
      </c>
      <c r="F61" s="153">
        <v>0.65</v>
      </c>
    </row>
    <row r="62" spans="1:6" x14ac:dyDescent="0.3">
      <c r="B62" s="165" t="s">
        <v>71</v>
      </c>
      <c r="C62" s="236" t="s">
        <v>24</v>
      </c>
      <c r="D62" s="236"/>
      <c r="E62" s="236"/>
      <c r="F62" s="153">
        <v>3</v>
      </c>
    </row>
    <row r="63" spans="1:6" s="62" customFormat="1" x14ac:dyDescent="0.3">
      <c r="B63" s="165" t="s">
        <v>72</v>
      </c>
      <c r="C63" s="235" t="s">
        <v>25</v>
      </c>
      <c r="D63" s="235"/>
      <c r="E63" s="235">
        <f>PERC_ISS</f>
        <v>5</v>
      </c>
      <c r="F63" s="153">
        <v>5</v>
      </c>
    </row>
    <row r="64" spans="1:6" x14ac:dyDescent="0.3">
      <c r="B64" s="174"/>
      <c r="C64" s="174"/>
      <c r="D64" s="174"/>
      <c r="E64" s="174"/>
      <c r="F64" s="174"/>
    </row>
    <row r="65" spans="2:6" ht="33.75" customHeight="1" x14ac:dyDescent="0.3">
      <c r="B65" s="175" t="s">
        <v>139</v>
      </c>
      <c r="C65" s="176"/>
      <c r="D65" s="176"/>
      <c r="E65" s="176"/>
      <c r="F65" s="177"/>
    </row>
    <row r="66" spans="2:6" ht="32.25" customHeight="1" x14ac:dyDescent="0.3">
      <c r="B66" s="234" t="s">
        <v>160</v>
      </c>
      <c r="C66" s="234"/>
      <c r="D66" s="234"/>
      <c r="E66" s="234"/>
      <c r="F66" s="234"/>
    </row>
    <row r="67" spans="2:6" x14ac:dyDescent="0.3">
      <c r="B67" s="181"/>
      <c r="C67" s="182"/>
      <c r="D67" s="182"/>
      <c r="E67" s="182"/>
      <c r="F67" s="182"/>
    </row>
    <row r="68" spans="2:6" x14ac:dyDescent="0.3">
      <c r="B68" s="181"/>
      <c r="C68" s="182"/>
      <c r="D68" s="182"/>
      <c r="E68" s="182"/>
      <c r="F68" s="182"/>
    </row>
    <row r="69" spans="2:6" ht="17.25" x14ac:dyDescent="0.3">
      <c r="B69" s="262" t="s">
        <v>309</v>
      </c>
      <c r="C69" s="262"/>
      <c r="D69" s="182"/>
      <c r="E69" s="182"/>
      <c r="F69" s="182"/>
    </row>
  </sheetData>
  <sheetProtection algorithmName="SHA-512" hashValue="Wk7i6xWVe8HWwnd3VDrLW/wQUMA255ND263NFJQDB9jCqGCg2l8VlKrpbHbbhNGJcvE+1Kn5lSlIOjlaiFVwBQ==" saltValue="G5jRLOWXOX6TCt+7dDEtbA==" spinCount="100000" sheet="1" objects="1" scenarios="1"/>
  <mergeCells count="48">
    <mergeCell ref="B69:C69"/>
    <mergeCell ref="B66:F66"/>
    <mergeCell ref="C53:E53"/>
    <mergeCell ref="C54:E54"/>
    <mergeCell ref="C55:E55"/>
    <mergeCell ref="B57:F57"/>
    <mergeCell ref="C58:E58"/>
    <mergeCell ref="C59:E59"/>
    <mergeCell ref="C60:E60"/>
    <mergeCell ref="C61:E61"/>
    <mergeCell ref="C62:E62"/>
    <mergeCell ref="C63:E63"/>
    <mergeCell ref="C52:E52"/>
    <mergeCell ref="C36:D36"/>
    <mergeCell ref="C37:D37"/>
    <mergeCell ref="C38:D38"/>
    <mergeCell ref="C39:D39"/>
    <mergeCell ref="C43:E43"/>
    <mergeCell ref="C44:E44"/>
    <mergeCell ref="C47:E47"/>
    <mergeCell ref="C49:E49"/>
    <mergeCell ref="C24:E24"/>
    <mergeCell ref="C25:E25"/>
    <mergeCell ref="C29:E29"/>
    <mergeCell ref="C30:E30"/>
    <mergeCell ref="C48:E48"/>
    <mergeCell ref="C31:E31"/>
    <mergeCell ref="C35:D35"/>
    <mergeCell ref="D7:E7"/>
    <mergeCell ref="B8:C8"/>
    <mergeCell ref="D22:F22"/>
    <mergeCell ref="D23:F23"/>
    <mergeCell ref="D12:F12"/>
    <mergeCell ref="C13:E13"/>
    <mergeCell ref="C14:E14"/>
    <mergeCell ref="C15:E15"/>
    <mergeCell ref="B17:F17"/>
    <mergeCell ref="B21:F21"/>
    <mergeCell ref="D8:E8"/>
    <mergeCell ref="B10:F10"/>
    <mergeCell ref="C11:E11"/>
    <mergeCell ref="B7:C7"/>
    <mergeCell ref="B1:F1"/>
    <mergeCell ref="B2:D2"/>
    <mergeCell ref="B4:F4"/>
    <mergeCell ref="B5:F5"/>
    <mergeCell ref="B6:C6"/>
    <mergeCell ref="D6:F6"/>
  </mergeCells>
  <phoneticPr fontId="37" type="noConversion"/>
  <dataValidations count="10">
    <dataValidation type="list" allowBlank="1" showInputMessage="1" showErrorMessage="1" sqref="F13">
      <formula1>"AC,AL,AP,AM,BA,CE,DF,ES,GO,MA,MG,MS,MT,PA,PB,PR,PE,PI,RJ,RN,RO,RR,RS,SC,SP,SE,TO"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48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49">
      <formula1>0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38">
      <formula1>"15,22"</formula1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59">
      <formula1>0</formula1>
      <formula2>4.73</formula2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0">
      <formula1>0</formula1>
      <formula2>5.57</formula2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1">
      <formula1>0.65</formula1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62">
      <formula1>3</formula1>
    </dataValidation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63">
      <formula1>2</formula1>
      <formula2>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F27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37" zoomScaleNormal="100" workbookViewId="0">
      <selection activeCell="A50" sqref="A50"/>
    </sheetView>
  </sheetViews>
  <sheetFormatPr defaultRowHeight="12.75" x14ac:dyDescent="0.2"/>
  <cols>
    <col min="1" max="1" width="37.28515625" customWidth="1"/>
    <col min="2" max="2" width="14.28515625" bestFit="1" customWidth="1"/>
    <col min="3" max="3" width="4.28515625" bestFit="1" customWidth="1"/>
    <col min="4" max="6" width="5.7109375" bestFit="1" customWidth="1"/>
    <col min="7" max="7" width="3.28515625" bestFit="1" customWidth="1"/>
    <col min="8" max="13" width="5.7109375" bestFit="1" customWidth="1"/>
    <col min="14" max="14" width="8.28515625" bestFit="1" customWidth="1"/>
    <col min="15" max="18" width="5.7109375" bestFit="1" customWidth="1"/>
    <col min="19" max="19" width="7.5703125" bestFit="1" customWidth="1"/>
    <col min="20" max="20" width="14.5703125" bestFit="1" customWidth="1"/>
    <col min="21" max="21" width="16" bestFit="1" customWidth="1"/>
  </cols>
  <sheetData>
    <row r="1" spans="1:2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3.5" thickBo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15.75" x14ac:dyDescent="0.25">
      <c r="A3" s="269" t="s">
        <v>170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1"/>
    </row>
    <row r="4" spans="1:21" ht="15.75" x14ac:dyDescent="0.25">
      <c r="A4" s="272" t="s">
        <v>171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</row>
    <row r="5" spans="1:21" ht="15.75" x14ac:dyDescent="0.25">
      <c r="A5" s="272" t="s">
        <v>172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4"/>
    </row>
    <row r="6" spans="1:21" ht="84.6" customHeight="1" x14ac:dyDescent="0.2">
      <c r="A6" s="203" t="s">
        <v>173</v>
      </c>
      <c r="B6" s="204" t="s">
        <v>174</v>
      </c>
      <c r="C6" s="205" t="s">
        <v>175</v>
      </c>
      <c r="D6" s="205" t="s">
        <v>176</v>
      </c>
      <c r="E6" s="205" t="s">
        <v>177</v>
      </c>
      <c r="F6" s="205" t="s">
        <v>178</v>
      </c>
      <c r="G6" s="205" t="s">
        <v>179</v>
      </c>
      <c r="H6" s="205" t="s">
        <v>180</v>
      </c>
      <c r="I6" s="205" t="s">
        <v>181</v>
      </c>
      <c r="J6" s="205" t="s">
        <v>182</v>
      </c>
      <c r="K6" s="205" t="s">
        <v>183</v>
      </c>
      <c r="L6" s="205" t="s">
        <v>184</v>
      </c>
      <c r="M6" s="205" t="s">
        <v>185</v>
      </c>
      <c r="N6" s="205" t="s">
        <v>186</v>
      </c>
      <c r="O6" s="205" t="s">
        <v>187</v>
      </c>
      <c r="P6" s="205" t="s">
        <v>188</v>
      </c>
      <c r="Q6" s="205" t="s">
        <v>196</v>
      </c>
      <c r="R6" s="205" t="s">
        <v>213</v>
      </c>
      <c r="S6" s="206" t="s">
        <v>41</v>
      </c>
      <c r="T6" s="206" t="s">
        <v>189</v>
      </c>
      <c r="U6" s="207" t="s">
        <v>190</v>
      </c>
    </row>
    <row r="7" spans="1:21" ht="29.45" customHeight="1" x14ac:dyDescent="0.2">
      <c r="A7" s="208" t="s">
        <v>201</v>
      </c>
      <c r="B7" s="209" t="s">
        <v>174</v>
      </c>
      <c r="C7" s="210">
        <v>10</v>
      </c>
      <c r="D7" s="210">
        <v>4</v>
      </c>
      <c r="E7" s="210">
        <v>1</v>
      </c>
      <c r="F7" s="210">
        <v>2</v>
      </c>
      <c r="G7" s="210">
        <v>2</v>
      </c>
      <c r="H7" s="210">
        <v>1</v>
      </c>
      <c r="I7" s="210">
        <v>2</v>
      </c>
      <c r="J7" s="210">
        <v>2</v>
      </c>
      <c r="K7" s="210">
        <v>2</v>
      </c>
      <c r="L7" s="210">
        <v>2</v>
      </c>
      <c r="M7" s="210">
        <v>2</v>
      </c>
      <c r="N7" s="210">
        <v>1</v>
      </c>
      <c r="O7" s="210">
        <v>2</v>
      </c>
      <c r="P7" s="210">
        <v>2</v>
      </c>
      <c r="Q7" s="210">
        <v>1</v>
      </c>
      <c r="R7" s="210">
        <v>1</v>
      </c>
      <c r="S7" s="211">
        <f>SUM(C7:R7)</f>
        <v>37</v>
      </c>
      <c r="T7" s="183">
        <v>0</v>
      </c>
      <c r="U7" s="212">
        <f>T7*S7</f>
        <v>0</v>
      </c>
    </row>
    <row r="8" spans="1:21" ht="29.45" customHeight="1" x14ac:dyDescent="0.2">
      <c r="A8" s="208" t="s">
        <v>202</v>
      </c>
      <c r="B8" s="209" t="s">
        <v>174</v>
      </c>
      <c r="C8" s="210">
        <v>70</v>
      </c>
      <c r="D8" s="210">
        <v>16</v>
      </c>
      <c r="E8" s="210">
        <v>4</v>
      </c>
      <c r="F8" s="210">
        <v>8</v>
      </c>
      <c r="G8" s="210">
        <v>8</v>
      </c>
      <c r="H8" s="210">
        <v>4</v>
      </c>
      <c r="I8" s="210">
        <v>8</v>
      </c>
      <c r="J8" s="210">
        <v>8</v>
      </c>
      <c r="K8" s="210">
        <v>8</v>
      </c>
      <c r="L8" s="210">
        <v>8</v>
      </c>
      <c r="M8" s="210">
        <v>8</v>
      </c>
      <c r="N8" s="210">
        <v>4</v>
      </c>
      <c r="O8" s="210">
        <v>8</v>
      </c>
      <c r="P8" s="210">
        <v>8</v>
      </c>
      <c r="Q8" s="210">
        <v>4</v>
      </c>
      <c r="R8" s="210">
        <v>4</v>
      </c>
      <c r="S8" s="211">
        <f t="shared" ref="S8:S20" si="0">SUM(C8:R8)</f>
        <v>178</v>
      </c>
      <c r="T8" s="183">
        <v>0</v>
      </c>
      <c r="U8" s="212">
        <f t="shared" ref="U8:U20" si="1">T8*S8</f>
        <v>0</v>
      </c>
    </row>
    <row r="9" spans="1:21" ht="29.45" customHeight="1" x14ac:dyDescent="0.2">
      <c r="A9" s="208" t="s">
        <v>203</v>
      </c>
      <c r="B9" s="209" t="s">
        <v>174</v>
      </c>
      <c r="C9" s="210">
        <v>40</v>
      </c>
      <c r="D9" s="210">
        <v>8</v>
      </c>
      <c r="E9" s="210">
        <v>4</v>
      </c>
      <c r="F9" s="210">
        <v>4</v>
      </c>
      <c r="G9" s="210">
        <v>4</v>
      </c>
      <c r="H9" s="210">
        <v>4</v>
      </c>
      <c r="I9" s="210">
        <v>4</v>
      </c>
      <c r="J9" s="210">
        <v>4</v>
      </c>
      <c r="K9" s="210">
        <v>4</v>
      </c>
      <c r="L9" s="210">
        <v>4</v>
      </c>
      <c r="M9" s="210">
        <v>4</v>
      </c>
      <c r="N9" s="210">
        <v>4</v>
      </c>
      <c r="O9" s="210">
        <v>4</v>
      </c>
      <c r="P9" s="210">
        <v>4</v>
      </c>
      <c r="Q9" s="210">
        <v>4</v>
      </c>
      <c r="R9" s="210">
        <v>4</v>
      </c>
      <c r="S9" s="211">
        <f t="shared" si="0"/>
        <v>104</v>
      </c>
      <c r="T9" s="183">
        <v>0</v>
      </c>
      <c r="U9" s="212">
        <f t="shared" si="1"/>
        <v>0</v>
      </c>
    </row>
    <row r="10" spans="1:21" ht="29.45" customHeight="1" x14ac:dyDescent="0.2">
      <c r="A10" s="208" t="s">
        <v>204</v>
      </c>
      <c r="B10" s="209" t="s">
        <v>174</v>
      </c>
      <c r="C10" s="210">
        <v>10</v>
      </c>
      <c r="D10" s="210">
        <v>4</v>
      </c>
      <c r="E10" s="210">
        <v>1</v>
      </c>
      <c r="F10" s="210">
        <v>2</v>
      </c>
      <c r="G10" s="210">
        <v>2</v>
      </c>
      <c r="H10" s="210">
        <v>1</v>
      </c>
      <c r="I10" s="210">
        <v>2</v>
      </c>
      <c r="J10" s="210">
        <v>2</v>
      </c>
      <c r="K10" s="210">
        <v>2</v>
      </c>
      <c r="L10" s="210">
        <v>2</v>
      </c>
      <c r="M10" s="210">
        <v>2</v>
      </c>
      <c r="N10" s="210">
        <v>1</v>
      </c>
      <c r="O10" s="210">
        <v>2</v>
      </c>
      <c r="P10" s="210">
        <v>2</v>
      </c>
      <c r="Q10" s="210">
        <v>1</v>
      </c>
      <c r="R10" s="210">
        <v>1</v>
      </c>
      <c r="S10" s="211">
        <f t="shared" si="0"/>
        <v>37</v>
      </c>
      <c r="T10" s="183">
        <v>0</v>
      </c>
      <c r="U10" s="212">
        <f t="shared" si="1"/>
        <v>0</v>
      </c>
    </row>
    <row r="11" spans="1:21" ht="29.45" customHeight="1" x14ac:dyDescent="0.2">
      <c r="A11" s="213" t="s">
        <v>205</v>
      </c>
      <c r="B11" s="214" t="s">
        <v>174</v>
      </c>
      <c r="C11" s="215">
        <v>30</v>
      </c>
      <c r="D11" s="215">
        <v>6</v>
      </c>
      <c r="E11" s="215">
        <v>2</v>
      </c>
      <c r="F11" s="215">
        <v>3</v>
      </c>
      <c r="G11" s="215">
        <v>3</v>
      </c>
      <c r="H11" s="215">
        <v>2</v>
      </c>
      <c r="I11" s="215">
        <v>3</v>
      </c>
      <c r="J11" s="215">
        <v>3</v>
      </c>
      <c r="K11" s="215">
        <v>3</v>
      </c>
      <c r="L11" s="215">
        <v>3</v>
      </c>
      <c r="M11" s="215">
        <v>3</v>
      </c>
      <c r="N11" s="215">
        <v>2</v>
      </c>
      <c r="O11" s="215">
        <v>3</v>
      </c>
      <c r="P11" s="215">
        <v>3</v>
      </c>
      <c r="Q11" s="215">
        <v>2</v>
      </c>
      <c r="R11" s="215">
        <v>2</v>
      </c>
      <c r="S11" s="216">
        <f t="shared" si="0"/>
        <v>73</v>
      </c>
      <c r="T11" s="183">
        <v>0</v>
      </c>
      <c r="U11" s="212">
        <f t="shared" si="1"/>
        <v>0</v>
      </c>
    </row>
    <row r="12" spans="1:21" ht="29.45" customHeight="1" x14ac:dyDescent="0.2">
      <c r="A12" s="213" t="s">
        <v>206</v>
      </c>
      <c r="B12" s="214" t="s">
        <v>191</v>
      </c>
      <c r="C12" s="215">
        <v>20</v>
      </c>
      <c r="D12" s="215">
        <v>6</v>
      </c>
      <c r="E12" s="215">
        <v>2</v>
      </c>
      <c r="F12" s="215">
        <v>3</v>
      </c>
      <c r="G12" s="215">
        <v>3</v>
      </c>
      <c r="H12" s="215">
        <v>2</v>
      </c>
      <c r="I12" s="215">
        <v>3</v>
      </c>
      <c r="J12" s="215">
        <v>3</v>
      </c>
      <c r="K12" s="215">
        <v>3</v>
      </c>
      <c r="L12" s="215">
        <v>3</v>
      </c>
      <c r="M12" s="215">
        <v>3</v>
      </c>
      <c r="N12" s="215">
        <v>2</v>
      </c>
      <c r="O12" s="215">
        <v>3</v>
      </c>
      <c r="P12" s="215">
        <v>3</v>
      </c>
      <c r="Q12" s="215">
        <v>2</v>
      </c>
      <c r="R12" s="215">
        <v>2</v>
      </c>
      <c r="S12" s="216">
        <f t="shared" si="0"/>
        <v>63</v>
      </c>
      <c r="T12" s="183">
        <v>0</v>
      </c>
      <c r="U12" s="212">
        <f t="shared" si="1"/>
        <v>0</v>
      </c>
    </row>
    <row r="13" spans="1:21" ht="29.45" customHeight="1" x14ac:dyDescent="0.2">
      <c r="A13" s="213" t="s">
        <v>207</v>
      </c>
      <c r="B13" s="214" t="s">
        <v>191</v>
      </c>
      <c r="C13" s="215">
        <v>10</v>
      </c>
      <c r="D13" s="215">
        <v>2</v>
      </c>
      <c r="E13" s="215">
        <v>1</v>
      </c>
      <c r="F13" s="215">
        <v>1</v>
      </c>
      <c r="G13" s="215">
        <v>1</v>
      </c>
      <c r="H13" s="215">
        <v>1</v>
      </c>
      <c r="I13" s="215">
        <v>1</v>
      </c>
      <c r="J13" s="215">
        <v>1</v>
      </c>
      <c r="K13" s="215">
        <v>1</v>
      </c>
      <c r="L13" s="215">
        <v>1</v>
      </c>
      <c r="M13" s="215">
        <v>1</v>
      </c>
      <c r="N13" s="215">
        <v>1</v>
      </c>
      <c r="O13" s="215">
        <v>1</v>
      </c>
      <c r="P13" s="215">
        <v>1</v>
      </c>
      <c r="Q13" s="215">
        <v>1</v>
      </c>
      <c r="R13" s="215">
        <v>1</v>
      </c>
      <c r="S13" s="216">
        <f t="shared" si="0"/>
        <v>26</v>
      </c>
      <c r="T13" s="183">
        <v>0</v>
      </c>
      <c r="U13" s="212">
        <f t="shared" si="1"/>
        <v>0</v>
      </c>
    </row>
    <row r="14" spans="1:21" ht="29.45" customHeight="1" x14ac:dyDescent="0.2">
      <c r="A14" s="213" t="s">
        <v>208</v>
      </c>
      <c r="B14" s="214" t="s">
        <v>174</v>
      </c>
      <c r="C14" s="215">
        <v>10</v>
      </c>
      <c r="D14" s="215">
        <v>2</v>
      </c>
      <c r="E14" s="215">
        <v>1</v>
      </c>
      <c r="F14" s="215">
        <v>1</v>
      </c>
      <c r="G14" s="215">
        <v>1</v>
      </c>
      <c r="H14" s="215">
        <v>1</v>
      </c>
      <c r="I14" s="215">
        <v>1</v>
      </c>
      <c r="J14" s="215">
        <v>1</v>
      </c>
      <c r="K14" s="215">
        <v>1</v>
      </c>
      <c r="L14" s="215">
        <v>1</v>
      </c>
      <c r="M14" s="215">
        <v>1</v>
      </c>
      <c r="N14" s="215">
        <v>1</v>
      </c>
      <c r="O14" s="215">
        <v>1</v>
      </c>
      <c r="P14" s="215">
        <v>1</v>
      </c>
      <c r="Q14" s="215">
        <v>1</v>
      </c>
      <c r="R14" s="215">
        <v>1</v>
      </c>
      <c r="S14" s="216">
        <f t="shared" si="0"/>
        <v>26</v>
      </c>
      <c r="T14" s="183">
        <v>0</v>
      </c>
      <c r="U14" s="212">
        <f t="shared" si="1"/>
        <v>0</v>
      </c>
    </row>
    <row r="15" spans="1:21" ht="29.45" customHeight="1" x14ac:dyDescent="0.2">
      <c r="A15" s="213" t="s">
        <v>209</v>
      </c>
      <c r="B15" s="214" t="s">
        <v>174</v>
      </c>
      <c r="C15" s="215">
        <v>30</v>
      </c>
      <c r="D15" s="215">
        <v>6</v>
      </c>
      <c r="E15" s="215">
        <v>2</v>
      </c>
      <c r="F15" s="215">
        <v>3</v>
      </c>
      <c r="G15" s="215">
        <v>3</v>
      </c>
      <c r="H15" s="215">
        <v>2</v>
      </c>
      <c r="I15" s="215">
        <v>3</v>
      </c>
      <c r="J15" s="215">
        <v>3</v>
      </c>
      <c r="K15" s="215">
        <v>3</v>
      </c>
      <c r="L15" s="215">
        <v>3</v>
      </c>
      <c r="M15" s="215">
        <v>3</v>
      </c>
      <c r="N15" s="215">
        <v>2</v>
      </c>
      <c r="O15" s="215">
        <v>3</v>
      </c>
      <c r="P15" s="215">
        <v>3</v>
      </c>
      <c r="Q15" s="215">
        <v>2</v>
      </c>
      <c r="R15" s="215">
        <v>2</v>
      </c>
      <c r="S15" s="216">
        <f t="shared" si="0"/>
        <v>73</v>
      </c>
      <c r="T15" s="183">
        <v>0</v>
      </c>
      <c r="U15" s="212">
        <f t="shared" si="1"/>
        <v>0</v>
      </c>
    </row>
    <row r="16" spans="1:21" ht="29.45" customHeight="1" x14ac:dyDescent="0.2">
      <c r="A16" s="213" t="s">
        <v>210</v>
      </c>
      <c r="B16" s="214" t="s">
        <v>174</v>
      </c>
      <c r="C16" s="215">
        <v>10</v>
      </c>
      <c r="D16" s="215">
        <v>4</v>
      </c>
      <c r="E16" s="215">
        <v>1</v>
      </c>
      <c r="F16" s="215">
        <v>2</v>
      </c>
      <c r="G16" s="215">
        <v>2</v>
      </c>
      <c r="H16" s="215">
        <v>1</v>
      </c>
      <c r="I16" s="215">
        <v>2</v>
      </c>
      <c r="J16" s="215">
        <v>2</v>
      </c>
      <c r="K16" s="215">
        <v>2</v>
      </c>
      <c r="L16" s="215">
        <v>2</v>
      </c>
      <c r="M16" s="215">
        <v>2</v>
      </c>
      <c r="N16" s="215">
        <v>1</v>
      </c>
      <c r="O16" s="215">
        <v>2</v>
      </c>
      <c r="P16" s="215">
        <v>2</v>
      </c>
      <c r="Q16" s="215">
        <v>1</v>
      </c>
      <c r="R16" s="215">
        <v>1</v>
      </c>
      <c r="S16" s="216">
        <f t="shared" si="0"/>
        <v>37</v>
      </c>
      <c r="T16" s="183">
        <v>0</v>
      </c>
      <c r="U16" s="212">
        <f t="shared" si="1"/>
        <v>0</v>
      </c>
    </row>
    <row r="17" spans="1:23" ht="37.9" customHeight="1" x14ac:dyDescent="0.2">
      <c r="A17" s="213" t="s">
        <v>211</v>
      </c>
      <c r="B17" s="214" t="s">
        <v>200</v>
      </c>
      <c r="C17" s="215">
        <v>20</v>
      </c>
      <c r="D17" s="215">
        <v>4</v>
      </c>
      <c r="E17" s="215">
        <v>2</v>
      </c>
      <c r="F17" s="215">
        <v>2</v>
      </c>
      <c r="G17" s="215">
        <v>2</v>
      </c>
      <c r="H17" s="215">
        <v>2</v>
      </c>
      <c r="I17" s="215">
        <v>2</v>
      </c>
      <c r="J17" s="215">
        <v>2</v>
      </c>
      <c r="K17" s="215">
        <v>2</v>
      </c>
      <c r="L17" s="215">
        <v>2</v>
      </c>
      <c r="M17" s="215">
        <v>2</v>
      </c>
      <c r="N17" s="215">
        <v>2</v>
      </c>
      <c r="O17" s="215">
        <v>2</v>
      </c>
      <c r="P17" s="215">
        <v>2</v>
      </c>
      <c r="Q17" s="215">
        <v>2</v>
      </c>
      <c r="R17" s="215">
        <v>2</v>
      </c>
      <c r="S17" s="216">
        <f t="shared" si="0"/>
        <v>52</v>
      </c>
      <c r="T17" s="183">
        <v>0</v>
      </c>
      <c r="U17" s="212">
        <f t="shared" si="1"/>
        <v>0</v>
      </c>
    </row>
    <row r="18" spans="1:23" ht="69.599999999999994" customHeight="1" x14ac:dyDescent="0.2">
      <c r="A18" s="213" t="s">
        <v>212</v>
      </c>
      <c r="B18" s="214" t="s">
        <v>174</v>
      </c>
      <c r="C18" s="215">
        <v>20</v>
      </c>
      <c r="D18" s="215">
        <v>4</v>
      </c>
      <c r="E18" s="215">
        <v>2</v>
      </c>
      <c r="F18" s="215">
        <v>2</v>
      </c>
      <c r="G18" s="215">
        <v>2</v>
      </c>
      <c r="H18" s="215">
        <v>2</v>
      </c>
      <c r="I18" s="215">
        <v>2</v>
      </c>
      <c r="J18" s="215">
        <v>2</v>
      </c>
      <c r="K18" s="215">
        <v>2</v>
      </c>
      <c r="L18" s="215">
        <v>2</v>
      </c>
      <c r="M18" s="215">
        <v>2</v>
      </c>
      <c r="N18" s="215">
        <v>2</v>
      </c>
      <c r="O18" s="215">
        <v>2</v>
      </c>
      <c r="P18" s="215">
        <v>2</v>
      </c>
      <c r="Q18" s="215">
        <v>2</v>
      </c>
      <c r="R18" s="215">
        <v>2</v>
      </c>
      <c r="S18" s="216">
        <f t="shared" si="0"/>
        <v>52</v>
      </c>
      <c r="T18" s="183">
        <v>0</v>
      </c>
      <c r="U18" s="212">
        <f t="shared" si="1"/>
        <v>0</v>
      </c>
    </row>
    <row r="19" spans="1:23" ht="51" customHeight="1" x14ac:dyDescent="0.2">
      <c r="A19" s="213" t="s">
        <v>221</v>
      </c>
      <c r="B19" s="214" t="s">
        <v>174</v>
      </c>
      <c r="C19" s="215">
        <v>20</v>
      </c>
      <c r="D19" s="215">
        <v>4</v>
      </c>
      <c r="E19" s="215">
        <v>2</v>
      </c>
      <c r="F19" s="215">
        <v>2</v>
      </c>
      <c r="G19" s="215">
        <v>2</v>
      </c>
      <c r="H19" s="215">
        <v>2</v>
      </c>
      <c r="I19" s="215">
        <v>2</v>
      </c>
      <c r="J19" s="215">
        <v>2</v>
      </c>
      <c r="K19" s="215">
        <v>2</v>
      </c>
      <c r="L19" s="215">
        <v>2</v>
      </c>
      <c r="M19" s="215">
        <v>2</v>
      </c>
      <c r="N19" s="215">
        <v>2</v>
      </c>
      <c r="O19" s="215">
        <v>2</v>
      </c>
      <c r="P19" s="215">
        <v>2</v>
      </c>
      <c r="Q19" s="215">
        <v>2</v>
      </c>
      <c r="R19" s="215">
        <v>2</v>
      </c>
      <c r="S19" s="216">
        <f t="shared" si="0"/>
        <v>52</v>
      </c>
      <c r="T19" s="183">
        <v>0</v>
      </c>
      <c r="U19" s="212">
        <f t="shared" si="1"/>
        <v>0</v>
      </c>
    </row>
    <row r="20" spans="1:23" ht="48.6" customHeight="1" x14ac:dyDescent="0.2">
      <c r="A20" s="213" t="s">
        <v>222</v>
      </c>
      <c r="B20" s="214" t="s">
        <v>174</v>
      </c>
      <c r="C20" s="215">
        <v>20</v>
      </c>
      <c r="D20" s="215">
        <v>4</v>
      </c>
      <c r="E20" s="215">
        <v>2</v>
      </c>
      <c r="F20" s="215">
        <v>2</v>
      </c>
      <c r="G20" s="215">
        <v>2</v>
      </c>
      <c r="H20" s="215">
        <v>2</v>
      </c>
      <c r="I20" s="215">
        <v>2</v>
      </c>
      <c r="J20" s="215">
        <v>2</v>
      </c>
      <c r="K20" s="215">
        <v>2</v>
      </c>
      <c r="L20" s="215">
        <v>2</v>
      </c>
      <c r="M20" s="215">
        <v>2</v>
      </c>
      <c r="N20" s="215">
        <v>2</v>
      </c>
      <c r="O20" s="215">
        <v>2</v>
      </c>
      <c r="P20" s="215">
        <v>2</v>
      </c>
      <c r="Q20" s="215">
        <v>2</v>
      </c>
      <c r="R20" s="215">
        <v>2</v>
      </c>
      <c r="S20" s="216">
        <f t="shared" si="0"/>
        <v>52</v>
      </c>
      <c r="T20" s="183">
        <v>0</v>
      </c>
      <c r="U20" s="212">
        <f t="shared" si="1"/>
        <v>0</v>
      </c>
    </row>
    <row r="21" spans="1:23" ht="18.75" x14ac:dyDescent="0.2">
      <c r="A21" s="283" t="s">
        <v>41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17">
        <f>SUM(U7:U20)</f>
        <v>0</v>
      </c>
    </row>
    <row r="22" spans="1:23" ht="16.149999999999999" customHeight="1" thickBot="1" x14ac:dyDescent="0.25">
      <c r="A22" s="285" t="s">
        <v>192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18">
        <f>U21*12</f>
        <v>0</v>
      </c>
    </row>
    <row r="23" spans="1:23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80"/>
      <c r="W23" s="80"/>
    </row>
    <row r="24" spans="1:23" ht="13.5" thickBot="1" x14ac:dyDescent="0.2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80"/>
      <c r="W24" s="80"/>
    </row>
    <row r="25" spans="1:23" ht="15.75" x14ac:dyDescent="0.25">
      <c r="A25" s="269" t="s">
        <v>193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1"/>
    </row>
    <row r="26" spans="1:23" ht="15.75" x14ac:dyDescent="0.25">
      <c r="A26" s="272" t="s">
        <v>194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4"/>
    </row>
    <row r="27" spans="1:23" ht="15.75" x14ac:dyDescent="0.25">
      <c r="A27" s="272" t="s">
        <v>195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4"/>
    </row>
    <row r="28" spans="1:23" ht="85.15" customHeight="1" x14ac:dyDescent="0.2">
      <c r="A28" s="203" t="s">
        <v>173</v>
      </c>
      <c r="B28" s="204" t="s">
        <v>174</v>
      </c>
      <c r="C28" s="205" t="s">
        <v>175</v>
      </c>
      <c r="D28" s="205" t="s">
        <v>176</v>
      </c>
      <c r="E28" s="205" t="s">
        <v>177</v>
      </c>
      <c r="F28" s="205" t="s">
        <v>178</v>
      </c>
      <c r="G28" s="205" t="s">
        <v>179</v>
      </c>
      <c r="H28" s="205" t="s">
        <v>180</v>
      </c>
      <c r="I28" s="205" t="s">
        <v>181</v>
      </c>
      <c r="J28" s="205" t="s">
        <v>182</v>
      </c>
      <c r="K28" s="205" t="s">
        <v>183</v>
      </c>
      <c r="L28" s="205" t="s">
        <v>184</v>
      </c>
      <c r="M28" s="205" t="s">
        <v>185</v>
      </c>
      <c r="N28" s="205" t="s">
        <v>186</v>
      </c>
      <c r="O28" s="205" t="s">
        <v>187</v>
      </c>
      <c r="P28" s="205" t="s">
        <v>188</v>
      </c>
      <c r="Q28" s="205" t="s">
        <v>196</v>
      </c>
      <c r="R28" s="205" t="s">
        <v>213</v>
      </c>
      <c r="S28" s="206" t="s">
        <v>41</v>
      </c>
      <c r="T28" s="206" t="s">
        <v>189</v>
      </c>
      <c r="U28" s="207" t="s">
        <v>190</v>
      </c>
    </row>
    <row r="29" spans="1:23" ht="30.6" customHeight="1" x14ac:dyDescent="0.2">
      <c r="A29" s="213" t="s">
        <v>214</v>
      </c>
      <c r="B29" s="214" t="s">
        <v>174</v>
      </c>
      <c r="C29" s="220">
        <v>10</v>
      </c>
      <c r="D29" s="220">
        <v>2</v>
      </c>
      <c r="E29" s="220">
        <v>1</v>
      </c>
      <c r="F29" s="220">
        <v>1</v>
      </c>
      <c r="G29" s="220">
        <v>1</v>
      </c>
      <c r="H29" s="220">
        <v>1</v>
      </c>
      <c r="I29" s="220">
        <v>1</v>
      </c>
      <c r="J29" s="220">
        <v>1</v>
      </c>
      <c r="K29" s="220">
        <v>1</v>
      </c>
      <c r="L29" s="220">
        <v>1</v>
      </c>
      <c r="M29" s="220">
        <v>1</v>
      </c>
      <c r="N29" s="220">
        <v>1</v>
      </c>
      <c r="O29" s="220">
        <v>1</v>
      </c>
      <c r="P29" s="220">
        <v>1</v>
      </c>
      <c r="Q29" s="220">
        <v>1</v>
      </c>
      <c r="R29" s="220">
        <v>1</v>
      </c>
      <c r="S29" s="216">
        <f>SUM(C29:R29)</f>
        <v>26</v>
      </c>
      <c r="T29" s="183">
        <v>0</v>
      </c>
      <c r="U29" s="212">
        <f>T29*S29</f>
        <v>0</v>
      </c>
    </row>
    <row r="30" spans="1:23" ht="30.6" customHeight="1" x14ac:dyDescent="0.2">
      <c r="A30" s="213" t="s">
        <v>215</v>
      </c>
      <c r="B30" s="214" t="s">
        <v>174</v>
      </c>
      <c r="C30" s="220">
        <v>10</v>
      </c>
      <c r="D30" s="220">
        <v>2</v>
      </c>
      <c r="E30" s="220">
        <v>1</v>
      </c>
      <c r="F30" s="220">
        <v>1</v>
      </c>
      <c r="G30" s="220">
        <v>1</v>
      </c>
      <c r="H30" s="220">
        <v>1</v>
      </c>
      <c r="I30" s="220">
        <v>1</v>
      </c>
      <c r="J30" s="220">
        <v>1</v>
      </c>
      <c r="K30" s="220">
        <v>1</v>
      </c>
      <c r="L30" s="220">
        <v>1</v>
      </c>
      <c r="M30" s="220">
        <v>1</v>
      </c>
      <c r="N30" s="220">
        <v>1</v>
      </c>
      <c r="O30" s="220">
        <v>1</v>
      </c>
      <c r="P30" s="220">
        <v>1</v>
      </c>
      <c r="Q30" s="220">
        <v>1</v>
      </c>
      <c r="R30" s="220">
        <v>1</v>
      </c>
      <c r="S30" s="216">
        <f>SUM(C30:R30)</f>
        <v>26</v>
      </c>
      <c r="T30" s="183">
        <v>0</v>
      </c>
      <c r="U30" s="212">
        <f>T30*S30</f>
        <v>0</v>
      </c>
    </row>
    <row r="31" spans="1:23" ht="18.75" x14ac:dyDescent="0.2">
      <c r="A31" s="275" t="s">
        <v>41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21">
        <f>SUM(U29:U30)</f>
        <v>0</v>
      </c>
    </row>
    <row r="32" spans="1:23" ht="19.5" thickBot="1" x14ac:dyDescent="0.25">
      <c r="A32" s="277" t="s">
        <v>197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22">
        <f>U31*4</f>
        <v>0</v>
      </c>
    </row>
    <row r="33" spans="1:2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 ht="13.5" thickBo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1:21" ht="15.75" x14ac:dyDescent="0.25">
      <c r="A35" s="269" t="s">
        <v>198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1"/>
    </row>
    <row r="36" spans="1:21" ht="15.75" x14ac:dyDescent="0.25">
      <c r="A36" s="279" t="s">
        <v>194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1"/>
    </row>
    <row r="37" spans="1:21" ht="15.75" x14ac:dyDescent="0.25">
      <c r="A37" s="279" t="s">
        <v>199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1"/>
    </row>
    <row r="38" spans="1:21" ht="76.900000000000006" customHeight="1" x14ac:dyDescent="0.2">
      <c r="A38" s="223" t="s">
        <v>173</v>
      </c>
      <c r="B38" s="224" t="s">
        <v>174</v>
      </c>
      <c r="C38" s="225" t="s">
        <v>175</v>
      </c>
      <c r="D38" s="225" t="s">
        <v>176</v>
      </c>
      <c r="E38" s="225" t="s">
        <v>177</v>
      </c>
      <c r="F38" s="225" t="s">
        <v>178</v>
      </c>
      <c r="G38" s="225" t="s">
        <v>179</v>
      </c>
      <c r="H38" s="225" t="s">
        <v>180</v>
      </c>
      <c r="I38" s="225" t="s">
        <v>181</v>
      </c>
      <c r="J38" s="225" t="s">
        <v>182</v>
      </c>
      <c r="K38" s="225" t="s">
        <v>183</v>
      </c>
      <c r="L38" s="225" t="s">
        <v>184</v>
      </c>
      <c r="M38" s="225" t="s">
        <v>185</v>
      </c>
      <c r="N38" s="225" t="s">
        <v>186</v>
      </c>
      <c r="O38" s="225" t="s">
        <v>187</v>
      </c>
      <c r="P38" s="225" t="s">
        <v>188</v>
      </c>
      <c r="Q38" s="225" t="s">
        <v>196</v>
      </c>
      <c r="R38" s="225" t="s">
        <v>213</v>
      </c>
      <c r="S38" s="226" t="s">
        <v>41</v>
      </c>
      <c r="T38" s="226" t="s">
        <v>189</v>
      </c>
      <c r="U38" s="227" t="s">
        <v>190</v>
      </c>
    </row>
    <row r="39" spans="1:21" ht="62.45" customHeight="1" x14ac:dyDescent="0.2">
      <c r="A39" s="228" t="s">
        <v>217</v>
      </c>
      <c r="B39" s="220" t="s">
        <v>174</v>
      </c>
      <c r="C39" s="220">
        <v>10</v>
      </c>
      <c r="D39" s="220">
        <v>2</v>
      </c>
      <c r="E39" s="220">
        <v>1</v>
      </c>
      <c r="F39" s="220">
        <v>1</v>
      </c>
      <c r="G39" s="220">
        <v>1</v>
      </c>
      <c r="H39" s="220">
        <v>1</v>
      </c>
      <c r="I39" s="220">
        <v>1</v>
      </c>
      <c r="J39" s="220">
        <v>1</v>
      </c>
      <c r="K39" s="220">
        <v>1</v>
      </c>
      <c r="L39" s="220">
        <v>1</v>
      </c>
      <c r="M39" s="220">
        <v>1</v>
      </c>
      <c r="N39" s="220">
        <v>1</v>
      </c>
      <c r="O39" s="220">
        <v>1</v>
      </c>
      <c r="P39" s="220">
        <v>1</v>
      </c>
      <c r="Q39" s="220">
        <v>1</v>
      </c>
      <c r="R39" s="220">
        <v>1</v>
      </c>
      <c r="S39" s="216">
        <f>SUM(C39:R39)</f>
        <v>26</v>
      </c>
      <c r="T39" s="183">
        <v>0</v>
      </c>
      <c r="U39" s="229">
        <f>T39*S39</f>
        <v>0</v>
      </c>
    </row>
    <row r="40" spans="1:21" ht="26.45" customHeight="1" x14ac:dyDescent="0.2">
      <c r="A40" s="228" t="s">
        <v>218</v>
      </c>
      <c r="B40" s="220" t="s">
        <v>174</v>
      </c>
      <c r="C40" s="220">
        <v>10</v>
      </c>
      <c r="D40" s="220">
        <v>2</v>
      </c>
      <c r="E40" s="220">
        <v>1</v>
      </c>
      <c r="F40" s="220">
        <v>1</v>
      </c>
      <c r="G40" s="220">
        <v>1</v>
      </c>
      <c r="H40" s="220">
        <v>1</v>
      </c>
      <c r="I40" s="220">
        <v>1</v>
      </c>
      <c r="J40" s="220">
        <v>1</v>
      </c>
      <c r="K40" s="220">
        <v>1</v>
      </c>
      <c r="L40" s="220">
        <v>1</v>
      </c>
      <c r="M40" s="220">
        <v>1</v>
      </c>
      <c r="N40" s="220">
        <v>1</v>
      </c>
      <c r="O40" s="220">
        <v>1</v>
      </c>
      <c r="P40" s="220">
        <v>1</v>
      </c>
      <c r="Q40" s="220">
        <v>1</v>
      </c>
      <c r="R40" s="220">
        <v>1</v>
      </c>
      <c r="S40" s="216">
        <f>SUM(C40:R40)</f>
        <v>26</v>
      </c>
      <c r="T40" s="183">
        <v>0</v>
      </c>
      <c r="U40" s="229">
        <f>T40*S40</f>
        <v>0</v>
      </c>
    </row>
    <row r="41" spans="1:21" ht="27.6" customHeight="1" x14ac:dyDescent="0.2">
      <c r="A41" s="228" t="s">
        <v>219</v>
      </c>
      <c r="B41" s="220" t="s">
        <v>174</v>
      </c>
      <c r="C41" s="220">
        <v>10</v>
      </c>
      <c r="D41" s="220">
        <v>2</v>
      </c>
      <c r="E41" s="220">
        <v>1</v>
      </c>
      <c r="F41" s="220">
        <v>1</v>
      </c>
      <c r="G41" s="220">
        <v>1</v>
      </c>
      <c r="H41" s="220">
        <v>1</v>
      </c>
      <c r="I41" s="220">
        <v>1</v>
      </c>
      <c r="J41" s="220">
        <v>1</v>
      </c>
      <c r="K41" s="220">
        <v>1</v>
      </c>
      <c r="L41" s="220">
        <v>1</v>
      </c>
      <c r="M41" s="220">
        <v>1</v>
      </c>
      <c r="N41" s="220">
        <v>1</v>
      </c>
      <c r="O41" s="220">
        <v>1</v>
      </c>
      <c r="P41" s="220">
        <v>1</v>
      </c>
      <c r="Q41" s="220">
        <v>1</v>
      </c>
      <c r="R41" s="220">
        <v>1</v>
      </c>
      <c r="S41" s="216">
        <f>SUM(C41:R41)</f>
        <v>26</v>
      </c>
      <c r="T41" s="183">
        <v>0</v>
      </c>
      <c r="U41" s="229">
        <f>T41*S41</f>
        <v>0</v>
      </c>
    </row>
    <row r="42" spans="1:21" ht="25.15" customHeight="1" x14ac:dyDescent="0.2">
      <c r="A42" s="228" t="s">
        <v>220</v>
      </c>
      <c r="B42" s="220" t="s">
        <v>174</v>
      </c>
      <c r="C42" s="220">
        <v>10</v>
      </c>
      <c r="D42" s="220">
        <v>2</v>
      </c>
      <c r="E42" s="220">
        <v>1</v>
      </c>
      <c r="F42" s="220">
        <v>1</v>
      </c>
      <c r="G42" s="220">
        <v>1</v>
      </c>
      <c r="H42" s="220">
        <v>1</v>
      </c>
      <c r="I42" s="220">
        <v>1</v>
      </c>
      <c r="J42" s="220">
        <v>1</v>
      </c>
      <c r="K42" s="220">
        <v>1</v>
      </c>
      <c r="L42" s="220">
        <v>1</v>
      </c>
      <c r="M42" s="220">
        <v>1</v>
      </c>
      <c r="N42" s="220">
        <v>1</v>
      </c>
      <c r="O42" s="220">
        <v>1</v>
      </c>
      <c r="P42" s="220">
        <v>1</v>
      </c>
      <c r="Q42" s="220">
        <v>1</v>
      </c>
      <c r="R42" s="220">
        <v>1</v>
      </c>
      <c r="S42" s="216">
        <f>SUM(C42:R42)</f>
        <v>26</v>
      </c>
      <c r="T42" s="183">
        <v>0</v>
      </c>
      <c r="U42" s="229">
        <f>T42*S42</f>
        <v>0</v>
      </c>
    </row>
    <row r="43" spans="1:21" ht="19.5" thickBot="1" x14ac:dyDescent="0.25">
      <c r="A43" s="277" t="s">
        <v>216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22">
        <f>SUM(U39:U42)</f>
        <v>0</v>
      </c>
    </row>
    <row r="46" spans="1:21" ht="15.75" x14ac:dyDescent="0.25">
      <c r="A46" s="282" t="s">
        <v>322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21" ht="16.5" thickBot="1" x14ac:dyDescent="0.3">
      <c r="A47" s="76"/>
    </row>
    <row r="48" spans="1:21" ht="13.5" thickBot="1" x14ac:dyDescent="0.25">
      <c r="A48" s="83" t="s">
        <v>323</v>
      </c>
      <c r="B48" s="82">
        <f>(U22+U32+U43)/12</f>
        <v>0</v>
      </c>
      <c r="C48" s="81"/>
      <c r="D48" s="81"/>
      <c r="E48" s="77"/>
      <c r="F48" s="77"/>
    </row>
    <row r="49" spans="1:6" ht="13.5" thickBot="1" x14ac:dyDescent="0.25"/>
    <row r="50" spans="1:6" ht="13.5" thickBot="1" x14ac:dyDescent="0.25">
      <c r="A50" s="83" t="s">
        <v>329</v>
      </c>
      <c r="B50" s="84">
        <f>B48/47</f>
        <v>0</v>
      </c>
      <c r="C50" s="78"/>
      <c r="D50" s="78"/>
      <c r="E50" s="78"/>
      <c r="F50" s="79"/>
    </row>
    <row r="52" spans="1:6" ht="17.25" x14ac:dyDescent="0.3">
      <c r="A52" s="262" t="s">
        <v>309</v>
      </c>
      <c r="B52" s="262"/>
    </row>
  </sheetData>
  <sheetProtection algorithmName="SHA-512" hashValue="ptRRJum9z0kZYN/pDOhnTGz65HHNm02xldm5wv0zj0WNoSwu0dGb3XC2XZ/8JMc4Q3k4neyP8IhGvQ7ZA8+1eA==" saltValue="/R42hC767tjl0K2Wn2od+Q==" spinCount="100000" sheet="1" objects="1" scenarios="1"/>
  <mergeCells count="16">
    <mergeCell ref="A3:U3"/>
    <mergeCell ref="A4:U4"/>
    <mergeCell ref="A21:T21"/>
    <mergeCell ref="A22:T22"/>
    <mergeCell ref="A5:U5"/>
    <mergeCell ref="A52:B52"/>
    <mergeCell ref="A36:U36"/>
    <mergeCell ref="A37:U37"/>
    <mergeCell ref="A43:T43"/>
    <mergeCell ref="A46:M46"/>
    <mergeCell ref="A35:U35"/>
    <mergeCell ref="A25:U25"/>
    <mergeCell ref="A26:U26"/>
    <mergeCell ref="A27:U27"/>
    <mergeCell ref="A31:T31"/>
    <mergeCell ref="A32:T32"/>
  </mergeCells>
  <phoneticPr fontId="37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3"/>
  <sheetViews>
    <sheetView tabSelected="1" topLeftCell="A43" zoomScaleNormal="100" workbookViewId="0">
      <selection activeCell="H55" sqref="H55"/>
    </sheetView>
  </sheetViews>
  <sheetFormatPr defaultRowHeight="12.75" x14ac:dyDescent="0.2"/>
  <cols>
    <col min="1" max="1" width="41.28515625" customWidth="1"/>
    <col min="2" max="2" width="19.5703125" style="196" customWidth="1"/>
    <col min="3" max="5" width="19.5703125" customWidth="1"/>
  </cols>
  <sheetData>
    <row r="1" spans="1:5" x14ac:dyDescent="0.2">
      <c r="A1" s="298" t="s">
        <v>263</v>
      </c>
      <c r="B1" s="299"/>
      <c r="C1" s="299"/>
      <c r="D1" s="299"/>
      <c r="E1" s="300"/>
    </row>
    <row r="2" spans="1:5" ht="13.5" thickBot="1" x14ac:dyDescent="0.25">
      <c r="A2" s="304"/>
      <c r="B2" s="305"/>
      <c r="C2" s="305"/>
      <c r="D2" s="305"/>
      <c r="E2" s="306"/>
    </row>
    <row r="3" spans="1:5" ht="43.5" thickBot="1" x14ac:dyDescent="0.25">
      <c r="A3" s="197" t="s">
        <v>241</v>
      </c>
      <c r="B3" s="197" t="s">
        <v>242</v>
      </c>
      <c r="C3" s="198" t="s">
        <v>243</v>
      </c>
      <c r="D3" s="199" t="s">
        <v>244</v>
      </c>
      <c r="E3" s="199" t="s">
        <v>245</v>
      </c>
    </row>
    <row r="4" spans="1:5" ht="13.5" thickBot="1" x14ac:dyDescent="0.25">
      <c r="A4" s="88" t="s">
        <v>246</v>
      </c>
      <c r="B4" s="200">
        <v>2</v>
      </c>
      <c r="C4" s="86">
        <v>0</v>
      </c>
      <c r="D4" s="87">
        <f t="shared" ref="D4:D11" si="0">C4*B4</f>
        <v>0</v>
      </c>
      <c r="E4" s="87">
        <f>D4/12</f>
        <v>0</v>
      </c>
    </row>
    <row r="5" spans="1:5" ht="13.5" thickBot="1" x14ac:dyDescent="0.25">
      <c r="A5" s="88" t="s">
        <v>247</v>
      </c>
      <c r="B5" s="200">
        <v>2</v>
      </c>
      <c r="C5" s="86">
        <v>0</v>
      </c>
      <c r="D5" s="87">
        <f t="shared" si="0"/>
        <v>0</v>
      </c>
      <c r="E5" s="87">
        <f t="shared" ref="E5:E10" si="1">D5/12</f>
        <v>0</v>
      </c>
    </row>
    <row r="6" spans="1:5" ht="13.5" thickBot="1" x14ac:dyDescent="0.25">
      <c r="A6" s="88" t="s">
        <v>270</v>
      </c>
      <c r="B6" s="200">
        <v>4</v>
      </c>
      <c r="C6" s="86">
        <v>0</v>
      </c>
      <c r="D6" s="87">
        <f t="shared" si="0"/>
        <v>0</v>
      </c>
      <c r="E6" s="87">
        <f t="shared" si="1"/>
        <v>0</v>
      </c>
    </row>
    <row r="7" spans="1:5" ht="13.5" thickBot="1" x14ac:dyDescent="0.25">
      <c r="A7" s="88" t="s">
        <v>267</v>
      </c>
      <c r="B7" s="200">
        <v>2</v>
      </c>
      <c r="C7" s="86">
        <v>0</v>
      </c>
      <c r="D7" s="87">
        <f t="shared" si="0"/>
        <v>0</v>
      </c>
      <c r="E7" s="87">
        <f t="shared" si="1"/>
        <v>0</v>
      </c>
    </row>
    <row r="8" spans="1:5" ht="13.5" thickBot="1" x14ac:dyDescent="0.25">
      <c r="A8" s="88" t="s">
        <v>248</v>
      </c>
      <c r="B8" s="200">
        <v>2</v>
      </c>
      <c r="C8" s="86">
        <v>0</v>
      </c>
      <c r="D8" s="87">
        <f t="shared" si="0"/>
        <v>0</v>
      </c>
      <c r="E8" s="87">
        <f t="shared" si="1"/>
        <v>0</v>
      </c>
    </row>
    <row r="9" spans="1:5" ht="13.5" thickBot="1" x14ac:dyDescent="0.25">
      <c r="A9" s="88" t="s">
        <v>249</v>
      </c>
      <c r="B9" s="200">
        <v>2</v>
      </c>
      <c r="C9" s="86">
        <v>0</v>
      </c>
      <c r="D9" s="87">
        <f t="shared" si="0"/>
        <v>0</v>
      </c>
      <c r="E9" s="87">
        <f t="shared" si="1"/>
        <v>0</v>
      </c>
    </row>
    <row r="10" spans="1:5" ht="13.5" thickBot="1" x14ac:dyDescent="0.25">
      <c r="A10" s="88" t="s">
        <v>268</v>
      </c>
      <c r="B10" s="200">
        <v>4</v>
      </c>
      <c r="C10" s="86">
        <v>0</v>
      </c>
      <c r="D10" s="87">
        <f t="shared" si="0"/>
        <v>0</v>
      </c>
      <c r="E10" s="87">
        <f t="shared" si="1"/>
        <v>0</v>
      </c>
    </row>
    <row r="11" spans="1:5" ht="13.5" thickBot="1" x14ac:dyDescent="0.25">
      <c r="A11" s="88" t="s">
        <v>269</v>
      </c>
      <c r="B11" s="200">
        <v>2</v>
      </c>
      <c r="C11" s="86">
        <v>0</v>
      </c>
      <c r="D11" s="87">
        <f t="shared" si="0"/>
        <v>0</v>
      </c>
      <c r="E11" s="87">
        <f>D11/12</f>
        <v>0</v>
      </c>
    </row>
    <row r="12" spans="1:5" ht="16.5" thickBot="1" x14ac:dyDescent="0.25">
      <c r="A12" s="292" t="s">
        <v>250</v>
      </c>
      <c r="B12" s="293"/>
      <c r="C12" s="293"/>
      <c r="D12" s="294"/>
      <c r="E12" s="89">
        <f>SUM(E4:E11)</f>
        <v>0</v>
      </c>
    </row>
    <row r="13" spans="1:5" ht="13.5" thickBot="1" x14ac:dyDescent="0.25">
      <c r="A13" s="90"/>
      <c r="B13" s="201"/>
      <c r="C13" s="90"/>
      <c r="D13" s="90"/>
      <c r="E13" s="90"/>
    </row>
    <row r="14" spans="1:5" x14ac:dyDescent="0.2">
      <c r="A14" s="298" t="s">
        <v>264</v>
      </c>
      <c r="B14" s="299"/>
      <c r="C14" s="299"/>
      <c r="D14" s="299"/>
      <c r="E14" s="300"/>
    </row>
    <row r="15" spans="1:5" ht="13.5" thickBot="1" x14ac:dyDescent="0.25">
      <c r="A15" s="301"/>
      <c r="B15" s="302"/>
      <c r="C15" s="302"/>
      <c r="D15" s="302"/>
      <c r="E15" s="303"/>
    </row>
    <row r="16" spans="1:5" ht="43.5" thickBot="1" x14ac:dyDescent="0.25">
      <c r="A16" s="197" t="s">
        <v>241</v>
      </c>
      <c r="B16" s="197" t="s">
        <v>242</v>
      </c>
      <c r="C16" s="198" t="s">
        <v>243</v>
      </c>
      <c r="D16" s="199" t="s">
        <v>244</v>
      </c>
      <c r="E16" s="199" t="s">
        <v>245</v>
      </c>
    </row>
    <row r="17" spans="1:5" ht="13.5" thickBot="1" x14ac:dyDescent="0.25">
      <c r="A17" s="88" t="s">
        <v>271</v>
      </c>
      <c r="B17" s="200">
        <v>2</v>
      </c>
      <c r="C17" s="86">
        <v>0</v>
      </c>
      <c r="D17" s="87">
        <f t="shared" ref="D17:D24" si="2">C17*B17</f>
        <v>0</v>
      </c>
      <c r="E17" s="87">
        <f>D17/12</f>
        <v>0</v>
      </c>
    </row>
    <row r="18" spans="1:5" ht="13.5" thickBot="1" x14ac:dyDescent="0.25">
      <c r="A18" s="88" t="s">
        <v>247</v>
      </c>
      <c r="B18" s="200">
        <v>2</v>
      </c>
      <c r="C18" s="86">
        <v>0</v>
      </c>
      <c r="D18" s="87">
        <f t="shared" si="2"/>
        <v>0</v>
      </c>
      <c r="E18" s="87">
        <f t="shared" ref="E18:E23" si="3">D18/12</f>
        <v>0</v>
      </c>
    </row>
    <row r="19" spans="1:5" ht="13.5" thickBot="1" x14ac:dyDescent="0.25">
      <c r="A19" s="88" t="s">
        <v>270</v>
      </c>
      <c r="B19" s="200">
        <v>4</v>
      </c>
      <c r="C19" s="86">
        <v>0</v>
      </c>
      <c r="D19" s="87">
        <f t="shared" si="2"/>
        <v>0</v>
      </c>
      <c r="E19" s="87">
        <f t="shared" si="3"/>
        <v>0</v>
      </c>
    </row>
    <row r="20" spans="1:5" ht="13.5" thickBot="1" x14ac:dyDescent="0.25">
      <c r="A20" s="88" t="s">
        <v>267</v>
      </c>
      <c r="B20" s="200">
        <v>2</v>
      </c>
      <c r="C20" s="86">
        <v>0</v>
      </c>
      <c r="D20" s="87">
        <f t="shared" si="2"/>
        <v>0</v>
      </c>
      <c r="E20" s="87">
        <f t="shared" si="3"/>
        <v>0</v>
      </c>
    </row>
    <row r="21" spans="1:5" ht="13.5" thickBot="1" x14ac:dyDescent="0.25">
      <c r="A21" s="88" t="s">
        <v>272</v>
      </c>
      <c r="B21" s="200">
        <v>2</v>
      </c>
      <c r="C21" s="86">
        <v>0</v>
      </c>
      <c r="D21" s="87">
        <f t="shared" si="2"/>
        <v>0</v>
      </c>
      <c r="E21" s="87">
        <f t="shared" si="3"/>
        <v>0</v>
      </c>
    </row>
    <row r="22" spans="1:5" ht="13.5" thickBot="1" x14ac:dyDescent="0.25">
      <c r="A22" s="88" t="s">
        <v>269</v>
      </c>
      <c r="B22" s="200">
        <v>2</v>
      </c>
      <c r="C22" s="86">
        <v>0</v>
      </c>
      <c r="D22" s="87">
        <f t="shared" si="2"/>
        <v>0</v>
      </c>
      <c r="E22" s="87">
        <f t="shared" si="3"/>
        <v>0</v>
      </c>
    </row>
    <row r="23" spans="1:5" ht="13.5" thickBot="1" x14ac:dyDescent="0.25">
      <c r="A23" s="88" t="s">
        <v>249</v>
      </c>
      <c r="B23" s="200">
        <v>2</v>
      </c>
      <c r="C23" s="86">
        <v>0</v>
      </c>
      <c r="D23" s="87">
        <f t="shared" si="2"/>
        <v>0</v>
      </c>
      <c r="E23" s="87">
        <f t="shared" si="3"/>
        <v>0</v>
      </c>
    </row>
    <row r="24" spans="1:5" ht="13.5" thickBot="1" x14ac:dyDescent="0.25">
      <c r="A24" s="88" t="s">
        <v>268</v>
      </c>
      <c r="B24" s="200">
        <v>4</v>
      </c>
      <c r="C24" s="86">
        <v>0</v>
      </c>
      <c r="D24" s="87">
        <f t="shared" si="2"/>
        <v>0</v>
      </c>
      <c r="E24" s="87">
        <f>D24/12</f>
        <v>0</v>
      </c>
    </row>
    <row r="25" spans="1:5" ht="16.5" thickBot="1" x14ac:dyDescent="0.25">
      <c r="A25" s="292" t="s">
        <v>251</v>
      </c>
      <c r="B25" s="293"/>
      <c r="C25" s="293"/>
      <c r="D25" s="294"/>
      <c r="E25" s="89">
        <f>SUM(E17:E24)</f>
        <v>0</v>
      </c>
    </row>
    <row r="26" spans="1:5" ht="16.5" thickBot="1" x14ac:dyDescent="0.3">
      <c r="A26" s="292" t="s">
        <v>252</v>
      </c>
      <c r="B26" s="293"/>
      <c r="C26" s="293"/>
      <c r="D26" s="294"/>
      <c r="E26" s="91">
        <f>(E12+E25)/2</f>
        <v>0</v>
      </c>
    </row>
    <row r="27" spans="1:5" ht="13.5" thickBot="1" x14ac:dyDescent="0.25">
      <c r="A27" s="90"/>
      <c r="B27" s="201"/>
      <c r="C27" s="90"/>
      <c r="D27" s="90"/>
      <c r="E27" s="90"/>
    </row>
    <row r="28" spans="1:5" x14ac:dyDescent="0.2">
      <c r="A28" s="298" t="s">
        <v>265</v>
      </c>
      <c r="B28" s="299"/>
      <c r="C28" s="299"/>
      <c r="D28" s="299"/>
      <c r="E28" s="300"/>
    </row>
    <row r="29" spans="1:5" ht="13.5" thickBot="1" x14ac:dyDescent="0.25">
      <c r="A29" s="304"/>
      <c r="B29" s="305"/>
      <c r="C29" s="305"/>
      <c r="D29" s="305"/>
      <c r="E29" s="306"/>
    </row>
    <row r="30" spans="1:5" ht="43.5" thickBot="1" x14ac:dyDescent="0.25">
      <c r="A30" s="197" t="s">
        <v>241</v>
      </c>
      <c r="B30" s="197" t="s">
        <v>242</v>
      </c>
      <c r="C30" s="198" t="s">
        <v>243</v>
      </c>
      <c r="D30" s="199" t="s">
        <v>244</v>
      </c>
      <c r="E30" s="199" t="s">
        <v>245</v>
      </c>
    </row>
    <row r="31" spans="1:5" ht="13.5" thickBot="1" x14ac:dyDescent="0.25">
      <c r="A31" s="88" t="s">
        <v>246</v>
      </c>
      <c r="B31" s="200">
        <v>2</v>
      </c>
      <c r="C31" s="86">
        <v>0</v>
      </c>
      <c r="D31" s="87">
        <f t="shared" ref="D31:D37" si="4">C31*B31</f>
        <v>0</v>
      </c>
      <c r="E31" s="87">
        <f t="shared" ref="E31:E37" si="5">D31/12</f>
        <v>0</v>
      </c>
    </row>
    <row r="32" spans="1:5" ht="13.5" thickBot="1" x14ac:dyDescent="0.25">
      <c r="A32" s="88" t="s">
        <v>247</v>
      </c>
      <c r="B32" s="200">
        <v>2</v>
      </c>
      <c r="C32" s="86">
        <v>0</v>
      </c>
      <c r="D32" s="87">
        <f t="shared" si="4"/>
        <v>0</v>
      </c>
      <c r="E32" s="87">
        <f t="shared" si="5"/>
        <v>0</v>
      </c>
    </row>
    <row r="33" spans="1:5" ht="13.5" thickBot="1" x14ac:dyDescent="0.25">
      <c r="A33" s="88" t="s">
        <v>270</v>
      </c>
      <c r="B33" s="200">
        <v>4</v>
      </c>
      <c r="C33" s="86">
        <v>0</v>
      </c>
      <c r="D33" s="87">
        <f t="shared" si="4"/>
        <v>0</v>
      </c>
      <c r="E33" s="87">
        <f t="shared" si="5"/>
        <v>0</v>
      </c>
    </row>
    <row r="34" spans="1:5" ht="13.5" thickBot="1" x14ac:dyDescent="0.25">
      <c r="A34" s="88" t="s">
        <v>248</v>
      </c>
      <c r="B34" s="200">
        <v>2</v>
      </c>
      <c r="C34" s="86">
        <v>0</v>
      </c>
      <c r="D34" s="87">
        <f t="shared" si="4"/>
        <v>0</v>
      </c>
      <c r="E34" s="87">
        <f t="shared" si="5"/>
        <v>0</v>
      </c>
    </row>
    <row r="35" spans="1:5" ht="13.5" thickBot="1" x14ac:dyDescent="0.25">
      <c r="A35" s="88" t="s">
        <v>249</v>
      </c>
      <c r="B35" s="200">
        <v>2</v>
      </c>
      <c r="C35" s="86">
        <v>0</v>
      </c>
      <c r="D35" s="87">
        <f t="shared" si="4"/>
        <v>0</v>
      </c>
      <c r="E35" s="87">
        <f t="shared" si="5"/>
        <v>0</v>
      </c>
    </row>
    <row r="36" spans="1:5" ht="13.5" thickBot="1" x14ac:dyDescent="0.25">
      <c r="A36" s="88" t="s">
        <v>268</v>
      </c>
      <c r="B36" s="200">
        <v>4</v>
      </c>
      <c r="C36" s="86">
        <v>0</v>
      </c>
      <c r="D36" s="87">
        <f t="shared" si="4"/>
        <v>0</v>
      </c>
      <c r="E36" s="87">
        <f t="shared" si="5"/>
        <v>0</v>
      </c>
    </row>
    <row r="37" spans="1:5" ht="13.5" thickBot="1" x14ac:dyDescent="0.25">
      <c r="A37" s="88" t="s">
        <v>273</v>
      </c>
      <c r="B37" s="200">
        <v>2</v>
      </c>
      <c r="C37" s="86">
        <v>0</v>
      </c>
      <c r="D37" s="87">
        <f t="shared" si="4"/>
        <v>0</v>
      </c>
      <c r="E37" s="87">
        <f t="shared" si="5"/>
        <v>0</v>
      </c>
    </row>
    <row r="38" spans="1:5" ht="16.5" thickBot="1" x14ac:dyDescent="0.25">
      <c r="A38" s="292" t="s">
        <v>250</v>
      </c>
      <c r="B38" s="293"/>
      <c r="C38" s="293"/>
      <c r="D38" s="294"/>
      <c r="E38" s="89">
        <f>SUM(E31:E37)</f>
        <v>0</v>
      </c>
    </row>
    <row r="39" spans="1:5" ht="13.5" thickBot="1" x14ac:dyDescent="0.25">
      <c r="A39" s="90"/>
      <c r="B39" s="201"/>
      <c r="C39" s="90"/>
      <c r="D39" s="90"/>
      <c r="E39" s="90"/>
    </row>
    <row r="40" spans="1:5" x14ac:dyDescent="0.2">
      <c r="A40" s="298" t="s">
        <v>266</v>
      </c>
      <c r="B40" s="299"/>
      <c r="C40" s="299"/>
      <c r="D40" s="299"/>
      <c r="E40" s="300"/>
    </row>
    <row r="41" spans="1:5" ht="13.5" thickBot="1" x14ac:dyDescent="0.25">
      <c r="A41" s="301"/>
      <c r="B41" s="302"/>
      <c r="C41" s="302"/>
      <c r="D41" s="302"/>
      <c r="E41" s="303"/>
    </row>
    <row r="42" spans="1:5" ht="43.5" thickBot="1" x14ac:dyDescent="0.25">
      <c r="A42" s="197" t="s">
        <v>241</v>
      </c>
      <c r="B42" s="197" t="s">
        <v>242</v>
      </c>
      <c r="C42" s="198" t="s">
        <v>243</v>
      </c>
      <c r="D42" s="199" t="s">
        <v>244</v>
      </c>
      <c r="E42" s="199" t="s">
        <v>245</v>
      </c>
    </row>
    <row r="43" spans="1:5" ht="13.5" thickBot="1" x14ac:dyDescent="0.25">
      <c r="A43" s="88" t="s">
        <v>271</v>
      </c>
      <c r="B43" s="200">
        <v>2</v>
      </c>
      <c r="C43" s="86">
        <v>0</v>
      </c>
      <c r="D43" s="87">
        <f t="shared" ref="D43:D49" si="6">C43*B43</f>
        <v>0</v>
      </c>
      <c r="E43" s="87">
        <f>D43/12</f>
        <v>0</v>
      </c>
    </row>
    <row r="44" spans="1:5" ht="13.5" thickBot="1" x14ac:dyDescent="0.25">
      <c r="A44" s="88" t="s">
        <v>247</v>
      </c>
      <c r="B44" s="200">
        <v>2</v>
      </c>
      <c r="C44" s="86">
        <v>0</v>
      </c>
      <c r="D44" s="87">
        <f t="shared" si="6"/>
        <v>0</v>
      </c>
      <c r="E44" s="87">
        <f t="shared" ref="E44:E49" si="7">D44/12</f>
        <v>0</v>
      </c>
    </row>
    <row r="45" spans="1:5" ht="13.5" thickBot="1" x14ac:dyDescent="0.25">
      <c r="A45" s="88" t="s">
        <v>270</v>
      </c>
      <c r="B45" s="200">
        <v>4</v>
      </c>
      <c r="C45" s="86">
        <v>0</v>
      </c>
      <c r="D45" s="87">
        <f t="shared" si="6"/>
        <v>0</v>
      </c>
      <c r="E45" s="87">
        <f t="shared" si="7"/>
        <v>0</v>
      </c>
    </row>
    <row r="46" spans="1:5" ht="13.5" thickBot="1" x14ac:dyDescent="0.25">
      <c r="A46" s="88" t="s">
        <v>272</v>
      </c>
      <c r="B46" s="200">
        <v>2</v>
      </c>
      <c r="C46" s="86">
        <v>0</v>
      </c>
      <c r="D46" s="87">
        <f t="shared" si="6"/>
        <v>0</v>
      </c>
      <c r="E46" s="87">
        <f t="shared" si="7"/>
        <v>0</v>
      </c>
    </row>
    <row r="47" spans="1:5" ht="13.5" thickBot="1" x14ac:dyDescent="0.25">
      <c r="A47" s="88" t="s">
        <v>318</v>
      </c>
      <c r="B47" s="200">
        <v>2</v>
      </c>
      <c r="C47" s="86">
        <v>0</v>
      </c>
      <c r="D47" s="87">
        <f t="shared" si="6"/>
        <v>0</v>
      </c>
      <c r="E47" s="87">
        <f t="shared" si="7"/>
        <v>0</v>
      </c>
    </row>
    <row r="48" spans="1:5" ht="13.5" thickBot="1" x14ac:dyDescent="0.25">
      <c r="A48" s="88" t="s">
        <v>249</v>
      </c>
      <c r="B48" s="200">
        <v>2</v>
      </c>
      <c r="C48" s="86">
        <v>0</v>
      </c>
      <c r="D48" s="87">
        <f t="shared" si="6"/>
        <v>0</v>
      </c>
      <c r="E48" s="87">
        <f t="shared" si="7"/>
        <v>0</v>
      </c>
    </row>
    <row r="49" spans="1:5" ht="13.5" thickBot="1" x14ac:dyDescent="0.25">
      <c r="A49" s="88" t="s">
        <v>268</v>
      </c>
      <c r="B49" s="200">
        <v>4</v>
      </c>
      <c r="C49" s="86">
        <v>0</v>
      </c>
      <c r="D49" s="87">
        <f t="shared" si="6"/>
        <v>0</v>
      </c>
      <c r="E49" s="87">
        <f t="shared" si="7"/>
        <v>0</v>
      </c>
    </row>
    <row r="50" spans="1:5" ht="16.5" thickBot="1" x14ac:dyDescent="0.25">
      <c r="A50" s="292" t="s">
        <v>251</v>
      </c>
      <c r="B50" s="293"/>
      <c r="C50" s="293"/>
      <c r="D50" s="294"/>
      <c r="E50" s="89">
        <f>SUM(E43:E49)</f>
        <v>0</v>
      </c>
    </row>
    <row r="51" spans="1:5" ht="16.5" thickBot="1" x14ac:dyDescent="0.3">
      <c r="A51" s="292" t="s">
        <v>252</v>
      </c>
      <c r="B51" s="293"/>
      <c r="C51" s="293"/>
      <c r="D51" s="294"/>
      <c r="E51" s="91">
        <f>(E38+E50)/2</f>
        <v>0</v>
      </c>
    </row>
    <row r="52" spans="1:5" ht="13.5" thickBot="1" x14ac:dyDescent="0.25">
      <c r="A52" s="90"/>
      <c r="B52" s="201"/>
      <c r="C52" s="90"/>
      <c r="D52" s="90"/>
      <c r="E52" s="90"/>
    </row>
    <row r="53" spans="1:5" x14ac:dyDescent="0.2">
      <c r="A53" s="298" t="s">
        <v>274</v>
      </c>
      <c r="B53" s="299"/>
      <c r="C53" s="299"/>
      <c r="D53" s="299"/>
      <c r="E53" s="300"/>
    </row>
    <row r="54" spans="1:5" ht="13.5" thickBot="1" x14ac:dyDescent="0.25">
      <c r="A54" s="304"/>
      <c r="B54" s="305"/>
      <c r="C54" s="305"/>
      <c r="D54" s="305"/>
      <c r="E54" s="306"/>
    </row>
    <row r="55" spans="1:5" ht="43.5" thickBot="1" x14ac:dyDescent="0.25">
      <c r="A55" s="197" t="s">
        <v>241</v>
      </c>
      <c r="B55" s="197" t="s">
        <v>242</v>
      </c>
      <c r="C55" s="198" t="s">
        <v>243</v>
      </c>
      <c r="D55" s="199" t="s">
        <v>244</v>
      </c>
      <c r="E55" s="199" t="s">
        <v>245</v>
      </c>
    </row>
    <row r="56" spans="1:5" ht="13.5" thickBot="1" x14ac:dyDescent="0.25">
      <c r="A56" s="88" t="s">
        <v>246</v>
      </c>
      <c r="B56" s="200">
        <v>2</v>
      </c>
      <c r="C56" s="86">
        <v>0</v>
      </c>
      <c r="D56" s="87">
        <f t="shared" ref="D56:D62" si="8">C56*B56</f>
        <v>0</v>
      </c>
      <c r="E56" s="87">
        <f t="shared" ref="E56:E62" si="9">D56/12</f>
        <v>0</v>
      </c>
    </row>
    <row r="57" spans="1:5" ht="13.5" thickBot="1" x14ac:dyDescent="0.25">
      <c r="A57" s="88" t="s">
        <v>247</v>
      </c>
      <c r="B57" s="200">
        <v>2</v>
      </c>
      <c r="C57" s="86">
        <v>0</v>
      </c>
      <c r="D57" s="87">
        <f t="shared" si="8"/>
        <v>0</v>
      </c>
      <c r="E57" s="87">
        <f t="shared" si="9"/>
        <v>0</v>
      </c>
    </row>
    <row r="58" spans="1:5" ht="13.5" thickBot="1" x14ac:dyDescent="0.25">
      <c r="A58" s="88" t="s">
        <v>270</v>
      </c>
      <c r="B58" s="200">
        <v>4</v>
      </c>
      <c r="C58" s="86">
        <v>0</v>
      </c>
      <c r="D58" s="87">
        <f t="shared" si="8"/>
        <v>0</v>
      </c>
      <c r="E58" s="87">
        <f t="shared" si="9"/>
        <v>0</v>
      </c>
    </row>
    <row r="59" spans="1:5" ht="13.5" thickBot="1" x14ac:dyDescent="0.25">
      <c r="A59" s="88" t="s">
        <v>248</v>
      </c>
      <c r="B59" s="200">
        <v>2</v>
      </c>
      <c r="C59" s="86">
        <v>0</v>
      </c>
      <c r="D59" s="87">
        <f t="shared" si="8"/>
        <v>0</v>
      </c>
      <c r="E59" s="87">
        <f t="shared" si="9"/>
        <v>0</v>
      </c>
    </row>
    <row r="60" spans="1:5" ht="13.5" thickBot="1" x14ac:dyDescent="0.25">
      <c r="A60" s="88" t="s">
        <v>249</v>
      </c>
      <c r="B60" s="200">
        <v>2</v>
      </c>
      <c r="C60" s="86">
        <v>0</v>
      </c>
      <c r="D60" s="87">
        <f t="shared" si="8"/>
        <v>0</v>
      </c>
      <c r="E60" s="87">
        <f t="shared" si="9"/>
        <v>0</v>
      </c>
    </row>
    <row r="61" spans="1:5" ht="13.5" thickBot="1" x14ac:dyDescent="0.25">
      <c r="A61" s="88" t="s">
        <v>268</v>
      </c>
      <c r="B61" s="200">
        <v>4</v>
      </c>
      <c r="C61" s="86">
        <v>0</v>
      </c>
      <c r="D61" s="87">
        <f t="shared" si="8"/>
        <v>0</v>
      </c>
      <c r="E61" s="87">
        <f t="shared" si="9"/>
        <v>0</v>
      </c>
    </row>
    <row r="62" spans="1:5" ht="13.5" thickBot="1" x14ac:dyDescent="0.25">
      <c r="A62" s="88" t="s">
        <v>276</v>
      </c>
      <c r="B62" s="200">
        <v>2</v>
      </c>
      <c r="C62" s="86">
        <v>0</v>
      </c>
      <c r="D62" s="87">
        <f t="shared" si="8"/>
        <v>0</v>
      </c>
      <c r="E62" s="87">
        <f t="shared" si="9"/>
        <v>0</v>
      </c>
    </row>
    <row r="63" spans="1:5" ht="16.5" thickBot="1" x14ac:dyDescent="0.25">
      <c r="A63" s="292" t="s">
        <v>250</v>
      </c>
      <c r="B63" s="293"/>
      <c r="C63" s="293"/>
      <c r="D63" s="294"/>
      <c r="E63" s="89">
        <f>SUM(E56:E62)</f>
        <v>0</v>
      </c>
    </row>
    <row r="64" spans="1:5" ht="13.5" thickBot="1" x14ac:dyDescent="0.25">
      <c r="A64" s="90"/>
      <c r="B64" s="201"/>
      <c r="C64" s="90"/>
      <c r="D64" s="90"/>
      <c r="E64" s="90"/>
    </row>
    <row r="65" spans="1:5" x14ac:dyDescent="0.2">
      <c r="A65" s="298" t="s">
        <v>275</v>
      </c>
      <c r="B65" s="299"/>
      <c r="C65" s="299"/>
      <c r="D65" s="299"/>
      <c r="E65" s="300"/>
    </row>
    <row r="66" spans="1:5" ht="13.5" thickBot="1" x14ac:dyDescent="0.25">
      <c r="A66" s="301"/>
      <c r="B66" s="302"/>
      <c r="C66" s="302"/>
      <c r="D66" s="302"/>
      <c r="E66" s="303"/>
    </row>
    <row r="67" spans="1:5" ht="43.5" thickBot="1" x14ac:dyDescent="0.25">
      <c r="A67" s="197" t="s">
        <v>241</v>
      </c>
      <c r="B67" s="197" t="s">
        <v>242</v>
      </c>
      <c r="C67" s="198" t="s">
        <v>243</v>
      </c>
      <c r="D67" s="199" t="s">
        <v>244</v>
      </c>
      <c r="E67" s="199" t="s">
        <v>245</v>
      </c>
    </row>
    <row r="68" spans="1:5" ht="13.5" thickBot="1" x14ac:dyDescent="0.25">
      <c r="A68" s="88" t="s">
        <v>271</v>
      </c>
      <c r="B68" s="200">
        <v>2</v>
      </c>
      <c r="C68" s="86">
        <v>0</v>
      </c>
      <c r="D68" s="87">
        <f t="shared" ref="D68:D74" si="10">C68*B68</f>
        <v>0</v>
      </c>
      <c r="E68" s="87">
        <f>D68/12</f>
        <v>0</v>
      </c>
    </row>
    <row r="69" spans="1:5" ht="13.5" thickBot="1" x14ac:dyDescent="0.25">
      <c r="A69" s="88" t="s">
        <v>319</v>
      </c>
      <c r="B69" s="200">
        <v>2</v>
      </c>
      <c r="C69" s="86">
        <v>0</v>
      </c>
      <c r="D69" s="87">
        <f t="shared" si="10"/>
        <v>0</v>
      </c>
      <c r="E69" s="87">
        <f t="shared" ref="E69:E74" si="11">D69/12</f>
        <v>0</v>
      </c>
    </row>
    <row r="70" spans="1:5" ht="13.5" thickBot="1" x14ac:dyDescent="0.25">
      <c r="A70" s="88" t="s">
        <v>270</v>
      </c>
      <c r="B70" s="200">
        <v>4</v>
      </c>
      <c r="C70" s="86">
        <v>0</v>
      </c>
      <c r="D70" s="87">
        <f t="shared" si="10"/>
        <v>0</v>
      </c>
      <c r="E70" s="87">
        <f t="shared" si="11"/>
        <v>0</v>
      </c>
    </row>
    <row r="71" spans="1:5" ht="13.5" thickBot="1" x14ac:dyDescent="0.25">
      <c r="A71" s="88" t="s">
        <v>318</v>
      </c>
      <c r="B71" s="200">
        <v>2</v>
      </c>
      <c r="C71" s="86">
        <v>0</v>
      </c>
      <c r="D71" s="87">
        <f t="shared" si="10"/>
        <v>0</v>
      </c>
      <c r="E71" s="87">
        <f t="shared" si="11"/>
        <v>0</v>
      </c>
    </row>
    <row r="72" spans="1:5" ht="13.5" thickBot="1" x14ac:dyDescent="0.25">
      <c r="A72" s="88" t="s">
        <v>272</v>
      </c>
      <c r="B72" s="200">
        <v>2</v>
      </c>
      <c r="C72" s="86">
        <v>0</v>
      </c>
      <c r="D72" s="87">
        <f t="shared" si="10"/>
        <v>0</v>
      </c>
      <c r="E72" s="87">
        <f t="shared" si="11"/>
        <v>0</v>
      </c>
    </row>
    <row r="73" spans="1:5" ht="13.5" thickBot="1" x14ac:dyDescent="0.25">
      <c r="A73" s="88" t="s">
        <v>249</v>
      </c>
      <c r="B73" s="200">
        <v>2</v>
      </c>
      <c r="C73" s="86">
        <v>0</v>
      </c>
      <c r="D73" s="87">
        <f t="shared" si="10"/>
        <v>0</v>
      </c>
      <c r="E73" s="87">
        <f t="shared" si="11"/>
        <v>0</v>
      </c>
    </row>
    <row r="74" spans="1:5" ht="13.5" thickBot="1" x14ac:dyDescent="0.25">
      <c r="A74" s="88" t="s">
        <v>268</v>
      </c>
      <c r="B74" s="200">
        <v>4</v>
      </c>
      <c r="C74" s="86">
        <v>0</v>
      </c>
      <c r="D74" s="87">
        <f t="shared" si="10"/>
        <v>0</v>
      </c>
      <c r="E74" s="87">
        <f t="shared" si="11"/>
        <v>0</v>
      </c>
    </row>
    <row r="75" spans="1:5" ht="16.5" thickBot="1" x14ac:dyDescent="0.25">
      <c r="A75" s="292" t="s">
        <v>251</v>
      </c>
      <c r="B75" s="293"/>
      <c r="C75" s="293"/>
      <c r="D75" s="294"/>
      <c r="E75" s="89">
        <f>SUM(E68:E74)</f>
        <v>0</v>
      </c>
    </row>
    <row r="76" spans="1:5" ht="16.5" thickBot="1" x14ac:dyDescent="0.3">
      <c r="A76" s="292" t="s">
        <v>252</v>
      </c>
      <c r="B76" s="293"/>
      <c r="C76" s="293"/>
      <c r="D76" s="294"/>
      <c r="E76" s="91">
        <f>(E63+E75)/2</f>
        <v>0</v>
      </c>
    </row>
    <row r="77" spans="1:5" x14ac:dyDescent="0.2">
      <c r="A77" s="90"/>
      <c r="B77" s="202"/>
      <c r="C77" s="90"/>
      <c r="D77" s="90"/>
      <c r="E77" s="90"/>
    </row>
    <row r="78" spans="1:5" x14ac:dyDescent="0.2">
      <c r="A78" s="90"/>
      <c r="B78" s="202"/>
      <c r="C78" s="90"/>
      <c r="D78" s="90"/>
      <c r="E78" s="90"/>
    </row>
    <row r="79" spans="1:5" x14ac:dyDescent="0.2">
      <c r="A79" s="90"/>
      <c r="B79" s="202"/>
      <c r="C79" s="90"/>
      <c r="D79" s="90"/>
      <c r="E79" s="90"/>
    </row>
    <row r="80" spans="1:5" x14ac:dyDescent="0.2">
      <c r="A80" s="90"/>
      <c r="B80" s="202"/>
      <c r="C80" s="90"/>
      <c r="D80" s="90"/>
      <c r="E80" s="90"/>
    </row>
    <row r="81" spans="1:5" ht="13.5" thickBot="1" x14ac:dyDescent="0.25">
      <c r="A81" s="90"/>
      <c r="B81" s="202"/>
      <c r="C81" s="90"/>
      <c r="D81" s="90"/>
      <c r="E81" s="90"/>
    </row>
    <row r="82" spans="1:5" ht="19.5" thickBot="1" x14ac:dyDescent="0.25">
      <c r="A82" s="295" t="s">
        <v>253</v>
      </c>
      <c r="B82" s="296"/>
      <c r="C82" s="296"/>
      <c r="D82" s="297"/>
      <c r="E82" s="92"/>
    </row>
    <row r="83" spans="1:5" ht="28.5" x14ac:dyDescent="0.2">
      <c r="A83" s="192" t="s">
        <v>254</v>
      </c>
      <c r="B83" s="193" t="s">
        <v>255</v>
      </c>
      <c r="C83" s="193" t="s">
        <v>256</v>
      </c>
      <c r="D83" s="194" t="s">
        <v>257</v>
      </c>
      <c r="E83" s="92"/>
    </row>
    <row r="84" spans="1:5" ht="15" x14ac:dyDescent="0.2">
      <c r="A84" s="137" t="s">
        <v>258</v>
      </c>
      <c r="B84" s="195">
        <v>1</v>
      </c>
      <c r="C84" s="231">
        <v>0</v>
      </c>
      <c r="D84" s="93">
        <f>B84*C84</f>
        <v>0</v>
      </c>
      <c r="E84" s="92"/>
    </row>
    <row r="85" spans="1:5" ht="15" x14ac:dyDescent="0.2">
      <c r="A85" s="137" t="s">
        <v>259</v>
      </c>
      <c r="B85" s="195">
        <v>1</v>
      </c>
      <c r="C85" s="231">
        <v>0</v>
      </c>
      <c r="D85" s="93">
        <f>B85*C85</f>
        <v>0</v>
      </c>
      <c r="E85" s="92"/>
    </row>
    <row r="86" spans="1:5" ht="15" x14ac:dyDescent="0.2">
      <c r="A86" s="137" t="s">
        <v>260</v>
      </c>
      <c r="B86" s="195">
        <v>1</v>
      </c>
      <c r="C86" s="231">
        <v>0</v>
      </c>
      <c r="D86" s="93">
        <f>B86*C86</f>
        <v>0</v>
      </c>
      <c r="E86" s="92"/>
    </row>
    <row r="87" spans="1:5" ht="14.25" x14ac:dyDescent="0.2">
      <c r="A87" s="287" t="s">
        <v>41</v>
      </c>
      <c r="B87" s="288"/>
      <c r="C87" s="289"/>
      <c r="D87" s="94">
        <f>SUM(D84:E86)</f>
        <v>0</v>
      </c>
      <c r="E87" s="92"/>
    </row>
    <row r="88" spans="1:5" x14ac:dyDescent="0.2">
      <c r="A88" s="290" t="s">
        <v>261</v>
      </c>
      <c r="B88" s="290"/>
      <c r="C88" s="290"/>
      <c r="D88" s="290"/>
      <c r="E88" s="95"/>
    </row>
    <row r="89" spans="1:5" x14ac:dyDescent="0.2">
      <c r="A89" s="290"/>
      <c r="B89" s="290"/>
      <c r="C89" s="290"/>
      <c r="D89" s="290"/>
      <c r="E89" s="92"/>
    </row>
    <row r="90" spans="1:5" ht="57.75" customHeight="1" x14ac:dyDescent="0.2">
      <c r="A90" s="290"/>
      <c r="B90" s="290"/>
      <c r="C90" s="290"/>
      <c r="D90" s="290"/>
      <c r="E90" s="92"/>
    </row>
    <row r="91" spans="1:5" x14ac:dyDescent="0.2">
      <c r="A91" s="96"/>
      <c r="B91" s="96"/>
      <c r="C91" s="96"/>
      <c r="D91" s="96"/>
      <c r="E91" s="95"/>
    </row>
    <row r="92" spans="1:5" ht="12.75" customHeight="1" x14ac:dyDescent="0.2">
      <c r="A92" s="291" t="s">
        <v>262</v>
      </c>
      <c r="B92" s="291"/>
      <c r="C92" s="291"/>
      <c r="D92" s="291"/>
      <c r="E92" s="95"/>
    </row>
    <row r="93" spans="1:5" x14ac:dyDescent="0.2">
      <c r="B93"/>
    </row>
    <row r="95" spans="1:5" ht="17.25" x14ac:dyDescent="0.3">
      <c r="A95" s="262" t="s">
        <v>309</v>
      </c>
      <c r="B95" s="262"/>
    </row>
    <row r="96" spans="1:5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  <row r="659" spans="2:2" x14ac:dyDescent="0.2">
      <c r="B659"/>
    </row>
    <row r="660" spans="2:2" x14ac:dyDescent="0.2">
      <c r="B660"/>
    </row>
    <row r="661" spans="2:2" x14ac:dyDescent="0.2">
      <c r="B661"/>
    </row>
    <row r="662" spans="2:2" x14ac:dyDescent="0.2">
      <c r="B662"/>
    </row>
    <row r="663" spans="2:2" x14ac:dyDescent="0.2">
      <c r="B663"/>
    </row>
    <row r="664" spans="2:2" x14ac:dyDescent="0.2">
      <c r="B664"/>
    </row>
    <row r="665" spans="2:2" x14ac:dyDescent="0.2">
      <c r="B665"/>
    </row>
    <row r="666" spans="2:2" x14ac:dyDescent="0.2">
      <c r="B666"/>
    </row>
    <row r="667" spans="2:2" x14ac:dyDescent="0.2">
      <c r="B667"/>
    </row>
    <row r="668" spans="2:2" x14ac:dyDescent="0.2">
      <c r="B668"/>
    </row>
    <row r="669" spans="2:2" x14ac:dyDescent="0.2">
      <c r="B669"/>
    </row>
    <row r="670" spans="2:2" x14ac:dyDescent="0.2">
      <c r="B670"/>
    </row>
    <row r="671" spans="2:2" x14ac:dyDescent="0.2">
      <c r="B671"/>
    </row>
    <row r="672" spans="2:2" x14ac:dyDescent="0.2">
      <c r="B672"/>
    </row>
    <row r="673" spans="2:2" x14ac:dyDescent="0.2">
      <c r="B673"/>
    </row>
    <row r="674" spans="2:2" x14ac:dyDescent="0.2">
      <c r="B674"/>
    </row>
    <row r="675" spans="2:2" x14ac:dyDescent="0.2">
      <c r="B675"/>
    </row>
    <row r="676" spans="2:2" x14ac:dyDescent="0.2">
      <c r="B676"/>
    </row>
    <row r="677" spans="2:2" x14ac:dyDescent="0.2">
      <c r="B677"/>
    </row>
    <row r="678" spans="2:2" x14ac:dyDescent="0.2">
      <c r="B678"/>
    </row>
    <row r="679" spans="2:2" x14ac:dyDescent="0.2">
      <c r="B679"/>
    </row>
    <row r="680" spans="2:2" x14ac:dyDescent="0.2">
      <c r="B680"/>
    </row>
    <row r="681" spans="2:2" x14ac:dyDescent="0.2">
      <c r="B681"/>
    </row>
    <row r="682" spans="2:2" x14ac:dyDescent="0.2">
      <c r="B682"/>
    </row>
    <row r="683" spans="2:2" x14ac:dyDescent="0.2">
      <c r="B683"/>
    </row>
    <row r="684" spans="2:2" x14ac:dyDescent="0.2">
      <c r="B684"/>
    </row>
    <row r="685" spans="2:2" x14ac:dyDescent="0.2">
      <c r="B685"/>
    </row>
    <row r="686" spans="2:2" x14ac:dyDescent="0.2">
      <c r="B686"/>
    </row>
    <row r="687" spans="2:2" x14ac:dyDescent="0.2">
      <c r="B687"/>
    </row>
    <row r="688" spans="2:2" x14ac:dyDescent="0.2">
      <c r="B688"/>
    </row>
    <row r="689" spans="2:2" x14ac:dyDescent="0.2">
      <c r="B689"/>
    </row>
    <row r="690" spans="2:2" x14ac:dyDescent="0.2">
      <c r="B690"/>
    </row>
    <row r="691" spans="2:2" x14ac:dyDescent="0.2">
      <c r="B691"/>
    </row>
    <row r="692" spans="2:2" x14ac:dyDescent="0.2">
      <c r="B692"/>
    </row>
    <row r="693" spans="2:2" x14ac:dyDescent="0.2">
      <c r="B693"/>
    </row>
    <row r="694" spans="2:2" x14ac:dyDescent="0.2">
      <c r="B694"/>
    </row>
    <row r="695" spans="2:2" x14ac:dyDescent="0.2">
      <c r="B695"/>
    </row>
    <row r="696" spans="2:2" x14ac:dyDescent="0.2">
      <c r="B696"/>
    </row>
    <row r="697" spans="2:2" x14ac:dyDescent="0.2">
      <c r="B697"/>
    </row>
    <row r="698" spans="2:2" x14ac:dyDescent="0.2">
      <c r="B698"/>
    </row>
    <row r="699" spans="2:2" x14ac:dyDescent="0.2">
      <c r="B699"/>
    </row>
    <row r="700" spans="2:2" x14ac:dyDescent="0.2">
      <c r="B700"/>
    </row>
    <row r="701" spans="2:2" x14ac:dyDescent="0.2">
      <c r="B701"/>
    </row>
    <row r="702" spans="2:2" x14ac:dyDescent="0.2">
      <c r="B702"/>
    </row>
    <row r="703" spans="2:2" x14ac:dyDescent="0.2">
      <c r="B703"/>
    </row>
    <row r="704" spans="2:2" x14ac:dyDescent="0.2">
      <c r="B704"/>
    </row>
    <row r="705" spans="2:2" x14ac:dyDescent="0.2">
      <c r="B705"/>
    </row>
    <row r="706" spans="2:2" x14ac:dyDescent="0.2">
      <c r="B706"/>
    </row>
    <row r="707" spans="2:2" x14ac:dyDescent="0.2">
      <c r="B707"/>
    </row>
    <row r="708" spans="2:2" x14ac:dyDescent="0.2">
      <c r="B708"/>
    </row>
    <row r="709" spans="2:2" x14ac:dyDescent="0.2">
      <c r="B709"/>
    </row>
    <row r="710" spans="2:2" x14ac:dyDescent="0.2">
      <c r="B710"/>
    </row>
    <row r="711" spans="2:2" x14ac:dyDescent="0.2">
      <c r="B711"/>
    </row>
    <row r="712" spans="2:2" x14ac:dyDescent="0.2">
      <c r="B712"/>
    </row>
    <row r="713" spans="2:2" x14ac:dyDescent="0.2">
      <c r="B713"/>
    </row>
    <row r="714" spans="2:2" x14ac:dyDescent="0.2">
      <c r="B714"/>
    </row>
    <row r="715" spans="2:2" x14ac:dyDescent="0.2">
      <c r="B715"/>
    </row>
    <row r="716" spans="2:2" x14ac:dyDescent="0.2">
      <c r="B716"/>
    </row>
    <row r="717" spans="2:2" x14ac:dyDescent="0.2">
      <c r="B717"/>
    </row>
    <row r="718" spans="2:2" x14ac:dyDescent="0.2">
      <c r="B718"/>
    </row>
    <row r="719" spans="2:2" x14ac:dyDescent="0.2">
      <c r="B719"/>
    </row>
    <row r="720" spans="2:2" x14ac:dyDescent="0.2">
      <c r="B720"/>
    </row>
    <row r="721" spans="2:2" x14ac:dyDescent="0.2">
      <c r="B721"/>
    </row>
    <row r="722" spans="2:2" x14ac:dyDescent="0.2">
      <c r="B722"/>
    </row>
    <row r="723" spans="2:2" x14ac:dyDescent="0.2">
      <c r="B723"/>
    </row>
    <row r="724" spans="2:2" x14ac:dyDescent="0.2">
      <c r="B724"/>
    </row>
    <row r="725" spans="2:2" x14ac:dyDescent="0.2">
      <c r="B725"/>
    </row>
    <row r="726" spans="2:2" x14ac:dyDescent="0.2">
      <c r="B726"/>
    </row>
    <row r="727" spans="2:2" x14ac:dyDescent="0.2">
      <c r="B727"/>
    </row>
    <row r="728" spans="2:2" x14ac:dyDescent="0.2">
      <c r="B728"/>
    </row>
    <row r="729" spans="2:2" x14ac:dyDescent="0.2">
      <c r="B729"/>
    </row>
    <row r="730" spans="2:2" x14ac:dyDescent="0.2">
      <c r="B730"/>
    </row>
    <row r="731" spans="2:2" x14ac:dyDescent="0.2">
      <c r="B731"/>
    </row>
    <row r="732" spans="2:2" x14ac:dyDescent="0.2">
      <c r="B732"/>
    </row>
    <row r="733" spans="2:2" x14ac:dyDescent="0.2">
      <c r="B733"/>
    </row>
    <row r="734" spans="2:2" x14ac:dyDescent="0.2">
      <c r="B734"/>
    </row>
    <row r="735" spans="2:2" x14ac:dyDescent="0.2">
      <c r="B735"/>
    </row>
    <row r="736" spans="2:2" x14ac:dyDescent="0.2">
      <c r="B736"/>
    </row>
    <row r="737" spans="2:2" x14ac:dyDescent="0.2">
      <c r="B737"/>
    </row>
    <row r="738" spans="2:2" x14ac:dyDescent="0.2">
      <c r="B738"/>
    </row>
    <row r="739" spans="2:2" x14ac:dyDescent="0.2">
      <c r="B739"/>
    </row>
    <row r="740" spans="2:2" x14ac:dyDescent="0.2">
      <c r="B740"/>
    </row>
    <row r="741" spans="2:2" x14ac:dyDescent="0.2">
      <c r="B741"/>
    </row>
    <row r="742" spans="2:2" x14ac:dyDescent="0.2">
      <c r="B742"/>
    </row>
    <row r="743" spans="2:2" x14ac:dyDescent="0.2">
      <c r="B743"/>
    </row>
    <row r="744" spans="2:2" x14ac:dyDescent="0.2">
      <c r="B744"/>
    </row>
    <row r="745" spans="2:2" x14ac:dyDescent="0.2">
      <c r="B745"/>
    </row>
    <row r="746" spans="2:2" x14ac:dyDescent="0.2">
      <c r="B746"/>
    </row>
    <row r="747" spans="2:2" x14ac:dyDescent="0.2">
      <c r="B747"/>
    </row>
    <row r="748" spans="2:2" x14ac:dyDescent="0.2">
      <c r="B748"/>
    </row>
    <row r="749" spans="2:2" x14ac:dyDescent="0.2">
      <c r="B749"/>
    </row>
    <row r="750" spans="2:2" x14ac:dyDescent="0.2">
      <c r="B750"/>
    </row>
    <row r="751" spans="2:2" x14ac:dyDescent="0.2">
      <c r="B751"/>
    </row>
    <row r="752" spans="2:2" x14ac:dyDescent="0.2">
      <c r="B752"/>
    </row>
    <row r="753" spans="2:2" x14ac:dyDescent="0.2">
      <c r="B753"/>
    </row>
    <row r="754" spans="2:2" x14ac:dyDescent="0.2">
      <c r="B754"/>
    </row>
    <row r="755" spans="2:2" x14ac:dyDescent="0.2">
      <c r="B755"/>
    </row>
    <row r="756" spans="2:2" x14ac:dyDescent="0.2">
      <c r="B756"/>
    </row>
    <row r="757" spans="2:2" x14ac:dyDescent="0.2">
      <c r="B757"/>
    </row>
    <row r="758" spans="2:2" x14ac:dyDescent="0.2">
      <c r="B758"/>
    </row>
    <row r="759" spans="2:2" x14ac:dyDescent="0.2">
      <c r="B759"/>
    </row>
    <row r="760" spans="2:2" x14ac:dyDescent="0.2">
      <c r="B760"/>
    </row>
    <row r="761" spans="2:2" x14ac:dyDescent="0.2">
      <c r="B761"/>
    </row>
    <row r="762" spans="2:2" x14ac:dyDescent="0.2">
      <c r="B762"/>
    </row>
    <row r="763" spans="2:2" x14ac:dyDescent="0.2">
      <c r="B763"/>
    </row>
    <row r="764" spans="2:2" x14ac:dyDescent="0.2">
      <c r="B764"/>
    </row>
    <row r="765" spans="2:2" x14ac:dyDescent="0.2">
      <c r="B765"/>
    </row>
    <row r="766" spans="2:2" x14ac:dyDescent="0.2">
      <c r="B766"/>
    </row>
    <row r="767" spans="2:2" x14ac:dyDescent="0.2">
      <c r="B767"/>
    </row>
    <row r="768" spans="2:2" x14ac:dyDescent="0.2">
      <c r="B768"/>
    </row>
    <row r="769" spans="2:2" x14ac:dyDescent="0.2">
      <c r="B769"/>
    </row>
    <row r="770" spans="2:2" x14ac:dyDescent="0.2">
      <c r="B770"/>
    </row>
    <row r="771" spans="2:2" x14ac:dyDescent="0.2">
      <c r="B771"/>
    </row>
    <row r="772" spans="2:2" x14ac:dyDescent="0.2">
      <c r="B772"/>
    </row>
    <row r="773" spans="2:2" x14ac:dyDescent="0.2">
      <c r="B773"/>
    </row>
    <row r="774" spans="2:2" x14ac:dyDescent="0.2">
      <c r="B774"/>
    </row>
    <row r="775" spans="2:2" x14ac:dyDescent="0.2">
      <c r="B775"/>
    </row>
    <row r="776" spans="2:2" x14ac:dyDescent="0.2">
      <c r="B776"/>
    </row>
    <row r="777" spans="2:2" x14ac:dyDescent="0.2">
      <c r="B777"/>
    </row>
    <row r="778" spans="2:2" x14ac:dyDescent="0.2">
      <c r="B778"/>
    </row>
    <row r="779" spans="2:2" x14ac:dyDescent="0.2">
      <c r="B779"/>
    </row>
    <row r="780" spans="2:2" x14ac:dyDescent="0.2">
      <c r="B780"/>
    </row>
    <row r="781" spans="2:2" x14ac:dyDescent="0.2">
      <c r="B781"/>
    </row>
    <row r="782" spans="2:2" x14ac:dyDescent="0.2">
      <c r="B782"/>
    </row>
    <row r="783" spans="2:2" x14ac:dyDescent="0.2">
      <c r="B783"/>
    </row>
    <row r="784" spans="2:2" x14ac:dyDescent="0.2">
      <c r="B784"/>
    </row>
    <row r="785" spans="2:2" x14ac:dyDescent="0.2">
      <c r="B785"/>
    </row>
    <row r="786" spans="2:2" x14ac:dyDescent="0.2">
      <c r="B786"/>
    </row>
    <row r="787" spans="2:2" x14ac:dyDescent="0.2">
      <c r="B787"/>
    </row>
    <row r="788" spans="2:2" x14ac:dyDescent="0.2">
      <c r="B788"/>
    </row>
    <row r="789" spans="2:2" x14ac:dyDescent="0.2">
      <c r="B789"/>
    </row>
    <row r="790" spans="2:2" x14ac:dyDescent="0.2">
      <c r="B790"/>
    </row>
    <row r="791" spans="2:2" x14ac:dyDescent="0.2">
      <c r="B791"/>
    </row>
    <row r="792" spans="2:2" x14ac:dyDescent="0.2">
      <c r="B792"/>
    </row>
    <row r="793" spans="2:2" x14ac:dyDescent="0.2">
      <c r="B793"/>
    </row>
    <row r="794" spans="2:2" x14ac:dyDescent="0.2">
      <c r="B794"/>
    </row>
    <row r="795" spans="2:2" x14ac:dyDescent="0.2">
      <c r="B795"/>
    </row>
    <row r="796" spans="2:2" x14ac:dyDescent="0.2">
      <c r="B796"/>
    </row>
    <row r="797" spans="2:2" x14ac:dyDescent="0.2">
      <c r="B797"/>
    </row>
    <row r="798" spans="2:2" x14ac:dyDescent="0.2">
      <c r="B798"/>
    </row>
    <row r="799" spans="2:2" x14ac:dyDescent="0.2">
      <c r="B799"/>
    </row>
    <row r="800" spans="2:2" x14ac:dyDescent="0.2">
      <c r="B800"/>
    </row>
    <row r="801" spans="2:2" x14ac:dyDescent="0.2">
      <c r="B801"/>
    </row>
    <row r="802" spans="2:2" x14ac:dyDescent="0.2">
      <c r="B802"/>
    </row>
    <row r="803" spans="2:2" x14ac:dyDescent="0.2">
      <c r="B803"/>
    </row>
    <row r="804" spans="2:2" x14ac:dyDescent="0.2">
      <c r="B804"/>
    </row>
    <row r="805" spans="2:2" x14ac:dyDescent="0.2">
      <c r="B805"/>
    </row>
    <row r="806" spans="2:2" x14ac:dyDescent="0.2">
      <c r="B806"/>
    </row>
    <row r="807" spans="2:2" x14ac:dyDescent="0.2">
      <c r="B807"/>
    </row>
    <row r="808" spans="2:2" x14ac:dyDescent="0.2">
      <c r="B808"/>
    </row>
    <row r="809" spans="2:2" x14ac:dyDescent="0.2">
      <c r="B809"/>
    </row>
    <row r="810" spans="2:2" x14ac:dyDescent="0.2">
      <c r="B810"/>
    </row>
    <row r="811" spans="2:2" x14ac:dyDescent="0.2">
      <c r="B811"/>
    </row>
    <row r="812" spans="2:2" x14ac:dyDescent="0.2">
      <c r="B812"/>
    </row>
    <row r="813" spans="2:2" x14ac:dyDescent="0.2">
      <c r="B813"/>
    </row>
    <row r="814" spans="2:2" x14ac:dyDescent="0.2">
      <c r="B814"/>
    </row>
    <row r="815" spans="2:2" x14ac:dyDescent="0.2">
      <c r="B815"/>
    </row>
    <row r="816" spans="2:2" x14ac:dyDescent="0.2">
      <c r="B816"/>
    </row>
    <row r="817" spans="2:2" x14ac:dyDescent="0.2">
      <c r="B817"/>
    </row>
    <row r="818" spans="2:2" x14ac:dyDescent="0.2">
      <c r="B818"/>
    </row>
    <row r="819" spans="2:2" x14ac:dyDescent="0.2">
      <c r="B819"/>
    </row>
    <row r="820" spans="2:2" x14ac:dyDescent="0.2">
      <c r="B820"/>
    </row>
    <row r="821" spans="2:2" x14ac:dyDescent="0.2">
      <c r="B821"/>
    </row>
    <row r="822" spans="2:2" x14ac:dyDescent="0.2">
      <c r="B822"/>
    </row>
    <row r="823" spans="2:2" x14ac:dyDescent="0.2">
      <c r="B823"/>
    </row>
  </sheetData>
  <sheetProtection algorithmName="SHA-512" hashValue="T2UxCwdZT97IQuynJVqyhDVelhbqbjluGIBcyXvQXnGeW7RTHIqFKVxacQW9R/N19QhO21EN8+mTvSTqaYJkYw==" saltValue="dYQKnKuIYzdmizNAxqX2XA==" spinCount="100000" sheet="1" objects="1" scenarios="1"/>
  <protectedRanges>
    <protectedRange sqref="B83:B87 C88:C92 C1:C82" name="Intervalo1_1"/>
  </protectedRanges>
  <mergeCells count="20">
    <mergeCell ref="A1:E2"/>
    <mergeCell ref="A12:D12"/>
    <mergeCell ref="A14:E15"/>
    <mergeCell ref="A25:D25"/>
    <mergeCell ref="A53:E54"/>
    <mergeCell ref="A95:B95"/>
    <mergeCell ref="A87:C87"/>
    <mergeCell ref="A88:D90"/>
    <mergeCell ref="A92:D92"/>
    <mergeCell ref="A26:D26"/>
    <mergeCell ref="A82:D82"/>
    <mergeCell ref="A65:E66"/>
    <mergeCell ref="A75:D75"/>
    <mergeCell ref="A76:D76"/>
    <mergeCell ref="A51:D51"/>
    <mergeCell ref="A63:D63"/>
    <mergeCell ref="A28:E29"/>
    <mergeCell ref="A38:D38"/>
    <mergeCell ref="A40:E41"/>
    <mergeCell ref="A50:D50"/>
  </mergeCells>
  <phoneticPr fontId="37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H7" sqref="H7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6"/>
  </cols>
  <sheetData>
    <row r="1" spans="1:6" s="52" customFormat="1" ht="25.5" x14ac:dyDescent="0.5">
      <c r="B1" s="72" t="s">
        <v>145</v>
      </c>
      <c r="C1" s="6"/>
      <c r="D1" s="6"/>
      <c r="E1" s="6"/>
      <c r="F1" s="6"/>
    </row>
    <row r="2" spans="1:6" x14ac:dyDescent="0.3">
      <c r="B2" s="32" t="s">
        <v>8</v>
      </c>
      <c r="E2" s="7"/>
      <c r="F2" s="7"/>
    </row>
    <row r="3" spans="1:6" ht="33" x14ac:dyDescent="0.3">
      <c r="B3" s="1">
        <v>1</v>
      </c>
      <c r="C3" s="310" t="s">
        <v>9</v>
      </c>
      <c r="D3" s="310"/>
      <c r="E3" s="310"/>
      <c r="F3" s="3" t="s">
        <v>165</v>
      </c>
    </row>
    <row r="4" spans="1:6" x14ac:dyDescent="0.3">
      <c r="B4" s="1" t="s">
        <v>6</v>
      </c>
      <c r="C4" s="307" t="s">
        <v>110</v>
      </c>
      <c r="D4" s="308"/>
      <c r="E4" s="309"/>
      <c r="F4" s="45">
        <v>220</v>
      </c>
    </row>
    <row r="5" spans="1:6" x14ac:dyDescent="0.3">
      <c r="B5" s="1" t="s">
        <v>7</v>
      </c>
      <c r="C5" s="311" t="s">
        <v>104</v>
      </c>
      <c r="D5" s="311"/>
      <c r="E5" s="311"/>
      <c r="F5" s="43">
        <v>7</v>
      </c>
    </row>
    <row r="6" spans="1:6" x14ac:dyDescent="0.3">
      <c r="B6" s="1" t="s">
        <v>10</v>
      </c>
      <c r="C6" s="307" t="s">
        <v>103</v>
      </c>
      <c r="D6" s="308"/>
      <c r="E6" s="309"/>
      <c r="F6" s="45">
        <v>365</v>
      </c>
    </row>
    <row r="7" spans="1:6" x14ac:dyDescent="0.3">
      <c r="B7" s="1" t="s">
        <v>12</v>
      </c>
      <c r="C7" s="311" t="s">
        <v>129</v>
      </c>
      <c r="D7" s="311"/>
      <c r="E7" s="311"/>
      <c r="F7" s="44">
        <v>15.2</v>
      </c>
    </row>
    <row r="8" spans="1:6" x14ac:dyDescent="0.3">
      <c r="B8" s="1" t="s">
        <v>109</v>
      </c>
      <c r="C8" s="307" t="s">
        <v>111</v>
      </c>
      <c r="D8" s="308"/>
      <c r="E8" s="309"/>
      <c r="F8" s="45">
        <v>12</v>
      </c>
    </row>
    <row r="9" spans="1:6" x14ac:dyDescent="0.3">
      <c r="B9" s="1" t="s">
        <v>116</v>
      </c>
      <c r="C9" s="311" t="s">
        <v>105</v>
      </c>
      <c r="D9" s="311"/>
      <c r="E9" s="311"/>
      <c r="F9" s="43">
        <v>60</v>
      </c>
    </row>
    <row r="10" spans="1:6" s="10" customFormat="1" x14ac:dyDescent="0.3">
      <c r="A10" s="6"/>
      <c r="B10" s="1" t="s">
        <v>117</v>
      </c>
      <c r="C10" s="307" t="s">
        <v>106</v>
      </c>
      <c r="D10" s="308"/>
      <c r="E10" s="309"/>
      <c r="F10" s="46">
        <v>52.5</v>
      </c>
    </row>
    <row r="11" spans="1:6" s="62" customFormat="1" x14ac:dyDescent="0.3"/>
    <row r="12" spans="1:6" s="62" customFormat="1" x14ac:dyDescent="0.3">
      <c r="A12" s="6"/>
      <c r="B12" s="32" t="s">
        <v>62</v>
      </c>
      <c r="C12" s="53"/>
      <c r="D12" s="53"/>
      <c r="E12" s="53"/>
      <c r="F12" s="53"/>
    </row>
    <row r="13" spans="1:6" s="62" customFormat="1" ht="15" customHeight="1" x14ac:dyDescent="0.3">
      <c r="A13" s="6"/>
      <c r="B13" s="1" t="s">
        <v>78</v>
      </c>
      <c r="C13" s="318" t="s">
        <v>14</v>
      </c>
      <c r="D13" s="319"/>
      <c r="E13" s="3" t="s">
        <v>33</v>
      </c>
      <c r="F13" s="3" t="s">
        <v>1</v>
      </c>
    </row>
    <row r="14" spans="1:6" s="62" customFormat="1" x14ac:dyDescent="0.3">
      <c r="B14" s="49" t="s">
        <v>2</v>
      </c>
      <c r="C14" s="320" t="s">
        <v>130</v>
      </c>
      <c r="D14" s="320"/>
      <c r="E14" s="142" t="s">
        <v>128</v>
      </c>
      <c r="F14" s="48">
        <v>6</v>
      </c>
    </row>
    <row r="15" spans="1:6" s="62" customFormat="1" x14ac:dyDescent="0.3"/>
    <row r="16" spans="1:6" s="52" customFormat="1" x14ac:dyDescent="0.3">
      <c r="A16" s="62"/>
      <c r="B16" s="32" t="s">
        <v>63</v>
      </c>
      <c r="C16" s="5"/>
      <c r="D16" s="15"/>
      <c r="E16" s="13"/>
      <c r="F16" s="13"/>
    </row>
    <row r="17" spans="1:6" s="52" customFormat="1" x14ac:dyDescent="0.3">
      <c r="A17" s="62"/>
      <c r="B17" s="1">
        <v>3</v>
      </c>
      <c r="C17" s="312" t="s">
        <v>43</v>
      </c>
      <c r="D17" s="313"/>
      <c r="E17" s="314"/>
      <c r="F17" s="3" t="s">
        <v>166</v>
      </c>
    </row>
    <row r="18" spans="1:6" s="52" customFormat="1" x14ac:dyDescent="0.3">
      <c r="A18" s="62"/>
      <c r="B18" s="1" t="s">
        <v>2</v>
      </c>
      <c r="C18" s="307" t="s">
        <v>124</v>
      </c>
      <c r="D18" s="308"/>
      <c r="E18" s="309"/>
      <c r="F18" s="97">
        <v>62.93</v>
      </c>
    </row>
    <row r="19" spans="1:6" x14ac:dyDescent="0.3">
      <c r="A19" s="62"/>
      <c r="B19" s="2" t="s">
        <v>3</v>
      </c>
      <c r="C19" s="315" t="s">
        <v>113</v>
      </c>
      <c r="D19" s="316"/>
      <c r="E19" s="317"/>
      <c r="F19" s="97">
        <v>5.55</v>
      </c>
    </row>
    <row r="20" spans="1:6" s="52" customFormat="1" ht="15.95" customHeight="1" x14ac:dyDescent="0.15">
      <c r="B20" s="2" t="s">
        <v>4</v>
      </c>
      <c r="C20" s="307" t="s">
        <v>114</v>
      </c>
      <c r="D20" s="308"/>
      <c r="E20" s="309"/>
      <c r="F20" s="47">
        <v>40</v>
      </c>
    </row>
    <row r="21" spans="1:6" ht="16.5" customHeight="1" x14ac:dyDescent="0.3">
      <c r="A21" s="62"/>
      <c r="B21" s="2" t="s">
        <v>5</v>
      </c>
      <c r="C21" s="315" t="s">
        <v>115</v>
      </c>
      <c r="D21" s="316"/>
      <c r="E21" s="317"/>
      <c r="F21" s="98">
        <v>94.45</v>
      </c>
    </row>
    <row r="22" spans="1:6" x14ac:dyDescent="0.3">
      <c r="A22" s="62"/>
      <c r="B22" s="2" t="s">
        <v>6</v>
      </c>
      <c r="C22" s="307" t="s">
        <v>126</v>
      </c>
      <c r="D22" s="308"/>
      <c r="E22" s="309"/>
      <c r="F22" s="47">
        <v>30</v>
      </c>
    </row>
    <row r="23" spans="1:6" s="62" customFormat="1" x14ac:dyDescent="0.3"/>
    <row r="24" spans="1:6" s="52" customFormat="1" x14ac:dyDescent="0.3">
      <c r="B24" s="32" t="s">
        <v>64</v>
      </c>
      <c r="C24" s="5"/>
      <c r="D24" s="15"/>
      <c r="E24" s="6"/>
      <c r="F24" s="6"/>
    </row>
    <row r="25" spans="1:6" s="52" customFormat="1" ht="15" customHeight="1" x14ac:dyDescent="0.3">
      <c r="B25" s="32" t="s">
        <v>88</v>
      </c>
      <c r="C25" s="5"/>
      <c r="D25" s="15"/>
      <c r="E25" s="13"/>
      <c r="F25" s="13"/>
    </row>
    <row r="26" spans="1:6" s="52" customFormat="1" x14ac:dyDescent="0.15">
      <c r="B26" s="1" t="s">
        <v>19</v>
      </c>
      <c r="C26" s="321" t="s">
        <v>89</v>
      </c>
      <c r="D26" s="322"/>
      <c r="E26" s="323"/>
      <c r="F26" s="3" t="s">
        <v>166</v>
      </c>
    </row>
    <row r="27" spans="1:6" s="52" customFormat="1" x14ac:dyDescent="0.15">
      <c r="B27" s="1" t="s">
        <v>2</v>
      </c>
      <c r="C27" s="307" t="s">
        <v>118</v>
      </c>
      <c r="D27" s="308"/>
      <c r="E27" s="309"/>
      <c r="F27" s="98">
        <v>8</v>
      </c>
    </row>
    <row r="28" spans="1:6" x14ac:dyDescent="0.3">
      <c r="A28" s="52"/>
      <c r="B28" s="2" t="s">
        <v>3</v>
      </c>
      <c r="C28" s="237" t="s">
        <v>119</v>
      </c>
      <c r="D28" s="238"/>
      <c r="E28" s="239"/>
      <c r="F28" s="98">
        <v>20</v>
      </c>
    </row>
    <row r="29" spans="1:6" x14ac:dyDescent="0.3">
      <c r="A29" s="52"/>
      <c r="B29" s="2" t="s">
        <v>4</v>
      </c>
      <c r="C29" s="307" t="s">
        <v>120</v>
      </c>
      <c r="D29" s="308"/>
      <c r="E29" s="309"/>
      <c r="F29" s="97">
        <v>1.42</v>
      </c>
    </row>
    <row r="30" spans="1:6" x14ac:dyDescent="0.3">
      <c r="A30" s="52"/>
      <c r="B30" s="2" t="s">
        <v>5</v>
      </c>
      <c r="C30" s="237" t="s">
        <v>155</v>
      </c>
      <c r="D30" s="238"/>
      <c r="E30" s="239"/>
      <c r="F30" s="97">
        <v>45.22</v>
      </c>
    </row>
    <row r="31" spans="1:6" s="52" customFormat="1" ht="15.95" customHeight="1" x14ac:dyDescent="0.3">
      <c r="A31" s="6"/>
      <c r="B31" s="2" t="s">
        <v>6</v>
      </c>
      <c r="C31" s="307" t="s">
        <v>122</v>
      </c>
      <c r="D31" s="308"/>
      <c r="E31" s="309"/>
      <c r="F31" s="97">
        <f>(154800/34808000)*100</f>
        <v>0.44</v>
      </c>
    </row>
    <row r="32" spans="1:6" ht="15.75" customHeight="1" x14ac:dyDescent="0.3">
      <c r="A32" s="52"/>
      <c r="B32" s="2" t="s">
        <v>7</v>
      </c>
      <c r="C32" s="237" t="s">
        <v>127</v>
      </c>
      <c r="D32" s="238"/>
      <c r="E32" s="239"/>
      <c r="F32" s="98">
        <v>15</v>
      </c>
    </row>
    <row r="33" spans="1:6" ht="15.75" customHeight="1" x14ac:dyDescent="0.3">
      <c r="A33" s="52"/>
      <c r="B33" s="2" t="s">
        <v>10</v>
      </c>
      <c r="C33" s="307" t="s">
        <v>123</v>
      </c>
      <c r="D33" s="308"/>
      <c r="E33" s="309"/>
      <c r="F33" s="98">
        <v>180</v>
      </c>
    </row>
    <row r="34" spans="1:6" x14ac:dyDescent="0.3">
      <c r="A34" s="52"/>
      <c r="B34" s="2" t="s">
        <v>11</v>
      </c>
      <c r="C34" s="237" t="s">
        <v>156</v>
      </c>
      <c r="D34" s="238"/>
      <c r="E34" s="239"/>
      <c r="F34" s="97">
        <v>54.78</v>
      </c>
    </row>
    <row r="35" spans="1:6" s="62" customFormat="1" ht="8.25" customHeight="1" x14ac:dyDescent="0.3">
      <c r="B35" s="174"/>
      <c r="C35" s="174"/>
      <c r="D35" s="174"/>
      <c r="E35" s="174"/>
      <c r="F35" s="174"/>
    </row>
    <row r="36" spans="1:6" hidden="1" x14ac:dyDescent="0.3">
      <c r="B36" s="184" t="s">
        <v>65</v>
      </c>
      <c r="C36" s="185"/>
      <c r="D36" s="186"/>
      <c r="E36" s="187"/>
      <c r="F36" s="187"/>
    </row>
    <row r="37" spans="1:6" hidden="1" x14ac:dyDescent="0.3">
      <c r="B37" s="188" t="s">
        <v>20</v>
      </c>
      <c r="C37" s="324" t="s">
        <v>66</v>
      </c>
      <c r="D37" s="324"/>
      <c r="E37" s="324"/>
      <c r="F37" s="189" t="s">
        <v>167</v>
      </c>
    </row>
    <row r="38" spans="1:6" hidden="1" x14ac:dyDescent="0.3">
      <c r="B38" s="188" t="s">
        <v>2</v>
      </c>
      <c r="C38" s="325" t="s">
        <v>112</v>
      </c>
      <c r="D38" s="325"/>
      <c r="E38" s="325"/>
      <c r="F38" s="190">
        <f>PERC_HORA_EXTRA</f>
        <v>0</v>
      </c>
    </row>
    <row r="39" spans="1:6" ht="15" hidden="1" customHeight="1" x14ac:dyDescent="0.3">
      <c r="B39" s="188" t="s">
        <v>3</v>
      </c>
      <c r="C39" s="326" t="s">
        <v>121</v>
      </c>
      <c r="D39" s="327"/>
      <c r="E39" s="328"/>
      <c r="F39" s="191">
        <f>TEMPO_INTERVALO_REFEICAO</f>
        <v>0</v>
      </c>
    </row>
    <row r="40" spans="1:6" s="62" customFormat="1" x14ac:dyDescent="0.3">
      <c r="B40" s="174"/>
      <c r="C40" s="174"/>
      <c r="D40" s="174"/>
      <c r="E40" s="174"/>
      <c r="F40" s="174"/>
    </row>
    <row r="41" spans="1:6" ht="20.25" x14ac:dyDescent="0.3">
      <c r="B41" s="175" t="s">
        <v>139</v>
      </c>
      <c r="C41" s="176"/>
      <c r="D41" s="176"/>
      <c r="E41" s="176"/>
      <c r="F41" s="177"/>
    </row>
    <row r="42" spans="1:6" ht="33.75" customHeight="1" x14ac:dyDescent="0.3">
      <c r="B42" s="234" t="s">
        <v>160</v>
      </c>
      <c r="C42" s="234"/>
      <c r="D42" s="234"/>
      <c r="E42" s="234"/>
      <c r="F42" s="234"/>
    </row>
    <row r="43" spans="1:6" x14ac:dyDescent="0.3">
      <c r="B43" s="181"/>
      <c r="C43" s="182"/>
      <c r="D43" s="182"/>
      <c r="E43" s="182"/>
      <c r="F43" s="182"/>
    </row>
    <row r="44" spans="1:6" x14ac:dyDescent="0.3">
      <c r="B44" s="181"/>
      <c r="C44" s="182"/>
      <c r="D44" s="182"/>
      <c r="E44" s="182"/>
      <c r="F44" s="182"/>
    </row>
    <row r="45" spans="1:6" ht="17.25" x14ac:dyDescent="0.3">
      <c r="B45" s="262" t="s">
        <v>316</v>
      </c>
      <c r="C45" s="262"/>
      <c r="D45" s="262"/>
      <c r="E45" s="262"/>
      <c r="F45" s="262"/>
    </row>
    <row r="46" spans="1:6" x14ac:dyDescent="0.3">
      <c r="B46" s="181"/>
      <c r="C46" s="182"/>
      <c r="D46" s="182"/>
      <c r="E46" s="182"/>
      <c r="F46" s="182"/>
    </row>
    <row r="47" spans="1:6" x14ac:dyDescent="0.3">
      <c r="B47" s="181"/>
      <c r="C47" s="182"/>
      <c r="D47" s="182"/>
      <c r="E47" s="182"/>
      <c r="F47" s="182"/>
    </row>
    <row r="48" spans="1:6" x14ac:dyDescent="0.3">
      <c r="B48" s="181"/>
      <c r="C48" s="182"/>
      <c r="D48" s="182"/>
      <c r="E48" s="182"/>
      <c r="F48" s="182"/>
    </row>
    <row r="49" spans="2:6" x14ac:dyDescent="0.3">
      <c r="B49" s="181"/>
      <c r="C49" s="182"/>
      <c r="D49" s="182"/>
      <c r="E49" s="182"/>
      <c r="F49" s="182"/>
    </row>
    <row r="50" spans="2:6" x14ac:dyDescent="0.3">
      <c r="B50" s="181"/>
      <c r="C50" s="182"/>
      <c r="D50" s="182"/>
      <c r="E50" s="182"/>
      <c r="F50" s="182"/>
    </row>
    <row r="51" spans="2:6" x14ac:dyDescent="0.3">
      <c r="B51" s="181"/>
      <c r="C51" s="182"/>
      <c r="D51" s="182"/>
      <c r="E51" s="182"/>
      <c r="F51" s="182"/>
    </row>
    <row r="52" spans="2:6" x14ac:dyDescent="0.3">
      <c r="B52" s="181"/>
      <c r="C52" s="182"/>
      <c r="D52" s="182"/>
      <c r="E52" s="182"/>
      <c r="F52" s="182"/>
    </row>
  </sheetData>
  <sheetProtection algorithmName="SHA-512" hashValue="jEXz46bTXTXMulPBQgoPzWin3uWi9DA2H8VVexKhnPJOMl+i8fmZfv87ZBThr3XIk1qbqlTHVx91AkTsbtPkSQ==" saltValue="/TIZBNZOivb3DWObKLqw5A==" spinCount="100000" sheet="1" objects="1" scenarios="1"/>
  <mergeCells count="30">
    <mergeCell ref="B45:F45"/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phoneticPr fontId="37" type="noConversion"/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/>
  </dataValidations>
  <pageMargins left="0.511811024" right="0.511811024" top="0.78740157499999996" bottom="0.78740157499999996" header="0.31496062000000002" footer="0.31496062000000002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D35" sqref="D35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6" customWidth="1"/>
    <col min="7" max="16384" width="9.140625" style="6"/>
  </cols>
  <sheetData>
    <row r="1" spans="2:6" s="52" customFormat="1" ht="25.5" x14ac:dyDescent="0.5">
      <c r="B1" s="72" t="s">
        <v>146</v>
      </c>
      <c r="C1" s="6"/>
      <c r="D1" s="6"/>
      <c r="E1" s="6"/>
      <c r="F1" s="6"/>
    </row>
    <row r="2" spans="2:6" x14ac:dyDescent="0.3">
      <c r="B2" s="32" t="s">
        <v>57</v>
      </c>
      <c r="E2" s="14"/>
    </row>
    <row r="3" spans="2:6" x14ac:dyDescent="0.3">
      <c r="B3" s="32" t="s">
        <v>96</v>
      </c>
      <c r="C3" s="5"/>
      <c r="D3" s="15"/>
      <c r="E3" s="13"/>
    </row>
    <row r="4" spans="2:6" x14ac:dyDescent="0.3">
      <c r="B4" s="1" t="s">
        <v>58</v>
      </c>
      <c r="C4" s="240" t="s">
        <v>80</v>
      </c>
      <c r="D4" s="240"/>
      <c r="E4" s="3" t="s">
        <v>1</v>
      </c>
      <c r="F4" s="3" t="s">
        <v>147</v>
      </c>
    </row>
    <row r="5" spans="2:6" x14ac:dyDescent="0.3">
      <c r="B5" s="1" t="s">
        <v>2</v>
      </c>
      <c r="C5" s="330" t="s">
        <v>42</v>
      </c>
      <c r="D5" s="330"/>
      <c r="E5" s="37">
        <f>(1/MESES_NO_ANO)*100</f>
        <v>8.33</v>
      </c>
      <c r="F5" s="37" t="s">
        <v>148</v>
      </c>
    </row>
    <row r="6" spans="2:6" s="10" customFormat="1" x14ac:dyDescent="0.3">
      <c r="B6" s="2" t="s">
        <v>3</v>
      </c>
      <c r="C6" s="331" t="s">
        <v>81</v>
      </c>
      <c r="D6" s="331"/>
      <c r="E6" s="25">
        <f>(1/3)/MESES_NO_ANO*100</f>
        <v>2.78</v>
      </c>
      <c r="F6" s="25" t="s">
        <v>149</v>
      </c>
    </row>
    <row r="7" spans="2:6" s="62" customFormat="1" x14ac:dyDescent="0.3">
      <c r="B7" s="329" t="s">
        <v>59</v>
      </c>
      <c r="C7" s="329"/>
      <c r="D7" s="329"/>
      <c r="E7" s="329"/>
      <c r="F7" s="329"/>
    </row>
    <row r="8" spans="2:6" s="62" customFormat="1" ht="34.5" customHeight="1" x14ac:dyDescent="0.3">
      <c r="B8" s="1" t="s">
        <v>60</v>
      </c>
      <c r="C8" s="334" t="s">
        <v>82</v>
      </c>
      <c r="D8" s="334"/>
      <c r="E8" s="3" t="s">
        <v>1</v>
      </c>
    </row>
    <row r="9" spans="2:6" x14ac:dyDescent="0.3">
      <c r="B9" s="1" t="s">
        <v>2</v>
      </c>
      <c r="C9" s="330" t="s">
        <v>36</v>
      </c>
      <c r="D9" s="330"/>
      <c r="E9" s="37">
        <v>20</v>
      </c>
    </row>
    <row r="10" spans="2:6" s="52" customFormat="1" x14ac:dyDescent="0.15">
      <c r="B10" s="2" t="s">
        <v>3</v>
      </c>
      <c r="C10" s="331" t="s">
        <v>38</v>
      </c>
      <c r="D10" s="331"/>
      <c r="E10" s="30">
        <v>2.5</v>
      </c>
    </row>
    <row r="11" spans="2:6" s="52" customFormat="1" x14ac:dyDescent="0.15">
      <c r="B11" s="2" t="s">
        <v>4</v>
      </c>
      <c r="C11" s="330" t="s">
        <v>77</v>
      </c>
      <c r="D11" s="330"/>
      <c r="E11" s="145">
        <v>1</v>
      </c>
    </row>
    <row r="12" spans="2:6" s="52" customFormat="1" x14ac:dyDescent="0.15">
      <c r="B12" s="2" t="s">
        <v>5</v>
      </c>
      <c r="C12" s="331" t="s">
        <v>75</v>
      </c>
      <c r="D12" s="331"/>
      <c r="E12" s="25">
        <v>1.5</v>
      </c>
    </row>
    <row r="13" spans="2:6" s="52" customFormat="1" x14ac:dyDescent="0.15">
      <c r="B13" s="2" t="s">
        <v>6</v>
      </c>
      <c r="C13" s="330" t="s">
        <v>76</v>
      </c>
      <c r="D13" s="330"/>
      <c r="E13" s="37">
        <v>1</v>
      </c>
    </row>
    <row r="14" spans="2:6" s="53" customFormat="1" x14ac:dyDescent="0.15">
      <c r="B14" s="2" t="s">
        <v>7</v>
      </c>
      <c r="C14" s="331" t="s">
        <v>40</v>
      </c>
      <c r="D14" s="331"/>
      <c r="E14" s="30">
        <v>0.6</v>
      </c>
    </row>
    <row r="15" spans="2:6" s="53" customFormat="1" x14ac:dyDescent="0.15">
      <c r="B15" s="2" t="s">
        <v>10</v>
      </c>
      <c r="C15" s="330" t="s">
        <v>37</v>
      </c>
      <c r="D15" s="330"/>
      <c r="E15" s="37">
        <v>0.2</v>
      </c>
    </row>
    <row r="16" spans="2:6" x14ac:dyDescent="0.3">
      <c r="B16" s="2" t="s">
        <v>11</v>
      </c>
      <c r="C16" s="331" t="s">
        <v>39</v>
      </c>
      <c r="D16" s="331"/>
      <c r="E16" s="30">
        <v>8</v>
      </c>
    </row>
    <row r="17" spans="2:6" x14ac:dyDescent="0.3">
      <c r="B17" s="240" t="s">
        <v>41</v>
      </c>
      <c r="C17" s="240"/>
      <c r="D17" s="240"/>
      <c r="E17" s="26">
        <f>SUM(E9:E16)</f>
        <v>34.799999999999997</v>
      </c>
    </row>
    <row r="18" spans="2:6" s="62" customFormat="1" x14ac:dyDescent="0.3">
      <c r="B18" s="32" t="s">
        <v>63</v>
      </c>
      <c r="C18" s="5"/>
      <c r="D18" s="15"/>
      <c r="E18" s="13"/>
    </row>
    <row r="19" spans="2:6" s="62" customFormat="1" ht="15" customHeight="1" x14ac:dyDescent="0.3">
      <c r="B19" s="1">
        <v>3</v>
      </c>
      <c r="C19" s="240" t="s">
        <v>43</v>
      </c>
      <c r="D19" s="240"/>
      <c r="E19" s="3" t="s">
        <v>1</v>
      </c>
      <c r="F19" s="3" t="s">
        <v>147</v>
      </c>
    </row>
    <row r="20" spans="2:6" s="62" customFormat="1" x14ac:dyDescent="0.3">
      <c r="B20" s="1" t="s">
        <v>2</v>
      </c>
      <c r="C20" s="335" t="s">
        <v>44</v>
      </c>
      <c r="D20" s="335"/>
      <c r="E20" s="37">
        <f>PERC_EMPREG_DEMIT_SEM_JUSTA_CAUSA_TOTAL_DESLIG%*PERC_EMPREG_AVISO_PREVIO_IND%*1/MESES_NO_ANO*100</f>
        <v>0.28999999999999998</v>
      </c>
      <c r="F20" s="37" t="s">
        <v>150</v>
      </c>
    </row>
    <row r="21" spans="2:6" s="62" customFormat="1" x14ac:dyDescent="0.3">
      <c r="B21" s="2" t="s">
        <v>3</v>
      </c>
      <c r="C21" s="333" t="s">
        <v>45</v>
      </c>
      <c r="D21" s="333"/>
      <c r="E21" s="30">
        <f>PERC_EMPREG_DEMIT_SEM_JUSTA_CAUSA_TOTAL_DESLIG%*PERC_EMPREG_AVISO_PREVIO_TRAB%*(DIAS_NA_SEMANA/DIAS_NO_MES)/MESES_NO_ANO*100</f>
        <v>1.1599999999999999</v>
      </c>
      <c r="F21" s="25" t="s">
        <v>154</v>
      </c>
    </row>
    <row r="22" spans="2:6" s="52" customFormat="1" ht="16.5" customHeight="1" x14ac:dyDescent="0.15">
      <c r="B22" s="2" t="s">
        <v>4</v>
      </c>
      <c r="C22" s="335" t="s">
        <v>169</v>
      </c>
      <c r="D22" s="335"/>
      <c r="E22" s="37">
        <f>ROUNDUP(PERC_AVISO_PREVIO_TRAB%*(PERC_MULTA_FGTS%)*PERC_FGTS%*100,2)</f>
        <v>0.04</v>
      </c>
      <c r="F22" s="37" t="s">
        <v>168</v>
      </c>
    </row>
    <row r="23" spans="2:6" s="52" customFormat="1" ht="15.95" customHeight="1" x14ac:dyDescent="0.3">
      <c r="B23" s="32" t="s">
        <v>64</v>
      </c>
      <c r="C23" s="5"/>
      <c r="D23" s="15"/>
      <c r="E23" s="6"/>
    </row>
    <row r="24" spans="2:6" s="52" customFormat="1" ht="15.95" customHeight="1" x14ac:dyDescent="0.3">
      <c r="B24" s="32" t="s">
        <v>88</v>
      </c>
      <c r="C24" s="5"/>
      <c r="D24" s="15"/>
      <c r="E24" s="13"/>
    </row>
    <row r="25" spans="2:6" s="52" customFormat="1" x14ac:dyDescent="0.15">
      <c r="B25" s="1" t="s">
        <v>19</v>
      </c>
      <c r="C25" s="332" t="s">
        <v>89</v>
      </c>
      <c r="D25" s="332"/>
      <c r="E25" s="3" t="s">
        <v>1</v>
      </c>
      <c r="F25" s="3" t="s">
        <v>147</v>
      </c>
    </row>
    <row r="26" spans="2:6" s="52" customFormat="1" ht="15.95" customHeight="1" x14ac:dyDescent="0.15">
      <c r="B26" s="2" t="s">
        <v>2</v>
      </c>
      <c r="C26" s="330" t="s">
        <v>90</v>
      </c>
      <c r="D26" s="330"/>
      <c r="E26" s="37">
        <f>(1/MESES_NO_ANO)*100</f>
        <v>8.33</v>
      </c>
      <c r="F26" s="37" t="s">
        <v>151</v>
      </c>
    </row>
    <row r="27" spans="2:6" s="52" customFormat="1" ht="15.95" customHeight="1" x14ac:dyDescent="0.15">
      <c r="B27" s="2" t="s">
        <v>3</v>
      </c>
      <c r="C27" s="143" t="s">
        <v>91</v>
      </c>
      <c r="D27" s="143"/>
      <c r="E27" s="30">
        <f>(DIAS_AUSENCIAS_LEGAIS/DIAS_NO_MES)/MESES_NO_ANO*100</f>
        <v>2.2200000000000002</v>
      </c>
      <c r="F27" s="25" t="s">
        <v>152</v>
      </c>
    </row>
    <row r="28" spans="2:6" s="52" customFormat="1" ht="15.95" customHeight="1" x14ac:dyDescent="0.15">
      <c r="B28" s="2" t="s">
        <v>4</v>
      </c>
      <c r="C28" s="330" t="s">
        <v>92</v>
      </c>
      <c r="D28" s="330"/>
      <c r="E28" s="37">
        <f>(((DIAS_LICENCA_PATERNIDADE/DIAS_NO_MES)/MESES_NO_ANO)*PERC_NASCIDOS_VIVOS_POPUL_FEM%*PERC_PARTIC_MASC_VIGIL%)*100</f>
        <v>0.04</v>
      </c>
      <c r="F28" s="37" t="s">
        <v>157</v>
      </c>
    </row>
    <row r="29" spans="2:6" s="52" customFormat="1" x14ac:dyDescent="0.15">
      <c r="B29" s="2" t="s">
        <v>5</v>
      </c>
      <c r="C29" s="331" t="s">
        <v>93</v>
      </c>
      <c r="D29" s="331"/>
      <c r="E29" s="30">
        <f>(DIAS_PAGOS_EMPRESA_ACID_TRAB/DIAS_NO_MES)/MESES_NO_ANO*PERC_EMPREG_AFAST_TRAB%*100</f>
        <v>0.02</v>
      </c>
      <c r="F29" s="25" t="s">
        <v>153</v>
      </c>
    </row>
    <row r="30" spans="2:6" s="52" customFormat="1" ht="33" x14ac:dyDescent="0.15">
      <c r="B30" s="2" t="s">
        <v>6</v>
      </c>
      <c r="C30" s="330" t="s">
        <v>94</v>
      </c>
      <c r="D30" s="330"/>
      <c r="E30" s="37">
        <f>(((DIAS_LICENCA_MATERNIDADE/DIAS_NO_MES)/MESES_NO_ANO)*PERC_NASCIDOS_VIVOS_POPUL_FEM%*PERC_PARTIC_FEM_VIGIL%*PERC_GPS_FGTS%*100)</f>
        <v>0.14000000000000001</v>
      </c>
      <c r="F30" s="37" t="s">
        <v>158</v>
      </c>
    </row>
    <row r="31" spans="2:6" s="52" customFormat="1" x14ac:dyDescent="0.15">
      <c r="B31" s="2" t="s">
        <v>7</v>
      </c>
      <c r="C31" s="336" t="str">
        <f>OUTRAS_AUSENCIAS_DESCRICAO</f>
        <v>Outras Ausências (Especificar - em %)</v>
      </c>
      <c r="D31" s="336"/>
      <c r="E31" s="145">
        <f>PERC_SUBSTITUTO_OUTRAS_AUSENCIAS</f>
        <v>0</v>
      </c>
      <c r="F31" s="146"/>
    </row>
    <row r="32" spans="2:6" x14ac:dyDescent="0.3">
      <c r="B32" s="181"/>
      <c r="C32" s="182"/>
      <c r="D32" s="182"/>
      <c r="E32" s="182"/>
      <c r="F32" s="181"/>
    </row>
    <row r="33" spans="2:6" ht="20.25" x14ac:dyDescent="0.3">
      <c r="B33" s="175" t="s">
        <v>139</v>
      </c>
      <c r="C33" s="182"/>
      <c r="D33" s="182"/>
      <c r="E33" s="182"/>
      <c r="F33" s="181"/>
    </row>
    <row r="34" spans="2:6" ht="42.75" customHeight="1" x14ac:dyDescent="0.3">
      <c r="B34" s="234" t="s">
        <v>160</v>
      </c>
      <c r="C34" s="234"/>
      <c r="D34" s="234"/>
      <c r="E34" s="234"/>
      <c r="F34" s="181"/>
    </row>
    <row r="36" spans="2:6" ht="17.25" x14ac:dyDescent="0.3">
      <c r="B36" s="262" t="s">
        <v>309</v>
      </c>
      <c r="C36" s="262"/>
    </row>
  </sheetData>
  <sheetProtection algorithmName="SHA-512" hashValue="1IkG9WpOmBYo7e5KW/6pC5ZYNzIqyRPwG8M6m2Fn07cg/ImkC+Kj3RdHOGJQzg5Go4djDw8aLfh3HOSZF6MGtg==" saltValue="QXPMgZMEKqVZlQDt8grgmg==" spinCount="100000" sheet="1" objects="1" scenarios="1"/>
  <mergeCells count="26">
    <mergeCell ref="B36:C36"/>
    <mergeCell ref="C20:D20"/>
    <mergeCell ref="C16:D16"/>
    <mergeCell ref="B17:D17"/>
    <mergeCell ref="C28:D28"/>
    <mergeCell ref="B34:E34"/>
    <mergeCell ref="C31:D31"/>
    <mergeCell ref="C29:D29"/>
    <mergeCell ref="C30:D30"/>
    <mergeCell ref="C22:D22"/>
    <mergeCell ref="C26:D26"/>
    <mergeCell ref="B7:F7"/>
    <mergeCell ref="C4:D4"/>
    <mergeCell ref="C5:D5"/>
    <mergeCell ref="C6:D6"/>
    <mergeCell ref="C25:D25"/>
    <mergeCell ref="C21:D21"/>
    <mergeCell ref="C15:D15"/>
    <mergeCell ref="C19:D19"/>
    <mergeCell ref="C13:D13"/>
    <mergeCell ref="C14:D14"/>
    <mergeCell ref="C11:D11"/>
    <mergeCell ref="C10:D10"/>
    <mergeCell ref="C8:D8"/>
    <mergeCell ref="C9:D9"/>
    <mergeCell ref="C12:D12"/>
  </mergeCells>
  <phoneticPr fontId="37" type="noConversion"/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topLeftCell="A54" zoomScaleNormal="100" zoomScaleSheetLayoutView="100" workbookViewId="0">
      <selection activeCell="F72" sqref="F72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7" width="9.140625" style="6"/>
    <col min="8" max="8" width="10.5703125" style="6" bestFit="1" customWidth="1"/>
    <col min="9" max="16384" width="9.140625" style="6"/>
  </cols>
  <sheetData>
    <row r="1" spans="2:6" ht="20.25" x14ac:dyDescent="0.35">
      <c r="B1" s="343" t="str">
        <f>RAMO</f>
        <v>RAMO: MINISTÉRIO PÚBLICO DO DISTRITO FEDERAL E TERRITÓRIOS</v>
      </c>
      <c r="C1" s="344"/>
      <c r="D1" s="344"/>
      <c r="E1" s="344"/>
      <c r="F1" s="345"/>
    </row>
    <row r="2" spans="2:6" ht="20.25" x14ac:dyDescent="0.35">
      <c r="B2" s="346" t="str">
        <f>UG</f>
        <v>UNIDADE GESTORA (SIGLA): S.D.A</v>
      </c>
      <c r="C2" s="347"/>
      <c r="D2" s="348"/>
      <c r="E2" s="50" t="s">
        <v>49</v>
      </c>
      <c r="F2" s="51" t="str">
        <f>DATA_DO_ORCAMENTO_ESTIMATIVO</f>
        <v>XX/XX/XXXX</v>
      </c>
    </row>
    <row r="3" spans="2:6" s="52" customFormat="1" ht="25.5" x14ac:dyDescent="0.5">
      <c r="B3" s="256" t="s">
        <v>142</v>
      </c>
      <c r="C3" s="256"/>
      <c r="D3" s="256"/>
      <c r="E3" s="256"/>
      <c r="F3" s="256"/>
    </row>
    <row r="4" spans="2:6" s="52" customFormat="1" ht="15.95" customHeight="1" x14ac:dyDescent="0.3">
      <c r="B4" s="349" t="s">
        <v>83</v>
      </c>
      <c r="C4" s="349"/>
      <c r="D4" s="349"/>
      <c r="E4" s="349"/>
      <c r="F4" s="349"/>
    </row>
    <row r="5" spans="2:6" s="52" customFormat="1" ht="15.95" customHeight="1" x14ac:dyDescent="0.3">
      <c r="B5" s="337" t="s">
        <v>161</v>
      </c>
      <c r="C5" s="337"/>
      <c r="D5" s="350" t="str">
        <f>NUMERO_PROCESSO</f>
        <v>08191.032667/2021-16</v>
      </c>
      <c r="E5" s="350"/>
      <c r="F5" s="350"/>
    </row>
    <row r="6" spans="2:6" s="52" customFormat="1" ht="15.75" customHeight="1" x14ac:dyDescent="0.3">
      <c r="B6" s="340" t="s">
        <v>162</v>
      </c>
      <c r="C6" s="340"/>
      <c r="D6" s="341" t="str">
        <f>MODALIDADE_DE_LICITACAO</f>
        <v>Pregão nº</v>
      </c>
      <c r="E6" s="341"/>
      <c r="F6" s="75" t="str">
        <f>NUMERO_PREGAO</f>
        <v>56/2021</v>
      </c>
    </row>
    <row r="7" spans="2:6" s="53" customFormat="1" ht="15.75" customHeight="1" x14ac:dyDescent="0.3">
      <c r="B7" s="342" t="s">
        <v>50</v>
      </c>
      <c r="C7" s="342"/>
      <c r="D7" s="342"/>
      <c r="E7" s="342"/>
      <c r="F7" s="342"/>
    </row>
    <row r="8" spans="2:6" s="52" customFormat="1" ht="18" customHeight="1" x14ac:dyDescent="0.3">
      <c r="B8" s="17" t="s">
        <v>2</v>
      </c>
      <c r="C8" s="337" t="s">
        <v>55</v>
      </c>
      <c r="D8" s="337"/>
      <c r="E8" s="337"/>
      <c r="F8" s="54" t="str">
        <f>DATA_APRESENTACAO_PROPOSTA</f>
        <v>XX/XX/XXXX</v>
      </c>
    </row>
    <row r="9" spans="2:6" s="52" customFormat="1" ht="15.95" customHeight="1" x14ac:dyDescent="0.15">
      <c r="B9" s="1" t="s">
        <v>3</v>
      </c>
      <c r="C9" s="42" t="s">
        <v>31</v>
      </c>
      <c r="D9" s="338" t="str">
        <f>IF(LOCAL_DE_EXECUCAO="","",LOCAL_DE_EXECUCAO)</f>
        <v>Unidades do MPDFT</v>
      </c>
      <c r="E9" s="338"/>
      <c r="F9" s="338"/>
    </row>
    <row r="10" spans="2:6" s="52" customFormat="1" ht="18.75" customHeight="1" x14ac:dyDescent="0.3">
      <c r="B10" s="17" t="s">
        <v>4</v>
      </c>
      <c r="C10" s="337" t="s">
        <v>32</v>
      </c>
      <c r="D10" s="337"/>
      <c r="E10" s="337"/>
      <c r="F10" s="55" t="str">
        <f>ACORDO_COLETIVO</f>
        <v>xx/xxxx</v>
      </c>
    </row>
    <row r="11" spans="2:6" s="52" customFormat="1" ht="15.95" customHeight="1" x14ac:dyDescent="0.3">
      <c r="B11" s="1" t="s">
        <v>5</v>
      </c>
      <c r="C11" s="338" t="s">
        <v>56</v>
      </c>
      <c r="D11" s="338"/>
      <c r="E11" s="338"/>
      <c r="F11" s="56">
        <f>NUMERO_MESES_EXEC_CONTRATUAL</f>
        <v>12</v>
      </c>
    </row>
    <row r="12" spans="2:6" s="52" customFormat="1" x14ac:dyDescent="0.3">
      <c r="B12" s="1" t="s">
        <v>6</v>
      </c>
      <c r="C12" s="339" t="s">
        <v>73</v>
      </c>
      <c r="D12" s="339"/>
      <c r="E12" s="339"/>
      <c r="F12" s="57">
        <f>'INSERIR-DADOS-44h'!F19</f>
        <v>1</v>
      </c>
    </row>
    <row r="13" spans="2:6" s="60" customFormat="1" ht="15" customHeight="1" x14ac:dyDescent="0.2">
      <c r="B13" s="58" t="s">
        <v>140</v>
      </c>
      <c r="C13" s="59"/>
      <c r="D13" s="59"/>
      <c r="E13" s="59"/>
      <c r="F13" s="59"/>
    </row>
    <row r="14" spans="2:6" s="52" customFormat="1" x14ac:dyDescent="0.3">
      <c r="B14" s="17">
        <v>1</v>
      </c>
      <c r="C14" s="356" t="s">
        <v>52</v>
      </c>
      <c r="D14" s="356"/>
      <c r="E14" s="357" t="str">
        <f>'INSERIR-DADOS-44h'!C19</f>
        <v>Encarregado (44 horas)</v>
      </c>
      <c r="F14" s="357"/>
    </row>
    <row r="15" spans="2:6" s="53" customFormat="1" x14ac:dyDescent="0.3">
      <c r="B15" s="17">
        <v>2</v>
      </c>
      <c r="C15" s="18" t="s">
        <v>51</v>
      </c>
      <c r="D15" s="359" t="str">
        <f>'INSERIR-DADOS-44h'!D24:F24</f>
        <v>4101-05</v>
      </c>
      <c r="E15" s="359"/>
      <c r="F15" s="359"/>
    </row>
    <row r="16" spans="2:6" s="52" customFormat="1" ht="15" customHeight="1" x14ac:dyDescent="0.3">
      <c r="B16" s="17">
        <v>3</v>
      </c>
      <c r="C16" s="73" t="s">
        <v>53</v>
      </c>
      <c r="D16" s="357" t="str">
        <f>'INSERIR-DADOS-44h'!D25:F25</f>
        <v>Encarregado(a)</v>
      </c>
      <c r="E16" s="357"/>
      <c r="F16" s="357"/>
    </row>
    <row r="17" spans="2:6" s="52" customFormat="1" ht="15" customHeight="1" x14ac:dyDescent="0.3">
      <c r="B17" s="17">
        <v>4</v>
      </c>
      <c r="C17" s="320" t="s">
        <v>54</v>
      </c>
      <c r="D17" s="320"/>
      <c r="E17" s="320"/>
      <c r="F17" s="74" t="str">
        <f>DATA_BASE_CATEGORIA</f>
        <v>XX/XX/XXXX</v>
      </c>
    </row>
    <row r="18" spans="2:6" s="61" customFormat="1" ht="20.25" customHeight="1" x14ac:dyDescent="0.3">
      <c r="B18" s="358" t="s">
        <v>35</v>
      </c>
      <c r="C18" s="358"/>
      <c r="D18" s="358"/>
      <c r="E18" s="358"/>
      <c r="F18" s="358"/>
    </row>
    <row r="19" spans="2:6" x14ac:dyDescent="0.3">
      <c r="B19" s="240" t="s">
        <v>47</v>
      </c>
      <c r="C19" s="240"/>
      <c r="D19" s="240"/>
      <c r="E19" s="240"/>
      <c r="F19" s="66">
        <f>'INSERIR-DADOS-44h'!E19</f>
        <v>1</v>
      </c>
    </row>
    <row r="20" spans="2:6" x14ac:dyDescent="0.3">
      <c r="B20" s="32" t="s">
        <v>8</v>
      </c>
      <c r="E20" s="7"/>
      <c r="F20" s="7"/>
    </row>
    <row r="21" spans="2:6" x14ac:dyDescent="0.3">
      <c r="B21" s="1">
        <v>1</v>
      </c>
      <c r="C21" s="310" t="s">
        <v>9</v>
      </c>
      <c r="D21" s="310"/>
      <c r="E21" s="310"/>
      <c r="F21" s="3" t="s">
        <v>13</v>
      </c>
    </row>
    <row r="22" spans="2:6" x14ac:dyDescent="0.3">
      <c r="B22" s="1" t="s">
        <v>2</v>
      </c>
      <c r="C22" s="241" t="s">
        <v>79</v>
      </c>
      <c r="D22" s="241"/>
      <c r="E22" s="241"/>
      <c r="F22" s="35">
        <f>SALARIO_BASE</f>
        <v>0</v>
      </c>
    </row>
    <row r="23" spans="2:6" x14ac:dyDescent="0.3">
      <c r="B23" s="1" t="s">
        <v>3</v>
      </c>
      <c r="C23" s="353" t="str">
        <f>OUTROS_REMUNERACAO_2_DESCRICAO</f>
        <v>Outras Remunerações  (Especificar)</v>
      </c>
      <c r="D23" s="354"/>
      <c r="E23" s="355"/>
      <c r="F23" s="35">
        <f>OUTROS_REMUNERACAO_2</f>
        <v>0</v>
      </c>
    </row>
    <row r="24" spans="2:6" x14ac:dyDescent="0.3">
      <c r="B24" s="351" t="s">
        <v>41</v>
      </c>
      <c r="C24" s="351"/>
      <c r="D24" s="351"/>
      <c r="E24" s="351"/>
      <c r="F24" s="27">
        <f>SUM(F22:F23)</f>
        <v>0</v>
      </c>
    </row>
    <row r="25" spans="2:6" x14ac:dyDescent="0.3">
      <c r="B25" s="32" t="s">
        <v>57</v>
      </c>
      <c r="E25" s="14"/>
      <c r="F25" s="14"/>
    </row>
    <row r="26" spans="2:6" x14ac:dyDescent="0.3">
      <c r="B26" s="32" t="s">
        <v>96</v>
      </c>
      <c r="C26" s="5"/>
      <c r="D26" s="15"/>
      <c r="E26" s="13"/>
      <c r="F26" s="13"/>
    </row>
    <row r="27" spans="2:6" x14ac:dyDescent="0.3">
      <c r="B27" s="1" t="s">
        <v>58</v>
      </c>
      <c r="C27" s="240" t="s">
        <v>80</v>
      </c>
      <c r="D27" s="240"/>
      <c r="E27" s="3" t="s">
        <v>1</v>
      </c>
      <c r="F27" s="3" t="s">
        <v>13</v>
      </c>
    </row>
    <row r="28" spans="2:6" x14ac:dyDescent="0.3">
      <c r="B28" s="1" t="s">
        <v>2</v>
      </c>
      <c r="C28" s="330" t="s">
        <v>42</v>
      </c>
      <c r="D28" s="330"/>
      <c r="E28" s="37">
        <f>PERC_DEC_TERC</f>
        <v>8.33</v>
      </c>
      <c r="F28" s="36">
        <f>PERC_DEC_TERC%*MOD_1_REMUNERACAO</f>
        <v>0</v>
      </c>
    </row>
    <row r="29" spans="2:6" s="10" customFormat="1" x14ac:dyDescent="0.3">
      <c r="B29" s="2" t="s">
        <v>3</v>
      </c>
      <c r="C29" s="331" t="s">
        <v>81</v>
      </c>
      <c r="D29" s="331"/>
      <c r="E29" s="25">
        <f>PERC_ADIC_FERIAS</f>
        <v>2.78</v>
      </c>
      <c r="F29" s="23">
        <f>PERC_ADIC_FERIAS%*MOD_1_REMUNERACAO</f>
        <v>0</v>
      </c>
    </row>
    <row r="30" spans="2:6" s="62" customFormat="1" x14ac:dyDescent="0.3">
      <c r="B30" s="312" t="s">
        <v>41</v>
      </c>
      <c r="C30" s="313"/>
      <c r="D30" s="313"/>
      <c r="E30" s="314"/>
      <c r="F30" s="28">
        <f>SUM(F28:F29)</f>
        <v>0</v>
      </c>
    </row>
    <row r="31" spans="2:6" s="62" customFormat="1" ht="31.5" customHeight="1" x14ac:dyDescent="0.3">
      <c r="B31" s="352" t="s">
        <v>59</v>
      </c>
      <c r="C31" s="352"/>
      <c r="D31" s="352"/>
      <c r="E31" s="352"/>
      <c r="F31" s="352"/>
    </row>
    <row r="32" spans="2:6" s="62" customFormat="1" ht="34.5" customHeight="1" x14ac:dyDescent="0.3">
      <c r="B32" s="1" t="s">
        <v>60</v>
      </c>
      <c r="C32" s="334" t="s">
        <v>82</v>
      </c>
      <c r="D32" s="334"/>
      <c r="E32" s="3" t="s">
        <v>1</v>
      </c>
      <c r="F32" s="3" t="s">
        <v>13</v>
      </c>
    </row>
    <row r="33" spans="2:8" x14ac:dyDescent="0.3">
      <c r="B33" s="1" t="s">
        <v>2</v>
      </c>
      <c r="C33" s="330" t="s">
        <v>36</v>
      </c>
      <c r="D33" s="330"/>
      <c r="E33" s="37">
        <f>PERC_INSS</f>
        <v>20</v>
      </c>
      <c r="F33" s="36">
        <f>PERC_INSS%*(MOD_1_REMUNERACAO+SUBMOD_2_1_DEC_TERC_ADIC_FERIAS)</f>
        <v>0</v>
      </c>
    </row>
    <row r="34" spans="2:8" s="52" customFormat="1" x14ac:dyDescent="0.15">
      <c r="B34" s="2" t="s">
        <v>3</v>
      </c>
      <c r="C34" s="331" t="s">
        <v>38</v>
      </c>
      <c r="D34" s="331"/>
      <c r="E34" s="30">
        <f>PERC_SAL_EDUCACAO</f>
        <v>2.5</v>
      </c>
      <c r="F34" s="23">
        <f>PERC_SAL_EDUCACAO%*(MOD_1_REMUNERACAO+SUBMOD_2_1_DEC_TERC_ADIC_FERIAS)</f>
        <v>0</v>
      </c>
    </row>
    <row r="35" spans="2:8" s="52" customFormat="1" x14ac:dyDescent="0.15">
      <c r="B35" s="2" t="s">
        <v>4</v>
      </c>
      <c r="C35" s="330" t="s">
        <v>77</v>
      </c>
      <c r="D35" s="330"/>
      <c r="E35" s="37">
        <f>PERC_RAT</f>
        <v>1</v>
      </c>
      <c r="F35" s="36">
        <f>PERC_RAT%*(MOD_1_REMUNERACAO+SUBMOD_2_1_DEC_TERC_ADIC_FERIAS)</f>
        <v>0</v>
      </c>
    </row>
    <row r="36" spans="2:8" s="52" customFormat="1" x14ac:dyDescent="0.15">
      <c r="B36" s="2" t="s">
        <v>5</v>
      </c>
      <c r="C36" s="331" t="s">
        <v>75</v>
      </c>
      <c r="D36" s="331"/>
      <c r="E36" s="25">
        <f>PERC_SESC</f>
        <v>1.5</v>
      </c>
      <c r="F36" s="23">
        <f>PERC_SESC%*(MOD_1_REMUNERACAO+SUBMOD_2_1_DEC_TERC_ADIC_FERIAS)</f>
        <v>0</v>
      </c>
    </row>
    <row r="37" spans="2:8" s="52" customFormat="1" x14ac:dyDescent="0.15">
      <c r="B37" s="2" t="s">
        <v>6</v>
      </c>
      <c r="C37" s="330" t="s">
        <v>76</v>
      </c>
      <c r="D37" s="330"/>
      <c r="E37" s="37">
        <f>PERC_SENAC</f>
        <v>1</v>
      </c>
      <c r="F37" s="36">
        <f>PERC_SENAC%*(MOD_1_REMUNERACAO+SUBMOD_2_1_DEC_TERC_ADIC_FERIAS)</f>
        <v>0</v>
      </c>
    </row>
    <row r="38" spans="2:8" s="53" customFormat="1" x14ac:dyDescent="0.15">
      <c r="B38" s="2" t="s">
        <v>7</v>
      </c>
      <c r="C38" s="331" t="s">
        <v>40</v>
      </c>
      <c r="D38" s="331"/>
      <c r="E38" s="30">
        <f>PERC_SEBRAE</f>
        <v>0.6</v>
      </c>
      <c r="F38" s="23">
        <f>PERC_SEBRAE%*(MOD_1_REMUNERACAO+SUBMOD_2_1_DEC_TERC_ADIC_FERIAS)</f>
        <v>0</v>
      </c>
    </row>
    <row r="39" spans="2:8" s="53" customFormat="1" x14ac:dyDescent="0.15">
      <c r="B39" s="2" t="s">
        <v>10</v>
      </c>
      <c r="C39" s="330" t="s">
        <v>37</v>
      </c>
      <c r="D39" s="330"/>
      <c r="E39" s="37">
        <f>PERC_INCRA</f>
        <v>0.2</v>
      </c>
      <c r="F39" s="36">
        <f>PERC_INCRA%*(MOD_1_REMUNERACAO+SUBMOD_2_1_DEC_TERC_ADIC_FERIAS)</f>
        <v>0</v>
      </c>
    </row>
    <row r="40" spans="2:8" x14ac:dyDescent="0.3">
      <c r="B40" s="2" t="s">
        <v>11</v>
      </c>
      <c r="C40" s="331" t="s">
        <v>39</v>
      </c>
      <c r="D40" s="331"/>
      <c r="E40" s="30">
        <f>PERC_FGTS</f>
        <v>8</v>
      </c>
      <c r="F40" s="23">
        <f>PERC_FGTS%*(MOD_1_REMUNERACAO+SUBMOD_2_1_DEC_TERC_ADIC_FERIAS)</f>
        <v>0</v>
      </c>
    </row>
    <row r="41" spans="2:8" x14ac:dyDescent="0.3">
      <c r="B41" s="312" t="s">
        <v>41</v>
      </c>
      <c r="C41" s="313"/>
      <c r="D41" s="313"/>
      <c r="E41" s="314"/>
      <c r="F41" s="29">
        <f>SUM(F33:F40)</f>
        <v>0</v>
      </c>
    </row>
    <row r="42" spans="2:8" ht="15.75" customHeight="1" x14ac:dyDescent="0.3">
      <c r="B42" s="32" t="s">
        <v>62</v>
      </c>
      <c r="C42" s="53"/>
      <c r="D42" s="53"/>
      <c r="E42" s="53"/>
      <c r="F42" s="53"/>
    </row>
    <row r="43" spans="2:8" ht="15.75" customHeight="1" x14ac:dyDescent="0.3">
      <c r="B43" s="1" t="s">
        <v>78</v>
      </c>
      <c r="C43" s="310" t="s">
        <v>14</v>
      </c>
      <c r="D43" s="310"/>
      <c r="E43" s="310"/>
      <c r="F43" s="3" t="s">
        <v>13</v>
      </c>
    </row>
    <row r="44" spans="2:8" x14ac:dyDescent="0.3">
      <c r="B44" s="17" t="s">
        <v>2</v>
      </c>
      <c r="C44" s="330" t="s">
        <v>15</v>
      </c>
      <c r="D44" s="330"/>
      <c r="E44" s="330"/>
      <c r="F44" s="36">
        <f>(TRANSPORTE_POR_DIA*DIAS_TRABALHADOS_NO_MES)-(SALARIO_BASE*6%)</f>
        <v>0</v>
      </c>
    </row>
    <row r="45" spans="2:8" s="62" customFormat="1" x14ac:dyDescent="0.3">
      <c r="B45" s="17" t="s">
        <v>3</v>
      </c>
      <c r="C45" s="331" t="s">
        <v>61</v>
      </c>
      <c r="D45" s="331"/>
      <c r="E45" s="331"/>
      <c r="F45" s="23">
        <f>ALIMENTACAO_POR_DIA*DIAS_TRABALHADOS_NO_MES</f>
        <v>0</v>
      </c>
      <c r="H45" s="140"/>
    </row>
    <row r="46" spans="2:8" s="62" customFormat="1" x14ac:dyDescent="0.3">
      <c r="B46" s="17" t="s">
        <v>4</v>
      </c>
      <c r="C46" s="353" t="str">
        <f>'INSERIR-DADOS-44h'!C49</f>
        <v>Outros Benefícios 1 (Especificar)</v>
      </c>
      <c r="D46" s="354"/>
      <c r="E46" s="355"/>
      <c r="F46" s="36">
        <f>OUTROS_BENEFICIOS_1</f>
        <v>0</v>
      </c>
    </row>
    <row r="47" spans="2:8" s="62" customFormat="1" ht="15" customHeight="1" x14ac:dyDescent="0.3">
      <c r="B47" s="351" t="s">
        <v>41</v>
      </c>
      <c r="C47" s="351"/>
      <c r="D47" s="351"/>
      <c r="E47" s="351"/>
      <c r="F47" s="27">
        <f>SUM(F44:F46)</f>
        <v>0</v>
      </c>
    </row>
    <row r="48" spans="2:8" s="62" customFormat="1" x14ac:dyDescent="0.3">
      <c r="B48" s="32" t="s">
        <v>63</v>
      </c>
      <c r="C48" s="5"/>
      <c r="D48" s="15"/>
      <c r="E48" s="13"/>
      <c r="F48" s="13"/>
    </row>
    <row r="49" spans="2:6" s="62" customFormat="1" ht="15" customHeight="1" x14ac:dyDescent="0.3">
      <c r="B49" s="1">
        <v>3</v>
      </c>
      <c r="C49" s="240" t="s">
        <v>43</v>
      </c>
      <c r="D49" s="240"/>
      <c r="E49" s="3" t="s">
        <v>1</v>
      </c>
      <c r="F49" s="3" t="s">
        <v>13</v>
      </c>
    </row>
    <row r="50" spans="2:6" s="62" customFormat="1" x14ac:dyDescent="0.3">
      <c r="B50" s="1" t="s">
        <v>2</v>
      </c>
      <c r="C50" s="335" t="s">
        <v>44</v>
      </c>
      <c r="D50" s="335"/>
      <c r="E50" s="37">
        <f>PERC_AVISO_PREVIO_IND</f>
        <v>0.28999999999999998</v>
      </c>
      <c r="F50" s="36">
        <f>PERC_AVISO_PREVIO_IND%*(MOD_1_REMUNERACAO+SUBMOD_2_1_DEC_TERC_ADIC_FERIAS+AL_2_2_FGTS+SUBMOD_2_3_BENEFICIOS)</f>
        <v>0</v>
      </c>
    </row>
    <row r="51" spans="2:6" s="62" customFormat="1" x14ac:dyDescent="0.3">
      <c r="B51" s="2" t="s">
        <v>3</v>
      </c>
      <c r="C51" s="333" t="s">
        <v>45</v>
      </c>
      <c r="D51" s="333"/>
      <c r="E51" s="30">
        <f>PERC_AVISO_PREVIO_TRAB</f>
        <v>1.1599999999999999</v>
      </c>
      <c r="F51" s="23">
        <f>PERC_AVISO_PREVIO_TRAB%*(MOD_1_REMUNERACAO+SUBMOD_2_1_DEC_TERC_ADIC_FERIAS+SUBMOD_2_2_GPS_FGTS+SUBMOD_2_3_BENEFICIOS)</f>
        <v>0</v>
      </c>
    </row>
    <row r="52" spans="2:6" s="52" customFormat="1" x14ac:dyDescent="0.15">
      <c r="B52" s="2" t="s">
        <v>4</v>
      </c>
      <c r="C52" s="335" t="s">
        <v>169</v>
      </c>
      <c r="D52" s="335"/>
      <c r="E52" s="37">
        <f>PERC_MULTA_FGTS_AV_PREV_TRAB</f>
        <v>0.04</v>
      </c>
      <c r="F52" s="36">
        <f>PERC_MULTA_FGTS_AV_PREV_TRAB%*(MOD_1_REMUNERACAO+SUBMOD_2_1_DEC_TERC_ADIC_FERIAS)</f>
        <v>0</v>
      </c>
    </row>
    <row r="53" spans="2:6" s="52" customFormat="1" x14ac:dyDescent="0.3">
      <c r="B53" s="312" t="s">
        <v>41</v>
      </c>
      <c r="C53" s="313"/>
      <c r="D53" s="313"/>
      <c r="E53" s="314"/>
      <c r="F53" s="28">
        <f>SUM(F50:F52)</f>
        <v>0</v>
      </c>
    </row>
    <row r="54" spans="2:6" ht="15.75" customHeight="1" x14ac:dyDescent="0.3">
      <c r="B54" s="9"/>
      <c r="C54" s="10"/>
      <c r="D54" s="11"/>
      <c r="E54" s="7"/>
      <c r="F54" s="7"/>
    </row>
    <row r="55" spans="2:6" s="52" customFormat="1" ht="15.95" customHeight="1" x14ac:dyDescent="0.3">
      <c r="B55" s="32" t="s">
        <v>64</v>
      </c>
      <c r="C55" s="5"/>
      <c r="D55" s="15"/>
      <c r="E55" s="6"/>
      <c r="F55" s="6"/>
    </row>
    <row r="56" spans="2:6" s="52" customFormat="1" ht="15.95" customHeight="1" x14ac:dyDescent="0.3">
      <c r="B56" s="32" t="s">
        <v>88</v>
      </c>
      <c r="C56" s="5"/>
      <c r="D56" s="15"/>
      <c r="E56" s="13"/>
      <c r="F56" s="13"/>
    </row>
    <row r="57" spans="2:6" s="52" customFormat="1" x14ac:dyDescent="0.15">
      <c r="B57" s="1" t="s">
        <v>19</v>
      </c>
      <c r="C57" s="332" t="s">
        <v>89</v>
      </c>
      <c r="D57" s="332"/>
      <c r="E57" s="3" t="s">
        <v>1</v>
      </c>
      <c r="F57" s="3" t="s">
        <v>13</v>
      </c>
    </row>
    <row r="58" spans="2:6" s="52" customFormat="1" ht="15.95" customHeight="1" x14ac:dyDescent="0.15">
      <c r="B58" s="2" t="s">
        <v>2</v>
      </c>
      <c r="C58" s="330" t="s">
        <v>90</v>
      </c>
      <c r="D58" s="330"/>
      <c r="E58" s="37">
        <f>PERC_SUBSTITUTO_FERIAS</f>
        <v>8.33</v>
      </c>
      <c r="F58" s="36">
        <f>PERC_SUBSTITUTO_FERIAS%*(MOD_1_REMUNERACAO+MOD_2_ENCARGOS_BENEFICIOS+MOD_3_PROVISAO_RESCISAO)</f>
        <v>0</v>
      </c>
    </row>
    <row r="59" spans="2:6" s="52" customFormat="1" ht="15.95" customHeight="1" x14ac:dyDescent="0.15">
      <c r="B59" s="2" t="s">
        <v>3</v>
      </c>
      <c r="C59" s="331" t="s">
        <v>91</v>
      </c>
      <c r="D59" s="331"/>
      <c r="E59" s="30">
        <f>PERC_SUBSTITUTO_AUSENCIAS_LEGAIS</f>
        <v>2.2200000000000002</v>
      </c>
      <c r="F59" s="23">
        <f>PERC_SUBSTITUTO_AUSENCIAS_LEGAIS%*(MOD_1_REMUNERACAO+MOD_2_ENCARGOS_BENEFICIOS+MOD_3_PROVISAO_RESCISAO)</f>
        <v>0</v>
      </c>
    </row>
    <row r="60" spans="2:6" s="52" customFormat="1" ht="15.95" customHeight="1" x14ac:dyDescent="0.15">
      <c r="B60" s="2" t="s">
        <v>4</v>
      </c>
      <c r="C60" s="330" t="s">
        <v>92</v>
      </c>
      <c r="D60" s="330"/>
      <c r="E60" s="37">
        <f>PERC_SUBSTITUTO_LICENCA_PATERNIDADE</f>
        <v>0.04</v>
      </c>
      <c r="F60" s="36">
        <f>PERC_SUBSTITUTO_LICENCA_PATERNIDADE%*(MOD_1_REMUNERACAO+MOD_2_ENCARGOS_BENEFICIOS+MOD_3_PROVISAO_RESCISAO)</f>
        <v>0</v>
      </c>
    </row>
    <row r="61" spans="2:6" s="52" customFormat="1" x14ac:dyDescent="0.15">
      <c r="B61" s="2" t="s">
        <v>5</v>
      </c>
      <c r="C61" s="331" t="s">
        <v>93</v>
      </c>
      <c r="D61" s="331"/>
      <c r="E61" s="30">
        <f>PERC_SUBSTITUTO_ACID_TRAB</f>
        <v>0.02</v>
      </c>
      <c r="F61" s="23">
        <f>PERC_SUBSTITUTO_ACID_TRAB%*(MOD_1_REMUNERACAO+MOD_2_ENCARGOS_BENEFICIOS+MOD_3_PROVISAO_RESCISAO)</f>
        <v>0</v>
      </c>
    </row>
    <row r="62" spans="2:6" s="52" customFormat="1" x14ac:dyDescent="0.15">
      <c r="B62" s="2" t="s">
        <v>6</v>
      </c>
      <c r="C62" s="330" t="s">
        <v>94</v>
      </c>
      <c r="D62" s="330"/>
      <c r="E62" s="37">
        <f>PERC_SUBSTITUTO_AFAST_MATERN</f>
        <v>0.14000000000000001</v>
      </c>
      <c r="F62" s="36">
        <f>PERC_SUBSTITUTO_AFAST_MATERN%*(MOD_1_REMUNERACAO+MOD_2_ENCARGOS_BENEFICIOS+MOD_3_PROVISAO_RESCISAO)</f>
        <v>0</v>
      </c>
    </row>
    <row r="63" spans="2:6" s="52" customFormat="1" x14ac:dyDescent="0.15">
      <c r="B63" s="2" t="s">
        <v>7</v>
      </c>
      <c r="C63" s="361" t="str">
        <f>OUTRAS_AUSENCIAS_DESCRICAO</f>
        <v>Outras Ausências (Especificar - em %)</v>
      </c>
      <c r="D63" s="331"/>
      <c r="E63" s="34">
        <f>PERC_SUBSTITUTO_OUTRAS_AUSENCIAS</f>
        <v>0</v>
      </c>
      <c r="F63" s="23">
        <f>PERC_SUBSTITUTO_OUTRAS_AUSENCIAS%*(MOD_1_REMUNERACAO+MOD_2_ENCARGOS_BENEFICIOS+MOD_3_PROVISAO_RESCISAO)</f>
        <v>0</v>
      </c>
    </row>
    <row r="64" spans="2:6" s="52" customFormat="1" x14ac:dyDescent="0.3">
      <c r="B64" s="312" t="s">
        <v>41</v>
      </c>
      <c r="C64" s="313"/>
      <c r="D64" s="313"/>
      <c r="E64" s="314"/>
      <c r="F64" s="28">
        <f>SUM(F58:F63)</f>
        <v>0</v>
      </c>
    </row>
    <row r="65" spans="2:6" s="52" customFormat="1" hidden="1" x14ac:dyDescent="0.3">
      <c r="B65" s="32" t="s">
        <v>164</v>
      </c>
      <c r="C65" s="5"/>
      <c r="D65" s="15"/>
      <c r="E65" s="13"/>
      <c r="F65" s="13"/>
    </row>
    <row r="66" spans="2:6" s="52" customFormat="1" hidden="1" x14ac:dyDescent="0.15">
      <c r="B66" s="1" t="s">
        <v>20</v>
      </c>
      <c r="C66" s="312" t="s">
        <v>163</v>
      </c>
      <c r="D66" s="313"/>
      <c r="E66" s="314"/>
      <c r="F66" s="3" t="s">
        <v>13</v>
      </c>
    </row>
    <row r="67" spans="2:6" s="52" customFormat="1" hidden="1" x14ac:dyDescent="0.15">
      <c r="B67" s="1" t="s">
        <v>2</v>
      </c>
      <c r="C67" s="307" t="s">
        <v>95</v>
      </c>
      <c r="D67" s="308"/>
      <c r="E67" s="309"/>
      <c r="F67" s="35">
        <f>IF(DIAS_TRABALHADOS_NO_MES=15,((MOD_1_REMUNERACAO+MOD_2_ENCARGOS_BENEFICIOS+MOD_3_PROVISAO_RESCISAO)/DIVISOR_DE_HORAS)*((TEMPO_INTERVALO_REFEICAO/HORA_NORMAL)+PERC_HORA_EXTRA%)*DIAS_TRABALHADOS_NO_MES,0)</f>
        <v>0</v>
      </c>
    </row>
    <row r="68" spans="2:6" s="52" customFormat="1" hidden="1" x14ac:dyDescent="0.3">
      <c r="B68" s="312" t="s">
        <v>41</v>
      </c>
      <c r="C68" s="313"/>
      <c r="D68" s="313"/>
      <c r="E68" s="314"/>
      <c r="F68" s="28">
        <f>SUM(F67)</f>
        <v>0</v>
      </c>
    </row>
    <row r="69" spans="2:6" ht="12.75" customHeight="1" x14ac:dyDescent="0.3">
      <c r="B69" s="9"/>
      <c r="C69" s="10"/>
      <c r="D69" s="11"/>
      <c r="E69" s="7"/>
      <c r="F69" s="7"/>
    </row>
    <row r="70" spans="2:6" x14ac:dyDescent="0.3">
      <c r="B70" s="32" t="s">
        <v>68</v>
      </c>
      <c r="C70" s="5"/>
      <c r="D70" s="5"/>
      <c r="E70" s="13"/>
      <c r="F70" s="13"/>
    </row>
    <row r="71" spans="2:6" ht="15.75" customHeight="1" x14ac:dyDescent="0.3">
      <c r="B71" s="1">
        <v>5</v>
      </c>
      <c r="C71" s="310" t="s">
        <v>0</v>
      </c>
      <c r="D71" s="310"/>
      <c r="E71" s="310"/>
      <c r="F71" s="3" t="s">
        <v>13</v>
      </c>
    </row>
    <row r="72" spans="2:6" x14ac:dyDescent="0.3">
      <c r="B72" s="17" t="s">
        <v>2</v>
      </c>
      <c r="C72" s="330" t="s">
        <v>16</v>
      </c>
      <c r="D72" s="330"/>
      <c r="E72" s="330"/>
      <c r="F72" s="36">
        <f>UNIFORMES</f>
        <v>0</v>
      </c>
    </row>
    <row r="73" spans="2:6" x14ac:dyDescent="0.3">
      <c r="B73" s="17" t="s">
        <v>3</v>
      </c>
      <c r="C73" s="361" t="str">
        <f>'INSERIR-DADOS-44h'!C71</f>
        <v>Outros (Especificar)</v>
      </c>
      <c r="D73" s="331"/>
      <c r="E73" s="331"/>
      <c r="F73" s="23">
        <f>'INSERIR-DADOS-44h'!F71</f>
        <v>0</v>
      </c>
    </row>
    <row r="74" spans="2:6" x14ac:dyDescent="0.3">
      <c r="B74" s="351" t="s">
        <v>41</v>
      </c>
      <c r="C74" s="351"/>
      <c r="D74" s="351"/>
      <c r="E74" s="351"/>
      <c r="F74" s="27">
        <f>SUM(F72:F73)</f>
        <v>0</v>
      </c>
    </row>
    <row r="75" spans="2:6" ht="7.5" customHeight="1" x14ac:dyDescent="0.3">
      <c r="B75" s="9"/>
      <c r="C75" s="10"/>
      <c r="D75" s="11"/>
      <c r="E75" s="7"/>
      <c r="F75" s="7"/>
    </row>
    <row r="76" spans="2:6" ht="15" customHeight="1" x14ac:dyDescent="0.3">
      <c r="B76" s="247" t="s">
        <v>67</v>
      </c>
      <c r="C76" s="247"/>
      <c r="D76" s="247"/>
      <c r="E76" s="247"/>
      <c r="F76" s="247"/>
    </row>
    <row r="77" spans="2:6" x14ac:dyDescent="0.3">
      <c r="B77" s="1">
        <v>6</v>
      </c>
      <c r="C77" s="240" t="s">
        <v>21</v>
      </c>
      <c r="D77" s="240"/>
      <c r="E77" s="3" t="s">
        <v>1</v>
      </c>
      <c r="F77" s="3" t="s">
        <v>13</v>
      </c>
    </row>
    <row r="78" spans="2:6" x14ac:dyDescent="0.3">
      <c r="B78" s="1" t="s">
        <v>2</v>
      </c>
      <c r="C78" s="330" t="s">
        <v>69</v>
      </c>
      <c r="D78" s="330"/>
      <c r="E78" s="38">
        <f>PERC_CUSTOS_INDIRETOS</f>
        <v>4.7300000000000004</v>
      </c>
      <c r="F78" s="36">
        <f>PERC_CUSTOS_INDIRETOS%*(MOD_1_REMUNERACAO+MOD_2_ENCARGOS_BENEFICIOS+MOD_3_PROVISAO_RESCISAO+MOD_4_CUSTO_REPOSICAO+MOD_5_INSUMOS)</f>
        <v>0</v>
      </c>
    </row>
    <row r="79" spans="2:6" ht="15.75" customHeight="1" x14ac:dyDescent="0.3">
      <c r="B79" s="2" t="s">
        <v>3</v>
      </c>
      <c r="C79" s="331" t="s">
        <v>28</v>
      </c>
      <c r="D79" s="331"/>
      <c r="E79" s="31">
        <f>PERC_LUCRO</f>
        <v>5.57</v>
      </c>
      <c r="F79" s="23">
        <f>PERC_LUCRO%*(MOD_1_REMUNERACAO+MOD_2_ENCARGOS_BENEFICIOS+MOD_3_PROVISAO_RESCISAO+MOD_4_CUSTO_REPOSICAO+MOD_5_INSUMOS+AL_6_A_CUSTOS_INDIRETOS)</f>
        <v>0</v>
      </c>
    </row>
    <row r="80" spans="2:6" x14ac:dyDescent="0.3">
      <c r="B80" s="2" t="s">
        <v>4</v>
      </c>
      <c r="C80" s="330" t="s">
        <v>22</v>
      </c>
      <c r="D80" s="330"/>
      <c r="E80" s="38">
        <f>SUM(E81:E83)</f>
        <v>8.65</v>
      </c>
      <c r="F80" s="36">
        <f>SUM(F81:F83)</f>
        <v>0</v>
      </c>
    </row>
    <row r="81" spans="2:6" ht="15.75" customHeight="1" x14ac:dyDescent="0.3">
      <c r="B81" s="21" t="s">
        <v>70</v>
      </c>
      <c r="C81" s="360" t="s">
        <v>23</v>
      </c>
      <c r="D81" s="360"/>
      <c r="E81" s="22">
        <f>PERC_PIS</f>
        <v>0.65</v>
      </c>
      <c r="F81" s="40">
        <f>((MOD_1_REMUNERACAO+MOD_2_ENCARGOS_BENEFICIOS+MOD_3_PROVISAO_RESCISAO+MOD_4_CUSTO_REPOSICAO+MOD_5_INSUMOS+AL_6_A_CUSTOS_INDIRETOS+AL_6_B_LUCRO)*PERC_PIS%)/(1-PERC_TRIBUTOS%)</f>
        <v>0</v>
      </c>
    </row>
    <row r="82" spans="2:6" x14ac:dyDescent="0.3">
      <c r="B82" s="21" t="s">
        <v>71</v>
      </c>
      <c r="C82" s="362" t="s">
        <v>24</v>
      </c>
      <c r="D82" s="362"/>
      <c r="E82" s="39">
        <f>PERC_COFINS</f>
        <v>3</v>
      </c>
      <c r="F82" s="41">
        <f>((MOD_1_REMUNERACAO+MOD_2_ENCARGOS_BENEFICIOS+MOD_3_PROVISAO_RESCISAO+MOD_4_CUSTO_REPOSICAO+MOD_5_INSUMOS+AL_6_A_CUSTOS_INDIRETOS+AL_6_B_LUCRO)*PERC_COFINS%)/(1-PERC_TRIBUTOS%)</f>
        <v>0</v>
      </c>
    </row>
    <row r="83" spans="2:6" s="63" customFormat="1" x14ac:dyDescent="0.3">
      <c r="B83" s="21" t="s">
        <v>72</v>
      </c>
      <c r="C83" s="360" t="s">
        <v>25</v>
      </c>
      <c r="D83" s="360"/>
      <c r="E83" s="22">
        <f>PERC_ISS</f>
        <v>5</v>
      </c>
      <c r="F83" s="40">
        <f>((MOD_1_REMUNERACAO+MOD_2_ENCARGOS_BENEFICIOS+MOD_3_PROVISAO_RESCISAO+MOD_4_CUSTO_REPOSICAO+MOD_5_INSUMOS+AL_6_A_CUSTOS_INDIRETOS+AL_6_B_LUCRO)*PERC_ISS%)/(1-PERC_TRIBUTOS%)</f>
        <v>0</v>
      </c>
    </row>
    <row r="84" spans="2:6" s="63" customFormat="1" x14ac:dyDescent="0.3">
      <c r="B84" s="312" t="s">
        <v>41</v>
      </c>
      <c r="C84" s="313"/>
      <c r="D84" s="313"/>
      <c r="E84" s="314"/>
      <c r="F84" s="24">
        <f>AL_6_A_CUSTOS_INDIRETOS+AL_6_B_LUCRO+AL_6_C_TRIBUTOS</f>
        <v>0</v>
      </c>
    </row>
    <row r="85" spans="2:6" s="63" customFormat="1" ht="20.25" x14ac:dyDescent="0.3">
      <c r="B85" s="33" t="s">
        <v>48</v>
      </c>
      <c r="C85" s="8"/>
      <c r="D85" s="8"/>
      <c r="E85" s="8"/>
      <c r="F85" s="16"/>
    </row>
    <row r="86" spans="2:6" s="64" customFormat="1" ht="16.5" customHeight="1" x14ac:dyDescent="0.3">
      <c r="B86" s="2" t="s">
        <v>84</v>
      </c>
      <c r="C86" s="321" t="s">
        <v>85</v>
      </c>
      <c r="D86" s="322"/>
      <c r="E86" s="323"/>
      <c r="F86" s="3" t="s">
        <v>18</v>
      </c>
    </row>
    <row r="87" spans="2:6" s="63" customFormat="1" x14ac:dyDescent="0.3">
      <c r="B87" s="1">
        <v>1</v>
      </c>
      <c r="C87" s="330" t="s">
        <v>9</v>
      </c>
      <c r="D87" s="330"/>
      <c r="E87" s="330"/>
      <c r="F87" s="36">
        <f>MOD_1_REMUNERACAO</f>
        <v>0</v>
      </c>
    </row>
    <row r="88" spans="2:6" s="65" customFormat="1" ht="16.5" customHeight="1" x14ac:dyDescent="0.3">
      <c r="B88" s="2">
        <v>2</v>
      </c>
      <c r="C88" s="331" t="s">
        <v>86</v>
      </c>
      <c r="D88" s="331"/>
      <c r="E88" s="331"/>
      <c r="F88" s="23">
        <f>MOD_2_ENCARGOS_BENEFICIOS</f>
        <v>0</v>
      </c>
    </row>
    <row r="89" spans="2:6" s="65" customFormat="1" x14ac:dyDescent="0.3">
      <c r="B89" s="2">
        <v>3</v>
      </c>
      <c r="C89" s="330" t="s">
        <v>43</v>
      </c>
      <c r="D89" s="330"/>
      <c r="E89" s="330"/>
      <c r="F89" s="36">
        <f>MOD_3_PROVISAO_RESCISAO</f>
        <v>0</v>
      </c>
    </row>
    <row r="90" spans="2:6" s="65" customFormat="1" x14ac:dyDescent="0.3">
      <c r="B90" s="2">
        <v>4</v>
      </c>
      <c r="C90" s="331" t="s">
        <v>46</v>
      </c>
      <c r="D90" s="331"/>
      <c r="E90" s="331"/>
      <c r="F90" s="23">
        <f>MOD_4_CUSTO_REPOSICAO</f>
        <v>0</v>
      </c>
    </row>
    <row r="91" spans="2:6" s="65" customFormat="1" x14ac:dyDescent="0.3">
      <c r="B91" s="2">
        <v>5</v>
      </c>
      <c r="C91" s="330" t="s">
        <v>0</v>
      </c>
      <c r="D91" s="330"/>
      <c r="E91" s="330"/>
      <c r="F91" s="36">
        <f>MOD_5_INSUMOS</f>
        <v>0</v>
      </c>
    </row>
    <row r="92" spans="2:6" s="65" customFormat="1" x14ac:dyDescent="0.3">
      <c r="B92" s="2">
        <v>6</v>
      </c>
      <c r="C92" s="331" t="s">
        <v>21</v>
      </c>
      <c r="D92" s="331"/>
      <c r="E92" s="331"/>
      <c r="F92" s="23">
        <f>MOD_6_CUSTOS_IND_LUCRO_TRIB</f>
        <v>0</v>
      </c>
    </row>
    <row r="93" spans="2:6" s="65" customFormat="1" x14ac:dyDescent="0.3">
      <c r="B93" s="2">
        <v>7</v>
      </c>
      <c r="C93" s="237" t="s">
        <v>297</v>
      </c>
      <c r="D93" s="238"/>
      <c r="E93" s="239"/>
      <c r="F93" s="23">
        <f>'UNIFORMES E AUXÍLIOS'!D87</f>
        <v>0</v>
      </c>
    </row>
    <row r="94" spans="2:6" ht="16.5" customHeight="1" x14ac:dyDescent="0.3">
      <c r="B94" s="332" t="s">
        <v>87</v>
      </c>
      <c r="C94" s="332"/>
      <c r="D94" s="332"/>
      <c r="E94" s="332"/>
      <c r="F94" s="24">
        <f>SUM(F87:F93)</f>
        <v>0</v>
      </c>
    </row>
    <row r="95" spans="2:6" ht="16.5" customHeight="1" x14ac:dyDescent="0.3">
      <c r="B95" s="332" t="s">
        <v>27</v>
      </c>
      <c r="C95" s="332"/>
      <c r="D95" s="332"/>
      <c r="E95" s="332"/>
      <c r="F95" s="24">
        <f>VALOR_TOTAL_EMPREGADO*EMPREG_POR_POSTO</f>
        <v>0</v>
      </c>
    </row>
    <row r="96" spans="2:6" x14ac:dyDescent="0.3">
      <c r="B96" s="332" t="s">
        <v>299</v>
      </c>
      <c r="C96" s="332"/>
      <c r="D96" s="332"/>
      <c r="E96" s="332"/>
      <c r="F96" s="24">
        <f>VALOR_TOTAL_EMPREGADO*'INSERIR-DADOS-44h'!F19</f>
        <v>0</v>
      </c>
    </row>
    <row r="97" spans="2:6" ht="16.5" customHeight="1" x14ac:dyDescent="0.3">
      <c r="B97" s="332" t="s">
        <v>298</v>
      </c>
      <c r="C97" s="332"/>
      <c r="D97" s="332"/>
      <c r="E97" s="332"/>
      <c r="F97" s="24">
        <f>F96*12</f>
        <v>0</v>
      </c>
    </row>
  </sheetData>
  <sheetProtection algorithmName="SHA-512" hashValue="i3WOF3XZNAoYgxu2vkgMfFcll3j/7plBDHdpL0ToH4ivkVg2V5ZIv5PTyJyDJYgD+lUUqMcWtc3sEDqROdLcRw==" saltValue="Ns8WbBoqeVrUsOeQgdGdGw==" spinCount="100000" sheet="1" objects="1" scenarios="1"/>
  <mergeCells count="86">
    <mergeCell ref="C79:D79"/>
    <mergeCell ref="C80:D80"/>
    <mergeCell ref="C82:D82"/>
    <mergeCell ref="C83:D83"/>
    <mergeCell ref="B96:E96"/>
    <mergeCell ref="C89:E89"/>
    <mergeCell ref="C90:E90"/>
    <mergeCell ref="C91:E91"/>
    <mergeCell ref="C92:E92"/>
    <mergeCell ref="B94:E94"/>
    <mergeCell ref="B95:E95"/>
    <mergeCell ref="C93:E93"/>
    <mergeCell ref="C59:D59"/>
    <mergeCell ref="C88:E88"/>
    <mergeCell ref="C81:D81"/>
    <mergeCell ref="B76:F76"/>
    <mergeCell ref="C77:D77"/>
    <mergeCell ref="C63:D63"/>
    <mergeCell ref="C72:E72"/>
    <mergeCell ref="C73:E73"/>
    <mergeCell ref="C71:E71"/>
    <mergeCell ref="C62:D62"/>
    <mergeCell ref="B74:E74"/>
    <mergeCell ref="B84:E84"/>
    <mergeCell ref="B64:E64"/>
    <mergeCell ref="C86:E86"/>
    <mergeCell ref="C87:E87"/>
    <mergeCell ref="C78:D78"/>
    <mergeCell ref="B53:E53"/>
    <mergeCell ref="C57:D57"/>
    <mergeCell ref="C58:D58"/>
    <mergeCell ref="C52:D52"/>
    <mergeCell ref="C51:D51"/>
    <mergeCell ref="C66:E66"/>
    <mergeCell ref="C67:E67"/>
    <mergeCell ref="C35:D35"/>
    <mergeCell ref="C36:D36"/>
    <mergeCell ref="B47:E47"/>
    <mergeCell ref="C37:D37"/>
    <mergeCell ref="C60:D60"/>
    <mergeCell ref="C49:D49"/>
    <mergeCell ref="C38:D38"/>
    <mergeCell ref="C39:D39"/>
    <mergeCell ref="C40:D40"/>
    <mergeCell ref="B41:E41"/>
    <mergeCell ref="C43:E43"/>
    <mergeCell ref="C44:E44"/>
    <mergeCell ref="C45:E45"/>
    <mergeCell ref="C46:E46"/>
    <mergeCell ref="C14:D14"/>
    <mergeCell ref="E14:F14"/>
    <mergeCell ref="C17:E17"/>
    <mergeCell ref="B18:F18"/>
    <mergeCell ref="B19:E19"/>
    <mergeCell ref="D15:F15"/>
    <mergeCell ref="D16:F16"/>
    <mergeCell ref="B97:E97"/>
    <mergeCell ref="C21:E21"/>
    <mergeCell ref="C22:E22"/>
    <mergeCell ref="C28:D28"/>
    <mergeCell ref="C29:D29"/>
    <mergeCell ref="B30:E30"/>
    <mergeCell ref="B24:E24"/>
    <mergeCell ref="C27:D27"/>
    <mergeCell ref="C34:D34"/>
    <mergeCell ref="B31:F31"/>
    <mergeCell ref="C32:D32"/>
    <mergeCell ref="C23:E23"/>
    <mergeCell ref="C33:D33"/>
    <mergeCell ref="B68:E68"/>
    <mergeCell ref="C61:D61"/>
    <mergeCell ref="C50:D50"/>
    <mergeCell ref="B1:F1"/>
    <mergeCell ref="B2:D2"/>
    <mergeCell ref="B3:F3"/>
    <mergeCell ref="B4:F4"/>
    <mergeCell ref="B5:C5"/>
    <mergeCell ref="D5:F5"/>
    <mergeCell ref="C8:E8"/>
    <mergeCell ref="C10:E10"/>
    <mergeCell ref="C11:E11"/>
    <mergeCell ref="C12:E12"/>
    <mergeCell ref="B6:C6"/>
    <mergeCell ref="D6:E6"/>
    <mergeCell ref="B7:F7"/>
    <mergeCell ref="D9:F9"/>
  </mergeCells>
  <phoneticPr fontId="37" type="noConversion"/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E17 B14:D14 F14 B15:C15 E15:F15 C16 E16:F16 B7:F8 C6:F6 C5:F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topLeftCell="A75" zoomScaleNormal="100" zoomScaleSheetLayoutView="100" workbookViewId="0">
      <selection activeCell="F95" sqref="F95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6"/>
  </cols>
  <sheetData>
    <row r="1" spans="2:6" ht="20.25" x14ac:dyDescent="0.35">
      <c r="B1" s="343" t="str">
        <f>RAMO</f>
        <v>RAMO: MINISTÉRIO PÚBLICO DO DISTRITO FEDERAL E TERRITÓRIOS</v>
      </c>
      <c r="C1" s="344"/>
      <c r="D1" s="344"/>
      <c r="E1" s="344"/>
      <c r="F1" s="345"/>
    </row>
    <row r="2" spans="2:6" ht="20.25" x14ac:dyDescent="0.35">
      <c r="B2" s="346" t="str">
        <f>UG</f>
        <v>UNIDADE GESTORA (SIGLA): S.D.A</v>
      </c>
      <c r="C2" s="347"/>
      <c r="D2" s="348"/>
      <c r="E2" s="50" t="s">
        <v>49</v>
      </c>
      <c r="F2" s="51" t="str">
        <f>DATA_DO_ORCAMENTO_ESTIMATIVO</f>
        <v>XX/XX/XXXX</v>
      </c>
    </row>
    <row r="3" spans="2:6" s="52" customFormat="1" ht="25.5" x14ac:dyDescent="0.5">
      <c r="B3" s="256" t="s">
        <v>142</v>
      </c>
      <c r="C3" s="256"/>
      <c r="D3" s="256"/>
      <c r="E3" s="256"/>
      <c r="F3" s="256"/>
    </row>
    <row r="4" spans="2:6" s="52" customFormat="1" ht="15.95" customHeight="1" x14ac:dyDescent="0.3">
      <c r="B4" s="349" t="s">
        <v>83</v>
      </c>
      <c r="C4" s="349"/>
      <c r="D4" s="349"/>
      <c r="E4" s="349"/>
      <c r="F4" s="349"/>
    </row>
    <row r="5" spans="2:6" s="52" customFormat="1" ht="15.95" customHeight="1" x14ac:dyDescent="0.3">
      <c r="B5" s="337" t="s">
        <v>161</v>
      </c>
      <c r="C5" s="337"/>
      <c r="D5" s="350" t="str">
        <f>NUMERO_PROCESSO</f>
        <v>08191.032667/2021-16</v>
      </c>
      <c r="E5" s="350"/>
      <c r="F5" s="350"/>
    </row>
    <row r="6" spans="2:6" s="52" customFormat="1" ht="15.75" customHeight="1" x14ac:dyDescent="0.3">
      <c r="B6" s="340" t="s">
        <v>162</v>
      </c>
      <c r="C6" s="340"/>
      <c r="D6" s="341" t="str">
        <f>MODALIDADE_DE_LICITACAO</f>
        <v>Pregão nº</v>
      </c>
      <c r="E6" s="341"/>
      <c r="F6" s="75" t="str">
        <f>NUMERO_PREGAO</f>
        <v>56/2021</v>
      </c>
    </row>
    <row r="7" spans="2:6" s="53" customFormat="1" ht="15.75" customHeight="1" x14ac:dyDescent="0.3">
      <c r="B7" s="342" t="s">
        <v>50</v>
      </c>
      <c r="C7" s="342"/>
      <c r="D7" s="342"/>
      <c r="E7" s="342"/>
      <c r="F7" s="342"/>
    </row>
    <row r="8" spans="2:6" s="52" customFormat="1" ht="18" customHeight="1" x14ac:dyDescent="0.3">
      <c r="B8" s="17" t="s">
        <v>2</v>
      </c>
      <c r="C8" s="337" t="s">
        <v>55</v>
      </c>
      <c r="D8" s="337"/>
      <c r="E8" s="337"/>
      <c r="F8" s="54" t="str">
        <f>DATA_APRESENTACAO_PROPOSTA</f>
        <v>XX/XX/XXXX</v>
      </c>
    </row>
    <row r="9" spans="2:6" s="52" customFormat="1" ht="15.95" customHeight="1" x14ac:dyDescent="0.15">
      <c r="B9" s="1" t="s">
        <v>3</v>
      </c>
      <c r="C9" s="42" t="s">
        <v>31</v>
      </c>
      <c r="D9" s="338" t="str">
        <f>'INSERIR-DADOS-44h'!D12:F12</f>
        <v>Unidades do MPDFT</v>
      </c>
      <c r="E9" s="338"/>
      <c r="F9" s="338"/>
    </row>
    <row r="10" spans="2:6" s="52" customFormat="1" ht="18.75" customHeight="1" x14ac:dyDescent="0.3">
      <c r="B10" s="17" t="s">
        <v>4</v>
      </c>
      <c r="C10" s="337" t="s">
        <v>32</v>
      </c>
      <c r="D10" s="337"/>
      <c r="E10" s="337"/>
      <c r="F10" s="55" t="str">
        <f>ACORDO_COLETIVO</f>
        <v>xx/xxxx</v>
      </c>
    </row>
    <row r="11" spans="2:6" s="52" customFormat="1" ht="15.95" customHeight="1" x14ac:dyDescent="0.3">
      <c r="B11" s="1" t="s">
        <v>5</v>
      </c>
      <c r="C11" s="338" t="s">
        <v>56</v>
      </c>
      <c r="D11" s="338"/>
      <c r="E11" s="338"/>
      <c r="F11" s="56">
        <f>NUMERO_MESES_EXEC_CONTRATUAL</f>
        <v>12</v>
      </c>
    </row>
    <row r="12" spans="2:6" s="52" customFormat="1" x14ac:dyDescent="0.3">
      <c r="B12" s="1" t="s">
        <v>6</v>
      </c>
      <c r="C12" s="339" t="s">
        <v>73</v>
      </c>
      <c r="D12" s="339"/>
      <c r="E12" s="339"/>
      <c r="F12" s="57">
        <f>'INSERIR-DADOS-44h'!F20</f>
        <v>24</v>
      </c>
    </row>
    <row r="13" spans="2:6" s="60" customFormat="1" ht="15" customHeight="1" x14ac:dyDescent="0.2">
      <c r="B13" s="58" t="s">
        <v>140</v>
      </c>
      <c r="C13" s="59"/>
      <c r="D13" s="59"/>
      <c r="E13" s="59"/>
      <c r="F13" s="59"/>
    </row>
    <row r="14" spans="2:6" s="52" customFormat="1" x14ac:dyDescent="0.3">
      <c r="B14" s="17">
        <v>1</v>
      </c>
      <c r="C14" s="356" t="s">
        <v>52</v>
      </c>
      <c r="D14" s="356"/>
      <c r="E14" s="357" t="str">
        <f>'INSERIR-DADOS-44h'!C20</f>
        <v>Copeira (44 horas)</v>
      </c>
      <c r="F14" s="357"/>
    </row>
    <row r="15" spans="2:6" s="53" customFormat="1" x14ac:dyDescent="0.3">
      <c r="B15" s="17">
        <v>2</v>
      </c>
      <c r="C15" s="18" t="s">
        <v>51</v>
      </c>
      <c r="D15" s="359" t="str">
        <f>'INSERIR-DADOS-44h'!D26:F26</f>
        <v>5134-25</v>
      </c>
      <c r="E15" s="359"/>
      <c r="F15" s="359"/>
    </row>
    <row r="16" spans="2:6" s="52" customFormat="1" ht="15" customHeight="1" x14ac:dyDescent="0.3">
      <c r="B16" s="17">
        <v>3</v>
      </c>
      <c r="C16" s="73" t="s">
        <v>53</v>
      </c>
      <c r="D16" s="357" t="str">
        <f>'INSERIR-DADOS-44h'!D27:F27</f>
        <v>Copeira(o)</v>
      </c>
      <c r="E16" s="357"/>
      <c r="F16" s="357"/>
    </row>
    <row r="17" spans="2:6" s="52" customFormat="1" ht="15" customHeight="1" x14ac:dyDescent="0.3">
      <c r="B17" s="17">
        <v>4</v>
      </c>
      <c r="C17" s="320" t="s">
        <v>54</v>
      </c>
      <c r="D17" s="320"/>
      <c r="E17" s="320"/>
      <c r="F17" s="74" t="str">
        <f>DATA_BASE_CATEGORIA</f>
        <v>XX/XX/XXXX</v>
      </c>
    </row>
    <row r="18" spans="2:6" s="61" customFormat="1" ht="20.25" customHeight="1" x14ac:dyDescent="0.3">
      <c r="B18" s="358" t="s">
        <v>35</v>
      </c>
      <c r="C18" s="358"/>
      <c r="D18" s="358"/>
      <c r="E18" s="358"/>
      <c r="F18" s="358"/>
    </row>
    <row r="19" spans="2:6" x14ac:dyDescent="0.3">
      <c r="B19" s="240" t="s">
        <v>47</v>
      </c>
      <c r="C19" s="240"/>
      <c r="D19" s="240"/>
      <c r="E19" s="240"/>
      <c r="F19" s="66">
        <f>'INSERIR-DADOS-44h'!E20</f>
        <v>1</v>
      </c>
    </row>
    <row r="20" spans="2:6" x14ac:dyDescent="0.3">
      <c r="B20" s="32" t="s">
        <v>8</v>
      </c>
      <c r="E20" s="7"/>
      <c r="F20" s="7"/>
    </row>
    <row r="21" spans="2:6" x14ac:dyDescent="0.3">
      <c r="B21" s="1">
        <v>1</v>
      </c>
      <c r="C21" s="310" t="s">
        <v>9</v>
      </c>
      <c r="D21" s="310"/>
      <c r="E21" s="310"/>
      <c r="F21" s="3" t="s">
        <v>13</v>
      </c>
    </row>
    <row r="22" spans="2:6" x14ac:dyDescent="0.3">
      <c r="B22" s="1" t="s">
        <v>2</v>
      </c>
      <c r="C22" s="241" t="str">
        <f>'INSERIR-DADOS-44h'!C37:E37</f>
        <v>Salário-Base (em R$) - Copeira (44 horas)</v>
      </c>
      <c r="D22" s="241"/>
      <c r="E22" s="241"/>
      <c r="F22" s="35">
        <f>'INSERIR-DADOS-44h'!F37</f>
        <v>0</v>
      </c>
    </row>
    <row r="23" spans="2:6" x14ac:dyDescent="0.3">
      <c r="B23" s="1" t="s">
        <v>3</v>
      </c>
      <c r="C23" s="353" t="str">
        <f>'INSERIR-DADOS-44h'!C40</f>
        <v>Outras Remunerações  (Especificar)</v>
      </c>
      <c r="D23" s="354"/>
      <c r="E23" s="355"/>
      <c r="F23" s="35">
        <f>'INSERIR-DADOS-44h'!F40</f>
        <v>0</v>
      </c>
    </row>
    <row r="24" spans="2:6" x14ac:dyDescent="0.3">
      <c r="B24" s="351" t="s">
        <v>41</v>
      </c>
      <c r="C24" s="351"/>
      <c r="D24" s="351"/>
      <c r="E24" s="351"/>
      <c r="F24" s="27">
        <f>SUM(F22:F23)</f>
        <v>0</v>
      </c>
    </row>
    <row r="25" spans="2:6" x14ac:dyDescent="0.3">
      <c r="B25" s="32" t="s">
        <v>57</v>
      </c>
      <c r="E25" s="14"/>
      <c r="F25" s="14"/>
    </row>
    <row r="26" spans="2:6" x14ac:dyDescent="0.3">
      <c r="B26" s="32" t="s">
        <v>96</v>
      </c>
      <c r="C26" s="5"/>
      <c r="D26" s="15"/>
      <c r="E26" s="13"/>
      <c r="F26" s="13"/>
    </row>
    <row r="27" spans="2:6" x14ac:dyDescent="0.3">
      <c r="B27" s="1" t="s">
        <v>58</v>
      </c>
      <c r="C27" s="240" t="s">
        <v>80</v>
      </c>
      <c r="D27" s="240"/>
      <c r="E27" s="3" t="s">
        <v>1</v>
      </c>
      <c r="F27" s="3" t="s">
        <v>13</v>
      </c>
    </row>
    <row r="28" spans="2:6" x14ac:dyDescent="0.3">
      <c r="B28" s="1" t="s">
        <v>2</v>
      </c>
      <c r="C28" s="330" t="s">
        <v>42</v>
      </c>
      <c r="D28" s="330"/>
      <c r="E28" s="37">
        <f>PERC_DEC_TERC</f>
        <v>8.33</v>
      </c>
      <c r="F28" s="36">
        <f>PERC_DEC_TERC%*MOD_1_REMUNERACAO</f>
        <v>0</v>
      </c>
    </row>
    <row r="29" spans="2:6" s="10" customFormat="1" x14ac:dyDescent="0.3">
      <c r="B29" s="2" t="s">
        <v>3</v>
      </c>
      <c r="C29" s="331" t="s">
        <v>81</v>
      </c>
      <c r="D29" s="331"/>
      <c r="E29" s="25">
        <f>PERC_ADIC_FERIAS</f>
        <v>2.78</v>
      </c>
      <c r="F29" s="23">
        <f>PERC_ADIC_FERIAS%*MOD_1_REMUNERACAO</f>
        <v>0</v>
      </c>
    </row>
    <row r="30" spans="2:6" s="62" customFormat="1" x14ac:dyDescent="0.3">
      <c r="B30" s="312" t="s">
        <v>41</v>
      </c>
      <c r="C30" s="313"/>
      <c r="D30" s="313"/>
      <c r="E30" s="314"/>
      <c r="F30" s="28">
        <f>SUM(F28:F29)</f>
        <v>0</v>
      </c>
    </row>
    <row r="31" spans="2:6" s="62" customFormat="1" ht="31.5" customHeight="1" x14ac:dyDescent="0.3">
      <c r="B31" s="352" t="s">
        <v>59</v>
      </c>
      <c r="C31" s="352"/>
      <c r="D31" s="352"/>
      <c r="E31" s="352"/>
      <c r="F31" s="352"/>
    </row>
    <row r="32" spans="2:6" s="62" customFormat="1" ht="34.5" customHeight="1" x14ac:dyDescent="0.3">
      <c r="B32" s="1" t="s">
        <v>60</v>
      </c>
      <c r="C32" s="334" t="s">
        <v>82</v>
      </c>
      <c r="D32" s="334"/>
      <c r="E32" s="3" t="s">
        <v>1</v>
      </c>
      <c r="F32" s="3" t="s">
        <v>13</v>
      </c>
    </row>
    <row r="33" spans="2:7" x14ac:dyDescent="0.3">
      <c r="B33" s="1" t="s">
        <v>2</v>
      </c>
      <c r="C33" s="330" t="s">
        <v>36</v>
      </c>
      <c r="D33" s="330"/>
      <c r="E33" s="37">
        <f>PERC_INSS</f>
        <v>20</v>
      </c>
      <c r="F33" s="36">
        <f>PERC_INSS%*(MOD_1_REMUNERACAO+SUBMOD_2_1_DEC_TERC_ADIC_FERIAS)</f>
        <v>0</v>
      </c>
    </row>
    <row r="34" spans="2:7" s="52" customFormat="1" x14ac:dyDescent="0.3">
      <c r="B34" s="2" t="s">
        <v>3</v>
      </c>
      <c r="C34" s="331" t="s">
        <v>38</v>
      </c>
      <c r="D34" s="331"/>
      <c r="E34" s="30">
        <f>PERC_SAL_EDUCACAO</f>
        <v>2.5</v>
      </c>
      <c r="F34" s="23">
        <f>PERC_SAL_EDUCACAO%*(MOD_1_REMUNERACAO+SUBMOD_2_1_DEC_TERC_ADIC_FERIAS)</f>
        <v>0</v>
      </c>
      <c r="G34" s="6"/>
    </row>
    <row r="35" spans="2:7" s="52" customFormat="1" x14ac:dyDescent="0.3">
      <c r="B35" s="2" t="s">
        <v>4</v>
      </c>
      <c r="C35" s="330" t="s">
        <v>77</v>
      </c>
      <c r="D35" s="330"/>
      <c r="E35" s="37">
        <f>PERC_RAT</f>
        <v>1</v>
      </c>
      <c r="F35" s="36">
        <f>PERC_RAT%*(MOD_1_REMUNERACAO+SUBMOD_2_1_DEC_TERC_ADIC_FERIAS)</f>
        <v>0</v>
      </c>
      <c r="G35" s="6"/>
    </row>
    <row r="36" spans="2:7" s="52" customFormat="1" x14ac:dyDescent="0.3">
      <c r="B36" s="2" t="s">
        <v>5</v>
      </c>
      <c r="C36" s="331" t="s">
        <v>75</v>
      </c>
      <c r="D36" s="331"/>
      <c r="E36" s="25">
        <f>PERC_SESC</f>
        <v>1.5</v>
      </c>
      <c r="F36" s="23">
        <f>PERC_SESC%*(MOD_1_REMUNERACAO+SUBMOD_2_1_DEC_TERC_ADIC_FERIAS)</f>
        <v>0</v>
      </c>
      <c r="G36" s="6"/>
    </row>
    <row r="37" spans="2:7" s="52" customFormat="1" x14ac:dyDescent="0.3">
      <c r="B37" s="2" t="s">
        <v>6</v>
      </c>
      <c r="C37" s="330" t="s">
        <v>76</v>
      </c>
      <c r="D37" s="330"/>
      <c r="E37" s="37">
        <f>PERC_SENAC</f>
        <v>1</v>
      </c>
      <c r="F37" s="36">
        <f>PERC_SENAC%*(MOD_1_REMUNERACAO+SUBMOD_2_1_DEC_TERC_ADIC_FERIAS)</f>
        <v>0</v>
      </c>
      <c r="G37" s="6"/>
    </row>
    <row r="38" spans="2:7" s="53" customFormat="1" x14ac:dyDescent="0.3">
      <c r="B38" s="2" t="s">
        <v>7</v>
      </c>
      <c r="C38" s="331" t="s">
        <v>40</v>
      </c>
      <c r="D38" s="331"/>
      <c r="E38" s="30">
        <f>PERC_SEBRAE</f>
        <v>0.6</v>
      </c>
      <c r="F38" s="23">
        <f>PERC_SEBRAE%*(MOD_1_REMUNERACAO+SUBMOD_2_1_DEC_TERC_ADIC_FERIAS)</f>
        <v>0</v>
      </c>
      <c r="G38" s="6"/>
    </row>
    <row r="39" spans="2:7" s="53" customFormat="1" x14ac:dyDescent="0.3">
      <c r="B39" s="2" t="s">
        <v>10</v>
      </c>
      <c r="C39" s="330" t="s">
        <v>37</v>
      </c>
      <c r="D39" s="330"/>
      <c r="E39" s="37">
        <f>PERC_INCRA</f>
        <v>0.2</v>
      </c>
      <c r="F39" s="36">
        <f>PERC_INCRA%*(MOD_1_REMUNERACAO+SUBMOD_2_1_DEC_TERC_ADIC_FERIAS)</f>
        <v>0</v>
      </c>
      <c r="G39" s="6"/>
    </row>
    <row r="40" spans="2:7" x14ac:dyDescent="0.3">
      <c r="B40" s="2" t="s">
        <v>11</v>
      </c>
      <c r="C40" s="331" t="s">
        <v>39</v>
      </c>
      <c r="D40" s="331"/>
      <c r="E40" s="30">
        <f>PERC_FGTS</f>
        <v>8</v>
      </c>
      <c r="F40" s="23">
        <f>PERC_FGTS%*(MOD_1_REMUNERACAO+SUBMOD_2_1_DEC_TERC_ADIC_FERIAS)</f>
        <v>0</v>
      </c>
    </row>
    <row r="41" spans="2:7" x14ac:dyDescent="0.3">
      <c r="B41" s="312" t="s">
        <v>41</v>
      </c>
      <c r="C41" s="313"/>
      <c r="D41" s="313"/>
      <c r="E41" s="314"/>
      <c r="F41" s="29">
        <f>SUM(F33:F40)</f>
        <v>0</v>
      </c>
    </row>
    <row r="42" spans="2:7" ht="15.75" customHeight="1" x14ac:dyDescent="0.3">
      <c r="B42" s="32" t="s">
        <v>62</v>
      </c>
      <c r="C42" s="53"/>
      <c r="D42" s="53"/>
      <c r="E42" s="53"/>
      <c r="F42" s="53"/>
    </row>
    <row r="43" spans="2:7" ht="15.75" customHeight="1" x14ac:dyDescent="0.3">
      <c r="B43" s="1" t="s">
        <v>78</v>
      </c>
      <c r="C43" s="310" t="s">
        <v>14</v>
      </c>
      <c r="D43" s="310"/>
      <c r="E43" s="310"/>
      <c r="F43" s="3" t="s">
        <v>13</v>
      </c>
    </row>
    <row r="44" spans="2:7" x14ac:dyDescent="0.3">
      <c r="B44" s="17" t="s">
        <v>2</v>
      </c>
      <c r="C44" s="330" t="s">
        <v>15</v>
      </c>
      <c r="D44" s="330"/>
      <c r="E44" s="330"/>
      <c r="F44" s="36">
        <f>(TRANSPORTE_POR_DIA*DIAS_TRABALHADOS_NO_MES)-('INSERIR-DADOS-44h'!F37*6%)</f>
        <v>0</v>
      </c>
    </row>
    <row r="45" spans="2:7" s="62" customFormat="1" x14ac:dyDescent="0.3">
      <c r="B45" s="17" t="s">
        <v>3</v>
      </c>
      <c r="C45" s="331" t="s">
        <v>61</v>
      </c>
      <c r="D45" s="331"/>
      <c r="E45" s="331"/>
      <c r="F45" s="23">
        <f>ALIMENTACAO_POR_DIA*DIAS_TRABALHADOS_NO_MES</f>
        <v>0</v>
      </c>
    </row>
    <row r="46" spans="2:7" s="62" customFormat="1" x14ac:dyDescent="0.3">
      <c r="B46" s="17" t="s">
        <v>4</v>
      </c>
      <c r="C46" s="353" t="str">
        <f>'INSERIR-DADOS-44h'!C50</f>
        <v>Outros Benefícios 2 (Especificar)</v>
      </c>
      <c r="D46" s="354"/>
      <c r="E46" s="355"/>
      <c r="F46" s="36">
        <f>OUTROS_BENEFICIOS_2</f>
        <v>0</v>
      </c>
    </row>
    <row r="47" spans="2:7" s="62" customFormat="1" ht="15" customHeight="1" x14ac:dyDescent="0.3">
      <c r="B47" s="351" t="s">
        <v>41</v>
      </c>
      <c r="C47" s="351"/>
      <c r="D47" s="351"/>
      <c r="E47" s="351"/>
      <c r="F47" s="27">
        <f>SUM(F44:F46)</f>
        <v>0</v>
      </c>
    </row>
    <row r="48" spans="2:7" s="62" customFormat="1" x14ac:dyDescent="0.3">
      <c r="B48" s="32" t="s">
        <v>63</v>
      </c>
      <c r="C48" s="5"/>
      <c r="D48" s="15"/>
      <c r="E48" s="13"/>
      <c r="F48" s="13"/>
    </row>
    <row r="49" spans="2:6" s="62" customFormat="1" ht="15" customHeight="1" x14ac:dyDescent="0.3">
      <c r="B49" s="1">
        <v>3</v>
      </c>
      <c r="C49" s="240" t="s">
        <v>43</v>
      </c>
      <c r="D49" s="240"/>
      <c r="E49" s="3" t="s">
        <v>1</v>
      </c>
      <c r="F49" s="3" t="s">
        <v>13</v>
      </c>
    </row>
    <row r="50" spans="2:6" s="62" customFormat="1" x14ac:dyDescent="0.3">
      <c r="B50" s="1" t="s">
        <v>2</v>
      </c>
      <c r="C50" s="335" t="s">
        <v>44</v>
      </c>
      <c r="D50" s="335"/>
      <c r="E50" s="37">
        <f>PERC_AVISO_PREVIO_IND</f>
        <v>0.28999999999999998</v>
      </c>
      <c r="F50" s="36">
        <f>PERC_AVISO_PREVIO_IND%*(MOD_1_REMUNERACAO+SUBMOD_2_1_DEC_TERC_ADIC_FERIAS+AL_2_2_FGTS+SUBMOD_2_3_BENEFICIOS)</f>
        <v>0</v>
      </c>
    </row>
    <row r="51" spans="2:6" s="62" customFormat="1" x14ac:dyDescent="0.3">
      <c r="B51" s="2" t="s">
        <v>3</v>
      </c>
      <c r="C51" s="333" t="s">
        <v>45</v>
      </c>
      <c r="D51" s="333"/>
      <c r="E51" s="30">
        <f>PERC_AVISO_PREVIO_TRAB</f>
        <v>1.1599999999999999</v>
      </c>
      <c r="F51" s="23">
        <f>PERC_AVISO_PREVIO_TRAB%*(MOD_1_REMUNERACAO+SUBMOD_2_1_DEC_TERC_ADIC_FERIAS+SUBMOD_2_2_GPS_FGTS+SUBMOD_2_3_BENEFICIOS)</f>
        <v>0</v>
      </c>
    </row>
    <row r="52" spans="2:6" s="52" customFormat="1" x14ac:dyDescent="0.15">
      <c r="B52" s="2" t="s">
        <v>4</v>
      </c>
      <c r="C52" s="335" t="s">
        <v>169</v>
      </c>
      <c r="D52" s="335"/>
      <c r="E52" s="37">
        <f>PERC_MULTA_FGTS_AV_PREV_TRAB</f>
        <v>0.04</v>
      </c>
      <c r="F52" s="36">
        <f>PERC_MULTA_FGTS_AV_PREV_TRAB%*(MOD_1_REMUNERACAO+SUBMOD_2_1_DEC_TERC_ADIC_FERIAS)</f>
        <v>0</v>
      </c>
    </row>
    <row r="53" spans="2:6" s="52" customFormat="1" x14ac:dyDescent="0.3">
      <c r="B53" s="312" t="s">
        <v>41</v>
      </c>
      <c r="C53" s="313"/>
      <c r="D53" s="313"/>
      <c r="E53" s="314"/>
      <c r="F53" s="28">
        <f>SUM(F50:F52)</f>
        <v>0</v>
      </c>
    </row>
    <row r="54" spans="2:6" ht="7.5" customHeight="1" x14ac:dyDescent="0.3">
      <c r="B54" s="9"/>
      <c r="C54" s="10"/>
      <c r="D54" s="11"/>
      <c r="E54" s="7"/>
      <c r="F54" s="7"/>
    </row>
    <row r="55" spans="2:6" s="52" customFormat="1" ht="15.95" customHeight="1" x14ac:dyDescent="0.3">
      <c r="B55" s="32" t="s">
        <v>64</v>
      </c>
      <c r="C55" s="5"/>
      <c r="D55" s="15"/>
      <c r="E55" s="6"/>
      <c r="F55" s="6"/>
    </row>
    <row r="56" spans="2:6" s="52" customFormat="1" ht="15.95" customHeight="1" x14ac:dyDescent="0.3">
      <c r="B56" s="32" t="s">
        <v>88</v>
      </c>
      <c r="C56" s="5"/>
      <c r="D56" s="15"/>
      <c r="E56" s="13"/>
      <c r="F56" s="13"/>
    </row>
    <row r="57" spans="2:6" s="52" customFormat="1" x14ac:dyDescent="0.15">
      <c r="B57" s="1" t="s">
        <v>19</v>
      </c>
      <c r="C57" s="332" t="s">
        <v>89</v>
      </c>
      <c r="D57" s="332"/>
      <c r="E57" s="3" t="s">
        <v>1</v>
      </c>
      <c r="F57" s="3" t="s">
        <v>13</v>
      </c>
    </row>
    <row r="58" spans="2:6" s="52" customFormat="1" ht="15.95" customHeight="1" x14ac:dyDescent="0.15">
      <c r="B58" s="2" t="s">
        <v>2</v>
      </c>
      <c r="C58" s="330" t="s">
        <v>90</v>
      </c>
      <c r="D58" s="330"/>
      <c r="E58" s="37">
        <f>PERC_SUBSTITUTO_FERIAS</f>
        <v>8.33</v>
      </c>
      <c r="F58" s="36">
        <f>PERC_SUBSTITUTO_FERIAS%*(MOD_1_REMUNERACAO+MOD_2_ENCARGOS_BENEFICIOS+MOD_3_PROVISAO_RESCISAO)</f>
        <v>0</v>
      </c>
    </row>
    <row r="59" spans="2:6" s="52" customFormat="1" ht="15.95" customHeight="1" x14ac:dyDescent="0.15">
      <c r="B59" s="2" t="s">
        <v>3</v>
      </c>
      <c r="C59" s="331" t="s">
        <v>91</v>
      </c>
      <c r="D59" s="331"/>
      <c r="E59" s="30">
        <f>PERC_SUBSTITUTO_AUSENCIAS_LEGAIS</f>
        <v>2.2200000000000002</v>
      </c>
      <c r="F59" s="23">
        <f>PERC_SUBSTITUTO_AUSENCIAS_LEGAIS%*(MOD_1_REMUNERACAO+MOD_2_ENCARGOS_BENEFICIOS+MOD_3_PROVISAO_RESCISAO)</f>
        <v>0</v>
      </c>
    </row>
    <row r="60" spans="2:6" s="52" customFormat="1" ht="15.95" customHeight="1" x14ac:dyDescent="0.15">
      <c r="B60" s="2" t="s">
        <v>4</v>
      </c>
      <c r="C60" s="330" t="s">
        <v>92</v>
      </c>
      <c r="D60" s="330"/>
      <c r="E60" s="37">
        <f>PERC_SUBSTITUTO_LICENCA_PATERNIDADE</f>
        <v>0.04</v>
      </c>
      <c r="F60" s="36">
        <f>PERC_SUBSTITUTO_LICENCA_PATERNIDADE%*(MOD_1_REMUNERACAO+MOD_2_ENCARGOS_BENEFICIOS+MOD_3_PROVISAO_RESCISAO)</f>
        <v>0</v>
      </c>
    </row>
    <row r="61" spans="2:6" s="52" customFormat="1" x14ac:dyDescent="0.15">
      <c r="B61" s="2" t="s">
        <v>5</v>
      </c>
      <c r="C61" s="331" t="s">
        <v>93</v>
      </c>
      <c r="D61" s="331"/>
      <c r="E61" s="30">
        <f>PERC_SUBSTITUTO_ACID_TRAB</f>
        <v>0.02</v>
      </c>
      <c r="F61" s="23">
        <f>PERC_SUBSTITUTO_ACID_TRAB%*(MOD_1_REMUNERACAO+MOD_2_ENCARGOS_BENEFICIOS+MOD_3_PROVISAO_RESCISAO)</f>
        <v>0</v>
      </c>
    </row>
    <row r="62" spans="2:6" s="52" customFormat="1" x14ac:dyDescent="0.15">
      <c r="B62" s="2" t="s">
        <v>6</v>
      </c>
      <c r="C62" s="330" t="s">
        <v>94</v>
      </c>
      <c r="D62" s="330"/>
      <c r="E62" s="37">
        <f>PERC_SUBSTITUTO_AFAST_MATERN</f>
        <v>0.14000000000000001</v>
      </c>
      <c r="F62" s="36">
        <f>PERC_SUBSTITUTO_AFAST_MATERN%*(MOD_1_REMUNERACAO+MOD_2_ENCARGOS_BENEFICIOS+MOD_3_PROVISAO_RESCISAO)</f>
        <v>0</v>
      </c>
    </row>
    <row r="63" spans="2:6" s="52" customFormat="1" x14ac:dyDescent="0.15">
      <c r="B63" s="2" t="s">
        <v>7</v>
      </c>
      <c r="C63" s="361" t="str">
        <f>'INSERIR-DADOS-44h'!C57</f>
        <v>Outras Ausências (Especificar - em %)</v>
      </c>
      <c r="D63" s="331"/>
      <c r="E63" s="34">
        <f>'INSERIR-DADOS-44h'!F57</f>
        <v>0</v>
      </c>
      <c r="F63" s="23">
        <f>PERC_SUBSTITUTO_OUTRAS_AUSENCIAS%*(MOD_1_REMUNERACAO+MOD_2_ENCARGOS_BENEFICIOS+MOD_3_PROVISAO_RESCISAO)</f>
        <v>0</v>
      </c>
    </row>
    <row r="64" spans="2:6" s="52" customFormat="1" x14ac:dyDescent="0.3">
      <c r="B64" s="312" t="s">
        <v>41</v>
      </c>
      <c r="C64" s="313"/>
      <c r="D64" s="313"/>
      <c r="E64" s="314"/>
      <c r="F64" s="28">
        <f>SUM(F58:F63)</f>
        <v>0</v>
      </c>
    </row>
    <row r="65" spans="2:6" s="52" customFormat="1" ht="15" hidden="1" customHeight="1" x14ac:dyDescent="0.3">
      <c r="B65" s="32" t="s">
        <v>164</v>
      </c>
      <c r="C65" s="5"/>
      <c r="D65" s="15"/>
      <c r="E65" s="13"/>
      <c r="F65" s="13"/>
    </row>
    <row r="66" spans="2:6" s="52" customFormat="1" hidden="1" x14ac:dyDescent="0.15">
      <c r="B66" s="1" t="s">
        <v>20</v>
      </c>
      <c r="C66" s="240" t="s">
        <v>163</v>
      </c>
      <c r="D66" s="240"/>
      <c r="E66" s="240"/>
      <c r="F66" s="3" t="s">
        <v>13</v>
      </c>
    </row>
    <row r="67" spans="2:6" s="52" customFormat="1" hidden="1" x14ac:dyDescent="0.15">
      <c r="B67" s="1" t="s">
        <v>2</v>
      </c>
      <c r="C67" s="330" t="s">
        <v>95</v>
      </c>
      <c r="D67" s="330"/>
      <c r="E67" s="330"/>
      <c r="F67" s="35">
        <f>IF(DIAS_TRABALHADOS_NO_MES=15,((MOD_1_REMUNERACAO+MOD_2_ENCARGOS_BENEFICIOS+MOD_3_PROVISAO_RESCISAO)/DIVISOR_DE_HORAS)*((TEMPO_INTERVALO_REFEICAO/HORA_NORMAL)+PERC_HORA_EXTRA%)*DIAS_TRABALHADOS_NO_MES,0)</f>
        <v>0</v>
      </c>
    </row>
    <row r="68" spans="2:6" s="52" customFormat="1" hidden="1" x14ac:dyDescent="0.3">
      <c r="B68" s="240" t="s">
        <v>41</v>
      </c>
      <c r="C68" s="240"/>
      <c r="D68" s="240"/>
      <c r="E68" s="240"/>
      <c r="F68" s="28">
        <f>SUM(F67)</f>
        <v>0</v>
      </c>
    </row>
    <row r="69" spans="2:6" ht="7.5" customHeight="1" x14ac:dyDescent="0.3">
      <c r="B69" s="9"/>
      <c r="C69" s="10"/>
      <c r="D69" s="11"/>
      <c r="E69" s="7"/>
      <c r="F69" s="7"/>
    </row>
    <row r="70" spans="2:6" x14ac:dyDescent="0.3">
      <c r="B70" s="32" t="s">
        <v>68</v>
      </c>
      <c r="C70" s="5"/>
      <c r="D70" s="5"/>
      <c r="E70" s="13"/>
      <c r="F70" s="13"/>
    </row>
    <row r="71" spans="2:6" ht="15.75" customHeight="1" x14ac:dyDescent="0.3">
      <c r="B71" s="1">
        <v>5</v>
      </c>
      <c r="C71" s="310" t="s">
        <v>0</v>
      </c>
      <c r="D71" s="310"/>
      <c r="E71" s="310"/>
      <c r="F71" s="3" t="s">
        <v>13</v>
      </c>
    </row>
    <row r="72" spans="2:6" x14ac:dyDescent="0.3">
      <c r="B72" s="17" t="s">
        <v>2</v>
      </c>
      <c r="C72" s="330" t="s">
        <v>16</v>
      </c>
      <c r="D72" s="330"/>
      <c r="E72" s="330"/>
      <c r="F72" s="36">
        <f>'INSERIR-DADOS-44h'!F68</f>
        <v>0</v>
      </c>
    </row>
    <row r="73" spans="2:6" x14ac:dyDescent="0.3">
      <c r="B73" s="17" t="s">
        <v>3</v>
      </c>
      <c r="C73" s="331" t="s">
        <v>17</v>
      </c>
      <c r="D73" s="331"/>
      <c r="E73" s="331"/>
      <c r="F73" s="23">
        <f>MATERIAIS</f>
        <v>0</v>
      </c>
    </row>
    <row r="74" spans="2:6" x14ac:dyDescent="0.3">
      <c r="B74" s="17" t="s">
        <v>4</v>
      </c>
      <c r="C74" s="361" t="str">
        <f>'INSERIR-DADOS-44h'!C72</f>
        <v>Outros (Especificar)</v>
      </c>
      <c r="D74" s="331"/>
      <c r="E74" s="331"/>
      <c r="F74" s="23">
        <f>'INSERIR-DADOS-44h'!F72</f>
        <v>0</v>
      </c>
    </row>
    <row r="75" spans="2:6" x14ac:dyDescent="0.3">
      <c r="B75" s="351" t="s">
        <v>41</v>
      </c>
      <c r="C75" s="351"/>
      <c r="D75" s="351"/>
      <c r="E75" s="351"/>
      <c r="F75" s="27">
        <f>SUM(F72:F74)</f>
        <v>0</v>
      </c>
    </row>
    <row r="76" spans="2:6" ht="7.5" customHeight="1" x14ac:dyDescent="0.3">
      <c r="B76" s="9"/>
      <c r="C76" s="10"/>
      <c r="D76" s="11"/>
      <c r="E76" s="7"/>
      <c r="F76" s="7"/>
    </row>
    <row r="77" spans="2:6" ht="15" customHeight="1" x14ac:dyDescent="0.3">
      <c r="B77" s="247" t="s">
        <v>67</v>
      </c>
      <c r="C77" s="247"/>
      <c r="D77" s="247"/>
      <c r="E77" s="247"/>
      <c r="F77" s="247"/>
    </row>
    <row r="78" spans="2:6" x14ac:dyDescent="0.3">
      <c r="B78" s="1">
        <v>6</v>
      </c>
      <c r="C78" s="240" t="s">
        <v>21</v>
      </c>
      <c r="D78" s="240"/>
      <c r="E78" s="3" t="s">
        <v>1</v>
      </c>
      <c r="F78" s="3" t="s">
        <v>13</v>
      </c>
    </row>
    <row r="79" spans="2:6" x14ac:dyDescent="0.3">
      <c r="B79" s="1" t="s">
        <v>2</v>
      </c>
      <c r="C79" s="330" t="s">
        <v>69</v>
      </c>
      <c r="D79" s="330"/>
      <c r="E79" s="38">
        <f>PERC_CUSTOS_INDIRETOS</f>
        <v>4.7300000000000004</v>
      </c>
      <c r="F79" s="36">
        <f>PERC_CUSTOS_INDIRETOS%*(MOD_1_REMUNERACAO+MOD_2_ENCARGOS_BENEFICIOS+MOD_3_PROVISAO_RESCISAO+MOD_4_CUSTO_REPOSICAO+MOD_5_INSUMOS)</f>
        <v>0</v>
      </c>
    </row>
    <row r="80" spans="2:6" ht="15.75" customHeight="1" x14ac:dyDescent="0.3">
      <c r="B80" s="2" t="s">
        <v>3</v>
      </c>
      <c r="C80" s="331" t="s">
        <v>28</v>
      </c>
      <c r="D80" s="331"/>
      <c r="E80" s="31">
        <f>PERC_LUCRO</f>
        <v>5.57</v>
      </c>
      <c r="F80" s="23">
        <f>PERC_LUCRO%*(MOD_1_REMUNERACAO+MOD_2_ENCARGOS_BENEFICIOS+MOD_3_PROVISAO_RESCISAO+MOD_4_CUSTO_REPOSICAO+MOD_5_INSUMOS+AL_6_A_CUSTOS_INDIRETOS)</f>
        <v>0</v>
      </c>
    </row>
    <row r="81" spans="2:6" x14ac:dyDescent="0.3">
      <c r="B81" s="2" t="s">
        <v>4</v>
      </c>
      <c r="C81" s="330" t="s">
        <v>22</v>
      </c>
      <c r="D81" s="330"/>
      <c r="E81" s="38">
        <f>SUM(E82:E84)</f>
        <v>8.65</v>
      </c>
      <c r="F81" s="36">
        <f>SUM(F82:F84)</f>
        <v>0</v>
      </c>
    </row>
    <row r="82" spans="2:6" ht="15.75" customHeight="1" x14ac:dyDescent="0.3">
      <c r="B82" s="21" t="s">
        <v>70</v>
      </c>
      <c r="C82" s="360" t="s">
        <v>23</v>
      </c>
      <c r="D82" s="360"/>
      <c r="E82" s="22">
        <f>PERC_PIS</f>
        <v>0.65</v>
      </c>
      <c r="F82" s="40">
        <f>((MOD_1_REMUNERACAO+MOD_2_ENCARGOS_BENEFICIOS+MOD_3_PROVISAO_RESCISAO+MOD_4_CUSTO_REPOSICAO+MOD_5_INSUMOS+AL_6_A_CUSTOS_INDIRETOS+AL_6_B_LUCRO)*PERC_PIS%)/(1-PERC_TRIBUTOS%)</f>
        <v>0</v>
      </c>
    </row>
    <row r="83" spans="2:6" x14ac:dyDescent="0.3">
      <c r="B83" s="21" t="s">
        <v>71</v>
      </c>
      <c r="C83" s="362" t="s">
        <v>24</v>
      </c>
      <c r="D83" s="362"/>
      <c r="E83" s="39">
        <f>PERC_COFINS</f>
        <v>3</v>
      </c>
      <c r="F83" s="41">
        <f>((MOD_1_REMUNERACAO+MOD_2_ENCARGOS_BENEFICIOS+MOD_3_PROVISAO_RESCISAO+MOD_4_CUSTO_REPOSICAO+MOD_5_INSUMOS+AL_6_A_CUSTOS_INDIRETOS+AL_6_B_LUCRO)*PERC_COFINS%)/(1-PERC_TRIBUTOS%)</f>
        <v>0</v>
      </c>
    </row>
    <row r="84" spans="2:6" s="63" customFormat="1" x14ac:dyDescent="0.3">
      <c r="B84" s="21" t="s">
        <v>72</v>
      </c>
      <c r="C84" s="360" t="s">
        <v>25</v>
      </c>
      <c r="D84" s="360"/>
      <c r="E84" s="22">
        <f>PERC_ISS</f>
        <v>5</v>
      </c>
      <c r="F84" s="40">
        <f>((MOD_1_REMUNERACAO+MOD_2_ENCARGOS_BENEFICIOS+MOD_3_PROVISAO_RESCISAO+MOD_4_CUSTO_REPOSICAO+MOD_5_INSUMOS+AL_6_A_CUSTOS_INDIRETOS+AL_6_B_LUCRO)*PERC_ISS%)/(1-PERC_TRIBUTOS%)</f>
        <v>0</v>
      </c>
    </row>
    <row r="85" spans="2:6" s="63" customFormat="1" x14ac:dyDescent="0.3">
      <c r="B85" s="312" t="s">
        <v>41</v>
      </c>
      <c r="C85" s="313"/>
      <c r="D85" s="313"/>
      <c r="E85" s="314"/>
      <c r="F85" s="24">
        <f>AL_6_A_CUSTOS_INDIRETOS+AL_6_B_LUCRO+AL_6_C_TRIBUTOS</f>
        <v>0</v>
      </c>
    </row>
    <row r="86" spans="2:6" s="63" customFormat="1" ht="20.25" x14ac:dyDescent="0.3">
      <c r="B86" s="33" t="s">
        <v>48</v>
      </c>
      <c r="C86" s="8"/>
      <c r="D86" s="8"/>
      <c r="E86" s="8"/>
      <c r="F86" s="16"/>
    </row>
    <row r="87" spans="2:6" s="64" customFormat="1" ht="16.5" customHeight="1" x14ac:dyDescent="0.3">
      <c r="B87" s="2" t="s">
        <v>84</v>
      </c>
      <c r="C87" s="321" t="s">
        <v>85</v>
      </c>
      <c r="D87" s="322"/>
      <c r="E87" s="323"/>
      <c r="F87" s="3" t="s">
        <v>18</v>
      </c>
    </row>
    <row r="88" spans="2:6" s="63" customFormat="1" x14ac:dyDescent="0.3">
      <c r="B88" s="1">
        <v>1</v>
      </c>
      <c r="C88" s="330" t="s">
        <v>9</v>
      </c>
      <c r="D88" s="330"/>
      <c r="E88" s="330"/>
      <c r="F88" s="36">
        <f>MOD_1_REMUNERACAO</f>
        <v>0</v>
      </c>
    </row>
    <row r="89" spans="2:6" s="65" customFormat="1" ht="16.5" customHeight="1" x14ac:dyDescent="0.3">
      <c r="B89" s="2">
        <v>2</v>
      </c>
      <c r="C89" s="331" t="s">
        <v>86</v>
      </c>
      <c r="D89" s="331"/>
      <c r="E89" s="331"/>
      <c r="F89" s="23">
        <f>MOD_2_ENCARGOS_BENEFICIOS</f>
        <v>0</v>
      </c>
    </row>
    <row r="90" spans="2:6" s="65" customFormat="1" x14ac:dyDescent="0.3">
      <c r="B90" s="2">
        <v>3</v>
      </c>
      <c r="C90" s="330" t="s">
        <v>43</v>
      </c>
      <c r="D90" s="330"/>
      <c r="E90" s="330"/>
      <c r="F90" s="36">
        <f>MOD_3_PROVISAO_RESCISAO</f>
        <v>0</v>
      </c>
    </row>
    <row r="91" spans="2:6" s="65" customFormat="1" x14ac:dyDescent="0.3">
      <c r="B91" s="2">
        <v>4</v>
      </c>
      <c r="C91" s="331" t="s">
        <v>46</v>
      </c>
      <c r="D91" s="331"/>
      <c r="E91" s="331"/>
      <c r="F91" s="23">
        <f>MOD_4_CUSTO_REPOSICAO</f>
        <v>0</v>
      </c>
    </row>
    <row r="92" spans="2:6" s="65" customFormat="1" x14ac:dyDescent="0.3">
      <c r="B92" s="2">
        <v>5</v>
      </c>
      <c r="C92" s="330" t="s">
        <v>0</v>
      </c>
      <c r="D92" s="330"/>
      <c r="E92" s="330"/>
      <c r="F92" s="36">
        <f>MOD_5_INSUMOS</f>
        <v>0</v>
      </c>
    </row>
    <row r="93" spans="2:6" s="65" customFormat="1" x14ac:dyDescent="0.3">
      <c r="B93" s="2">
        <v>6</v>
      </c>
      <c r="C93" s="331" t="s">
        <v>21</v>
      </c>
      <c r="D93" s="331"/>
      <c r="E93" s="331"/>
      <c r="F93" s="23">
        <f>MOD_6_CUSTOS_IND_LUCRO_TRIB</f>
        <v>0</v>
      </c>
    </row>
    <row r="94" spans="2:6" s="65" customFormat="1" x14ac:dyDescent="0.3">
      <c r="B94" s="2">
        <v>7</v>
      </c>
      <c r="C94" s="237" t="s">
        <v>297</v>
      </c>
      <c r="D94" s="238"/>
      <c r="E94" s="239"/>
      <c r="F94" s="23">
        <f>'UNIFORMES E AUXÍLIOS'!D87</f>
        <v>0</v>
      </c>
    </row>
    <row r="95" spans="2:6" ht="16.5" customHeight="1" x14ac:dyDescent="0.3">
      <c r="B95" s="332" t="s">
        <v>87</v>
      </c>
      <c r="C95" s="332"/>
      <c r="D95" s="332"/>
      <c r="E95" s="332"/>
      <c r="F95" s="24">
        <f>SUM(F88:F94)</f>
        <v>0</v>
      </c>
    </row>
    <row r="96" spans="2:6" ht="16.5" customHeight="1" x14ac:dyDescent="0.3">
      <c r="B96" s="332" t="s">
        <v>27</v>
      </c>
      <c r="C96" s="332"/>
      <c r="D96" s="332"/>
      <c r="E96" s="332"/>
      <c r="F96" s="24">
        <f>VALOR_TOTAL_EMPREGADO*EMPREG_POR_POSTO</f>
        <v>0</v>
      </c>
    </row>
    <row r="97" spans="2:6" x14ac:dyDescent="0.3">
      <c r="B97" s="332" t="s">
        <v>299</v>
      </c>
      <c r="C97" s="332"/>
      <c r="D97" s="332"/>
      <c r="E97" s="332"/>
      <c r="F97" s="24">
        <f>VALOR_TOTAL_EMPREGADO*'INSERIR-DADOS-44h'!F20</f>
        <v>0</v>
      </c>
    </row>
    <row r="98" spans="2:6" ht="16.5" customHeight="1" x14ac:dyDescent="0.3">
      <c r="B98" s="332" t="s">
        <v>298</v>
      </c>
      <c r="C98" s="332"/>
      <c r="D98" s="332"/>
      <c r="E98" s="332"/>
      <c r="F98" s="24">
        <f>F97*12</f>
        <v>0</v>
      </c>
    </row>
  </sheetData>
  <sheetProtection algorithmName="SHA-512" hashValue="wldgevoiyKuPi6iGJ9/lpPFtSFSr7p9AT7z3mqMszpOYuADE/4ktoGlNcPUk6vuEfRxQ7BsjZCFetTWV3ZBD2g==" saltValue="5jOLcMHxouOr7FdrzpXn+w==" spinCount="100000" sheet="1" objects="1" scenarios="1"/>
  <mergeCells count="87">
    <mergeCell ref="D9:F9"/>
    <mergeCell ref="C11:E11"/>
    <mergeCell ref="C12:E12"/>
    <mergeCell ref="C10:E10"/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C17:E17"/>
    <mergeCell ref="B18:F18"/>
    <mergeCell ref="B19:E19"/>
    <mergeCell ref="C21:E21"/>
    <mergeCell ref="C14:D14"/>
    <mergeCell ref="E14:F14"/>
    <mergeCell ref="D15:F15"/>
    <mergeCell ref="D16:F16"/>
    <mergeCell ref="C22:E22"/>
    <mergeCell ref="B31:F31"/>
    <mergeCell ref="C23:E23"/>
    <mergeCell ref="B24:E24"/>
    <mergeCell ref="C27:D27"/>
    <mergeCell ref="C28:D28"/>
    <mergeCell ref="C29:D29"/>
    <mergeCell ref="B30:E30"/>
    <mergeCell ref="C44:E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B41:E41"/>
    <mergeCell ref="C43:E43"/>
    <mergeCell ref="C58:D58"/>
    <mergeCell ref="C45:E45"/>
    <mergeCell ref="C46:E46"/>
    <mergeCell ref="B47:E47"/>
    <mergeCell ref="C49:D49"/>
    <mergeCell ref="C50:D50"/>
    <mergeCell ref="C51:D51"/>
    <mergeCell ref="C52:D52"/>
    <mergeCell ref="B53:E53"/>
    <mergeCell ref="C57:D57"/>
    <mergeCell ref="C87:E87"/>
    <mergeCell ref="C88:E88"/>
    <mergeCell ref="B68:E68"/>
    <mergeCell ref="C71:E71"/>
    <mergeCell ref="C72:E72"/>
    <mergeCell ref="B85:E85"/>
    <mergeCell ref="C74:E74"/>
    <mergeCell ref="B75:E75"/>
    <mergeCell ref="C79:D79"/>
    <mergeCell ref="C80:D80"/>
    <mergeCell ref="C89:E89"/>
    <mergeCell ref="C73:E73"/>
    <mergeCell ref="C59:D59"/>
    <mergeCell ref="C60:D60"/>
    <mergeCell ref="C61:D61"/>
    <mergeCell ref="C62:D62"/>
    <mergeCell ref="C63:D63"/>
    <mergeCell ref="B64:E64"/>
    <mergeCell ref="C66:E66"/>
    <mergeCell ref="C67:E67"/>
    <mergeCell ref="C81:D81"/>
    <mergeCell ref="C82:D82"/>
    <mergeCell ref="C83:D83"/>
    <mergeCell ref="C84:D84"/>
    <mergeCell ref="B77:F77"/>
    <mergeCell ref="C78:D78"/>
    <mergeCell ref="C90:E90"/>
    <mergeCell ref="C91:E91"/>
    <mergeCell ref="B98:E98"/>
    <mergeCell ref="C93:E93"/>
    <mergeCell ref="B95:E95"/>
    <mergeCell ref="B96:E96"/>
    <mergeCell ref="B97:E97"/>
    <mergeCell ref="C92:E92"/>
    <mergeCell ref="C94:E94"/>
  </mergeCells>
  <phoneticPr fontId="37" type="noConversion"/>
  <printOptions horizontalCentered="1"/>
  <pageMargins left="0.08" right="0.05" top="0.19685039370078741" bottom="0.15748031496062992" header="0.1968503937007874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topLeftCell="A72" zoomScaleNormal="100" zoomScaleSheetLayoutView="100" workbookViewId="0">
      <selection activeCell="F94" sqref="F94"/>
    </sheetView>
  </sheetViews>
  <sheetFormatPr defaultRowHeight="16.5" x14ac:dyDescent="0.3"/>
  <cols>
    <col min="1" max="1" width="2.7109375" style="6" customWidth="1"/>
    <col min="2" max="2" width="8.85546875" style="6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7" width="9.140625" style="6"/>
    <col min="8" max="8" width="12.5703125" style="6" customWidth="1"/>
    <col min="9" max="16384" width="9.140625" style="6"/>
  </cols>
  <sheetData>
    <row r="1" spans="2:6" ht="20.25" x14ac:dyDescent="0.35">
      <c r="B1" s="343" t="str">
        <f>RAMO</f>
        <v>RAMO: MINISTÉRIO PÚBLICO DO DISTRITO FEDERAL E TERRITÓRIOS</v>
      </c>
      <c r="C1" s="344"/>
      <c r="D1" s="344"/>
      <c r="E1" s="344"/>
      <c r="F1" s="345"/>
    </row>
    <row r="2" spans="2:6" ht="20.25" x14ac:dyDescent="0.35">
      <c r="B2" s="346" t="str">
        <f>UG</f>
        <v>UNIDADE GESTORA (SIGLA): S.D.A</v>
      </c>
      <c r="C2" s="347"/>
      <c r="D2" s="348"/>
      <c r="E2" s="50" t="s">
        <v>49</v>
      </c>
      <c r="F2" s="51" t="str">
        <f>DATA_DO_ORCAMENTO_ESTIMATIVO</f>
        <v>XX/XX/XXXX</v>
      </c>
    </row>
    <row r="3" spans="2:6" s="52" customFormat="1" ht="25.5" x14ac:dyDescent="0.5">
      <c r="B3" s="256" t="s">
        <v>142</v>
      </c>
      <c r="C3" s="256"/>
      <c r="D3" s="256"/>
      <c r="E3" s="256"/>
      <c r="F3" s="256"/>
    </row>
    <row r="4" spans="2:6" s="52" customFormat="1" ht="15.95" customHeight="1" x14ac:dyDescent="0.3">
      <c r="B4" s="349" t="s">
        <v>83</v>
      </c>
      <c r="C4" s="349"/>
      <c r="D4" s="349"/>
      <c r="E4" s="349"/>
      <c r="F4" s="349"/>
    </row>
    <row r="5" spans="2:6" s="52" customFormat="1" ht="15.95" customHeight="1" x14ac:dyDescent="0.3">
      <c r="B5" s="337" t="s">
        <v>161</v>
      </c>
      <c r="C5" s="337"/>
      <c r="D5" s="350" t="str">
        <f>NUMERO_PROCESSO</f>
        <v>08191.032667/2021-16</v>
      </c>
      <c r="E5" s="350"/>
      <c r="F5" s="350"/>
    </row>
    <row r="6" spans="2:6" s="52" customFormat="1" ht="15.75" customHeight="1" x14ac:dyDescent="0.3">
      <c r="B6" s="340" t="s">
        <v>162</v>
      </c>
      <c r="C6" s="340"/>
      <c r="D6" s="341" t="str">
        <f>MODALIDADE_DE_LICITACAO</f>
        <v>Pregão nº</v>
      </c>
      <c r="E6" s="341"/>
      <c r="F6" s="75" t="str">
        <f>NUMERO_PREGAO</f>
        <v>56/2021</v>
      </c>
    </row>
    <row r="7" spans="2:6" s="53" customFormat="1" ht="15.75" customHeight="1" x14ac:dyDescent="0.3">
      <c r="B7" s="342" t="s">
        <v>50</v>
      </c>
      <c r="C7" s="342"/>
      <c r="D7" s="342"/>
      <c r="E7" s="342"/>
      <c r="F7" s="342"/>
    </row>
    <row r="8" spans="2:6" s="52" customFormat="1" ht="18" customHeight="1" x14ac:dyDescent="0.3">
      <c r="B8" s="17" t="s">
        <v>2</v>
      </c>
      <c r="C8" s="337" t="s">
        <v>55</v>
      </c>
      <c r="D8" s="337"/>
      <c r="E8" s="337"/>
      <c r="F8" s="54" t="str">
        <f>DATA_APRESENTACAO_PROPOSTA</f>
        <v>XX/XX/XXXX</v>
      </c>
    </row>
    <row r="9" spans="2:6" s="52" customFormat="1" ht="15.95" customHeight="1" x14ac:dyDescent="0.15">
      <c r="B9" s="1" t="s">
        <v>3</v>
      </c>
      <c r="C9" s="42" t="s">
        <v>31</v>
      </c>
      <c r="D9" s="338" t="str">
        <f>'INSERIR-DADOS-44h'!D12:F12</f>
        <v>Unidades do MPDFT</v>
      </c>
      <c r="E9" s="338"/>
      <c r="F9" s="338"/>
    </row>
    <row r="10" spans="2:6" s="52" customFormat="1" ht="18.75" customHeight="1" x14ac:dyDescent="0.3">
      <c r="B10" s="17" t="s">
        <v>4</v>
      </c>
      <c r="C10" s="337" t="s">
        <v>32</v>
      </c>
      <c r="D10" s="337"/>
      <c r="E10" s="337"/>
      <c r="F10" s="55" t="str">
        <f>ACORDO_COLETIVO</f>
        <v>xx/xxxx</v>
      </c>
    </row>
    <row r="11" spans="2:6" s="52" customFormat="1" ht="15.95" customHeight="1" x14ac:dyDescent="0.3">
      <c r="B11" s="1" t="s">
        <v>5</v>
      </c>
      <c r="C11" s="338" t="s">
        <v>56</v>
      </c>
      <c r="D11" s="338"/>
      <c r="E11" s="338"/>
      <c r="F11" s="56">
        <f>NUMERO_MESES_EXEC_CONTRATUAL</f>
        <v>12</v>
      </c>
    </row>
    <row r="12" spans="2:6" s="52" customFormat="1" x14ac:dyDescent="0.3">
      <c r="B12" s="1" t="s">
        <v>6</v>
      </c>
      <c r="C12" s="339" t="s">
        <v>73</v>
      </c>
      <c r="D12" s="339"/>
      <c r="E12" s="339"/>
      <c r="F12" s="57">
        <f>'INSERIR-DADOS-44h'!F21</f>
        <v>22</v>
      </c>
    </row>
    <row r="13" spans="2:6" s="60" customFormat="1" ht="15" customHeight="1" x14ac:dyDescent="0.2">
      <c r="B13" s="58" t="s">
        <v>140</v>
      </c>
      <c r="C13" s="59"/>
      <c r="D13" s="59"/>
      <c r="E13" s="59"/>
      <c r="F13" s="59"/>
    </row>
    <row r="14" spans="2:6" s="52" customFormat="1" x14ac:dyDescent="0.3">
      <c r="B14" s="17">
        <v>1</v>
      </c>
      <c r="C14" s="356" t="s">
        <v>52</v>
      </c>
      <c r="D14" s="356"/>
      <c r="E14" s="357" t="str">
        <f>'INSERIR-DADOS-44h'!C21</f>
        <v>Garçom (44 horas)</v>
      </c>
      <c r="F14" s="357"/>
    </row>
    <row r="15" spans="2:6" s="53" customFormat="1" x14ac:dyDescent="0.3">
      <c r="B15" s="17">
        <v>2</v>
      </c>
      <c r="C15" s="18" t="s">
        <v>51</v>
      </c>
      <c r="D15" s="359" t="str">
        <f>'INSERIR-DADOS-44h'!D28:F28</f>
        <v>5134-05</v>
      </c>
      <c r="E15" s="359"/>
      <c r="F15" s="359"/>
    </row>
    <row r="16" spans="2:6" s="52" customFormat="1" ht="15" customHeight="1" x14ac:dyDescent="0.3">
      <c r="B16" s="17">
        <v>3</v>
      </c>
      <c r="C16" s="73" t="s">
        <v>53</v>
      </c>
      <c r="D16" s="357" t="str">
        <f>'INSERIR-DADOS-44h'!D29:F29</f>
        <v>Garçom/Garçonete</v>
      </c>
      <c r="E16" s="357"/>
      <c r="F16" s="357"/>
    </row>
    <row r="17" spans="2:7" s="52" customFormat="1" ht="15" customHeight="1" x14ac:dyDescent="0.3">
      <c r="B17" s="17">
        <v>4</v>
      </c>
      <c r="C17" s="320" t="s">
        <v>54</v>
      </c>
      <c r="D17" s="320"/>
      <c r="E17" s="320"/>
      <c r="F17" s="74" t="str">
        <f>DATA_BASE_CATEGORIA</f>
        <v>XX/XX/XXXX</v>
      </c>
    </row>
    <row r="18" spans="2:7" s="61" customFormat="1" ht="20.25" customHeight="1" x14ac:dyDescent="0.3">
      <c r="B18" s="358" t="s">
        <v>35</v>
      </c>
      <c r="C18" s="358"/>
      <c r="D18" s="358"/>
      <c r="E18" s="358"/>
      <c r="F18" s="358"/>
    </row>
    <row r="19" spans="2:7" x14ac:dyDescent="0.3">
      <c r="B19" s="240" t="s">
        <v>47</v>
      </c>
      <c r="C19" s="240"/>
      <c r="D19" s="240"/>
      <c r="E19" s="240"/>
      <c r="F19" s="66">
        <f>EMPREG_POR_POSTO</f>
        <v>1</v>
      </c>
    </row>
    <row r="20" spans="2:7" x14ac:dyDescent="0.3">
      <c r="B20" s="32" t="s">
        <v>8</v>
      </c>
      <c r="E20" s="7"/>
      <c r="F20" s="7"/>
    </row>
    <row r="21" spans="2:7" x14ac:dyDescent="0.3">
      <c r="B21" s="1">
        <v>1</v>
      </c>
      <c r="C21" s="310" t="s">
        <v>9</v>
      </c>
      <c r="D21" s="310"/>
      <c r="E21" s="310"/>
      <c r="F21" s="3" t="s">
        <v>13</v>
      </c>
    </row>
    <row r="22" spans="2:7" x14ac:dyDescent="0.3">
      <c r="B22" s="1" t="s">
        <v>2</v>
      </c>
      <c r="C22" s="241" t="s">
        <v>79</v>
      </c>
      <c r="D22" s="241"/>
      <c r="E22" s="241"/>
      <c r="F22" s="35">
        <f>OUTROS_REMUNERACAO_1</f>
        <v>0</v>
      </c>
    </row>
    <row r="23" spans="2:7" x14ac:dyDescent="0.3">
      <c r="B23" s="1" t="s">
        <v>3</v>
      </c>
      <c r="C23" s="353" t="str">
        <f>'INSERIR-DADOS-44h'!C41</f>
        <v>Outras Remunerações  (Especificar)</v>
      </c>
      <c r="D23" s="354"/>
      <c r="E23" s="355"/>
      <c r="F23" s="35">
        <f>'INSERIR-DADOS-44h'!F41</f>
        <v>0</v>
      </c>
    </row>
    <row r="24" spans="2:7" x14ac:dyDescent="0.3">
      <c r="B24" s="351" t="s">
        <v>41</v>
      </c>
      <c r="C24" s="351"/>
      <c r="D24" s="351"/>
      <c r="E24" s="351"/>
      <c r="F24" s="27">
        <f>SUM(F22:F23)</f>
        <v>0</v>
      </c>
    </row>
    <row r="25" spans="2:7" x14ac:dyDescent="0.3">
      <c r="B25" s="32" t="s">
        <v>57</v>
      </c>
      <c r="E25" s="14"/>
      <c r="F25" s="14"/>
    </row>
    <row r="26" spans="2:7" x14ac:dyDescent="0.3">
      <c r="B26" s="32" t="s">
        <v>96</v>
      </c>
      <c r="C26" s="5"/>
      <c r="D26" s="15"/>
      <c r="E26" s="13"/>
      <c r="F26" s="13"/>
    </row>
    <row r="27" spans="2:7" x14ac:dyDescent="0.3">
      <c r="B27" s="1" t="s">
        <v>58</v>
      </c>
      <c r="C27" s="240" t="s">
        <v>80</v>
      </c>
      <c r="D27" s="240"/>
      <c r="E27" s="3" t="s">
        <v>1</v>
      </c>
      <c r="F27" s="3" t="s">
        <v>13</v>
      </c>
    </row>
    <row r="28" spans="2:7" x14ac:dyDescent="0.3">
      <c r="B28" s="1" t="s">
        <v>2</v>
      </c>
      <c r="C28" s="330" t="s">
        <v>42</v>
      </c>
      <c r="D28" s="330"/>
      <c r="E28" s="37">
        <f>PERC_DEC_TERC</f>
        <v>8.33</v>
      </c>
      <c r="F28" s="36">
        <f>PERC_DEC_TERC%*MOD_1_REMUNERACAO</f>
        <v>0</v>
      </c>
    </row>
    <row r="29" spans="2:7" s="10" customFormat="1" x14ac:dyDescent="0.3">
      <c r="B29" s="2" t="s">
        <v>3</v>
      </c>
      <c r="C29" s="331" t="s">
        <v>81</v>
      </c>
      <c r="D29" s="331"/>
      <c r="E29" s="25">
        <f>PERC_ADIC_FERIAS</f>
        <v>2.78</v>
      </c>
      <c r="F29" s="23">
        <f>PERC_ADIC_FERIAS%*MOD_1_REMUNERACAO</f>
        <v>0</v>
      </c>
      <c r="G29" s="6"/>
    </row>
    <row r="30" spans="2:7" s="62" customFormat="1" x14ac:dyDescent="0.3">
      <c r="B30" s="312" t="s">
        <v>41</v>
      </c>
      <c r="C30" s="313"/>
      <c r="D30" s="313"/>
      <c r="E30" s="314"/>
      <c r="F30" s="28">
        <f>SUM(F28:F29)</f>
        <v>0</v>
      </c>
    </row>
    <row r="31" spans="2:7" s="62" customFormat="1" ht="31.5" customHeight="1" x14ac:dyDescent="0.3">
      <c r="B31" s="352" t="s">
        <v>59</v>
      </c>
      <c r="C31" s="352"/>
      <c r="D31" s="352"/>
      <c r="E31" s="352"/>
      <c r="F31" s="352"/>
    </row>
    <row r="32" spans="2:7" s="62" customFormat="1" ht="34.5" customHeight="1" x14ac:dyDescent="0.3">
      <c r="B32" s="1" t="s">
        <v>60</v>
      </c>
      <c r="C32" s="334" t="s">
        <v>82</v>
      </c>
      <c r="D32" s="334"/>
      <c r="E32" s="3" t="s">
        <v>1</v>
      </c>
      <c r="F32" s="3" t="s">
        <v>13</v>
      </c>
    </row>
    <row r="33" spans="2:7" x14ac:dyDescent="0.3">
      <c r="B33" s="1" t="s">
        <v>2</v>
      </c>
      <c r="C33" s="330" t="s">
        <v>36</v>
      </c>
      <c r="D33" s="330"/>
      <c r="E33" s="37">
        <f>PERC_INSS</f>
        <v>20</v>
      </c>
      <c r="F33" s="36">
        <f>PERC_INSS%*(MOD_1_REMUNERACAO+SUBMOD_2_1_DEC_TERC_ADIC_FERIAS)</f>
        <v>0</v>
      </c>
    </row>
    <row r="34" spans="2:7" s="52" customFormat="1" x14ac:dyDescent="0.3">
      <c r="B34" s="2" t="s">
        <v>3</v>
      </c>
      <c r="C34" s="331" t="s">
        <v>38</v>
      </c>
      <c r="D34" s="331"/>
      <c r="E34" s="30">
        <f>PERC_SAL_EDUCACAO</f>
        <v>2.5</v>
      </c>
      <c r="F34" s="23">
        <f>PERC_SAL_EDUCACAO%*(MOD_1_REMUNERACAO+SUBMOD_2_1_DEC_TERC_ADIC_FERIAS)</f>
        <v>0</v>
      </c>
      <c r="G34" s="6"/>
    </row>
    <row r="35" spans="2:7" s="52" customFormat="1" x14ac:dyDescent="0.3">
      <c r="B35" s="2" t="s">
        <v>4</v>
      </c>
      <c r="C35" s="330" t="s">
        <v>77</v>
      </c>
      <c r="D35" s="330"/>
      <c r="E35" s="37">
        <f>PERC_RAT</f>
        <v>1</v>
      </c>
      <c r="F35" s="36">
        <f>PERC_RAT%*(MOD_1_REMUNERACAO+SUBMOD_2_1_DEC_TERC_ADIC_FERIAS)</f>
        <v>0</v>
      </c>
      <c r="G35" s="6"/>
    </row>
    <row r="36" spans="2:7" s="52" customFormat="1" x14ac:dyDescent="0.3">
      <c r="B36" s="2" t="s">
        <v>5</v>
      </c>
      <c r="C36" s="331" t="s">
        <v>75</v>
      </c>
      <c r="D36" s="331"/>
      <c r="E36" s="25">
        <f>PERC_SESC</f>
        <v>1.5</v>
      </c>
      <c r="F36" s="23">
        <f>PERC_SESC%*(MOD_1_REMUNERACAO+SUBMOD_2_1_DEC_TERC_ADIC_FERIAS)</f>
        <v>0</v>
      </c>
      <c r="G36" s="6"/>
    </row>
    <row r="37" spans="2:7" s="52" customFormat="1" x14ac:dyDescent="0.3">
      <c r="B37" s="2" t="s">
        <v>6</v>
      </c>
      <c r="C37" s="330" t="s">
        <v>76</v>
      </c>
      <c r="D37" s="330"/>
      <c r="E37" s="37">
        <f>PERC_SENAC</f>
        <v>1</v>
      </c>
      <c r="F37" s="36">
        <f>PERC_SENAC%*(MOD_1_REMUNERACAO+SUBMOD_2_1_DEC_TERC_ADIC_FERIAS)</f>
        <v>0</v>
      </c>
      <c r="G37" s="6"/>
    </row>
    <row r="38" spans="2:7" s="53" customFormat="1" x14ac:dyDescent="0.3">
      <c r="B38" s="2" t="s">
        <v>7</v>
      </c>
      <c r="C38" s="331" t="s">
        <v>40</v>
      </c>
      <c r="D38" s="331"/>
      <c r="E38" s="30">
        <f>PERC_SEBRAE</f>
        <v>0.6</v>
      </c>
      <c r="F38" s="23">
        <f>PERC_SEBRAE%*(MOD_1_REMUNERACAO+SUBMOD_2_1_DEC_TERC_ADIC_FERIAS)</f>
        <v>0</v>
      </c>
      <c r="G38" s="6"/>
    </row>
    <row r="39" spans="2:7" s="53" customFormat="1" x14ac:dyDescent="0.3">
      <c r="B39" s="2" t="s">
        <v>10</v>
      </c>
      <c r="C39" s="330" t="s">
        <v>37</v>
      </c>
      <c r="D39" s="330"/>
      <c r="E39" s="37">
        <f>PERC_INCRA</f>
        <v>0.2</v>
      </c>
      <c r="F39" s="36">
        <f>PERC_INCRA%*(MOD_1_REMUNERACAO+SUBMOD_2_1_DEC_TERC_ADIC_FERIAS)</f>
        <v>0</v>
      </c>
      <c r="G39" s="6"/>
    </row>
    <row r="40" spans="2:7" x14ac:dyDescent="0.3">
      <c r="B40" s="2" t="s">
        <v>11</v>
      </c>
      <c r="C40" s="331" t="s">
        <v>39</v>
      </c>
      <c r="D40" s="331"/>
      <c r="E40" s="30">
        <f>PERC_FGTS</f>
        <v>8</v>
      </c>
      <c r="F40" s="23">
        <f>PERC_FGTS%*(MOD_1_REMUNERACAO+SUBMOD_2_1_DEC_TERC_ADIC_FERIAS)</f>
        <v>0</v>
      </c>
    </row>
    <row r="41" spans="2:7" x14ac:dyDescent="0.3">
      <c r="B41" s="312" t="s">
        <v>41</v>
      </c>
      <c r="C41" s="313"/>
      <c r="D41" s="313"/>
      <c r="E41" s="314"/>
      <c r="F41" s="29">
        <f>SUM(F33:F40)</f>
        <v>0</v>
      </c>
    </row>
    <row r="42" spans="2:7" ht="15.75" customHeight="1" x14ac:dyDescent="0.3">
      <c r="B42" s="32" t="s">
        <v>62</v>
      </c>
      <c r="C42" s="53"/>
      <c r="D42" s="53"/>
      <c r="E42" s="53"/>
      <c r="F42" s="53"/>
    </row>
    <row r="43" spans="2:7" ht="15.75" customHeight="1" x14ac:dyDescent="0.3">
      <c r="B43" s="1" t="s">
        <v>78</v>
      </c>
      <c r="C43" s="310" t="s">
        <v>14</v>
      </c>
      <c r="D43" s="310"/>
      <c r="E43" s="310"/>
      <c r="F43" s="3" t="s">
        <v>13</v>
      </c>
    </row>
    <row r="44" spans="2:7" x14ac:dyDescent="0.3">
      <c r="B44" s="17" t="s">
        <v>2</v>
      </c>
      <c r="C44" s="330" t="s">
        <v>15</v>
      </c>
      <c r="D44" s="330"/>
      <c r="E44" s="330"/>
      <c r="F44" s="36">
        <f>(TRANSPORTE_POR_DIA*DIAS_TRABALHADOS_NO_MES)-(OUTROS_REMUNERACAO_1*6%)</f>
        <v>0</v>
      </c>
    </row>
    <row r="45" spans="2:7" s="62" customFormat="1" x14ac:dyDescent="0.3">
      <c r="B45" s="17" t="s">
        <v>3</v>
      </c>
      <c r="C45" s="331" t="s">
        <v>61</v>
      </c>
      <c r="D45" s="331"/>
      <c r="E45" s="331"/>
      <c r="F45" s="23">
        <f>ALIMENTACAO_POR_DIA*DIAS_TRABALHADOS_NO_MES</f>
        <v>0</v>
      </c>
    </row>
    <row r="46" spans="2:7" s="62" customFormat="1" x14ac:dyDescent="0.3">
      <c r="B46" s="17" t="s">
        <v>4</v>
      </c>
      <c r="C46" s="353" t="str">
        <f>'INSERIR-DADOS-44h'!C51</f>
        <v>Outros Benefícios 3 (Especificar)</v>
      </c>
      <c r="D46" s="354"/>
      <c r="E46" s="355"/>
      <c r="F46" s="36">
        <f>OUTROS_BENEFICIOS_3</f>
        <v>0</v>
      </c>
    </row>
    <row r="47" spans="2:7" s="62" customFormat="1" ht="15" customHeight="1" x14ac:dyDescent="0.3">
      <c r="B47" s="351" t="s">
        <v>41</v>
      </c>
      <c r="C47" s="351"/>
      <c r="D47" s="351"/>
      <c r="E47" s="351"/>
      <c r="F47" s="27">
        <f>SUM(F44:F46)</f>
        <v>0</v>
      </c>
    </row>
    <row r="48" spans="2:7" s="62" customFormat="1" x14ac:dyDescent="0.3">
      <c r="B48" s="32" t="s">
        <v>63</v>
      </c>
      <c r="C48" s="5"/>
      <c r="D48" s="15"/>
      <c r="E48" s="13"/>
      <c r="F48" s="13"/>
    </row>
    <row r="49" spans="2:6" s="62" customFormat="1" ht="15" customHeight="1" x14ac:dyDescent="0.3">
      <c r="B49" s="1">
        <v>3</v>
      </c>
      <c r="C49" s="240" t="s">
        <v>43</v>
      </c>
      <c r="D49" s="240"/>
      <c r="E49" s="3" t="s">
        <v>1</v>
      </c>
      <c r="F49" s="3" t="s">
        <v>13</v>
      </c>
    </row>
    <row r="50" spans="2:6" s="62" customFormat="1" x14ac:dyDescent="0.3">
      <c r="B50" s="1" t="s">
        <v>2</v>
      </c>
      <c r="C50" s="335" t="s">
        <v>44</v>
      </c>
      <c r="D50" s="335"/>
      <c r="E50" s="37">
        <f>PERC_AVISO_PREVIO_IND</f>
        <v>0.28999999999999998</v>
      </c>
      <c r="F50" s="36">
        <f>PERC_AVISO_PREVIO_IND%*(MOD_1_REMUNERACAO+SUBMOD_2_1_DEC_TERC_ADIC_FERIAS+AL_2_2_FGTS+SUBMOD_2_3_BENEFICIOS)</f>
        <v>0</v>
      </c>
    </row>
    <row r="51" spans="2:6" s="62" customFormat="1" x14ac:dyDescent="0.3">
      <c r="B51" s="2" t="s">
        <v>3</v>
      </c>
      <c r="C51" s="333" t="s">
        <v>45</v>
      </c>
      <c r="D51" s="333"/>
      <c r="E51" s="30">
        <f>PERC_AVISO_PREVIO_TRAB</f>
        <v>1.1599999999999999</v>
      </c>
      <c r="F51" s="23">
        <f>PERC_AVISO_PREVIO_TRAB%*(MOD_1_REMUNERACAO+SUBMOD_2_1_DEC_TERC_ADIC_FERIAS+SUBMOD_2_2_GPS_FGTS+SUBMOD_2_3_BENEFICIOS)</f>
        <v>0</v>
      </c>
    </row>
    <row r="52" spans="2:6" s="52" customFormat="1" x14ac:dyDescent="0.15">
      <c r="B52" s="2" t="s">
        <v>4</v>
      </c>
      <c r="C52" s="335" t="s">
        <v>169</v>
      </c>
      <c r="D52" s="335"/>
      <c r="E52" s="37">
        <f>PERC_MULTA_FGTS_AV_PREV_TRAB</f>
        <v>0.04</v>
      </c>
      <c r="F52" s="36">
        <f>PERC_MULTA_FGTS_AV_PREV_TRAB%*(MOD_1_REMUNERACAO+SUBMOD_2_1_DEC_TERC_ADIC_FERIAS)</f>
        <v>0</v>
      </c>
    </row>
    <row r="53" spans="2:6" s="52" customFormat="1" x14ac:dyDescent="0.3">
      <c r="B53" s="312" t="s">
        <v>41</v>
      </c>
      <c r="C53" s="313"/>
      <c r="D53" s="313"/>
      <c r="E53" s="314"/>
      <c r="F53" s="28">
        <f>SUM(F50:F52)</f>
        <v>0</v>
      </c>
    </row>
    <row r="54" spans="2:6" ht="7.5" customHeight="1" x14ac:dyDescent="0.3">
      <c r="B54" s="9"/>
      <c r="C54" s="10"/>
      <c r="D54" s="11"/>
      <c r="E54" s="7"/>
      <c r="F54" s="7"/>
    </row>
    <row r="55" spans="2:6" s="52" customFormat="1" ht="15.95" customHeight="1" x14ac:dyDescent="0.3">
      <c r="B55" s="32" t="s">
        <v>64</v>
      </c>
      <c r="C55" s="5"/>
      <c r="D55" s="15"/>
      <c r="E55" s="6"/>
      <c r="F55" s="6"/>
    </row>
    <row r="56" spans="2:6" s="52" customFormat="1" ht="15.95" customHeight="1" x14ac:dyDescent="0.3">
      <c r="B56" s="32" t="s">
        <v>88</v>
      </c>
      <c r="C56" s="5"/>
      <c r="D56" s="15"/>
      <c r="E56" s="13"/>
      <c r="F56" s="13"/>
    </row>
    <row r="57" spans="2:6" s="52" customFormat="1" x14ac:dyDescent="0.15">
      <c r="B57" s="1" t="s">
        <v>19</v>
      </c>
      <c r="C57" s="332" t="s">
        <v>89</v>
      </c>
      <c r="D57" s="332"/>
      <c r="E57" s="3" t="s">
        <v>1</v>
      </c>
      <c r="F57" s="3" t="s">
        <v>13</v>
      </c>
    </row>
    <row r="58" spans="2:6" s="52" customFormat="1" ht="15.95" customHeight="1" x14ac:dyDescent="0.15">
      <c r="B58" s="2" t="s">
        <v>2</v>
      </c>
      <c r="C58" s="330" t="s">
        <v>90</v>
      </c>
      <c r="D58" s="330"/>
      <c r="E58" s="37">
        <f>PERC_SUBSTITUTO_FERIAS</f>
        <v>8.33</v>
      </c>
      <c r="F58" s="36">
        <f>PERC_SUBSTITUTO_FERIAS%*(MOD_1_REMUNERACAO+MOD_2_ENCARGOS_BENEFICIOS+MOD_3_PROVISAO_RESCISAO)</f>
        <v>0</v>
      </c>
    </row>
    <row r="59" spans="2:6" s="52" customFormat="1" ht="15.95" customHeight="1" x14ac:dyDescent="0.15">
      <c r="B59" s="2" t="s">
        <v>3</v>
      </c>
      <c r="C59" s="331" t="s">
        <v>91</v>
      </c>
      <c r="D59" s="331"/>
      <c r="E59" s="30">
        <f>PERC_SUBSTITUTO_AUSENCIAS_LEGAIS</f>
        <v>2.2200000000000002</v>
      </c>
      <c r="F59" s="23">
        <f>PERC_SUBSTITUTO_AUSENCIAS_LEGAIS%*(MOD_1_REMUNERACAO+MOD_2_ENCARGOS_BENEFICIOS+MOD_3_PROVISAO_RESCISAO)</f>
        <v>0</v>
      </c>
    </row>
    <row r="60" spans="2:6" s="52" customFormat="1" ht="15.95" customHeight="1" x14ac:dyDescent="0.15">
      <c r="B60" s="2" t="s">
        <v>4</v>
      </c>
      <c r="C60" s="330" t="s">
        <v>92</v>
      </c>
      <c r="D60" s="330"/>
      <c r="E60" s="37">
        <f>PERC_SUBSTITUTO_LICENCA_PATERNIDADE</f>
        <v>0.04</v>
      </c>
      <c r="F60" s="36">
        <f>PERC_SUBSTITUTO_LICENCA_PATERNIDADE%*(MOD_1_REMUNERACAO+MOD_2_ENCARGOS_BENEFICIOS+MOD_3_PROVISAO_RESCISAO)</f>
        <v>0</v>
      </c>
    </row>
    <row r="61" spans="2:6" s="52" customFormat="1" x14ac:dyDescent="0.15">
      <c r="B61" s="2" t="s">
        <v>5</v>
      </c>
      <c r="C61" s="331" t="s">
        <v>93</v>
      </c>
      <c r="D61" s="331"/>
      <c r="E61" s="30">
        <f>PERC_SUBSTITUTO_ACID_TRAB</f>
        <v>0.02</v>
      </c>
      <c r="F61" s="23">
        <f>PERC_SUBSTITUTO_ACID_TRAB%*(MOD_1_REMUNERACAO+MOD_2_ENCARGOS_BENEFICIOS+MOD_3_PROVISAO_RESCISAO)</f>
        <v>0</v>
      </c>
    </row>
    <row r="62" spans="2:6" s="52" customFormat="1" x14ac:dyDescent="0.15">
      <c r="B62" s="2" t="s">
        <v>6</v>
      </c>
      <c r="C62" s="330" t="s">
        <v>94</v>
      </c>
      <c r="D62" s="330"/>
      <c r="E62" s="37">
        <f>PERC_SUBSTITUTO_AFAST_MATERN</f>
        <v>0.14000000000000001</v>
      </c>
      <c r="F62" s="36">
        <f>PERC_SUBSTITUTO_AFAST_MATERN%*(MOD_1_REMUNERACAO+MOD_2_ENCARGOS_BENEFICIOS+MOD_3_PROVISAO_RESCISAO)</f>
        <v>0</v>
      </c>
    </row>
    <row r="63" spans="2:6" s="52" customFormat="1" x14ac:dyDescent="0.15">
      <c r="B63" s="2" t="s">
        <v>7</v>
      </c>
      <c r="C63" s="361" t="str">
        <f>'INSERIR-DADOS-44h'!C58</f>
        <v>Outras Ausências (Especificar - em %)</v>
      </c>
      <c r="D63" s="331"/>
      <c r="E63" s="34">
        <f>'INSERIR-DADOS-44h'!F58</f>
        <v>0</v>
      </c>
      <c r="F63" s="23">
        <f>PERC_SUBSTITUTO_OUTRAS_AUSENCIAS%*(MOD_1_REMUNERACAO+MOD_2_ENCARGOS_BENEFICIOS+MOD_3_PROVISAO_RESCISAO)</f>
        <v>0</v>
      </c>
    </row>
    <row r="64" spans="2:6" s="52" customFormat="1" x14ac:dyDescent="0.3">
      <c r="B64" s="312" t="s">
        <v>41</v>
      </c>
      <c r="C64" s="313"/>
      <c r="D64" s="313"/>
      <c r="E64" s="314"/>
      <c r="F64" s="28">
        <f>SUM(F58:F63)</f>
        <v>0</v>
      </c>
    </row>
    <row r="65" spans="2:6" s="52" customFormat="1" ht="15" hidden="1" customHeight="1" x14ac:dyDescent="0.3">
      <c r="B65" s="32" t="s">
        <v>164</v>
      </c>
      <c r="C65" s="5"/>
      <c r="D65" s="15"/>
      <c r="E65" s="13"/>
      <c r="F65" s="13"/>
    </row>
    <row r="66" spans="2:6" s="52" customFormat="1" hidden="1" x14ac:dyDescent="0.15">
      <c r="B66" s="1" t="s">
        <v>20</v>
      </c>
      <c r="C66" s="240" t="s">
        <v>163</v>
      </c>
      <c r="D66" s="240"/>
      <c r="E66" s="240"/>
      <c r="F66" s="3" t="s">
        <v>13</v>
      </c>
    </row>
    <row r="67" spans="2:6" s="52" customFormat="1" hidden="1" x14ac:dyDescent="0.15">
      <c r="B67" s="1" t="s">
        <v>2</v>
      </c>
      <c r="C67" s="330" t="s">
        <v>95</v>
      </c>
      <c r="D67" s="330"/>
      <c r="E67" s="330"/>
      <c r="F67" s="35">
        <f>IF(DIAS_TRABALHADOS_NO_MES=15,((MOD_1_REMUNERACAO+MOD_2_ENCARGOS_BENEFICIOS+MOD_3_PROVISAO_RESCISAO)/DIVISOR_DE_HORAS)*((TEMPO_INTERVALO_REFEICAO/HORA_NORMAL)+PERC_HORA_EXTRA%)*DIAS_TRABALHADOS_NO_MES,0)</f>
        <v>0</v>
      </c>
    </row>
    <row r="68" spans="2:6" s="52" customFormat="1" hidden="1" x14ac:dyDescent="0.3">
      <c r="B68" s="240" t="s">
        <v>41</v>
      </c>
      <c r="C68" s="240"/>
      <c r="D68" s="240"/>
      <c r="E68" s="240"/>
      <c r="F68" s="28">
        <f>SUM(F67)</f>
        <v>0</v>
      </c>
    </row>
    <row r="69" spans="2:6" ht="7.5" customHeight="1" x14ac:dyDescent="0.3">
      <c r="B69" s="9"/>
      <c r="C69" s="10"/>
      <c r="D69" s="11"/>
      <c r="E69" s="7"/>
      <c r="F69" s="7"/>
    </row>
    <row r="70" spans="2:6" x14ac:dyDescent="0.3">
      <c r="B70" s="32" t="s">
        <v>68</v>
      </c>
      <c r="C70" s="5"/>
      <c r="D70" s="5"/>
      <c r="E70" s="13"/>
      <c r="F70" s="13"/>
    </row>
    <row r="71" spans="2:6" ht="15.75" customHeight="1" x14ac:dyDescent="0.3">
      <c r="B71" s="1">
        <v>5</v>
      </c>
      <c r="C71" s="310" t="s">
        <v>0</v>
      </c>
      <c r="D71" s="310"/>
      <c r="E71" s="310"/>
      <c r="F71" s="3" t="s">
        <v>13</v>
      </c>
    </row>
    <row r="72" spans="2:6" x14ac:dyDescent="0.3">
      <c r="B72" s="17" t="s">
        <v>2</v>
      </c>
      <c r="C72" s="330" t="s">
        <v>16</v>
      </c>
      <c r="D72" s="330"/>
      <c r="E72" s="330"/>
      <c r="F72" s="36">
        <f>'INSERIR-DADOS-44h'!F69</f>
        <v>0</v>
      </c>
    </row>
    <row r="73" spans="2:6" x14ac:dyDescent="0.3">
      <c r="B73" s="17" t="s">
        <v>3</v>
      </c>
      <c r="C73" s="331" t="s">
        <v>17</v>
      </c>
      <c r="D73" s="331"/>
      <c r="E73" s="331"/>
      <c r="F73" s="23">
        <f>'INSERÇÃO-DADOS-MATERIAIS'!B50</f>
        <v>0</v>
      </c>
    </row>
    <row r="74" spans="2:6" x14ac:dyDescent="0.3">
      <c r="B74" s="17" t="s">
        <v>5</v>
      </c>
      <c r="C74" s="361" t="str">
        <f>'INSERIR-DADOS-44h'!C73</f>
        <v>Outros (Especificar)</v>
      </c>
      <c r="D74" s="331"/>
      <c r="E74" s="331"/>
      <c r="F74" s="23">
        <f>OUTROS_INSUMOS</f>
        <v>0</v>
      </c>
    </row>
    <row r="75" spans="2:6" x14ac:dyDescent="0.3">
      <c r="B75" s="351" t="s">
        <v>41</v>
      </c>
      <c r="C75" s="351"/>
      <c r="D75" s="351"/>
      <c r="E75" s="351"/>
      <c r="F75" s="27">
        <f>SUM(F72:F74)</f>
        <v>0</v>
      </c>
    </row>
    <row r="76" spans="2:6" ht="7.5" customHeight="1" x14ac:dyDescent="0.3">
      <c r="B76" s="9"/>
      <c r="C76" s="10"/>
      <c r="D76" s="11"/>
      <c r="E76" s="7"/>
      <c r="F76" s="7"/>
    </row>
    <row r="77" spans="2:6" ht="15" customHeight="1" x14ac:dyDescent="0.3">
      <c r="B77" s="247" t="s">
        <v>67</v>
      </c>
      <c r="C77" s="247"/>
      <c r="D77" s="247"/>
      <c r="E77" s="247"/>
      <c r="F77" s="247"/>
    </row>
    <row r="78" spans="2:6" x14ac:dyDescent="0.3">
      <c r="B78" s="1">
        <v>6</v>
      </c>
      <c r="C78" s="240" t="s">
        <v>21</v>
      </c>
      <c r="D78" s="240"/>
      <c r="E78" s="3" t="s">
        <v>1</v>
      </c>
      <c r="F78" s="3" t="s">
        <v>13</v>
      </c>
    </row>
    <row r="79" spans="2:6" x14ac:dyDescent="0.3">
      <c r="B79" s="1" t="s">
        <v>2</v>
      </c>
      <c r="C79" s="330" t="s">
        <v>69</v>
      </c>
      <c r="D79" s="330"/>
      <c r="E79" s="38">
        <f>PERC_CUSTOS_INDIRETOS</f>
        <v>4.7300000000000004</v>
      </c>
      <c r="F79" s="36">
        <f>PERC_CUSTOS_INDIRETOS%*(MOD_1_REMUNERACAO+MOD_2_ENCARGOS_BENEFICIOS+MOD_3_PROVISAO_RESCISAO+MOD_4_CUSTO_REPOSICAO+MOD_5_INSUMOS)</f>
        <v>0</v>
      </c>
    </row>
    <row r="80" spans="2:6" ht="15.75" customHeight="1" x14ac:dyDescent="0.3">
      <c r="B80" s="2" t="s">
        <v>3</v>
      </c>
      <c r="C80" s="331" t="s">
        <v>28</v>
      </c>
      <c r="D80" s="331"/>
      <c r="E80" s="31">
        <f>PERC_LUCRO</f>
        <v>5.57</v>
      </c>
      <c r="F80" s="23">
        <f>PERC_LUCRO%*(MOD_1_REMUNERACAO+MOD_2_ENCARGOS_BENEFICIOS+MOD_3_PROVISAO_RESCISAO+MOD_4_CUSTO_REPOSICAO+MOD_5_INSUMOS+AL_6_A_CUSTOS_INDIRETOS)</f>
        <v>0</v>
      </c>
    </row>
    <row r="81" spans="2:6" x14ac:dyDescent="0.3">
      <c r="B81" s="2" t="s">
        <v>4</v>
      </c>
      <c r="C81" s="330" t="s">
        <v>22</v>
      </c>
      <c r="D81" s="330"/>
      <c r="E81" s="38">
        <f>SUM(E82:E84)</f>
        <v>8.65</v>
      </c>
      <c r="F81" s="36">
        <f>SUM(F82:F84)</f>
        <v>0</v>
      </c>
    </row>
    <row r="82" spans="2:6" ht="15.75" customHeight="1" x14ac:dyDescent="0.3">
      <c r="B82" s="21" t="s">
        <v>70</v>
      </c>
      <c r="C82" s="360" t="s">
        <v>23</v>
      </c>
      <c r="D82" s="360"/>
      <c r="E82" s="22">
        <f>PERC_PIS</f>
        <v>0.65</v>
      </c>
      <c r="F82" s="40">
        <f>((MOD_1_REMUNERACAO+MOD_2_ENCARGOS_BENEFICIOS+MOD_3_PROVISAO_RESCISAO+MOD_4_CUSTO_REPOSICAO+MOD_5_INSUMOS+AL_6_A_CUSTOS_INDIRETOS+AL_6_B_LUCRO)*PERC_PIS%)/(1-PERC_TRIBUTOS%)</f>
        <v>0</v>
      </c>
    </row>
    <row r="83" spans="2:6" x14ac:dyDescent="0.3">
      <c r="B83" s="21" t="s">
        <v>71</v>
      </c>
      <c r="C83" s="362" t="s">
        <v>24</v>
      </c>
      <c r="D83" s="362"/>
      <c r="E83" s="39">
        <f>PERC_COFINS</f>
        <v>3</v>
      </c>
      <c r="F83" s="41">
        <f>((MOD_1_REMUNERACAO+MOD_2_ENCARGOS_BENEFICIOS+MOD_3_PROVISAO_RESCISAO+MOD_4_CUSTO_REPOSICAO+MOD_5_INSUMOS+AL_6_A_CUSTOS_INDIRETOS+AL_6_B_LUCRO)*PERC_COFINS%)/(1-PERC_TRIBUTOS%)</f>
        <v>0</v>
      </c>
    </row>
    <row r="84" spans="2:6" s="63" customFormat="1" x14ac:dyDescent="0.3">
      <c r="B84" s="21" t="s">
        <v>72</v>
      </c>
      <c r="C84" s="360" t="s">
        <v>25</v>
      </c>
      <c r="D84" s="360"/>
      <c r="E84" s="22">
        <f>PERC_ISS</f>
        <v>5</v>
      </c>
      <c r="F84" s="40">
        <f>((MOD_1_REMUNERACAO+MOD_2_ENCARGOS_BENEFICIOS+MOD_3_PROVISAO_RESCISAO+MOD_4_CUSTO_REPOSICAO+MOD_5_INSUMOS+AL_6_A_CUSTOS_INDIRETOS+AL_6_B_LUCRO)*PERC_ISS%)/(1-PERC_TRIBUTOS%)</f>
        <v>0</v>
      </c>
    </row>
    <row r="85" spans="2:6" s="63" customFormat="1" x14ac:dyDescent="0.3">
      <c r="B85" s="312" t="s">
        <v>41</v>
      </c>
      <c r="C85" s="313"/>
      <c r="D85" s="313"/>
      <c r="E85" s="314"/>
      <c r="F85" s="24">
        <f>AL_6_A_CUSTOS_INDIRETOS+AL_6_B_LUCRO+AL_6_C_TRIBUTOS</f>
        <v>0</v>
      </c>
    </row>
    <row r="86" spans="2:6" s="63" customFormat="1" ht="20.25" x14ac:dyDescent="0.3">
      <c r="B86" s="33" t="s">
        <v>48</v>
      </c>
      <c r="C86" s="8"/>
      <c r="D86" s="8"/>
      <c r="E86" s="8"/>
      <c r="F86" s="16"/>
    </row>
    <row r="87" spans="2:6" s="64" customFormat="1" ht="16.5" customHeight="1" x14ac:dyDescent="0.3">
      <c r="B87" s="2" t="s">
        <v>84</v>
      </c>
      <c r="C87" s="321" t="s">
        <v>85</v>
      </c>
      <c r="D87" s="322"/>
      <c r="E87" s="323"/>
      <c r="F87" s="3" t="s">
        <v>18</v>
      </c>
    </row>
    <row r="88" spans="2:6" s="63" customFormat="1" x14ac:dyDescent="0.3">
      <c r="B88" s="1">
        <v>1</v>
      </c>
      <c r="C88" s="330" t="s">
        <v>9</v>
      </c>
      <c r="D88" s="330"/>
      <c r="E88" s="330"/>
      <c r="F88" s="36">
        <f>MOD_1_REMUNERACAO</f>
        <v>0</v>
      </c>
    </row>
    <row r="89" spans="2:6" s="65" customFormat="1" ht="16.5" customHeight="1" x14ac:dyDescent="0.3">
      <c r="B89" s="2">
        <v>2</v>
      </c>
      <c r="C89" s="331" t="s">
        <v>86</v>
      </c>
      <c r="D89" s="331"/>
      <c r="E89" s="331"/>
      <c r="F89" s="23">
        <f>MOD_2_ENCARGOS_BENEFICIOS</f>
        <v>0</v>
      </c>
    </row>
    <row r="90" spans="2:6" s="65" customFormat="1" x14ac:dyDescent="0.3">
      <c r="B90" s="2">
        <v>3</v>
      </c>
      <c r="C90" s="330" t="s">
        <v>43</v>
      </c>
      <c r="D90" s="330"/>
      <c r="E90" s="330"/>
      <c r="F90" s="36">
        <f>MOD_3_PROVISAO_RESCISAO</f>
        <v>0</v>
      </c>
    </row>
    <row r="91" spans="2:6" s="65" customFormat="1" x14ac:dyDescent="0.3">
      <c r="B91" s="2">
        <v>4</v>
      </c>
      <c r="C91" s="331" t="s">
        <v>46</v>
      </c>
      <c r="D91" s="331"/>
      <c r="E91" s="331"/>
      <c r="F91" s="23">
        <f>MOD_4_CUSTO_REPOSICAO</f>
        <v>0</v>
      </c>
    </row>
    <row r="92" spans="2:6" s="65" customFormat="1" x14ac:dyDescent="0.3">
      <c r="B92" s="2">
        <v>5</v>
      </c>
      <c r="C92" s="330" t="s">
        <v>0</v>
      </c>
      <c r="D92" s="330"/>
      <c r="E92" s="330"/>
      <c r="F92" s="36">
        <f>MOD_5_INSUMOS</f>
        <v>0</v>
      </c>
    </row>
    <row r="93" spans="2:6" s="65" customFormat="1" x14ac:dyDescent="0.3">
      <c r="B93" s="2">
        <v>6</v>
      </c>
      <c r="C93" s="331" t="s">
        <v>21</v>
      </c>
      <c r="D93" s="331"/>
      <c r="E93" s="331"/>
      <c r="F93" s="23">
        <f>MOD_6_CUSTOS_IND_LUCRO_TRIB</f>
        <v>0</v>
      </c>
    </row>
    <row r="94" spans="2:6" s="65" customFormat="1" x14ac:dyDescent="0.3">
      <c r="B94" s="2">
        <v>7</v>
      </c>
      <c r="C94" s="237" t="s">
        <v>297</v>
      </c>
      <c r="D94" s="238"/>
      <c r="E94" s="239"/>
      <c r="F94" s="23">
        <f>'UNIFORMES E AUXÍLIOS'!D87</f>
        <v>0</v>
      </c>
    </row>
    <row r="95" spans="2:6" ht="16.5" customHeight="1" x14ac:dyDescent="0.3">
      <c r="B95" s="332" t="s">
        <v>87</v>
      </c>
      <c r="C95" s="332"/>
      <c r="D95" s="332"/>
      <c r="E95" s="332"/>
      <c r="F95" s="24">
        <f>SUM(F88:F94)</f>
        <v>0</v>
      </c>
    </row>
    <row r="96" spans="2:6" ht="16.5" customHeight="1" x14ac:dyDescent="0.3">
      <c r="B96" s="332" t="s">
        <v>27</v>
      </c>
      <c r="C96" s="332"/>
      <c r="D96" s="332"/>
      <c r="E96" s="332"/>
      <c r="F96" s="24">
        <f>VALOR_TOTAL_EMPREGADO*EMPREG_POR_POSTO</f>
        <v>0</v>
      </c>
    </row>
    <row r="97" spans="2:6" x14ac:dyDescent="0.3">
      <c r="B97" s="332" t="s">
        <v>299</v>
      </c>
      <c r="C97" s="332"/>
      <c r="D97" s="332"/>
      <c r="E97" s="332"/>
      <c r="F97" s="24">
        <f>VALOR_TOTAL_EMPREGADO*F12</f>
        <v>0</v>
      </c>
    </row>
    <row r="98" spans="2:6" x14ac:dyDescent="0.3">
      <c r="B98" s="332" t="s">
        <v>298</v>
      </c>
      <c r="C98" s="332"/>
      <c r="D98" s="332"/>
      <c r="E98" s="332"/>
      <c r="F98" s="24">
        <f>F97*12</f>
        <v>0</v>
      </c>
    </row>
  </sheetData>
  <sheetProtection algorithmName="SHA-512" hashValue="JFUAmIqlV4zc8FwG6V3UtjxQSHGo7/jCn4InTCXo3NXFCB2et498/ePypsXytOwjsrhWFcPLpSv3f6NxiNFiNA==" saltValue="T0Ly3d1Ehl9/OV9MEu0YfA==" spinCount="100000" sheet="1" objects="1" scenarios="1"/>
  <mergeCells count="87">
    <mergeCell ref="B95:E95"/>
    <mergeCell ref="B96:E96"/>
    <mergeCell ref="B97:E97"/>
    <mergeCell ref="C91:E91"/>
    <mergeCell ref="C92:E92"/>
    <mergeCell ref="C94:E94"/>
    <mergeCell ref="C93:E93"/>
    <mergeCell ref="B85:E85"/>
    <mergeCell ref="C87:E87"/>
    <mergeCell ref="C88:E88"/>
    <mergeCell ref="C89:E89"/>
    <mergeCell ref="C90:E90"/>
    <mergeCell ref="C79:D79"/>
    <mergeCell ref="C80:D80"/>
    <mergeCell ref="C81:D81"/>
    <mergeCell ref="C82:D82"/>
    <mergeCell ref="C74:E74"/>
    <mergeCell ref="B75:E75"/>
    <mergeCell ref="B77:F77"/>
    <mergeCell ref="C78:D78"/>
    <mergeCell ref="C71:E71"/>
    <mergeCell ref="C72:E72"/>
    <mergeCell ref="C59:D59"/>
    <mergeCell ref="C60:D60"/>
    <mergeCell ref="C61:D61"/>
    <mergeCell ref="C62:D62"/>
    <mergeCell ref="C63:D63"/>
    <mergeCell ref="C66:E66"/>
    <mergeCell ref="C83:D83"/>
    <mergeCell ref="C84:D84"/>
    <mergeCell ref="C73:E73"/>
    <mergeCell ref="C58:D58"/>
    <mergeCell ref="C45:E45"/>
    <mergeCell ref="C46:E46"/>
    <mergeCell ref="B47:E47"/>
    <mergeCell ref="C49:D49"/>
    <mergeCell ref="C50:D50"/>
    <mergeCell ref="C51:D51"/>
    <mergeCell ref="C52:D52"/>
    <mergeCell ref="B53:E53"/>
    <mergeCell ref="C57:D57"/>
    <mergeCell ref="B64:E64"/>
    <mergeCell ref="C67:E67"/>
    <mergeCell ref="B68:E68"/>
    <mergeCell ref="C44:E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B41:E41"/>
    <mergeCell ref="C43:E43"/>
    <mergeCell ref="B19:E19"/>
    <mergeCell ref="C21:E21"/>
    <mergeCell ref="C22:E22"/>
    <mergeCell ref="B31:F31"/>
    <mergeCell ref="C23:E23"/>
    <mergeCell ref="B24:E24"/>
    <mergeCell ref="C27:D27"/>
    <mergeCell ref="C28:D28"/>
    <mergeCell ref="C29:D29"/>
    <mergeCell ref="B30:E30"/>
    <mergeCell ref="E14:F14"/>
    <mergeCell ref="D15:F15"/>
    <mergeCell ref="D16:F16"/>
    <mergeCell ref="C17:E17"/>
    <mergeCell ref="B18:F18"/>
    <mergeCell ref="B98:E98"/>
    <mergeCell ref="C10:E10"/>
    <mergeCell ref="B1:F1"/>
    <mergeCell ref="B2:D2"/>
    <mergeCell ref="B3:F3"/>
    <mergeCell ref="B4:F4"/>
    <mergeCell ref="B5:C5"/>
    <mergeCell ref="D5:F5"/>
    <mergeCell ref="B6:C6"/>
    <mergeCell ref="D6:E6"/>
    <mergeCell ref="C12:E12"/>
    <mergeCell ref="C14:D14"/>
    <mergeCell ref="B7:F7"/>
    <mergeCell ref="C8:E8"/>
    <mergeCell ref="D9:F9"/>
    <mergeCell ref="C11:E11"/>
  </mergeCells>
  <phoneticPr fontId="37" type="noConversion"/>
  <printOptions horizontalCentered="1"/>
  <pageMargins left="0.08" right="0.05" top="0.19685039370078741" bottom="0.15748031496062992" header="0.1968503937007874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234</vt:i4>
      </vt:variant>
    </vt:vector>
  </HeadingPairs>
  <TitlesOfParts>
    <vt:vector size="245" baseType="lpstr">
      <vt:lpstr>INSERIR-DADOS-44h</vt:lpstr>
      <vt:lpstr>INSERIR-DADOS- COPEIRA 12x36H</vt:lpstr>
      <vt:lpstr>INSERÇÃO-DADOS-MATERIAIS</vt:lpstr>
      <vt:lpstr>UNIFORMES E AUXÍLIOS</vt:lpstr>
      <vt:lpstr>DADOS-ESTATISTICOS</vt:lpstr>
      <vt:lpstr>ENCARGOS-SOCIAIS-E-TRABALHISTAS</vt:lpstr>
      <vt:lpstr>POSTO 44 HORAS - Encarregado</vt:lpstr>
      <vt:lpstr>POSTO 44 HORAS - Copeira</vt:lpstr>
      <vt:lpstr>POSTO 44 HORAS - GARÇOM</vt:lpstr>
      <vt:lpstr>POSTO 12X36 - Copeira</vt:lpstr>
      <vt:lpstr>Quadro Resumo</vt:lpstr>
      <vt:lpstr>'INSERIR-DADOS- COPEIRA 12x36H'!ACORDO_COLETIVO</vt:lpstr>
      <vt:lpstr>ACORDO_COLETIVO</vt:lpstr>
      <vt:lpstr>'POSTO 12X36 - Copeira'!AL_1_A_SAL_BASE</vt:lpstr>
      <vt:lpstr>'POSTO 44 HORAS - Copeira'!AL_1_A_SAL_BASE</vt:lpstr>
      <vt:lpstr>'POSTO 44 HORAS - Encarregado'!AL_1_A_SAL_BASE</vt:lpstr>
      <vt:lpstr>'POSTO 44 HORAS - GARÇOM'!AL_1_A_SAL_BASE</vt:lpstr>
      <vt:lpstr>'POSTO 12X36 - Copeira'!AL_2_1_A_DEC_TERC</vt:lpstr>
      <vt:lpstr>'POSTO 44 HORAS - Copeira'!AL_2_1_A_DEC_TERC</vt:lpstr>
      <vt:lpstr>'POSTO 44 HORAS - Encarregado'!AL_2_1_A_DEC_TERC</vt:lpstr>
      <vt:lpstr>'POSTO 44 HORAS - GARÇOM'!AL_2_1_A_DEC_TERC</vt:lpstr>
      <vt:lpstr>'POSTO 12X36 - Copeira'!AL_2_1_B_ADIC_FERIAS</vt:lpstr>
      <vt:lpstr>'POSTO 44 HORAS - Copeira'!AL_2_1_B_ADIC_FERIAS</vt:lpstr>
      <vt:lpstr>'POSTO 44 HORAS - Encarregado'!AL_2_1_B_ADIC_FERIAS</vt:lpstr>
      <vt:lpstr>'POSTO 44 HORAS - GARÇOM'!AL_2_1_B_ADIC_FERIAS</vt:lpstr>
      <vt:lpstr>'POSTO 12X36 - Copeira'!AL_2_2_FGTS</vt:lpstr>
      <vt:lpstr>'POSTO 44 HORAS - Copeira'!AL_2_2_FGTS</vt:lpstr>
      <vt:lpstr>'POSTO 44 HORAS - Encarregado'!AL_2_2_FGTS</vt:lpstr>
      <vt:lpstr>'POSTO 44 HORAS - GARÇOM'!AL_2_2_FGTS</vt:lpstr>
      <vt:lpstr>'POSTO 12X36 - Copeira'!AL_2_3_A_TRANSP</vt:lpstr>
      <vt:lpstr>'POSTO 44 HORAS - Copeira'!AL_2_3_A_TRANSP</vt:lpstr>
      <vt:lpstr>'POSTO 44 HORAS - Encarregado'!AL_2_3_A_TRANSP</vt:lpstr>
      <vt:lpstr>'POSTO 44 HORAS - GARÇOM'!AL_2_3_A_TRANSP</vt:lpstr>
      <vt:lpstr>'POSTO 12X36 - Copeira'!AL_2_3_B_AUX_ALIMENT</vt:lpstr>
      <vt:lpstr>'POSTO 44 HORAS - Copeira'!AL_2_3_B_AUX_ALIMENT</vt:lpstr>
      <vt:lpstr>'POSTO 44 HORAS - Encarregado'!AL_2_3_B_AUX_ALIMENT</vt:lpstr>
      <vt:lpstr>'POSTO 44 HORAS - GARÇOM'!AL_2_3_B_AUX_ALIMENT</vt:lpstr>
      <vt:lpstr>'POSTO 12X36 - Copeira'!AL_2_3_C_OUTROS_BENEF</vt:lpstr>
      <vt:lpstr>'POSTO 44 HORAS - Copeira'!AL_2_3_C_OUTROS_BENEF</vt:lpstr>
      <vt:lpstr>'POSTO 44 HORAS - Encarregado'!AL_2_3_C_OUTROS_BENEF</vt:lpstr>
      <vt:lpstr>'POSTO 44 HORAS - GARÇOM'!AL_2_3_C_OUTROS_BENEF</vt:lpstr>
      <vt:lpstr>'POSTO 12X36 - Copeira'!AL_2_A_ATE_2_G_GPS</vt:lpstr>
      <vt:lpstr>'POSTO 44 HORAS - Copeira'!AL_2_A_ATE_2_G_GPS</vt:lpstr>
      <vt:lpstr>'POSTO 44 HORAS - Encarregado'!AL_2_A_ATE_2_G_GPS</vt:lpstr>
      <vt:lpstr>'POSTO 44 HORAS - GARÇOM'!AL_2_A_ATE_2_G_GPS</vt:lpstr>
      <vt:lpstr>'POSTO 12X36 - Copeira'!AL_6_A_CUSTOS_INDIRETOS</vt:lpstr>
      <vt:lpstr>'POSTO 44 HORAS - Copeira'!AL_6_A_CUSTOS_INDIRETOS</vt:lpstr>
      <vt:lpstr>'POSTO 44 HORAS - Encarregado'!AL_6_A_CUSTOS_INDIRETOS</vt:lpstr>
      <vt:lpstr>'POSTO 44 HORAS - GARÇOM'!AL_6_A_CUSTOS_INDIRETOS</vt:lpstr>
      <vt:lpstr>'POSTO 12X36 - Copeira'!AL_6_B_LUCRO</vt:lpstr>
      <vt:lpstr>'POSTO 44 HORAS - Copeira'!AL_6_B_LUCRO</vt:lpstr>
      <vt:lpstr>'POSTO 44 HORAS - Encarregado'!AL_6_B_LUCRO</vt:lpstr>
      <vt:lpstr>'POSTO 44 HORAS - GARÇOM'!AL_6_B_LUCRO</vt:lpstr>
      <vt:lpstr>'POSTO 12X36 - Copeira'!AL_6_C_1_PIS</vt:lpstr>
      <vt:lpstr>'POSTO 44 HORAS - Copeira'!AL_6_C_1_PIS</vt:lpstr>
      <vt:lpstr>'POSTO 44 HORAS - Encarregado'!AL_6_C_1_PIS</vt:lpstr>
      <vt:lpstr>'POSTO 44 HORAS - GARÇOM'!AL_6_C_1_PIS</vt:lpstr>
      <vt:lpstr>'POSTO 12X36 - Copeira'!AL_6_C_2_COFINS</vt:lpstr>
      <vt:lpstr>'POSTO 44 HORAS - Copeira'!AL_6_C_2_COFINS</vt:lpstr>
      <vt:lpstr>'POSTO 44 HORAS - Encarregado'!AL_6_C_2_COFINS</vt:lpstr>
      <vt:lpstr>'POSTO 44 HORAS - GARÇOM'!AL_6_C_2_COFINS</vt:lpstr>
      <vt:lpstr>'POSTO 12X36 - Copeira'!AL_6_C_3_ISS</vt:lpstr>
      <vt:lpstr>'POSTO 44 HORAS - Copeira'!AL_6_C_3_ISS</vt:lpstr>
      <vt:lpstr>'POSTO 44 HORAS - Encarregado'!AL_6_C_3_ISS</vt:lpstr>
      <vt:lpstr>'POSTO 44 HORAS - GARÇOM'!AL_6_C_3_ISS</vt:lpstr>
      <vt:lpstr>'POSTO 12X36 - Copeira'!AL_6_C_TRIBUTOS</vt:lpstr>
      <vt:lpstr>'POSTO 44 HORAS - Copeira'!AL_6_C_TRIBUTOS</vt:lpstr>
      <vt:lpstr>'POSTO 44 HORAS - Encarregado'!AL_6_C_TRIBUTOS</vt:lpstr>
      <vt:lpstr>'POSTO 44 HORAS - GARÇOM'!AL_6_C_TRIBUTOS</vt:lpstr>
      <vt:lpstr>'INSERIR-DADOS- COPEIRA 12x36H'!ALIMENTACAO_POR_DIA</vt:lpstr>
      <vt:lpstr>ALIMENTACAO_POR_DIA</vt:lpstr>
      <vt:lpstr>'INSERIR-DADOS- COPEIRA 12x36H'!CATEGORIA_PROFISSIONAL</vt:lpstr>
      <vt:lpstr>CATEGORIA_PROFISSIONAL</vt:lpstr>
      <vt:lpstr>'INSERIR-DADOS- COPEIRA 12x36H'!CBO</vt:lpstr>
      <vt:lpstr>CBO</vt:lpstr>
      <vt:lpstr>'INSERIR-DADOS- COPEIRA 12x36H'!DATA_APRESENTACAO_PROPOSTA</vt:lpstr>
      <vt:lpstr>DATA_APRESENTACAO_PROPOSTA</vt:lpstr>
      <vt:lpstr>'INSERIR-DADOS- COPEIRA 12x36H'!DATA_BASE_CATEGORIA</vt:lpstr>
      <vt:lpstr>DATA_BASE_CATEGORIA</vt:lpstr>
      <vt:lpstr>'INSERIR-DADOS- COPEIRA 12x36H'!DATA_DO_ORCAMENTO_ESTIMATIVO</vt:lpstr>
      <vt:lpstr>DATA_DO_ORCAMENTO_ESTIMATIVO</vt:lpstr>
      <vt:lpstr>'INSERIR-DADOS- COPEIRA 12x36H'!DATA_LICITACAO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'INSERIR-DADOS- COPEIRA 12x36H'!DIAS_TRABALHADOS_NO_MES</vt:lpstr>
      <vt:lpstr>DIAS_TRABALHADOS_NO_MES</vt:lpstr>
      <vt:lpstr>DIVISOR_DE_HORAS</vt:lpstr>
      <vt:lpstr>EMPREG_POR_POSTO</vt:lpstr>
      <vt:lpstr>HORA_NORMAL</vt:lpstr>
      <vt:lpstr>HORA_NOTURNA</vt:lpstr>
      <vt:lpstr>'INSERIR-DADOS- COPEIRA 12x36H'!HORARIO_LICITACAO</vt:lpstr>
      <vt:lpstr>HORARIO_LICITACAO</vt:lpstr>
      <vt:lpstr>'INSERIR-DADOS- COPEIRA 12x36H'!LOCAL_DE_EXECUCAO</vt:lpstr>
      <vt:lpstr>LOCAL_DE_EXECUCAO</vt:lpstr>
      <vt:lpstr>'INSERIR-DADOS- COPEIRA 12x36H'!MATERIAIS</vt:lpstr>
      <vt:lpstr>MATERIAIS</vt:lpstr>
      <vt:lpstr>MEDIA_ANUAL_DIAS_TRABALHO_MES</vt:lpstr>
      <vt:lpstr>MESES_NO_ANO</vt:lpstr>
      <vt:lpstr>'POSTO 12X36 - Copeira'!MOD_1_REMUNERACAO</vt:lpstr>
      <vt:lpstr>'POSTO 44 HORAS - Copeira'!MOD_1_REMUNERACAO</vt:lpstr>
      <vt:lpstr>'POSTO 44 HORAS - Encarregado'!MOD_1_REMUNERACAO</vt:lpstr>
      <vt:lpstr>'POSTO 44 HORAS - GARÇOM'!MOD_1_REMUNERACAO</vt:lpstr>
      <vt:lpstr>'POSTO 12X36 - Copeira'!MOD_3_PROVISAO_RESCISAO</vt:lpstr>
      <vt:lpstr>'POSTO 44 HORAS - Copeira'!MOD_3_PROVISAO_RESCISAO</vt:lpstr>
      <vt:lpstr>'POSTO 44 HORAS - Encarregado'!MOD_3_PROVISAO_RESCISAO</vt:lpstr>
      <vt:lpstr>'POSTO 44 HORAS - GARÇOM'!MOD_3_PROVISAO_RESCISAO</vt:lpstr>
      <vt:lpstr>'POSTO 12X36 - Copeira'!MOD_5_INSUMOS</vt:lpstr>
      <vt:lpstr>'POSTO 44 HORAS - Copeira'!MOD_5_INSUMOS</vt:lpstr>
      <vt:lpstr>'POSTO 44 HORAS - Encarregado'!MOD_5_INSUMOS</vt:lpstr>
      <vt:lpstr>'POSTO 44 HORAS - GARÇOM'!MOD_5_INSUMOS</vt:lpstr>
      <vt:lpstr>'POSTO 12X36 - Copeira'!MOD_6_CUSTOS_IND_LUCRO_TRIB</vt:lpstr>
      <vt:lpstr>'POSTO 44 HORAS - Copeira'!MOD_6_CUSTOS_IND_LUCRO_TRIB</vt:lpstr>
      <vt:lpstr>'POSTO 44 HORAS - Encarregado'!MOD_6_CUSTOS_IND_LUCRO_TRIB</vt:lpstr>
      <vt:lpstr>'POSTO 44 HORAS - GARÇOM'!MOD_6_CUSTOS_IND_LUCRO_TRIB</vt:lpstr>
      <vt:lpstr>'INSERIR-DADOS- COPEIRA 12x36H'!MODALIDADE_DE_LICITACAO</vt:lpstr>
      <vt:lpstr>MODALIDADE_DE_LICITACAO</vt:lpstr>
      <vt:lpstr>'INSERIR-DADOS- COPEIRA 12x36H'!NUMERO_MESES_EXEC_CONTRATUAL</vt:lpstr>
      <vt:lpstr>NUMERO_MESES_EXEC_CONTRATUAL</vt:lpstr>
      <vt:lpstr>'INSERIR-DADOS- COPEIRA 12x36H'!NUMERO_PREGAO</vt:lpstr>
      <vt:lpstr>NUMERO_PREGAO</vt:lpstr>
      <vt:lpstr>'INSERIR-DADOS- COPEIRA 12x36H'!NUMERO_PROCESSO</vt:lpstr>
      <vt:lpstr>NUMERO_PROCESSO</vt:lpstr>
      <vt:lpstr>OUTRAS_AUSENCIAS</vt:lpstr>
      <vt:lpstr>'INSERIR-DADOS- COPEIRA 12x36H'!OUTRAS_AUSENCIAS_DESCRICAO</vt:lpstr>
      <vt:lpstr>OUTRAS_AUSENCIAS_DESCRICAO</vt:lpstr>
      <vt:lpstr>'INSERIR-DADOS- COPEIRA 12x36H'!OUTROS_BENEFICIOS_1</vt:lpstr>
      <vt:lpstr>OUTROS_BENEFICIOS_1</vt:lpstr>
      <vt:lpstr>'INSERIR-DADOS- COPEIRA 12x36H'!OUTROS_BENEFICIOS_1_DESCRICAO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'INSERIR-DADOS- COPEIRA 12x36H'!OUTROS_INSUMOS</vt:lpstr>
      <vt:lpstr>OUTROS_INSUMOS</vt:lpstr>
      <vt:lpstr>'INSERIR-DADOS- COPEIRA 12x36H'!OUTROS_INSUMOS_DESCRICAO</vt:lpstr>
      <vt:lpstr>OUTROS_INSUMOS_DESCRICAO</vt:lpstr>
      <vt:lpstr>OUTROS_REMUNERACAO_1</vt:lpstr>
      <vt:lpstr>OUTROS_REMUNERACAO_1_DESCRICAO</vt:lpstr>
      <vt:lpstr>'INSERIR-DADOS- COPEIRA 12x36H'!OUTROS_REMUNERACAO_2</vt:lpstr>
      <vt:lpstr>OUTROS_REMUNERACAO_2</vt:lpstr>
      <vt:lpstr>'INSERIR-DADOS- COPEIRA 12x36H'!OUTROS_REMUNERACAO_2_DESCRICAO</vt:lpstr>
      <vt:lpstr>OUTROS_REMUNERACAO_2_DESCRICAO</vt:lpstr>
      <vt:lpstr>PERC_ADIC_FERIAS</vt:lpstr>
      <vt:lpstr>PERC_AVISO_PREVIO_IND</vt:lpstr>
      <vt:lpstr>PERC_AVISO_PREVIO_TRAB</vt:lpstr>
      <vt:lpstr>'INSERIR-DADOS- COPEIRA 12x36H'!PERC_COFINS</vt:lpstr>
      <vt:lpstr>PERC_COFINS</vt:lpstr>
      <vt:lpstr>'INSERIR-DADOS- COPEIRA 12x36H'!PERC_CUSTOS_INDIRETOS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'INSERIR-DADOS- COPEIRA 12x36H'!PERC_HORA_EXTRA</vt:lpstr>
      <vt:lpstr>PERC_HORA_EXTRA</vt:lpstr>
      <vt:lpstr>PERC_INCRA</vt:lpstr>
      <vt:lpstr>PERC_INSS</vt:lpstr>
      <vt:lpstr>'INSERIR-DADOS- COPEIRA 12x36H'!PERC_ISS</vt:lpstr>
      <vt:lpstr>PERC_ISS</vt:lpstr>
      <vt:lpstr>'INSERIR-DADOS- COPEIRA 12x36H'!PERC_LUCRO</vt:lpstr>
      <vt:lpstr>PERC_LUCRO</vt:lpstr>
      <vt:lpstr>'POSTO 12X36 - Copeira'!PERC_MOD_3_PROVISAO_RESCISAO</vt:lpstr>
      <vt:lpstr>'POSTO 44 HORAS - Copeira'!PERC_MOD_3_PROVISAO_RESCISAO</vt:lpstr>
      <vt:lpstr>'POSTO 44 HORAS - Encarregado'!PERC_MOD_3_PROVISAO_RESCISAO</vt:lpstr>
      <vt:lpstr>'POSTO 44 HORAS - GARÇOM'!PERC_MOD_3_PROVISAO_RESCISAO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'INSERIR-DADOS- COPEIRA 12x36H'!PERC_PIS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'INSERIR-DADOS- COPEIRA 12x36H'!PERC_SUBSTITUTO_OUTRAS_AUSENCIAS</vt:lpstr>
      <vt:lpstr>PERC_SUBSTITUTO_OUTRAS_AUSENCIAS</vt:lpstr>
      <vt:lpstr>'POSTO 12X36 - Copeira'!PERC_TRIBUTOS</vt:lpstr>
      <vt:lpstr>'POSTO 44 HORAS - Copeira'!PERC_TRIBUTOS</vt:lpstr>
      <vt:lpstr>'POSTO 44 HORAS - Encarregado'!PERC_TRIBUTOS</vt:lpstr>
      <vt:lpstr>'POSTO 44 HORAS - GARÇOM'!PERC_TRIBUTOS</vt:lpstr>
      <vt:lpstr>'POSTO 12X36 - Copeira'!QTDE_POSTOS</vt:lpstr>
      <vt:lpstr>'POSTO 44 HORAS - Copeira'!QTDE_POSTOS</vt:lpstr>
      <vt:lpstr>'POSTO 44 HORAS - Encarregado'!QTDE_POSTOS</vt:lpstr>
      <vt:lpstr>'POSTO 44 HORAS - GARÇOM'!QTDE_POSTOS</vt:lpstr>
      <vt:lpstr>'INSERIR-DADOS- COPEIRA 12x36H'!RAMO</vt:lpstr>
      <vt:lpstr>RAMO</vt:lpstr>
      <vt:lpstr>'INSERIR-DADOS- COPEIRA 12x36H'!SAL_MINIMO</vt:lpstr>
      <vt:lpstr>SAL_MINIMO</vt:lpstr>
      <vt:lpstr>SALARIO_BASE</vt:lpstr>
      <vt:lpstr>'POSTO 12X36 - Copeira'!SUBMOD_2_1_DEC_TERC_ADIC_FERIAS</vt:lpstr>
      <vt:lpstr>'POSTO 44 HORAS - Copeira'!SUBMOD_2_1_DEC_TERC_ADIC_FERIAS</vt:lpstr>
      <vt:lpstr>'POSTO 44 HORAS - Encarregado'!SUBMOD_2_1_DEC_TERC_ADIC_FERIAS</vt:lpstr>
      <vt:lpstr>'POSTO 44 HORAS - GARÇOM'!SUBMOD_2_1_DEC_TERC_ADIC_FERIAS</vt:lpstr>
      <vt:lpstr>'POSTO 12X36 - Copeira'!SUBMOD_2_2_GPS_FGTS</vt:lpstr>
      <vt:lpstr>'POSTO 44 HORAS - Copeira'!SUBMOD_2_2_GPS_FGTS</vt:lpstr>
      <vt:lpstr>'POSTO 44 HORAS - Encarregado'!SUBMOD_2_2_GPS_FGTS</vt:lpstr>
      <vt:lpstr>'POSTO 44 HORAS - GARÇOM'!SUBMOD_2_2_GPS_FGTS</vt:lpstr>
      <vt:lpstr>'POSTO 12X36 - Copeira'!SUBMOD_2_3_BENEFICIOS</vt:lpstr>
      <vt:lpstr>'POSTO 44 HORAS - Copeira'!SUBMOD_2_3_BENEFICIOS</vt:lpstr>
      <vt:lpstr>'POSTO 44 HORAS - Encarregado'!SUBMOD_2_3_BENEFICIOS</vt:lpstr>
      <vt:lpstr>'POSTO 44 HORAS - GARÇOM'!SUBMOD_2_3_BENEFICIOS</vt:lpstr>
      <vt:lpstr>'POSTO 12X36 - Copeira'!SUBMOD_4_1_SUBSTITUTO</vt:lpstr>
      <vt:lpstr>'POSTO 44 HORAS - Copeira'!SUBMOD_4_1_SUBSTITUTO</vt:lpstr>
      <vt:lpstr>'POSTO 44 HORAS - Encarregado'!SUBMOD_4_1_SUBSTITUTO</vt:lpstr>
      <vt:lpstr>'POSTO 44 HORAS - GARÇOM'!SUBMOD_4_1_SUBSTITUTO</vt:lpstr>
      <vt:lpstr>'POSTO 12X36 - Copeira'!SUBMOD_4_2_INTRAJORNADA</vt:lpstr>
      <vt:lpstr>'POSTO 44 HORAS - Copeira'!SUBMOD_4_2_INTRAJORNADA</vt:lpstr>
      <vt:lpstr>'POSTO 44 HORAS - Encarregado'!SUBMOD_4_2_INTRAJORNADA</vt:lpstr>
      <vt:lpstr>'POSTO 44 HORAS - GARÇOM'!SUBMOD_4_2_INTRAJORNADA</vt:lpstr>
      <vt:lpstr>'INSERIR-DADOS- COPEIRA 12x36H'!TEMPO_INTERVALO_REFEICAO</vt:lpstr>
      <vt:lpstr>TEMPO_INTERVALO_REFEICAO</vt:lpstr>
      <vt:lpstr>TIPO_DE_SERVICO</vt:lpstr>
      <vt:lpstr>'INSERIR-DADOS- COPEIRA 12x36H'!TRANSPORTE_POR_DIA</vt:lpstr>
      <vt:lpstr>TRANSPORTE_POR_DIA</vt:lpstr>
      <vt:lpstr>'INSERIR-DADOS- COPEIRA 12x36H'!UG</vt:lpstr>
      <vt:lpstr>UG</vt:lpstr>
      <vt:lpstr>'INSERIR-DADOS- COPEIRA 12x36H'!UNIFORMES</vt:lpstr>
      <vt:lpstr>UNIFORMES</vt:lpstr>
      <vt:lpstr>'POSTO 12X36 - Copeira'!VALOR_TOTAL_EMPREGADO</vt:lpstr>
      <vt:lpstr>'POSTO 44 HORAS - Copeira'!VALOR_TOTAL_EMPREGADO</vt:lpstr>
      <vt:lpstr>'POSTO 44 HORAS - Encarregado'!VALOR_TOTAL_EMPREGADO</vt:lpstr>
      <vt:lpstr>'POSTO 44 HORAS - GARÇOM'!VALOR_TOTAL_EMPREGADO</vt:lpstr>
      <vt:lpstr>'POSTO 12X36 - Copeira'!VALOR_TOTAL_POSTO</vt:lpstr>
      <vt:lpstr>'POSTO 44 HORAS - Copeira'!VALOR_TOTAL_POSTO</vt:lpstr>
      <vt:lpstr>'POSTO 44 HORAS - Encarregado'!VALOR_TOTAL_POSTO</vt:lpstr>
      <vt:lpstr>'POSTO 44 HORAS - GARÇOM'!VALOR_TOTAL_POSTO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Cristiano Costa Magalhaes</cp:lastModifiedBy>
  <cp:lastPrinted>2019-08-28T14:06:04Z</cp:lastPrinted>
  <dcterms:created xsi:type="dcterms:W3CDTF">2014-02-07T18:14:59Z</dcterms:created>
  <dcterms:modified xsi:type="dcterms:W3CDTF">2021-08-18T17:11:31Z</dcterms:modified>
</cp:coreProperties>
</file>