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20" windowWidth="20730" windowHeight="11160" tabRatio="896" activeTab="1"/>
  </bookViews>
  <sheets>
    <sheet name="Instruções de Preenchimeto" sheetId="11" r:id="rId1"/>
    <sheet name="Resumo" sheetId="2" r:id="rId2"/>
    <sheet name="Orçamento Sintético" sheetId="1" r:id="rId3"/>
    <sheet name="Orçamento Analítico" sheetId="3" r:id="rId4"/>
    <sheet name="Insumos e Serviços" sheetId="9" r:id="rId5"/>
    <sheet name="Composição de BDI" sheetId="6" r:id="rId6"/>
    <sheet name="Enc. Sociais" sheetId="7" r:id="rId7"/>
    <sheet name="Cronograma" sheetId="10" r:id="rId8"/>
  </sheets>
  <definedNames>
    <definedName name="_xlnm.Print_Area" localSheetId="5">'Composição de BDI'!$A$1:$D$23</definedName>
    <definedName name="_xlnm.Print_Area" localSheetId="7">Cronograma!$A$1:$F$391</definedName>
    <definedName name="_xlnm.Print_Area" localSheetId="6">'Enc. Sociais'!$A$1:$D$44</definedName>
    <definedName name="_xlnm.Print_Area" localSheetId="4">'Insumos e Serviços'!$A$1:$H$210</definedName>
    <definedName name="_xlnm.Print_Area" localSheetId="3">'Orçamento Analítico'!$A$1:$H$367</definedName>
    <definedName name="_xlnm.Print_Area" localSheetId="2">'Orçamento Sintético'!$A$1:$H$200</definedName>
    <definedName name="_xlnm.Print_Area" localSheetId="1">Resumo!$A$1:$D$20</definedName>
    <definedName name="_xlnm.Print_Titles" localSheetId="7">Cronograma!$1:$8</definedName>
    <definedName name="_xlnm.Print_Titles" localSheetId="4">'Insumos e Serviços'!$1:$8</definedName>
    <definedName name="_xlnm.Print_Titles" localSheetId="3">'Orçamento Analítico'!$1:$8</definedName>
    <definedName name="_xlnm.Print_Titles" localSheetId="2">'Orçamento Sintético'!$1:$8</definedName>
  </definedNames>
  <calcPr calcId="101716" fullCalcOnLoad="1"/>
</workbook>
</file>

<file path=xl/calcChain.xml><?xml version="1.0" encoding="utf-8"?>
<calcChain xmlns="http://schemas.openxmlformats.org/spreadsheetml/2006/main">
  <c r="C6" i="10"/>
  <c r="B6"/>
  <c r="A6"/>
  <c r="C5"/>
  <c r="B5"/>
  <c r="A5"/>
  <c r="C4"/>
  <c r="B4"/>
  <c r="A4"/>
  <c r="C3"/>
  <c r="B3"/>
  <c r="A3"/>
  <c r="C2"/>
  <c r="B2"/>
  <c r="A2"/>
  <c r="C1"/>
  <c r="B1"/>
  <c r="A1"/>
  <c r="D6" i="7"/>
  <c r="C6"/>
  <c r="A6"/>
  <c r="D5"/>
  <c r="C5"/>
  <c r="A5"/>
  <c r="D4"/>
  <c r="C4"/>
  <c r="A4"/>
  <c r="D3"/>
  <c r="C3"/>
  <c r="A3"/>
  <c r="D2"/>
  <c r="C2"/>
  <c r="A2"/>
  <c r="D1"/>
  <c r="C1"/>
  <c r="A1"/>
  <c r="D6" i="6"/>
  <c r="C6"/>
  <c r="A6"/>
  <c r="D5"/>
  <c r="C5"/>
  <c r="A5"/>
  <c r="D4"/>
  <c r="C4"/>
  <c r="A4"/>
  <c r="D3"/>
  <c r="C3"/>
  <c r="A3"/>
  <c r="D2"/>
  <c r="C2"/>
  <c r="A2"/>
  <c r="D1"/>
  <c r="C1"/>
  <c r="A1"/>
  <c r="C19" i="2"/>
  <c r="B6"/>
  <c r="B3"/>
  <c r="D21" i="6"/>
  <c r="E6" i="9"/>
  <c r="E5"/>
  <c r="E4"/>
  <c r="E3"/>
  <c r="E2"/>
  <c r="E1"/>
  <c r="D2"/>
  <c r="D1"/>
  <c r="C6"/>
  <c r="C5"/>
  <c r="C4"/>
  <c r="C3"/>
  <c r="C2"/>
  <c r="C1"/>
  <c r="A6"/>
  <c r="A5"/>
  <c r="A4"/>
  <c r="A3"/>
  <c r="A2"/>
  <c r="A1"/>
  <c r="E6" i="3"/>
  <c r="E5"/>
  <c r="E4"/>
  <c r="E3"/>
  <c r="E2"/>
  <c r="E1"/>
  <c r="D2"/>
  <c r="D1"/>
  <c r="C6"/>
  <c r="C5"/>
  <c r="C4"/>
  <c r="B4" i="2"/>
  <c r="C3" i="3"/>
  <c r="C2"/>
  <c r="C1"/>
  <c r="A6"/>
  <c r="A5"/>
  <c r="A4"/>
  <c r="A3"/>
  <c r="A2"/>
  <c r="A1"/>
  <c r="B5" i="2"/>
  <c r="B1"/>
  <c r="B2"/>
  <c r="C6"/>
  <c r="C4"/>
  <c r="C5"/>
  <c r="C3"/>
  <c r="C1"/>
  <c r="C2"/>
  <c r="A6"/>
  <c r="A5"/>
  <c r="A4"/>
  <c r="A3"/>
  <c r="A2"/>
  <c r="A1"/>
  <c r="B379" i="10"/>
  <c r="B377"/>
  <c r="B375"/>
  <c r="B365"/>
  <c r="B363"/>
  <c r="B361"/>
  <c r="B359"/>
  <c r="B357"/>
  <c r="B339"/>
  <c r="B347"/>
  <c r="B345"/>
  <c r="B337"/>
  <c r="B335"/>
  <c r="B333"/>
  <c r="B331"/>
  <c r="B329"/>
  <c r="B327"/>
  <c r="B323"/>
  <c r="B321"/>
  <c r="B319"/>
  <c r="B313"/>
  <c r="B307"/>
  <c r="B305"/>
  <c r="B303"/>
  <c r="B301"/>
  <c r="B299"/>
  <c r="B297"/>
  <c r="B295"/>
  <c r="B293"/>
  <c r="B291"/>
  <c r="B289"/>
  <c r="B287"/>
  <c r="B285"/>
  <c r="B283"/>
  <c r="B281"/>
  <c r="B279"/>
  <c r="B277"/>
  <c r="B275"/>
  <c r="B273"/>
  <c r="B267"/>
  <c r="B263"/>
  <c r="B165"/>
  <c r="B253"/>
  <c r="B255"/>
  <c r="B257"/>
  <c r="B259"/>
  <c r="B261"/>
  <c r="B243"/>
  <c r="B189"/>
  <c r="B11"/>
  <c r="B13"/>
  <c r="B15"/>
  <c r="B23"/>
  <c r="B43"/>
  <c r="B67"/>
  <c r="B129"/>
  <c r="B107"/>
  <c r="B91"/>
  <c r="B163"/>
  <c r="B161"/>
  <c r="B159"/>
  <c r="B153"/>
  <c r="B127"/>
  <c r="B125"/>
  <c r="B89"/>
  <c r="B123"/>
  <c r="B121"/>
  <c r="B117"/>
  <c r="B115"/>
  <c r="B113"/>
  <c r="B111"/>
  <c r="B109"/>
  <c r="B85"/>
  <c r="B79"/>
  <c r="B77"/>
  <c r="B75"/>
  <c r="B71"/>
  <c r="B69"/>
  <c r="B61"/>
  <c r="B47"/>
  <c r="B45"/>
  <c r="B41"/>
  <c r="B37"/>
  <c r="B35"/>
  <c r="B33"/>
  <c r="B29"/>
  <c r="B25"/>
  <c r="B21"/>
  <c r="A367" i="3"/>
  <c r="A12"/>
  <c r="A21"/>
  <c r="A34"/>
  <c r="A47"/>
  <c r="A51"/>
  <c r="A60"/>
  <c r="A64"/>
  <c r="A68"/>
  <c r="A78"/>
  <c r="A82"/>
  <c r="A88"/>
  <c r="A94"/>
  <c r="A98"/>
  <c r="A104"/>
  <c r="A110"/>
  <c r="A118"/>
  <c r="A127"/>
  <c r="A133"/>
  <c r="A139"/>
  <c r="A145"/>
  <c r="A152"/>
  <c r="A156"/>
  <c r="A162"/>
  <c r="A168"/>
  <c r="A172"/>
  <c r="A178"/>
  <c r="A184"/>
  <c r="A188"/>
  <c r="A194"/>
  <c r="A200"/>
  <c r="A207"/>
  <c r="A213"/>
  <c r="A220"/>
  <c r="A226"/>
  <c r="A232"/>
  <c r="A238"/>
  <c r="A244"/>
  <c r="A248"/>
  <c r="A256"/>
  <c r="A260"/>
  <c r="A266"/>
  <c r="A272"/>
  <c r="A278"/>
  <c r="A284"/>
  <c r="A290"/>
  <c r="A296"/>
  <c r="A304"/>
  <c r="A310"/>
  <c r="A316"/>
  <c r="A322"/>
  <c r="A333"/>
  <c r="A340"/>
  <c r="A346"/>
  <c r="A354"/>
  <c r="A364"/>
  <c r="A18"/>
  <c r="A26"/>
  <c r="A39"/>
  <c r="A48"/>
  <c r="A52"/>
  <c r="A61"/>
  <c r="A65"/>
  <c r="A69"/>
  <c r="A79"/>
  <c r="A83"/>
  <c r="A89"/>
  <c r="A95"/>
  <c r="A101"/>
  <c r="A107"/>
  <c r="A113"/>
  <c r="A119"/>
  <c r="A128"/>
  <c r="A134"/>
  <c r="A140"/>
  <c r="A146"/>
  <c r="A153"/>
  <c r="A159"/>
  <c r="A163"/>
  <c r="A169"/>
  <c r="A175"/>
  <c r="A179"/>
  <c r="A185"/>
  <c r="A191"/>
  <c r="A197"/>
  <c r="A201"/>
  <c r="A208"/>
  <c r="A217"/>
  <c r="A221"/>
  <c r="A227"/>
  <c r="A233"/>
  <c r="A239"/>
  <c r="A245"/>
  <c r="A251"/>
  <c r="A257"/>
  <c r="A261"/>
  <c r="A267"/>
  <c r="A273"/>
  <c r="A279"/>
  <c r="A285"/>
  <c r="A291"/>
  <c r="A297"/>
  <c r="A305"/>
  <c r="A311"/>
  <c r="A317"/>
  <c r="A325"/>
  <c r="A334"/>
  <c r="A341"/>
  <c r="A347"/>
  <c r="A355"/>
  <c r="A365"/>
  <c r="A19"/>
  <c r="A29"/>
  <c r="A40"/>
  <c r="A49"/>
  <c r="A58"/>
  <c r="A62"/>
  <c r="A66"/>
  <c r="A70"/>
  <c r="A80"/>
  <c r="A86"/>
  <c r="A90"/>
  <c r="A96"/>
  <c r="A102"/>
  <c r="A108"/>
  <c r="A114"/>
  <c r="A125"/>
  <c r="A131"/>
  <c r="A135"/>
  <c r="A141"/>
  <c r="A147"/>
  <c r="A154"/>
  <c r="A160"/>
  <c r="A164"/>
  <c r="A170"/>
  <c r="A176"/>
  <c r="A180"/>
  <c r="A186"/>
  <c r="A192"/>
  <c r="A198"/>
  <c r="A202"/>
  <c r="A209"/>
  <c r="A218"/>
  <c r="A224"/>
  <c r="A230"/>
  <c r="A234"/>
  <c r="A240"/>
  <c r="A246"/>
  <c r="A252"/>
  <c r="A258"/>
  <c r="A264"/>
  <c r="A268"/>
  <c r="A274"/>
  <c r="A282"/>
  <c r="A286"/>
  <c r="A294"/>
  <c r="A298"/>
  <c r="A308"/>
  <c r="A312"/>
  <c r="A320"/>
  <c r="A326"/>
  <c r="A338"/>
  <c r="A344"/>
  <c r="A350"/>
  <c r="A360"/>
  <c r="A366"/>
  <c r="A20"/>
  <c r="A30"/>
  <c r="A46"/>
  <c r="A50"/>
  <c r="A59"/>
  <c r="A63"/>
  <c r="A67"/>
  <c r="A74"/>
  <c r="A81"/>
  <c r="A87"/>
  <c r="A91"/>
  <c r="A97"/>
  <c r="A103"/>
  <c r="A109"/>
  <c r="A117"/>
  <c r="A126"/>
  <c r="A132"/>
  <c r="A138"/>
  <c r="A142"/>
  <c r="A151"/>
  <c r="A155"/>
  <c r="A161"/>
  <c r="A167"/>
  <c r="A171"/>
  <c r="A177"/>
  <c r="A183"/>
  <c r="A187"/>
  <c r="A193"/>
  <c r="A199"/>
  <c r="A206"/>
  <c r="A212"/>
  <c r="A219"/>
  <c r="A225"/>
  <c r="A231"/>
  <c r="A235"/>
  <c r="A243"/>
  <c r="A247"/>
  <c r="A253"/>
  <c r="A259"/>
  <c r="A265"/>
  <c r="A269"/>
  <c r="A277"/>
  <c r="A283"/>
  <c r="A289"/>
  <c r="A295"/>
  <c r="A303"/>
  <c r="A309"/>
  <c r="A315"/>
  <c r="A321"/>
  <c r="A332"/>
  <c r="A339"/>
  <c r="A345"/>
  <c r="A351"/>
  <c r="A361"/>
  <c r="B19" i="10"/>
  <c r="B17"/>
  <c r="B9"/>
  <c r="B198" i="1"/>
  <c r="G34" i="3"/>
  <c r="H34"/>
  <c r="H33"/>
  <c r="E34"/>
  <c r="D34"/>
  <c r="C34"/>
  <c r="G196" i="1"/>
  <c r="H196"/>
  <c r="C384" i="10"/>
  <c r="G195" i="1"/>
  <c r="H195"/>
  <c r="C382" i="10"/>
  <c r="G191" i="1"/>
  <c r="H191"/>
  <c r="C374" i="10"/>
  <c r="G190" i="1"/>
  <c r="H190"/>
  <c r="C372" i="10"/>
  <c r="G189" i="1"/>
  <c r="H189"/>
  <c r="C370" i="10"/>
  <c r="G188" i="1"/>
  <c r="H188"/>
  <c r="C368" i="10"/>
  <c r="G182" i="1"/>
  <c r="H182"/>
  <c r="C356" i="10"/>
  <c r="G181" i="1"/>
  <c r="H181"/>
  <c r="C354" i="10"/>
  <c r="G180" i="1"/>
  <c r="H180"/>
  <c r="C352" i="10"/>
  <c r="G179" i="1"/>
  <c r="H179"/>
  <c r="C350" i="10"/>
  <c r="G176" i="1"/>
  <c r="H176"/>
  <c r="C344" i="10"/>
  <c r="G175" i="1"/>
  <c r="H175"/>
  <c r="C342" i="10"/>
  <c r="G160" i="1"/>
  <c r="H160"/>
  <c r="C312" i="10"/>
  <c r="G159" i="1"/>
  <c r="H159"/>
  <c r="C310" i="10"/>
  <c r="G167" i="1"/>
  <c r="H167"/>
  <c r="C326" i="10"/>
  <c r="G163" i="1"/>
  <c r="H163"/>
  <c r="C318" i="10"/>
  <c r="G162" i="1"/>
  <c r="H162"/>
  <c r="C316" i="10"/>
  <c r="G140" i="1"/>
  <c r="H140"/>
  <c r="C272" i="10"/>
  <c r="G139" i="1"/>
  <c r="H139"/>
  <c r="C270" i="10"/>
  <c r="G137" i="1"/>
  <c r="H137"/>
  <c r="G130"/>
  <c r="H130"/>
  <c r="C252" i="10"/>
  <c r="G129" i="1"/>
  <c r="H129"/>
  <c r="C250" i="10"/>
  <c r="G128" i="1"/>
  <c r="H128"/>
  <c r="C248" i="10"/>
  <c r="G127" i="1"/>
  <c r="H127"/>
  <c r="C246" i="10"/>
  <c r="G125" i="1"/>
  <c r="H125"/>
  <c r="C242" i="10"/>
  <c r="G124" i="1"/>
  <c r="H124"/>
  <c r="C240" i="10"/>
  <c r="G123" i="1"/>
  <c r="H123"/>
  <c r="C238" i="10"/>
  <c r="G122" i="1"/>
  <c r="H122"/>
  <c r="C236" i="10"/>
  <c r="G121" i="1"/>
  <c r="H121"/>
  <c r="C234" i="10"/>
  <c r="G120" i="1"/>
  <c r="H120"/>
  <c r="C232" i="10"/>
  <c r="G119" i="1"/>
  <c r="H119"/>
  <c r="C230" i="10"/>
  <c r="G118" i="1"/>
  <c r="H118"/>
  <c r="C228" i="10"/>
  <c r="G117" i="1"/>
  <c r="H117"/>
  <c r="C226" i="10"/>
  <c r="G116" i="1"/>
  <c r="H116"/>
  <c r="C224" i="10"/>
  <c r="G115" i="1"/>
  <c r="H115"/>
  <c r="C222" i="10"/>
  <c r="G114" i="1"/>
  <c r="H114"/>
  <c r="C220" i="10"/>
  <c r="G113" i="1"/>
  <c r="H113"/>
  <c r="C218" i="10"/>
  <c r="G112" i="1"/>
  <c r="H112"/>
  <c r="C216" i="10"/>
  <c r="G111" i="1"/>
  <c r="H111"/>
  <c r="C214" i="10"/>
  <c r="G110" i="1"/>
  <c r="H110"/>
  <c r="C212" i="10"/>
  <c r="G109" i="1"/>
  <c r="H109"/>
  <c r="C210" i="10"/>
  <c r="G108" i="1"/>
  <c r="H108"/>
  <c r="C208" i="10"/>
  <c r="G107" i="1"/>
  <c r="H107"/>
  <c r="C206" i="10"/>
  <c r="G106" i="1"/>
  <c r="H106"/>
  <c r="C204" i="10"/>
  <c r="G105" i="1"/>
  <c r="H105"/>
  <c r="C202" i="10"/>
  <c r="G104" i="1"/>
  <c r="H104"/>
  <c r="C200" i="10"/>
  <c r="G103" i="1"/>
  <c r="H103"/>
  <c r="C198" i="10"/>
  <c r="G102" i="1"/>
  <c r="H102"/>
  <c r="C196" i="10"/>
  <c r="G101" i="1"/>
  <c r="H101"/>
  <c r="C194" i="10"/>
  <c r="G100" i="1"/>
  <c r="H100"/>
  <c r="C192" i="10"/>
  <c r="G98" i="1"/>
  <c r="H98"/>
  <c r="C188" i="10"/>
  <c r="G97" i="1"/>
  <c r="H97"/>
  <c r="C186" i="10"/>
  <c r="G96" i="1"/>
  <c r="H96"/>
  <c r="C184" i="10"/>
  <c r="G95" i="1"/>
  <c r="H95"/>
  <c r="C182" i="10"/>
  <c r="G94" i="1"/>
  <c r="H94"/>
  <c r="C180" i="10"/>
  <c r="G93" i="1"/>
  <c r="H93"/>
  <c r="C178" i="10"/>
  <c r="G92" i="1"/>
  <c r="H92"/>
  <c r="C176" i="10"/>
  <c r="D176"/>
  <c r="G91" i="1"/>
  <c r="H91"/>
  <c r="C174" i="10"/>
  <c r="G90" i="1"/>
  <c r="H90"/>
  <c r="C172" i="10"/>
  <c r="G89" i="1"/>
  <c r="H89"/>
  <c r="C170" i="10"/>
  <c r="G88" i="1"/>
  <c r="H88"/>
  <c r="C168" i="10"/>
  <c r="G83" i="1"/>
  <c r="H83"/>
  <c r="C158" i="10"/>
  <c r="G82" i="1"/>
  <c r="H82"/>
  <c r="C156" i="10"/>
  <c r="G80" i="1"/>
  <c r="H80"/>
  <c r="C152" i="10"/>
  <c r="G79" i="1"/>
  <c r="H79"/>
  <c r="C150" i="10"/>
  <c r="G78" i="1"/>
  <c r="H78"/>
  <c r="C148" i="10"/>
  <c r="G77" i="1"/>
  <c r="H77"/>
  <c r="C146" i="10"/>
  <c r="G76" i="1"/>
  <c r="H76"/>
  <c r="C144" i="10"/>
  <c r="G75" i="1"/>
  <c r="H75"/>
  <c r="C142" i="10"/>
  <c r="G74" i="1"/>
  <c r="H74"/>
  <c r="C140" i="10"/>
  <c r="G73" i="1"/>
  <c r="H73"/>
  <c r="C138" i="10"/>
  <c r="G72" i="1"/>
  <c r="H72"/>
  <c r="C136" i="10"/>
  <c r="G71" i="1"/>
  <c r="H71"/>
  <c r="C134" i="10"/>
  <c r="G70" i="1"/>
  <c r="H70"/>
  <c r="C132" i="10"/>
  <c r="G64" i="1"/>
  <c r="H64"/>
  <c r="C120" i="10"/>
  <c r="G57" i="1"/>
  <c r="H57"/>
  <c r="C106" i="10"/>
  <c r="G56" i="1"/>
  <c r="H56"/>
  <c r="C104" i="10"/>
  <c r="G55" i="1"/>
  <c r="H55"/>
  <c r="C102" i="10"/>
  <c r="G54" i="1"/>
  <c r="H54"/>
  <c r="C100" i="10"/>
  <c r="G53" i="1"/>
  <c r="H53"/>
  <c r="C98" i="10"/>
  <c r="G52" i="1"/>
  <c r="H52"/>
  <c r="C96" i="10"/>
  <c r="G51" i="1"/>
  <c r="H51"/>
  <c r="C94" i="10"/>
  <c r="G48" i="1"/>
  <c r="H48"/>
  <c r="C88" i="10"/>
  <c r="G46" i="1"/>
  <c r="H46"/>
  <c r="C84" i="10"/>
  <c r="G45" i="1"/>
  <c r="H45"/>
  <c r="C82" i="10"/>
  <c r="G41" i="1"/>
  <c r="H41"/>
  <c r="G37"/>
  <c r="H37"/>
  <c r="C66" i="10"/>
  <c r="G36" i="1"/>
  <c r="H36"/>
  <c r="C64" i="10"/>
  <c r="G34" i="1"/>
  <c r="H34"/>
  <c r="C60" i="10"/>
  <c r="G33" i="1"/>
  <c r="H33"/>
  <c r="C58" i="10"/>
  <c r="G32" i="1"/>
  <c r="H32"/>
  <c r="C56" i="10"/>
  <c r="G31" i="1"/>
  <c r="H31"/>
  <c r="C54" i="10"/>
  <c r="G30" i="1"/>
  <c r="H30"/>
  <c r="C52" i="10"/>
  <c r="G29" i="1"/>
  <c r="H29"/>
  <c r="C50" i="10"/>
  <c r="G24" i="1"/>
  <c r="H24"/>
  <c r="C40" i="10"/>
  <c r="G20" i="1"/>
  <c r="H20"/>
  <c r="C32" i="10"/>
  <c r="E56"/>
  <c r="D56"/>
  <c r="E172"/>
  <c r="D172"/>
  <c r="D54"/>
  <c r="E54"/>
  <c r="E64"/>
  <c r="D64"/>
  <c r="E84"/>
  <c r="D84"/>
  <c r="E98"/>
  <c r="D98"/>
  <c r="D106"/>
  <c r="E106"/>
  <c r="D136"/>
  <c r="E136"/>
  <c r="D144"/>
  <c r="E144"/>
  <c r="D152"/>
  <c r="E152"/>
  <c r="D170"/>
  <c r="E170"/>
  <c r="D178"/>
  <c r="E178"/>
  <c r="D186"/>
  <c r="E186"/>
  <c r="E196"/>
  <c r="D196"/>
  <c r="E204"/>
  <c r="D204"/>
  <c r="E212"/>
  <c r="D212"/>
  <c r="E220"/>
  <c r="D220"/>
  <c r="E228"/>
  <c r="D228"/>
  <c r="E236"/>
  <c r="D236"/>
  <c r="D246"/>
  <c r="E246"/>
  <c r="H136" i="1"/>
  <c r="C264" i="10"/>
  <c r="C266"/>
  <c r="D318"/>
  <c r="E318"/>
  <c r="D342"/>
  <c r="E342"/>
  <c r="E354"/>
  <c r="D354"/>
  <c r="D372"/>
  <c r="E372"/>
  <c r="E88"/>
  <c r="D88"/>
  <c r="D146"/>
  <c r="E146"/>
  <c r="E188"/>
  <c r="D188"/>
  <c r="D214"/>
  <c r="E214"/>
  <c r="D238"/>
  <c r="E238"/>
  <c r="D248"/>
  <c r="E248"/>
  <c r="D270"/>
  <c r="E270"/>
  <c r="E344"/>
  <c r="D344"/>
  <c r="E356"/>
  <c r="D356"/>
  <c r="E374"/>
  <c r="D374"/>
  <c r="D100"/>
  <c r="E100"/>
  <c r="E198"/>
  <c r="D198"/>
  <c r="E222"/>
  <c r="D222"/>
  <c r="D230"/>
  <c r="E230"/>
  <c r="D50"/>
  <c r="E50"/>
  <c r="D58"/>
  <c r="E58"/>
  <c r="H40" i="1"/>
  <c r="C72" i="10"/>
  <c r="C74"/>
  <c r="D94"/>
  <c r="E94"/>
  <c r="D102"/>
  <c r="E102"/>
  <c r="E132"/>
  <c r="D132"/>
  <c r="E140"/>
  <c r="D140"/>
  <c r="E148"/>
  <c r="D148"/>
  <c r="D174"/>
  <c r="E174"/>
  <c r="D182"/>
  <c r="E182"/>
  <c r="D192"/>
  <c r="E192"/>
  <c r="E200"/>
  <c r="D200"/>
  <c r="E208"/>
  <c r="D208"/>
  <c r="E216"/>
  <c r="D216"/>
  <c r="E224"/>
  <c r="D224"/>
  <c r="D232"/>
  <c r="E232"/>
  <c r="D240"/>
  <c r="E240"/>
  <c r="D250"/>
  <c r="E250"/>
  <c r="D272"/>
  <c r="E272"/>
  <c r="D310"/>
  <c r="E310"/>
  <c r="D350"/>
  <c r="E350"/>
  <c r="E368"/>
  <c r="D368"/>
  <c r="E382"/>
  <c r="D382"/>
  <c r="D66"/>
  <c r="E66"/>
  <c r="D138"/>
  <c r="E138"/>
  <c r="E180"/>
  <c r="D180"/>
  <c r="D206"/>
  <c r="E206"/>
  <c r="E52"/>
  <c r="D52"/>
  <c r="E60"/>
  <c r="D60"/>
  <c r="E82"/>
  <c r="D82"/>
  <c r="D80"/>
  <c r="E96"/>
  <c r="D96"/>
  <c r="E104"/>
  <c r="D104"/>
  <c r="D134"/>
  <c r="E134"/>
  <c r="D142"/>
  <c r="E142"/>
  <c r="D150"/>
  <c r="E150"/>
  <c r="E168"/>
  <c r="D168"/>
  <c r="E176"/>
  <c r="E184"/>
  <c r="D184"/>
  <c r="D194"/>
  <c r="E194"/>
  <c r="D202"/>
  <c r="E202"/>
  <c r="D210"/>
  <c r="E210"/>
  <c r="D218"/>
  <c r="E218"/>
  <c r="D226"/>
  <c r="E226"/>
  <c r="E234"/>
  <c r="D234"/>
  <c r="D242"/>
  <c r="E242"/>
  <c r="D252"/>
  <c r="E252"/>
  <c r="D316"/>
  <c r="E316"/>
  <c r="D312"/>
  <c r="E312"/>
  <c r="E352"/>
  <c r="D352"/>
  <c r="D370"/>
  <c r="E370"/>
  <c r="D384"/>
  <c r="E384"/>
  <c r="D32"/>
  <c r="E32"/>
  <c r="E40"/>
  <c r="D40"/>
  <c r="D156"/>
  <c r="E156"/>
  <c r="E158"/>
  <c r="D158"/>
  <c r="D120"/>
  <c r="E120"/>
  <c r="D326"/>
  <c r="E326"/>
  <c r="H194" i="1"/>
  <c r="H158"/>
  <c r="C308" i="10"/>
  <c r="H44" i="1"/>
  <c r="C80" i="10"/>
  <c r="H50" i="1"/>
  <c r="C92" i="10"/>
  <c r="G367" i="3"/>
  <c r="H367"/>
  <c r="G366"/>
  <c r="H366"/>
  <c r="G365"/>
  <c r="H365"/>
  <c r="G364"/>
  <c r="H364"/>
  <c r="G361"/>
  <c r="H361"/>
  <c r="G360"/>
  <c r="H360"/>
  <c r="G355"/>
  <c r="H355"/>
  <c r="G354"/>
  <c r="H354"/>
  <c r="G351"/>
  <c r="H351"/>
  <c r="G350"/>
  <c r="H350"/>
  <c r="G347"/>
  <c r="H347"/>
  <c r="G346"/>
  <c r="H346"/>
  <c r="G345"/>
  <c r="H345"/>
  <c r="G344"/>
  <c r="H344"/>
  <c r="G341"/>
  <c r="H341"/>
  <c r="G340"/>
  <c r="H340"/>
  <c r="G339"/>
  <c r="H339"/>
  <c r="G338"/>
  <c r="H338"/>
  <c r="G334"/>
  <c r="H334"/>
  <c r="G333"/>
  <c r="H333"/>
  <c r="G332"/>
  <c r="H332"/>
  <c r="G326"/>
  <c r="H326"/>
  <c r="G325"/>
  <c r="H325"/>
  <c r="G322"/>
  <c r="H322"/>
  <c r="G321"/>
  <c r="H321"/>
  <c r="G320"/>
  <c r="H320"/>
  <c r="G317"/>
  <c r="H317"/>
  <c r="G316"/>
  <c r="H316"/>
  <c r="G315"/>
  <c r="H315"/>
  <c r="G312"/>
  <c r="H312"/>
  <c r="G311"/>
  <c r="H311"/>
  <c r="G310"/>
  <c r="H310"/>
  <c r="G309"/>
  <c r="H309"/>
  <c r="G308"/>
  <c r="H308"/>
  <c r="G305"/>
  <c r="H305"/>
  <c r="G304"/>
  <c r="H304"/>
  <c r="G303"/>
  <c r="H303"/>
  <c r="G298"/>
  <c r="H298"/>
  <c r="G297"/>
  <c r="H297"/>
  <c r="G296"/>
  <c r="H296"/>
  <c r="G295"/>
  <c r="H295"/>
  <c r="G294"/>
  <c r="H294"/>
  <c r="G291"/>
  <c r="H291"/>
  <c r="G290"/>
  <c r="H290"/>
  <c r="G289"/>
  <c r="H289"/>
  <c r="G286"/>
  <c r="H286"/>
  <c r="G285"/>
  <c r="H285"/>
  <c r="G284"/>
  <c r="H284"/>
  <c r="G283"/>
  <c r="H283"/>
  <c r="G282"/>
  <c r="H282"/>
  <c r="G279"/>
  <c r="H279"/>
  <c r="G278"/>
  <c r="H278"/>
  <c r="G277"/>
  <c r="H277"/>
  <c r="G274"/>
  <c r="H274"/>
  <c r="G273"/>
  <c r="H273"/>
  <c r="G272"/>
  <c r="H272"/>
  <c r="G269"/>
  <c r="H269"/>
  <c r="G268"/>
  <c r="H268"/>
  <c r="G267"/>
  <c r="H267"/>
  <c r="G266"/>
  <c r="H266"/>
  <c r="G265"/>
  <c r="H265"/>
  <c r="G264"/>
  <c r="H264"/>
  <c r="G261"/>
  <c r="H261"/>
  <c r="G260"/>
  <c r="H260"/>
  <c r="G259"/>
  <c r="H259"/>
  <c r="G258"/>
  <c r="H258"/>
  <c r="G257"/>
  <c r="H257"/>
  <c r="G256"/>
  <c r="H256"/>
  <c r="G253"/>
  <c r="H253"/>
  <c r="G252"/>
  <c r="H252"/>
  <c r="G251"/>
  <c r="H251"/>
  <c r="G248"/>
  <c r="H248"/>
  <c r="G247"/>
  <c r="H247"/>
  <c r="G246"/>
  <c r="H246"/>
  <c r="G245"/>
  <c r="H245"/>
  <c r="G244"/>
  <c r="H244"/>
  <c r="G243"/>
  <c r="H243"/>
  <c r="G240"/>
  <c r="H240"/>
  <c r="G239"/>
  <c r="H239"/>
  <c r="G238"/>
  <c r="H238"/>
  <c r="G235"/>
  <c r="H235"/>
  <c r="G234"/>
  <c r="H234"/>
  <c r="G233"/>
  <c r="H233"/>
  <c r="G232"/>
  <c r="H232"/>
  <c r="G231"/>
  <c r="H231"/>
  <c r="G230"/>
  <c r="H230"/>
  <c r="G227"/>
  <c r="H227"/>
  <c r="G226"/>
  <c r="H226"/>
  <c r="G225"/>
  <c r="H225"/>
  <c r="G224"/>
  <c r="H224"/>
  <c r="G221"/>
  <c r="H221"/>
  <c r="G220"/>
  <c r="H220"/>
  <c r="G219"/>
  <c r="H219"/>
  <c r="G218"/>
  <c r="H218"/>
  <c r="G217"/>
  <c r="H217"/>
  <c r="G213"/>
  <c r="H213"/>
  <c r="G212"/>
  <c r="H212"/>
  <c r="G209"/>
  <c r="H209"/>
  <c r="G208"/>
  <c r="H208"/>
  <c r="G207"/>
  <c r="H207"/>
  <c r="G206"/>
  <c r="H206"/>
  <c r="G202"/>
  <c r="H202"/>
  <c r="G201"/>
  <c r="H201"/>
  <c r="G200"/>
  <c r="H200"/>
  <c r="G199"/>
  <c r="H199"/>
  <c r="G198"/>
  <c r="H198"/>
  <c r="G197"/>
  <c r="H197"/>
  <c r="G194"/>
  <c r="H194"/>
  <c r="G193"/>
  <c r="H193"/>
  <c r="G192"/>
  <c r="H192"/>
  <c r="G191"/>
  <c r="H191"/>
  <c r="G188"/>
  <c r="H188"/>
  <c r="G187"/>
  <c r="H187"/>
  <c r="G186"/>
  <c r="H186"/>
  <c r="G185"/>
  <c r="H185"/>
  <c r="G184"/>
  <c r="H184"/>
  <c r="G183"/>
  <c r="H183"/>
  <c r="G180"/>
  <c r="H180"/>
  <c r="G179"/>
  <c r="H179"/>
  <c r="G178"/>
  <c r="H178"/>
  <c r="G177"/>
  <c r="H177"/>
  <c r="G176"/>
  <c r="H176"/>
  <c r="G175"/>
  <c r="H175"/>
  <c r="G172"/>
  <c r="H172"/>
  <c r="G171"/>
  <c r="H171"/>
  <c r="G170"/>
  <c r="H170"/>
  <c r="G169"/>
  <c r="H169"/>
  <c r="G168"/>
  <c r="H168"/>
  <c r="G167"/>
  <c r="H167"/>
  <c r="G164"/>
  <c r="H164"/>
  <c r="G163"/>
  <c r="H163"/>
  <c r="G162"/>
  <c r="H162"/>
  <c r="G161"/>
  <c r="H161"/>
  <c r="G160"/>
  <c r="H160"/>
  <c r="G159"/>
  <c r="H159"/>
  <c r="G156"/>
  <c r="H156"/>
  <c r="G155"/>
  <c r="H155"/>
  <c r="G154"/>
  <c r="H154"/>
  <c r="G153"/>
  <c r="H153"/>
  <c r="G152"/>
  <c r="H152"/>
  <c r="G151"/>
  <c r="H151"/>
  <c r="G147"/>
  <c r="H147"/>
  <c r="G146"/>
  <c r="H146"/>
  <c r="G145"/>
  <c r="H145"/>
  <c r="G142"/>
  <c r="H142"/>
  <c r="G141"/>
  <c r="H141"/>
  <c r="G140"/>
  <c r="H140"/>
  <c r="G139"/>
  <c r="H139"/>
  <c r="G138"/>
  <c r="H138"/>
  <c r="G135"/>
  <c r="H135"/>
  <c r="G134"/>
  <c r="H134"/>
  <c r="G133"/>
  <c r="H133"/>
  <c r="G132"/>
  <c r="H132"/>
  <c r="G131"/>
  <c r="H131"/>
  <c r="G128"/>
  <c r="H128"/>
  <c r="G127"/>
  <c r="H127"/>
  <c r="G126"/>
  <c r="H126"/>
  <c r="G125"/>
  <c r="H125"/>
  <c r="G119"/>
  <c r="H119"/>
  <c r="G118"/>
  <c r="H118"/>
  <c r="G117"/>
  <c r="H117"/>
  <c r="G114"/>
  <c r="H114"/>
  <c r="G113"/>
  <c r="H113"/>
  <c r="G110"/>
  <c r="H110"/>
  <c r="G109"/>
  <c r="H109"/>
  <c r="G108"/>
  <c r="H108"/>
  <c r="G107"/>
  <c r="H107"/>
  <c r="G104"/>
  <c r="H104"/>
  <c r="G103"/>
  <c r="H103"/>
  <c r="G102"/>
  <c r="H102"/>
  <c r="G101"/>
  <c r="H101"/>
  <c r="G98"/>
  <c r="H98"/>
  <c r="G97"/>
  <c r="H97"/>
  <c r="G96"/>
  <c r="H96"/>
  <c r="G95"/>
  <c r="H95"/>
  <c r="G94"/>
  <c r="H94"/>
  <c r="G91"/>
  <c r="H91"/>
  <c r="G90"/>
  <c r="H90"/>
  <c r="G89"/>
  <c r="H89"/>
  <c r="G88"/>
  <c r="H88"/>
  <c r="G87"/>
  <c r="H87"/>
  <c r="G86"/>
  <c r="H86"/>
  <c r="G83"/>
  <c r="H83"/>
  <c r="G82"/>
  <c r="H82"/>
  <c r="G81"/>
  <c r="H81"/>
  <c r="G80"/>
  <c r="H80"/>
  <c r="G79"/>
  <c r="H79"/>
  <c r="G78"/>
  <c r="H78"/>
  <c r="G74"/>
  <c r="H74"/>
  <c r="H73"/>
  <c r="G70"/>
  <c r="H70"/>
  <c r="G69"/>
  <c r="H69"/>
  <c r="G68"/>
  <c r="H68"/>
  <c r="G67"/>
  <c r="H67"/>
  <c r="G66"/>
  <c r="H66"/>
  <c r="G65"/>
  <c r="H65"/>
  <c r="G64"/>
  <c r="H64"/>
  <c r="G63"/>
  <c r="H63"/>
  <c r="G62"/>
  <c r="H62"/>
  <c r="G61"/>
  <c r="H61"/>
  <c r="G60"/>
  <c r="H60"/>
  <c r="G59"/>
  <c r="H59"/>
  <c r="G58"/>
  <c r="H58"/>
  <c r="G52"/>
  <c r="H52"/>
  <c r="G51"/>
  <c r="H51"/>
  <c r="G50"/>
  <c r="H50"/>
  <c r="G49"/>
  <c r="H49"/>
  <c r="G48"/>
  <c r="H48"/>
  <c r="G47"/>
  <c r="H47"/>
  <c r="G46"/>
  <c r="H46"/>
  <c r="G40"/>
  <c r="H40"/>
  <c r="G39"/>
  <c r="H39"/>
  <c r="G30"/>
  <c r="H30"/>
  <c r="G29"/>
  <c r="H29"/>
  <c r="G26"/>
  <c r="H26"/>
  <c r="H25"/>
  <c r="G21"/>
  <c r="H21"/>
  <c r="G20"/>
  <c r="H20"/>
  <c r="G19"/>
  <c r="H19"/>
  <c r="G18"/>
  <c r="H18"/>
  <c r="F52" i="10"/>
  <c r="F51"/>
  <c r="F368"/>
  <c r="F367"/>
  <c r="F148"/>
  <c r="F147"/>
  <c r="F132"/>
  <c r="F131"/>
  <c r="F344"/>
  <c r="F343"/>
  <c r="F384"/>
  <c r="F383"/>
  <c r="F84"/>
  <c r="F83"/>
  <c r="F174"/>
  <c r="F173"/>
  <c r="F152"/>
  <c r="F151"/>
  <c r="F54"/>
  <c r="F53"/>
  <c r="F56"/>
  <c r="F55"/>
  <c r="H353" i="3"/>
  <c r="F176" i="10"/>
  <c r="F175"/>
  <c r="F224"/>
  <c r="F223"/>
  <c r="F208"/>
  <c r="F207"/>
  <c r="F222"/>
  <c r="F221"/>
  <c r="F100"/>
  <c r="F99"/>
  <c r="F356"/>
  <c r="F355"/>
  <c r="F88"/>
  <c r="F87"/>
  <c r="F136"/>
  <c r="F135"/>
  <c r="F98"/>
  <c r="F97"/>
  <c r="F64"/>
  <c r="F63"/>
  <c r="F172"/>
  <c r="F171"/>
  <c r="F312"/>
  <c r="F311"/>
  <c r="F142"/>
  <c r="F141"/>
  <c r="F230"/>
  <c r="F229"/>
  <c r="F144"/>
  <c r="F143"/>
  <c r="F354"/>
  <c r="F353"/>
  <c r="F316"/>
  <c r="F315"/>
  <c r="F242"/>
  <c r="F241"/>
  <c r="F240"/>
  <c r="F239"/>
  <c r="F192"/>
  <c r="F191"/>
  <c r="F66"/>
  <c r="F65"/>
  <c r="F310"/>
  <c r="F309"/>
  <c r="F182"/>
  <c r="F181"/>
  <c r="F50"/>
  <c r="F49"/>
  <c r="F214"/>
  <c r="F213"/>
  <c r="F146"/>
  <c r="F145"/>
  <c r="F150"/>
  <c r="F149"/>
  <c r="F134"/>
  <c r="F133"/>
  <c r="F104"/>
  <c r="F103"/>
  <c r="F82"/>
  <c r="F81"/>
  <c r="F206"/>
  <c r="F205"/>
  <c r="F350"/>
  <c r="F349"/>
  <c r="F270"/>
  <c r="F269"/>
  <c r="F106"/>
  <c r="F105"/>
  <c r="F352"/>
  <c r="F351"/>
  <c r="F138"/>
  <c r="F137"/>
  <c r="F272"/>
  <c r="F271"/>
  <c r="F234"/>
  <c r="F233"/>
  <c r="F184"/>
  <c r="F183"/>
  <c r="F168"/>
  <c r="F167"/>
  <c r="F96"/>
  <c r="F95"/>
  <c r="F180"/>
  <c r="F179"/>
  <c r="F250"/>
  <c r="F249"/>
  <c r="F232"/>
  <c r="F231"/>
  <c r="F216"/>
  <c r="F215"/>
  <c r="F200"/>
  <c r="F199"/>
  <c r="F140"/>
  <c r="F139"/>
  <c r="F58"/>
  <c r="F57"/>
  <c r="F318"/>
  <c r="F317"/>
  <c r="F246"/>
  <c r="F245"/>
  <c r="F228"/>
  <c r="F227"/>
  <c r="F212"/>
  <c r="F211"/>
  <c r="F196"/>
  <c r="F195"/>
  <c r="F178"/>
  <c r="F177"/>
  <c r="F370"/>
  <c r="F369"/>
  <c r="F60"/>
  <c r="F59"/>
  <c r="D308"/>
  <c r="D307"/>
  <c r="F198"/>
  <c r="F197"/>
  <c r="F374"/>
  <c r="F373"/>
  <c r="F372"/>
  <c r="F371"/>
  <c r="F238"/>
  <c r="F237"/>
  <c r="F188"/>
  <c r="F187"/>
  <c r="F236"/>
  <c r="F235"/>
  <c r="F220"/>
  <c r="F219"/>
  <c r="F204"/>
  <c r="F203"/>
  <c r="F186"/>
  <c r="F185"/>
  <c r="F170"/>
  <c r="F169"/>
  <c r="H193" i="1"/>
  <c r="C378" i="10"/>
  <c r="C380"/>
  <c r="F382"/>
  <c r="D380"/>
  <c r="D92"/>
  <c r="D91"/>
  <c r="D266"/>
  <c r="D264"/>
  <c r="D263"/>
  <c r="E266"/>
  <c r="E264"/>
  <c r="E263"/>
  <c r="F226"/>
  <c r="F225"/>
  <c r="F210"/>
  <c r="F209"/>
  <c r="F194"/>
  <c r="F193"/>
  <c r="E380"/>
  <c r="E308"/>
  <c r="E307"/>
  <c r="F102"/>
  <c r="F101"/>
  <c r="E74"/>
  <c r="E72"/>
  <c r="E71"/>
  <c r="D74"/>
  <c r="D72"/>
  <c r="D71"/>
  <c r="F252"/>
  <c r="F251"/>
  <c r="F218"/>
  <c r="F217"/>
  <c r="F202"/>
  <c r="F201"/>
  <c r="D79"/>
  <c r="F94"/>
  <c r="E92"/>
  <c r="E91"/>
  <c r="F248"/>
  <c r="F247"/>
  <c r="F342"/>
  <c r="E80"/>
  <c r="E79"/>
  <c r="F32"/>
  <c r="F31"/>
  <c r="F158"/>
  <c r="F157"/>
  <c r="F326"/>
  <c r="F325"/>
  <c r="F156"/>
  <c r="F155"/>
  <c r="F120"/>
  <c r="F119"/>
  <c r="F40"/>
  <c r="H237" i="3"/>
  <c r="H271"/>
  <c r="H324"/>
  <c r="H255"/>
  <c r="H363"/>
  <c r="H38"/>
  <c r="H112"/>
  <c r="H250"/>
  <c r="H100"/>
  <c r="H106"/>
  <c r="H158"/>
  <c r="H174"/>
  <c r="H190"/>
  <c r="H196"/>
  <c r="H216"/>
  <c r="H223"/>
  <c r="H229"/>
  <c r="H263"/>
  <c r="H281"/>
  <c r="H293"/>
  <c r="H307"/>
  <c r="H319"/>
  <c r="H337"/>
  <c r="H343"/>
  <c r="H349"/>
  <c r="H359"/>
  <c r="H28"/>
  <c r="H242"/>
  <c r="H276"/>
  <c r="H288"/>
  <c r="H302"/>
  <c r="H314"/>
  <c r="H331"/>
  <c r="H211"/>
  <c r="H17"/>
  <c r="H85"/>
  <c r="H130"/>
  <c r="H45"/>
  <c r="H116"/>
  <c r="H137"/>
  <c r="H150"/>
  <c r="H166"/>
  <c r="H182"/>
  <c r="H205"/>
  <c r="H57"/>
  <c r="H124"/>
  <c r="H77"/>
  <c r="H93"/>
  <c r="H144"/>
  <c r="E367"/>
  <c r="D367"/>
  <c r="C367"/>
  <c r="E366"/>
  <c r="D366"/>
  <c r="C366"/>
  <c r="E365"/>
  <c r="D365"/>
  <c r="C365"/>
  <c r="E364"/>
  <c r="D364"/>
  <c r="C364"/>
  <c r="E361"/>
  <c r="D361"/>
  <c r="C361"/>
  <c r="E360"/>
  <c r="D360"/>
  <c r="C360"/>
  <c r="E355"/>
  <c r="D355"/>
  <c r="C355"/>
  <c r="E354"/>
  <c r="D354"/>
  <c r="C354"/>
  <c r="E351"/>
  <c r="D351"/>
  <c r="C351"/>
  <c r="E350"/>
  <c r="D350"/>
  <c r="C350"/>
  <c r="E347"/>
  <c r="D347"/>
  <c r="C347"/>
  <c r="E346"/>
  <c r="D346"/>
  <c r="C346"/>
  <c r="E345"/>
  <c r="D345"/>
  <c r="C345"/>
  <c r="E344"/>
  <c r="D344"/>
  <c r="C344"/>
  <c r="E341"/>
  <c r="D341"/>
  <c r="C341"/>
  <c r="E340"/>
  <c r="D340"/>
  <c r="C340"/>
  <c r="E339"/>
  <c r="D339"/>
  <c r="C339"/>
  <c r="E338"/>
  <c r="D338"/>
  <c r="C338"/>
  <c r="E334"/>
  <c r="D334"/>
  <c r="C334"/>
  <c r="E333"/>
  <c r="D333"/>
  <c r="C333"/>
  <c r="E332"/>
  <c r="D332"/>
  <c r="C332"/>
  <c r="E326"/>
  <c r="D326"/>
  <c r="C326"/>
  <c r="E325"/>
  <c r="D325"/>
  <c r="C325"/>
  <c r="E322"/>
  <c r="D322"/>
  <c r="C322"/>
  <c r="E321"/>
  <c r="D321"/>
  <c r="C321"/>
  <c r="E320"/>
  <c r="D320"/>
  <c r="C320"/>
  <c r="E317"/>
  <c r="D317"/>
  <c r="C317"/>
  <c r="E316"/>
  <c r="D316"/>
  <c r="C316"/>
  <c r="E315"/>
  <c r="D315"/>
  <c r="C315"/>
  <c r="E312"/>
  <c r="D312"/>
  <c r="C312"/>
  <c r="E311"/>
  <c r="D311"/>
  <c r="C311"/>
  <c r="E310"/>
  <c r="D310"/>
  <c r="C310"/>
  <c r="E309"/>
  <c r="D309"/>
  <c r="C309"/>
  <c r="E308"/>
  <c r="D308"/>
  <c r="C308"/>
  <c r="E305"/>
  <c r="D305"/>
  <c r="C305"/>
  <c r="E304"/>
  <c r="D304"/>
  <c r="C304"/>
  <c r="E303"/>
  <c r="D303"/>
  <c r="C303"/>
  <c r="E298"/>
  <c r="D298"/>
  <c r="C298"/>
  <c r="E297"/>
  <c r="D297"/>
  <c r="C297"/>
  <c r="E296"/>
  <c r="D296"/>
  <c r="C296"/>
  <c r="E295"/>
  <c r="D295"/>
  <c r="C295"/>
  <c r="E294"/>
  <c r="D294"/>
  <c r="C294"/>
  <c r="E291"/>
  <c r="D291"/>
  <c r="C291"/>
  <c r="E290"/>
  <c r="D290"/>
  <c r="C290"/>
  <c r="E289"/>
  <c r="D289"/>
  <c r="C289"/>
  <c r="E286"/>
  <c r="D286"/>
  <c r="C286"/>
  <c r="E285"/>
  <c r="D285"/>
  <c r="C285"/>
  <c r="E284"/>
  <c r="D284"/>
  <c r="C284"/>
  <c r="E283"/>
  <c r="D283"/>
  <c r="C283"/>
  <c r="E282"/>
  <c r="D282"/>
  <c r="C282"/>
  <c r="E279"/>
  <c r="D279"/>
  <c r="C279"/>
  <c r="E278"/>
  <c r="D278"/>
  <c r="C278"/>
  <c r="E277"/>
  <c r="D277"/>
  <c r="C277"/>
  <c r="E274"/>
  <c r="D274"/>
  <c r="C274"/>
  <c r="E273"/>
  <c r="D273"/>
  <c r="C273"/>
  <c r="E272"/>
  <c r="D272"/>
  <c r="C272"/>
  <c r="E269"/>
  <c r="D269"/>
  <c r="C269"/>
  <c r="E268"/>
  <c r="D268"/>
  <c r="C268"/>
  <c r="E267"/>
  <c r="D267"/>
  <c r="C267"/>
  <c r="E266"/>
  <c r="D266"/>
  <c r="C266"/>
  <c r="E265"/>
  <c r="D265"/>
  <c r="C265"/>
  <c r="E264"/>
  <c r="D264"/>
  <c r="C264"/>
  <c r="E261"/>
  <c r="D261"/>
  <c r="C261"/>
  <c r="E260"/>
  <c r="D260"/>
  <c r="C260"/>
  <c r="E259"/>
  <c r="D259"/>
  <c r="C259"/>
  <c r="E258"/>
  <c r="D258"/>
  <c r="C258"/>
  <c r="E257"/>
  <c r="D257"/>
  <c r="C257"/>
  <c r="E256"/>
  <c r="D256"/>
  <c r="C256"/>
  <c r="E253"/>
  <c r="D253"/>
  <c r="C253"/>
  <c r="E252"/>
  <c r="D252"/>
  <c r="C252"/>
  <c r="E251"/>
  <c r="D251"/>
  <c r="C251"/>
  <c r="E248"/>
  <c r="D248"/>
  <c r="C248"/>
  <c r="E247"/>
  <c r="D247"/>
  <c r="C247"/>
  <c r="E246"/>
  <c r="D246"/>
  <c r="C246"/>
  <c r="E245"/>
  <c r="D245"/>
  <c r="C245"/>
  <c r="E244"/>
  <c r="D244"/>
  <c r="C244"/>
  <c r="E243"/>
  <c r="D243"/>
  <c r="C243"/>
  <c r="E240"/>
  <c r="D240"/>
  <c r="C240"/>
  <c r="E239"/>
  <c r="D239"/>
  <c r="C239"/>
  <c r="E238"/>
  <c r="D238"/>
  <c r="C238"/>
  <c r="E235"/>
  <c r="D235"/>
  <c r="C235"/>
  <c r="E234"/>
  <c r="D234"/>
  <c r="C234"/>
  <c r="E233"/>
  <c r="D233"/>
  <c r="C233"/>
  <c r="E232"/>
  <c r="D232"/>
  <c r="C232"/>
  <c r="E231"/>
  <c r="D231"/>
  <c r="C231"/>
  <c r="E230"/>
  <c r="D230"/>
  <c r="C230"/>
  <c r="E227"/>
  <c r="D227"/>
  <c r="C227"/>
  <c r="E226"/>
  <c r="D226"/>
  <c r="C226"/>
  <c r="E225"/>
  <c r="D225"/>
  <c r="C225"/>
  <c r="E224"/>
  <c r="D224"/>
  <c r="C224"/>
  <c r="E221"/>
  <c r="D221"/>
  <c r="C221"/>
  <c r="E220"/>
  <c r="D220"/>
  <c r="C220"/>
  <c r="E219"/>
  <c r="D219"/>
  <c r="C219"/>
  <c r="E218"/>
  <c r="D218"/>
  <c r="C218"/>
  <c r="E217"/>
  <c r="D217"/>
  <c r="C217"/>
  <c r="E213"/>
  <c r="D213"/>
  <c r="C213"/>
  <c r="E212"/>
  <c r="D212"/>
  <c r="C212"/>
  <c r="E209"/>
  <c r="D209"/>
  <c r="C209"/>
  <c r="E208"/>
  <c r="D208"/>
  <c r="C208"/>
  <c r="E207"/>
  <c r="D207"/>
  <c r="C207"/>
  <c r="E206"/>
  <c r="D206"/>
  <c r="C206"/>
  <c r="E202"/>
  <c r="D202"/>
  <c r="C202"/>
  <c r="E201"/>
  <c r="D201"/>
  <c r="C201"/>
  <c r="E200"/>
  <c r="D200"/>
  <c r="C200"/>
  <c r="E199"/>
  <c r="D199"/>
  <c r="C199"/>
  <c r="E198"/>
  <c r="D198"/>
  <c r="C198"/>
  <c r="E197"/>
  <c r="D197"/>
  <c r="C197"/>
  <c r="E194"/>
  <c r="D194"/>
  <c r="C194"/>
  <c r="E193"/>
  <c r="D193"/>
  <c r="C193"/>
  <c r="E192"/>
  <c r="D192"/>
  <c r="C192"/>
  <c r="E191"/>
  <c r="D191"/>
  <c r="C191"/>
  <c r="E188"/>
  <c r="D188"/>
  <c r="C188"/>
  <c r="E187"/>
  <c r="D187"/>
  <c r="C187"/>
  <c r="E186"/>
  <c r="D186"/>
  <c r="C186"/>
  <c r="E185"/>
  <c r="D185"/>
  <c r="C185"/>
  <c r="E184"/>
  <c r="D184"/>
  <c r="C184"/>
  <c r="E183"/>
  <c r="D183"/>
  <c r="C183"/>
  <c r="E180"/>
  <c r="D180"/>
  <c r="C180"/>
  <c r="E179"/>
  <c r="D179"/>
  <c r="C179"/>
  <c r="E178"/>
  <c r="D178"/>
  <c r="C178"/>
  <c r="E177"/>
  <c r="D177"/>
  <c r="C177"/>
  <c r="E176"/>
  <c r="D176"/>
  <c r="C176"/>
  <c r="E175"/>
  <c r="D175"/>
  <c r="C175"/>
  <c r="E172"/>
  <c r="D172"/>
  <c r="C172"/>
  <c r="E171"/>
  <c r="D171"/>
  <c r="C171"/>
  <c r="E170"/>
  <c r="D170"/>
  <c r="C170"/>
  <c r="E169"/>
  <c r="D169"/>
  <c r="C169"/>
  <c r="E168"/>
  <c r="D168"/>
  <c r="C168"/>
  <c r="E167"/>
  <c r="D167"/>
  <c r="C167"/>
  <c r="E164"/>
  <c r="D164"/>
  <c r="C164"/>
  <c r="E163"/>
  <c r="D163"/>
  <c r="C163"/>
  <c r="E162"/>
  <c r="D162"/>
  <c r="C162"/>
  <c r="E161"/>
  <c r="D161"/>
  <c r="C161"/>
  <c r="E160"/>
  <c r="D160"/>
  <c r="C160"/>
  <c r="E159"/>
  <c r="D159"/>
  <c r="C159"/>
  <c r="E156"/>
  <c r="D156"/>
  <c r="C156"/>
  <c r="E155"/>
  <c r="D155"/>
  <c r="C155"/>
  <c r="E154"/>
  <c r="D154"/>
  <c r="C154"/>
  <c r="E153"/>
  <c r="D153"/>
  <c r="C153"/>
  <c r="E152"/>
  <c r="D152"/>
  <c r="C152"/>
  <c r="E151"/>
  <c r="D151"/>
  <c r="C151"/>
  <c r="E147"/>
  <c r="D147"/>
  <c r="C147"/>
  <c r="E146"/>
  <c r="D146"/>
  <c r="C146"/>
  <c r="E145"/>
  <c r="D145"/>
  <c r="C145"/>
  <c r="E142"/>
  <c r="D142"/>
  <c r="C142"/>
  <c r="E141"/>
  <c r="D141"/>
  <c r="C141"/>
  <c r="E140"/>
  <c r="D140"/>
  <c r="C140"/>
  <c r="E139"/>
  <c r="D139"/>
  <c r="C139"/>
  <c r="E138"/>
  <c r="D138"/>
  <c r="C138"/>
  <c r="E135"/>
  <c r="D135"/>
  <c r="C135"/>
  <c r="E134"/>
  <c r="D134"/>
  <c r="C134"/>
  <c r="E133"/>
  <c r="D133"/>
  <c r="C133"/>
  <c r="E132"/>
  <c r="D132"/>
  <c r="C132"/>
  <c r="E131"/>
  <c r="D131"/>
  <c r="C131"/>
  <c r="E128"/>
  <c r="D128"/>
  <c r="C128"/>
  <c r="E127"/>
  <c r="D127"/>
  <c r="C127"/>
  <c r="E126"/>
  <c r="D126"/>
  <c r="C126"/>
  <c r="E125"/>
  <c r="D125"/>
  <c r="C125"/>
  <c r="E119"/>
  <c r="D119"/>
  <c r="C119"/>
  <c r="E118"/>
  <c r="D118"/>
  <c r="C118"/>
  <c r="E117"/>
  <c r="D117"/>
  <c r="C117"/>
  <c r="E114"/>
  <c r="D114"/>
  <c r="C114"/>
  <c r="E113"/>
  <c r="D113"/>
  <c r="C113"/>
  <c r="E110"/>
  <c r="D110"/>
  <c r="C110"/>
  <c r="E109"/>
  <c r="D109"/>
  <c r="C109"/>
  <c r="E108"/>
  <c r="D108"/>
  <c r="C108"/>
  <c r="E107"/>
  <c r="D107"/>
  <c r="C107"/>
  <c r="E104"/>
  <c r="D104"/>
  <c r="C104"/>
  <c r="E103"/>
  <c r="D103"/>
  <c r="C103"/>
  <c r="E102"/>
  <c r="D102"/>
  <c r="C102"/>
  <c r="E101"/>
  <c r="D101"/>
  <c r="C101"/>
  <c r="E98"/>
  <c r="D98"/>
  <c r="C98"/>
  <c r="E97"/>
  <c r="D97"/>
  <c r="C97"/>
  <c r="E96"/>
  <c r="D96"/>
  <c r="C96"/>
  <c r="E95"/>
  <c r="D95"/>
  <c r="C95"/>
  <c r="E94"/>
  <c r="D94"/>
  <c r="C94"/>
  <c r="E91"/>
  <c r="D91"/>
  <c r="C91"/>
  <c r="E90"/>
  <c r="D90"/>
  <c r="C90"/>
  <c r="E89"/>
  <c r="D89"/>
  <c r="C89"/>
  <c r="E88"/>
  <c r="D88"/>
  <c r="C88"/>
  <c r="E87"/>
  <c r="D87"/>
  <c r="C87"/>
  <c r="E86"/>
  <c r="D86"/>
  <c r="C86"/>
  <c r="E83"/>
  <c r="D83"/>
  <c r="C83"/>
  <c r="E82"/>
  <c r="D82"/>
  <c r="C82"/>
  <c r="E81"/>
  <c r="D81"/>
  <c r="C81"/>
  <c r="E80"/>
  <c r="D80"/>
  <c r="C80"/>
  <c r="E79"/>
  <c r="D79"/>
  <c r="C79"/>
  <c r="E78"/>
  <c r="D78"/>
  <c r="C78"/>
  <c r="E74"/>
  <c r="D74"/>
  <c r="C74"/>
  <c r="E70"/>
  <c r="D70"/>
  <c r="C70"/>
  <c r="E69"/>
  <c r="D69"/>
  <c r="C69"/>
  <c r="E68"/>
  <c r="D68"/>
  <c r="C68"/>
  <c r="E67"/>
  <c r="D67"/>
  <c r="C67"/>
  <c r="E66"/>
  <c r="D66"/>
  <c r="C66"/>
  <c r="E65"/>
  <c r="D65"/>
  <c r="C65"/>
  <c r="E64"/>
  <c r="D64"/>
  <c r="C64"/>
  <c r="E63"/>
  <c r="D63"/>
  <c r="C63"/>
  <c r="E62"/>
  <c r="D62"/>
  <c r="C62"/>
  <c r="E61"/>
  <c r="D61"/>
  <c r="C61"/>
  <c r="E60"/>
  <c r="D60"/>
  <c r="C60"/>
  <c r="E59"/>
  <c r="D59"/>
  <c r="C59"/>
  <c r="E58"/>
  <c r="D58"/>
  <c r="C58"/>
  <c r="E52"/>
  <c r="D52"/>
  <c r="C52"/>
  <c r="E51"/>
  <c r="D51"/>
  <c r="C51"/>
  <c r="E50"/>
  <c r="D50"/>
  <c r="C50"/>
  <c r="E49"/>
  <c r="D49"/>
  <c r="C49"/>
  <c r="E48"/>
  <c r="D48"/>
  <c r="C48"/>
  <c r="E47"/>
  <c r="D47"/>
  <c r="C47"/>
  <c r="E46"/>
  <c r="D46"/>
  <c r="C46"/>
  <c r="F308" i="10"/>
  <c r="F307"/>
  <c r="F80"/>
  <c r="F79"/>
  <c r="F266"/>
  <c r="F264"/>
  <c r="F263"/>
  <c r="E378"/>
  <c r="E377"/>
  <c r="E379"/>
  <c r="D379"/>
  <c r="D378"/>
  <c r="D377"/>
  <c r="F381"/>
  <c r="F380"/>
  <c r="F93"/>
  <c r="F92"/>
  <c r="F91"/>
  <c r="F341"/>
  <c r="F74"/>
  <c r="F39"/>
  <c r="E40" i="3"/>
  <c r="D40"/>
  <c r="C40"/>
  <c r="E39"/>
  <c r="D39"/>
  <c r="C39"/>
  <c r="E30"/>
  <c r="D30"/>
  <c r="C30"/>
  <c r="E29"/>
  <c r="D29"/>
  <c r="C29"/>
  <c r="E26"/>
  <c r="D26"/>
  <c r="C26"/>
  <c r="E21"/>
  <c r="D21"/>
  <c r="C21"/>
  <c r="E20"/>
  <c r="D20"/>
  <c r="C20"/>
  <c r="E19"/>
  <c r="D19"/>
  <c r="C19"/>
  <c r="E18"/>
  <c r="D18"/>
  <c r="C18"/>
  <c r="G12"/>
  <c r="H12"/>
  <c r="H11"/>
  <c r="E12"/>
  <c r="D12"/>
  <c r="C12"/>
  <c r="E196" i="1"/>
  <c r="D196"/>
  <c r="B383" i="10"/>
  <c r="C196" i="1"/>
  <c r="E195"/>
  <c r="D195"/>
  <c r="B381" i="10"/>
  <c r="C195" i="1"/>
  <c r="E191"/>
  <c r="D191"/>
  <c r="B373" i="10"/>
  <c r="C191" i="1"/>
  <c r="E190"/>
  <c r="D190"/>
  <c r="B371" i="10"/>
  <c r="C190" i="1"/>
  <c r="E189"/>
  <c r="D189"/>
  <c r="B369" i="10"/>
  <c r="C189" i="1"/>
  <c r="E188"/>
  <c r="D188"/>
  <c r="B367" i="10"/>
  <c r="C188" i="1"/>
  <c r="E182"/>
  <c r="D182"/>
  <c r="B355" i="10"/>
  <c r="C182" i="1"/>
  <c r="E181"/>
  <c r="D181"/>
  <c r="B353" i="10"/>
  <c r="C181" i="1"/>
  <c r="E180"/>
  <c r="D180"/>
  <c r="B351" i="10"/>
  <c r="C180" i="1"/>
  <c r="E179"/>
  <c r="D179"/>
  <c r="B349" i="10"/>
  <c r="C179" i="1"/>
  <c r="E176"/>
  <c r="D176"/>
  <c r="B343" i="10"/>
  <c r="C176" i="1"/>
  <c r="E175"/>
  <c r="D175"/>
  <c r="B341" i="10"/>
  <c r="C175" i="1"/>
  <c r="E160"/>
  <c r="D160"/>
  <c r="B311" i="10"/>
  <c r="C160" i="1"/>
  <c r="E159"/>
  <c r="D159"/>
  <c r="B309" i="10"/>
  <c r="C159" i="1"/>
  <c r="E167"/>
  <c r="D167"/>
  <c r="B325" i="10"/>
  <c r="C167" i="1"/>
  <c r="E163"/>
  <c r="D163"/>
  <c r="B317" i="10"/>
  <c r="C163" i="1"/>
  <c r="E162"/>
  <c r="D162"/>
  <c r="B315" i="10"/>
  <c r="C162" i="1"/>
  <c r="E140"/>
  <c r="D140"/>
  <c r="B271" i="10"/>
  <c r="C140" i="1"/>
  <c r="E139"/>
  <c r="D139"/>
  <c r="B269" i="10"/>
  <c r="C139" i="1"/>
  <c r="E137"/>
  <c r="D137"/>
  <c r="B265" i="10"/>
  <c r="C137" i="1"/>
  <c r="E130"/>
  <c r="D130"/>
  <c r="B251" i="10"/>
  <c r="C130" i="1"/>
  <c r="E129"/>
  <c r="D129"/>
  <c r="B249" i="10"/>
  <c r="C129" i="1"/>
  <c r="E128"/>
  <c r="D128"/>
  <c r="B247" i="10"/>
  <c r="C128" i="1"/>
  <c r="E127"/>
  <c r="D127"/>
  <c r="B245" i="10"/>
  <c r="C127" i="1"/>
  <c r="E125"/>
  <c r="D125"/>
  <c r="B241" i="10"/>
  <c r="C125" i="1"/>
  <c r="E124"/>
  <c r="D124"/>
  <c r="B239" i="10"/>
  <c r="C124" i="1"/>
  <c r="E123"/>
  <c r="D123"/>
  <c r="B237" i="10"/>
  <c r="C123" i="1"/>
  <c r="E122"/>
  <c r="D122"/>
  <c r="B235" i="10"/>
  <c r="C122" i="1"/>
  <c r="E121"/>
  <c r="D121"/>
  <c r="B233" i="10"/>
  <c r="C121" i="1"/>
  <c r="E120"/>
  <c r="D120"/>
  <c r="B231" i="10"/>
  <c r="C120" i="1"/>
  <c r="E119"/>
  <c r="D119"/>
  <c r="B229" i="10"/>
  <c r="C119" i="1"/>
  <c r="E118"/>
  <c r="D118"/>
  <c r="B227" i="10"/>
  <c r="C118" i="1"/>
  <c r="E117"/>
  <c r="D117"/>
  <c r="B225" i="10"/>
  <c r="C117" i="1"/>
  <c r="E116"/>
  <c r="D116"/>
  <c r="B223" i="10"/>
  <c r="C116" i="1"/>
  <c r="E115"/>
  <c r="D115"/>
  <c r="B221" i="10"/>
  <c r="C115" i="1"/>
  <c r="E114"/>
  <c r="D114"/>
  <c r="B219" i="10"/>
  <c r="C114" i="1"/>
  <c r="E113"/>
  <c r="D113"/>
  <c r="B217" i="10"/>
  <c r="C113" i="1"/>
  <c r="E112"/>
  <c r="D112"/>
  <c r="B215" i="10"/>
  <c r="C112" i="1"/>
  <c r="E111"/>
  <c r="D111"/>
  <c r="B213" i="10"/>
  <c r="C111" i="1"/>
  <c r="E110"/>
  <c r="D110"/>
  <c r="B211" i="10"/>
  <c r="C110" i="1"/>
  <c r="E109"/>
  <c r="D109"/>
  <c r="B209" i="10"/>
  <c r="C109" i="1"/>
  <c r="E108"/>
  <c r="D108"/>
  <c r="B207" i="10"/>
  <c r="C108" i="1"/>
  <c r="E107"/>
  <c r="D107"/>
  <c r="B205" i="10"/>
  <c r="C107" i="1"/>
  <c r="E106"/>
  <c r="D106"/>
  <c r="B203" i="10"/>
  <c r="C106" i="1"/>
  <c r="E105"/>
  <c r="D105"/>
  <c r="B201" i="10"/>
  <c r="C105" i="1"/>
  <c r="E104"/>
  <c r="D104"/>
  <c r="B199" i="10"/>
  <c r="C104" i="1"/>
  <c r="E103"/>
  <c r="D103"/>
  <c r="B197" i="10"/>
  <c r="C103" i="1"/>
  <c r="E102"/>
  <c r="D102"/>
  <c r="B195" i="10"/>
  <c r="C102" i="1"/>
  <c r="E101"/>
  <c r="D101"/>
  <c r="B193" i="10"/>
  <c r="C101" i="1"/>
  <c r="E100"/>
  <c r="D100"/>
  <c r="B191" i="10"/>
  <c r="C100" i="1"/>
  <c r="E98"/>
  <c r="D98"/>
  <c r="B187" i="10"/>
  <c r="C98" i="1"/>
  <c r="E97"/>
  <c r="D97"/>
  <c r="B185" i="10"/>
  <c r="C97" i="1"/>
  <c r="E96"/>
  <c r="D96"/>
  <c r="B183" i="10"/>
  <c r="C96" i="1"/>
  <c r="E95"/>
  <c r="D95"/>
  <c r="B181" i="10"/>
  <c r="C95" i="1"/>
  <c r="E94"/>
  <c r="D94"/>
  <c r="B179" i="10"/>
  <c r="C94" i="1"/>
  <c r="E93"/>
  <c r="D93"/>
  <c r="B177" i="10"/>
  <c r="C93" i="1"/>
  <c r="E92"/>
  <c r="D92"/>
  <c r="B175" i="10"/>
  <c r="C92" i="1"/>
  <c r="E91"/>
  <c r="D91"/>
  <c r="B173" i="10"/>
  <c r="C91" i="1"/>
  <c r="E90"/>
  <c r="D90"/>
  <c r="B171" i="10"/>
  <c r="C90" i="1"/>
  <c r="E89"/>
  <c r="D89"/>
  <c r="B169" i="10"/>
  <c r="C89" i="1"/>
  <c r="E88"/>
  <c r="D88"/>
  <c r="B167" i="10"/>
  <c r="C88" i="1"/>
  <c r="E83"/>
  <c r="D83"/>
  <c r="B157" i="10"/>
  <c r="C83" i="1"/>
  <c r="E82"/>
  <c r="D82"/>
  <c r="B155" i="10"/>
  <c r="C82" i="1"/>
  <c r="E80"/>
  <c r="D80"/>
  <c r="B151" i="10"/>
  <c r="C80" i="1"/>
  <c r="E79"/>
  <c r="D79"/>
  <c r="B149" i="10"/>
  <c r="C79" i="1"/>
  <c r="E78"/>
  <c r="D78"/>
  <c r="B147" i="10"/>
  <c r="C78" i="1"/>
  <c r="E77"/>
  <c r="D77"/>
  <c r="B145" i="10"/>
  <c r="C77" i="1"/>
  <c r="E76"/>
  <c r="D76"/>
  <c r="B143" i="10"/>
  <c r="C76" i="1"/>
  <c r="E75"/>
  <c r="D75"/>
  <c r="B141" i="10"/>
  <c r="C75" i="1"/>
  <c r="E74"/>
  <c r="D74"/>
  <c r="B139" i="10"/>
  <c r="C74" i="1"/>
  <c r="E73"/>
  <c r="D73"/>
  <c r="B137" i="10"/>
  <c r="C73" i="1"/>
  <c r="E72"/>
  <c r="D72"/>
  <c r="B135" i="10"/>
  <c r="C72" i="1"/>
  <c r="E71"/>
  <c r="D71"/>
  <c r="B133" i="10"/>
  <c r="C71" i="1"/>
  <c r="E70"/>
  <c r="D70"/>
  <c r="B131" i="10"/>
  <c r="C70" i="1"/>
  <c r="E64"/>
  <c r="D64"/>
  <c r="B119" i="10"/>
  <c r="C64" i="1"/>
  <c r="E57"/>
  <c r="D57"/>
  <c r="B105" i="10"/>
  <c r="C57" i="1"/>
  <c r="E56"/>
  <c r="D56"/>
  <c r="B103" i="10"/>
  <c r="C56" i="1"/>
  <c r="E55"/>
  <c r="D55"/>
  <c r="B101" i="10"/>
  <c r="C55" i="1"/>
  <c r="E54"/>
  <c r="D54"/>
  <c r="B99" i="10"/>
  <c r="C54" i="1"/>
  <c r="E53"/>
  <c r="D53"/>
  <c r="B97" i="10"/>
  <c r="C53" i="1"/>
  <c r="E52"/>
  <c r="D52"/>
  <c r="B95" i="10"/>
  <c r="C52" i="1"/>
  <c r="E51"/>
  <c r="D51"/>
  <c r="B93" i="10"/>
  <c r="C51" i="1"/>
  <c r="E48"/>
  <c r="D48"/>
  <c r="B87" i="10"/>
  <c r="C48" i="1"/>
  <c r="E46"/>
  <c r="D46"/>
  <c r="B83" i="10"/>
  <c r="C46" i="1"/>
  <c r="E45"/>
  <c r="D45"/>
  <c r="B81" i="10"/>
  <c r="C45" i="1"/>
  <c r="E41"/>
  <c r="D41"/>
  <c r="B73" i="10"/>
  <c r="C41" i="1"/>
  <c r="E37"/>
  <c r="D37"/>
  <c r="B65" i="10"/>
  <c r="C37" i="1"/>
  <c r="E36"/>
  <c r="D36"/>
  <c r="B63" i="10"/>
  <c r="C36" i="1"/>
  <c r="E34"/>
  <c r="D34"/>
  <c r="B59" i="10"/>
  <c r="C34" i="1"/>
  <c r="E33"/>
  <c r="D33"/>
  <c r="B57" i="10"/>
  <c r="C33" i="1"/>
  <c r="E32"/>
  <c r="D32"/>
  <c r="B55" i="10"/>
  <c r="C32" i="1"/>
  <c r="E31"/>
  <c r="D31"/>
  <c r="B53" i="10"/>
  <c r="C31" i="1"/>
  <c r="E30"/>
  <c r="D30"/>
  <c r="B51" i="10"/>
  <c r="C30" i="1"/>
  <c r="E29"/>
  <c r="D29"/>
  <c r="B49" i="10"/>
  <c r="C29" i="1"/>
  <c r="E24"/>
  <c r="D24"/>
  <c r="B39" i="10"/>
  <c r="C24" i="1"/>
  <c r="E20"/>
  <c r="D20"/>
  <c r="B31" i="10"/>
  <c r="C20" i="1"/>
  <c r="G18"/>
  <c r="H18"/>
  <c r="C28" i="10"/>
  <c r="E18" i="1"/>
  <c r="D18"/>
  <c r="B27" i="10"/>
  <c r="C18" i="1"/>
  <c r="C16" i="2"/>
  <c r="B10"/>
  <c r="B11"/>
  <c r="B12"/>
  <c r="B13"/>
  <c r="B14"/>
  <c r="B15"/>
  <c r="B16"/>
  <c r="B9"/>
  <c r="F265" i="10"/>
  <c r="F378"/>
  <c r="F377"/>
  <c r="F379"/>
  <c r="E28"/>
  <c r="D28"/>
  <c r="F72"/>
  <c r="F71"/>
  <c r="F73"/>
  <c r="D38" i="7"/>
  <c r="D31"/>
  <c r="D19"/>
  <c r="D41"/>
  <c r="D18" i="6"/>
  <c r="D23"/>
  <c r="E199" i="1"/>
  <c r="D10" i="6"/>
  <c r="F28" i="10"/>
  <c r="F27"/>
  <c r="D40" i="7"/>
  <c r="D42"/>
  <c r="D44"/>
  <c r="G22" i="1"/>
  <c r="H22"/>
  <c r="C36" i="10"/>
  <c r="G192" i="1"/>
  <c r="H192"/>
  <c r="C376" i="10"/>
  <c r="G178" i="1"/>
  <c r="H178"/>
  <c r="C348" i="10"/>
  <c r="G168" i="1"/>
  <c r="H168"/>
  <c r="C328" i="10"/>
  <c r="G156" i="1"/>
  <c r="H156"/>
  <c r="C304" i="10"/>
  <c r="G152" i="1"/>
  <c r="H152"/>
  <c r="C296" i="10"/>
  <c r="G148" i="1"/>
  <c r="H148"/>
  <c r="C288" i="10"/>
  <c r="G144" i="1"/>
  <c r="H144"/>
  <c r="C280" i="10"/>
  <c r="G134" i="1"/>
  <c r="H134"/>
  <c r="C260" i="10"/>
  <c r="G126" i="1"/>
  <c r="H126"/>
  <c r="C244" i="10"/>
  <c r="G84" i="1"/>
  <c r="H84"/>
  <c r="C160" i="10"/>
  <c r="G62" i="1"/>
  <c r="H62"/>
  <c r="C116" i="10"/>
  <c r="G49" i="1"/>
  <c r="H49"/>
  <c r="G21"/>
  <c r="H21"/>
  <c r="C34" i="10"/>
  <c r="G169" i="1"/>
  <c r="H169"/>
  <c r="C330" i="10"/>
  <c r="G149" i="1"/>
  <c r="H149"/>
  <c r="C290" i="10"/>
  <c r="G135" i="1"/>
  <c r="H135"/>
  <c r="C262" i="10"/>
  <c r="G85" i="1"/>
  <c r="H85"/>
  <c r="C162" i="10"/>
  <c r="G25" i="1"/>
  <c r="H25"/>
  <c r="G81"/>
  <c r="H81"/>
  <c r="C154" i="10"/>
  <c r="G187" i="1"/>
  <c r="H187"/>
  <c r="C366" i="10"/>
  <c r="G177" i="1"/>
  <c r="H177"/>
  <c r="C346" i="10"/>
  <c r="G166" i="1"/>
  <c r="H166"/>
  <c r="C324" i="10"/>
  <c r="G155" i="1"/>
  <c r="H155"/>
  <c r="C302" i="10"/>
  <c r="G151" i="1"/>
  <c r="H151"/>
  <c r="C294" i="10"/>
  <c r="G147" i="1"/>
  <c r="H147"/>
  <c r="C286" i="10"/>
  <c r="G142" i="1"/>
  <c r="H142"/>
  <c r="C276" i="10"/>
  <c r="G133" i="1"/>
  <c r="H133"/>
  <c r="C258" i="10"/>
  <c r="G99" i="1"/>
  <c r="H99"/>
  <c r="C190" i="10"/>
  <c r="G66" i="1"/>
  <c r="H66"/>
  <c r="C124" i="10"/>
  <c r="G61" i="1"/>
  <c r="H61"/>
  <c r="C114" i="10"/>
  <c r="G43" i="1"/>
  <c r="H43"/>
  <c r="G19"/>
  <c r="H19"/>
  <c r="C30" i="10"/>
  <c r="G183" i="1"/>
  <c r="H183"/>
  <c r="C358" i="10"/>
  <c r="G164" i="1"/>
  <c r="H164"/>
  <c r="C320" i="10"/>
  <c r="G153" i="1"/>
  <c r="H153"/>
  <c r="C298" i="10"/>
  <c r="G145" i="1"/>
  <c r="H145"/>
  <c r="C282" i="10"/>
  <c r="G131" i="1"/>
  <c r="H131"/>
  <c r="C254" i="10"/>
  <c r="G63" i="1"/>
  <c r="H63"/>
  <c r="C118" i="10"/>
  <c r="G59" i="1"/>
  <c r="H59"/>
  <c r="C110" i="10"/>
  <c r="G184" i="1"/>
  <c r="H184"/>
  <c r="C360" i="10"/>
  <c r="G173" i="1"/>
  <c r="H173"/>
  <c r="G165"/>
  <c r="H165"/>
  <c r="C322" i="10"/>
  <c r="G154" i="1"/>
  <c r="H154"/>
  <c r="C300" i="10"/>
  <c r="G150" i="1"/>
  <c r="H150"/>
  <c r="C292" i="10"/>
  <c r="G146" i="1"/>
  <c r="H146"/>
  <c r="C284" i="10"/>
  <c r="G141" i="1"/>
  <c r="H141"/>
  <c r="G132"/>
  <c r="H132"/>
  <c r="C256" i="10"/>
  <c r="G86" i="1"/>
  <c r="H86"/>
  <c r="C164" i="10"/>
  <c r="G65" i="1"/>
  <c r="H65"/>
  <c r="C122" i="10"/>
  <c r="G60" i="1"/>
  <c r="H60"/>
  <c r="C112" i="10"/>
  <c r="G35" i="1"/>
  <c r="H35"/>
  <c r="G15"/>
  <c r="H15"/>
  <c r="G11"/>
  <c r="H11"/>
  <c r="E348" i="10"/>
  <c r="D348"/>
  <c r="H10" i="1"/>
  <c r="H9"/>
  <c r="C10" i="10"/>
  <c r="C14"/>
  <c r="H172" i="1"/>
  <c r="C336" i="10"/>
  <c r="C338"/>
  <c r="D358"/>
  <c r="E358"/>
  <c r="E346"/>
  <c r="D346"/>
  <c r="D376"/>
  <c r="E376"/>
  <c r="E360"/>
  <c r="D360"/>
  <c r="E366"/>
  <c r="D366"/>
  <c r="H186" i="1"/>
  <c r="E256" i="10"/>
  <c r="D256"/>
  <c r="D298"/>
  <c r="E298"/>
  <c r="E302"/>
  <c r="D302"/>
  <c r="E154"/>
  <c r="D154"/>
  <c r="D280"/>
  <c r="E280"/>
  <c r="E322"/>
  <c r="D322"/>
  <c r="E118"/>
  <c r="D118"/>
  <c r="D320"/>
  <c r="E320"/>
  <c r="E114"/>
  <c r="D114"/>
  <c r="E276"/>
  <c r="D276"/>
  <c r="E324"/>
  <c r="D324"/>
  <c r="H23" i="1"/>
  <c r="C38" i="10"/>
  <c r="C42"/>
  <c r="E330"/>
  <c r="D330"/>
  <c r="D160"/>
  <c r="E160"/>
  <c r="D288"/>
  <c r="E288"/>
  <c r="H28" i="1"/>
  <c r="C62" i="10"/>
  <c r="E300"/>
  <c r="D300"/>
  <c r="E110"/>
  <c r="D110"/>
  <c r="H42" i="1"/>
  <c r="C76" i="10"/>
  <c r="C78"/>
  <c r="E258"/>
  <c r="D258"/>
  <c r="D290"/>
  <c r="E290"/>
  <c r="E116"/>
  <c r="D116"/>
  <c r="D112"/>
  <c r="E112"/>
  <c r="E122"/>
  <c r="D122"/>
  <c r="E284"/>
  <c r="D284"/>
  <c r="D254"/>
  <c r="E254"/>
  <c r="D124"/>
  <c r="E124"/>
  <c r="D286"/>
  <c r="E286"/>
  <c r="E162"/>
  <c r="D162"/>
  <c r="E34"/>
  <c r="D34"/>
  <c r="D244"/>
  <c r="E244"/>
  <c r="E296"/>
  <c r="D296"/>
  <c r="D328"/>
  <c r="E328"/>
  <c r="H138" i="1"/>
  <c r="C268" i="10"/>
  <c r="C274"/>
  <c r="H14" i="1"/>
  <c r="C20" i="10"/>
  <c r="C22"/>
  <c r="D164"/>
  <c r="E164"/>
  <c r="E292"/>
  <c r="D292"/>
  <c r="D282"/>
  <c r="E282"/>
  <c r="E30"/>
  <c r="D30"/>
  <c r="D190"/>
  <c r="E190"/>
  <c r="D294"/>
  <c r="E294"/>
  <c r="D262"/>
  <c r="E262"/>
  <c r="H47" i="1"/>
  <c r="C86" i="10"/>
  <c r="C90"/>
  <c r="D260"/>
  <c r="E260"/>
  <c r="E304"/>
  <c r="D304"/>
  <c r="E36"/>
  <c r="D36"/>
  <c r="H174" i="1"/>
  <c r="H161"/>
  <c r="H17"/>
  <c r="H87"/>
  <c r="C166" i="10"/>
  <c r="H58" i="1"/>
  <c r="H69"/>
  <c r="C130" i="10"/>
  <c r="H143" i="1"/>
  <c r="C278" i="10"/>
  <c r="C12"/>
  <c r="F358"/>
  <c r="F357"/>
  <c r="F360"/>
  <c r="F359"/>
  <c r="E26"/>
  <c r="F376"/>
  <c r="F375"/>
  <c r="D26"/>
  <c r="E340"/>
  <c r="F366"/>
  <c r="F365"/>
  <c r="F346"/>
  <c r="F345"/>
  <c r="F348"/>
  <c r="F347"/>
  <c r="H171" i="1"/>
  <c r="C340" i="10"/>
  <c r="E364"/>
  <c r="D340"/>
  <c r="H185" i="1"/>
  <c r="C364" i="10"/>
  <c r="E338"/>
  <c r="E336"/>
  <c r="E335"/>
  <c r="D338"/>
  <c r="D336"/>
  <c r="D335"/>
  <c r="D364"/>
  <c r="D14"/>
  <c r="D12"/>
  <c r="D10"/>
  <c r="D9"/>
  <c r="E14"/>
  <c r="E12"/>
  <c r="E10"/>
  <c r="E9"/>
  <c r="F330"/>
  <c r="F329"/>
  <c r="D314"/>
  <c r="D306"/>
  <c r="E314"/>
  <c r="E306"/>
  <c r="F328"/>
  <c r="F327"/>
  <c r="F322"/>
  <c r="F321"/>
  <c r="F324"/>
  <c r="F323"/>
  <c r="F320"/>
  <c r="F36"/>
  <c r="F35"/>
  <c r="F300"/>
  <c r="F299"/>
  <c r="F288"/>
  <c r="F287"/>
  <c r="F114"/>
  <c r="F113"/>
  <c r="F280"/>
  <c r="F279"/>
  <c r="C9" i="2"/>
  <c r="H13" i="1"/>
  <c r="C18" i="10"/>
  <c r="F296"/>
  <c r="F295"/>
  <c r="F110"/>
  <c r="F109"/>
  <c r="F160"/>
  <c r="F159"/>
  <c r="F298"/>
  <c r="F297"/>
  <c r="F294"/>
  <c r="F293"/>
  <c r="F164"/>
  <c r="F163"/>
  <c r="F282"/>
  <c r="F281"/>
  <c r="F34"/>
  <c r="F33"/>
  <c r="F254"/>
  <c r="F253"/>
  <c r="F116"/>
  <c r="F115"/>
  <c r="F124"/>
  <c r="F123"/>
  <c r="F162"/>
  <c r="F161"/>
  <c r="E166"/>
  <c r="F122"/>
  <c r="F121"/>
  <c r="F302"/>
  <c r="F301"/>
  <c r="F304"/>
  <c r="F303"/>
  <c r="F286"/>
  <c r="F285"/>
  <c r="F258"/>
  <c r="F257"/>
  <c r="F276"/>
  <c r="F275"/>
  <c r="F154"/>
  <c r="F153"/>
  <c r="D166"/>
  <c r="E42"/>
  <c r="E38"/>
  <c r="D42"/>
  <c r="D38"/>
  <c r="D278"/>
  <c r="D277"/>
  <c r="E90"/>
  <c r="E86"/>
  <c r="E85"/>
  <c r="D90"/>
  <c r="D86"/>
  <c r="D85"/>
  <c r="H16" i="1"/>
  <c r="C26" i="10"/>
  <c r="F260"/>
  <c r="F259"/>
  <c r="F262"/>
  <c r="F261"/>
  <c r="F30"/>
  <c r="F292"/>
  <c r="F291"/>
  <c r="F284"/>
  <c r="F283"/>
  <c r="F112"/>
  <c r="F111"/>
  <c r="D108"/>
  <c r="F118"/>
  <c r="F117"/>
  <c r="F190"/>
  <c r="D22"/>
  <c r="D20"/>
  <c r="E22"/>
  <c r="E20"/>
  <c r="E18"/>
  <c r="D274"/>
  <c r="D268"/>
  <c r="D267"/>
  <c r="E274"/>
  <c r="E268"/>
  <c r="E267"/>
  <c r="F244"/>
  <c r="F243"/>
  <c r="F290"/>
  <c r="F289"/>
  <c r="E78"/>
  <c r="E76"/>
  <c r="E75"/>
  <c r="D78"/>
  <c r="D76"/>
  <c r="E108"/>
  <c r="D62"/>
  <c r="D48"/>
  <c r="D46"/>
  <c r="D44"/>
  <c r="E62"/>
  <c r="E48"/>
  <c r="E46"/>
  <c r="E44"/>
  <c r="D130"/>
  <c r="F256"/>
  <c r="F255"/>
  <c r="H39" i="1"/>
  <c r="H38"/>
  <c r="C108" i="10"/>
  <c r="H27" i="1"/>
  <c r="C48" i="10"/>
  <c r="E278"/>
  <c r="E277"/>
  <c r="E130"/>
  <c r="H157" i="1"/>
  <c r="C306" i="10"/>
  <c r="C314"/>
  <c r="H68" i="1"/>
  <c r="C128" i="10"/>
  <c r="E339"/>
  <c r="E24"/>
  <c r="E16"/>
  <c r="E37"/>
  <c r="F340"/>
  <c r="F339"/>
  <c r="D24"/>
  <c r="F364"/>
  <c r="F362"/>
  <c r="D11"/>
  <c r="F14"/>
  <c r="F13"/>
  <c r="E334"/>
  <c r="E332"/>
  <c r="D334"/>
  <c r="D339"/>
  <c r="E11"/>
  <c r="F338"/>
  <c r="E362"/>
  <c r="E363"/>
  <c r="D362"/>
  <c r="D363"/>
  <c r="C15" i="2"/>
  <c r="C362" i="10"/>
  <c r="H170" i="1"/>
  <c r="C334" i="10"/>
  <c r="E333"/>
  <c r="F26"/>
  <c r="D37"/>
  <c r="D18"/>
  <c r="D17"/>
  <c r="D129"/>
  <c r="D128"/>
  <c r="D126"/>
  <c r="E129"/>
  <c r="E128"/>
  <c r="E126"/>
  <c r="F319"/>
  <c r="F314"/>
  <c r="F306"/>
  <c r="F305"/>
  <c r="D19"/>
  <c r="E19"/>
  <c r="E165"/>
  <c r="C70"/>
  <c r="F130"/>
  <c r="F42"/>
  <c r="F62"/>
  <c r="E17"/>
  <c r="D70"/>
  <c r="D68"/>
  <c r="D75"/>
  <c r="F274"/>
  <c r="H26" i="1"/>
  <c r="C46" i="10"/>
  <c r="E70"/>
  <c r="E68"/>
  <c r="F189"/>
  <c r="F166"/>
  <c r="F90"/>
  <c r="F278"/>
  <c r="F277"/>
  <c r="E107"/>
  <c r="D107"/>
  <c r="D165"/>
  <c r="F78"/>
  <c r="E25"/>
  <c r="D25"/>
  <c r="E47"/>
  <c r="D47"/>
  <c r="F29"/>
  <c r="H12" i="1"/>
  <c r="C24" i="10"/>
  <c r="F108"/>
  <c r="F107"/>
  <c r="H67" i="1"/>
  <c r="C13" i="2"/>
  <c r="E313" i="10"/>
  <c r="D313"/>
  <c r="D305"/>
  <c r="E305"/>
  <c r="C12" i="2"/>
  <c r="C68" i="10"/>
  <c r="F22"/>
  <c r="F20"/>
  <c r="F18"/>
  <c r="F12"/>
  <c r="F10"/>
  <c r="E127"/>
  <c r="D16"/>
  <c r="F363"/>
  <c r="D361"/>
  <c r="F337"/>
  <c r="F336"/>
  <c r="F313"/>
  <c r="C14" i="2"/>
  <c r="C332" i="10"/>
  <c r="E331"/>
  <c r="F361"/>
  <c r="E361"/>
  <c r="D332"/>
  <c r="D333"/>
  <c r="E386"/>
  <c r="E387"/>
  <c r="E388"/>
  <c r="F129"/>
  <c r="F61"/>
  <c r="F48"/>
  <c r="F41"/>
  <c r="F38"/>
  <c r="F24"/>
  <c r="E69"/>
  <c r="F25"/>
  <c r="F165"/>
  <c r="E23"/>
  <c r="D23"/>
  <c r="F273"/>
  <c r="F268"/>
  <c r="F267"/>
  <c r="D69"/>
  <c r="C16"/>
  <c r="E15"/>
  <c r="C10" i="2"/>
  <c r="F77" i="10"/>
  <c r="F76"/>
  <c r="D127"/>
  <c r="F89"/>
  <c r="F86"/>
  <c r="F85"/>
  <c r="D45"/>
  <c r="E45"/>
  <c r="C11" i="2"/>
  <c r="C44" i="10"/>
  <c r="G198" i="1"/>
  <c r="G199"/>
  <c r="G200"/>
  <c r="C126" i="10"/>
  <c r="E125"/>
  <c r="E67"/>
  <c r="D67"/>
  <c r="F19"/>
  <c r="F21"/>
  <c r="D15"/>
  <c r="D18" i="2"/>
  <c r="D11"/>
  <c r="F37" i="10"/>
  <c r="D386"/>
  <c r="D387"/>
  <c r="F335"/>
  <c r="F334"/>
  <c r="D331"/>
  <c r="F46"/>
  <c r="F47"/>
  <c r="F128"/>
  <c r="F126"/>
  <c r="E43"/>
  <c r="D43"/>
  <c r="F70"/>
  <c r="F75"/>
  <c r="D125"/>
  <c r="F11"/>
  <c r="F9"/>
  <c r="F17"/>
  <c r="D10" i="2"/>
  <c r="D19"/>
  <c r="D20"/>
  <c r="D16"/>
  <c r="D9"/>
  <c r="D15"/>
  <c r="D13"/>
  <c r="D12"/>
  <c r="D14"/>
  <c r="F127" i="10"/>
  <c r="D390"/>
  <c r="E390"/>
  <c r="D388"/>
  <c r="D391"/>
  <c r="E391"/>
  <c r="F333"/>
  <c r="F332"/>
  <c r="F331"/>
  <c r="C47"/>
  <c r="F44"/>
  <c r="F43"/>
  <c r="F45"/>
  <c r="F23"/>
  <c r="F16"/>
  <c r="F15"/>
  <c r="F125"/>
  <c r="F68"/>
  <c r="F67"/>
  <c r="F69"/>
  <c r="F386"/>
  <c r="F387"/>
  <c r="F388"/>
  <c r="F391"/>
  <c r="F390"/>
  <c r="C303"/>
  <c r="C163"/>
  <c r="E385"/>
  <c r="C63"/>
  <c r="C179"/>
  <c r="C33"/>
  <c r="C103"/>
  <c r="C107"/>
  <c r="C283"/>
  <c r="C23"/>
  <c r="C77"/>
  <c r="C143"/>
  <c r="C183"/>
  <c r="C29"/>
  <c r="C115"/>
  <c r="C195"/>
  <c r="C235"/>
  <c r="C59"/>
  <c r="C123"/>
  <c r="C161"/>
  <c r="C85"/>
  <c r="C177"/>
  <c r="C269"/>
  <c r="C381"/>
  <c r="C377"/>
  <c r="C43"/>
  <c r="C101"/>
  <c r="C133"/>
  <c r="C157"/>
  <c r="C171"/>
  <c r="C253"/>
  <c r="C315"/>
  <c r="C333"/>
  <c r="D385"/>
  <c r="D389"/>
  <c r="C363"/>
  <c r="C15"/>
  <c r="C35"/>
  <c r="C39"/>
  <c r="C55"/>
  <c r="C65"/>
  <c r="C61"/>
  <c r="C73"/>
  <c r="C95"/>
  <c r="C97"/>
  <c r="C121"/>
  <c r="C119"/>
  <c r="C135"/>
  <c r="C141"/>
  <c r="C145"/>
  <c r="C151"/>
  <c r="C89"/>
  <c r="C129"/>
  <c r="C37"/>
  <c r="C219"/>
  <c r="C213"/>
  <c r="C205"/>
  <c r="C185"/>
  <c r="C191"/>
  <c r="C239"/>
  <c r="C233"/>
  <c r="C267"/>
  <c r="C291"/>
  <c r="C299"/>
  <c r="C317"/>
  <c r="C345"/>
  <c r="C353"/>
  <c r="C367"/>
  <c r="C365"/>
  <c r="C9"/>
  <c r="C21"/>
  <c r="C27"/>
  <c r="C41"/>
  <c r="C49"/>
  <c r="C53"/>
  <c r="C69"/>
  <c r="C81"/>
  <c r="C93"/>
  <c r="C99"/>
  <c r="C113"/>
  <c r="C117"/>
  <c r="C137"/>
  <c r="C149"/>
  <c r="C155"/>
  <c r="C139"/>
  <c r="C19"/>
  <c r="C91"/>
  <c r="C25"/>
  <c r="C187"/>
  <c r="C227"/>
  <c r="C207"/>
  <c r="C209"/>
  <c r="C223"/>
  <c r="C257"/>
  <c r="C241"/>
  <c r="C285"/>
  <c r="C289"/>
  <c r="C305"/>
  <c r="C329"/>
  <c r="C341"/>
  <c r="C355"/>
  <c r="C371"/>
  <c r="C17"/>
  <c r="C127"/>
  <c r="C11"/>
  <c r="C379"/>
  <c r="C13"/>
  <c r="C361"/>
  <c r="C125"/>
  <c r="F385"/>
  <c r="C31"/>
  <c r="C45"/>
  <c r="C57"/>
  <c r="C51"/>
  <c r="C67"/>
  <c r="C83"/>
  <c r="C105"/>
  <c r="C87"/>
  <c r="C111"/>
  <c r="C109"/>
  <c r="C153"/>
  <c r="C159"/>
  <c r="C131"/>
  <c r="C147"/>
  <c r="C75"/>
  <c r="C71"/>
  <c r="C203"/>
  <c r="C229"/>
  <c r="C211"/>
  <c r="C167"/>
  <c r="C217"/>
  <c r="C231"/>
  <c r="C237"/>
  <c r="C265"/>
  <c r="C293"/>
  <c r="C287"/>
  <c r="C311"/>
  <c r="C323"/>
  <c r="C337"/>
  <c r="C349"/>
  <c r="C369"/>
  <c r="C169"/>
  <c r="C193"/>
  <c r="C225"/>
  <c r="C199"/>
  <c r="C247"/>
  <c r="C245"/>
  <c r="C261"/>
  <c r="C255"/>
  <c r="C263"/>
  <c r="C271"/>
  <c r="C281"/>
  <c r="C279"/>
  <c r="C297"/>
  <c r="C301"/>
  <c r="C313"/>
  <c r="C325"/>
  <c r="C319"/>
  <c r="C343"/>
  <c r="C347"/>
  <c r="C351"/>
  <c r="C357"/>
  <c r="C375"/>
  <c r="C383"/>
  <c r="C79"/>
  <c r="C221"/>
  <c r="C197"/>
  <c r="C189"/>
  <c r="C173"/>
  <c r="C181"/>
  <c r="C201"/>
  <c r="C175"/>
  <c r="C215"/>
  <c r="C243"/>
  <c r="C259"/>
  <c r="C249"/>
  <c r="C251"/>
  <c r="C165"/>
  <c r="C277"/>
  <c r="C275"/>
  <c r="C273"/>
  <c r="C295"/>
  <c r="C309"/>
  <c r="C307"/>
  <c r="C327"/>
  <c r="C321"/>
  <c r="C335"/>
  <c r="C331"/>
  <c r="C359"/>
  <c r="C339"/>
  <c r="C373"/>
  <c r="E389"/>
  <c r="F389"/>
</calcChain>
</file>

<file path=xl/sharedStrings.xml><?xml version="1.0" encoding="utf-8"?>
<sst xmlns="http://schemas.openxmlformats.org/spreadsheetml/2006/main" count="2682" uniqueCount="938">
  <si>
    <t>Filtro ultravioleta UVC Power, vazão 18 m³/h, DN 50mm (1.1/2"), referência comercial: SODRAMAR, modelo&gt; SUV 95 - ABS</t>
  </si>
  <si>
    <t xml:space="preserve"> CM1549 </t>
  </si>
  <si>
    <t>Hidrômetro ultrassônico, modelo hydrus, marca DIEHL, DN 20</t>
  </si>
  <si>
    <t xml:space="preserve"> CM1591 </t>
  </si>
  <si>
    <t>Hidrômetro tipo woltmann industrial - flangeado - DN 65 equipado com sensor reed-switch para saída pulsada</t>
  </si>
  <si>
    <t xml:space="preserve"> CM1550 </t>
  </si>
  <si>
    <t>Hidrômetro Woltmann, flangeado, horizontal, classe B, equipado com sensor reed switch, marca SAGA, DN 80</t>
  </si>
  <si>
    <t xml:space="preserve"> CM1347 </t>
  </si>
  <si>
    <t>Hidrômetro ultrassônico DN 25mm, ref. Hydrus, fab. Diehl</t>
  </si>
  <si>
    <t xml:space="preserve"> 00011707 </t>
  </si>
  <si>
    <t>RALO FOFO SEMIESFERICO, 75 MM, PARA LAJES/ CALHAS</t>
  </si>
  <si>
    <t xml:space="preserve"> CM1786 </t>
  </si>
  <si>
    <t xml:space="preserve"> 88628 </t>
  </si>
  <si>
    <t>ARGAMASSA TRAÇO 1:3 (EM VOLUME DE CIMENTO E AREIA MÉDIA ÚMIDA), PREPARO MECÂNICO COM BETONEIRA 400 L. AF_08/2019</t>
  </si>
  <si>
    <t xml:space="preserve"> 00005085 </t>
  </si>
  <si>
    <t>CADEADO SIMPLES, CORPO EM LATAO MACICO, COM LARGURA DE 35 MM E ALTURA DE APROX 30 MM, HASTE CEMENTADA (NAO LONGA), EM ACO TEMPERADO COM DIAMETRO DE APROX 6,0 MM, INCLUINDO 2 CHAVES</t>
  </si>
  <si>
    <t xml:space="preserve"> CM1792 </t>
  </si>
  <si>
    <t xml:space="preserve"> 00034636 </t>
  </si>
  <si>
    <t>CAIXA D'AGUA EM POLIETILENO 1000 LITROS, COM TAMPA</t>
  </si>
  <si>
    <t xml:space="preserve"> 00011928 </t>
  </si>
  <si>
    <t>ABRACADEIRA, GALVANIZADA/ZINCADA, ROSCA SEM FIM, PARAFUSO INOX, LARGURA  FITA *12,6 A *14 MM, D = 3" A 3 3/4"</t>
  </si>
  <si>
    <t xml:space="preserve"> 00011927 </t>
  </si>
  <si>
    <t>ABRACADEIRA, GALVANIZADA/ZINCADA, ROSCA SEM FIM, PARAFUSO INOX, LARGURA  FITA *12,6 A *14 MM, D = 2" A 2 1/2"</t>
  </si>
  <si>
    <t xml:space="preserve"> 88264 </t>
  </si>
  <si>
    <t>ELETRICISTA COM ENCARGOS COMPLEMENTARES</t>
  </si>
  <si>
    <t xml:space="preserve"> 88247 </t>
  </si>
  <si>
    <t>AUXILIAR DE ELETRICISTA COM ENCARGOS COMPLEMENTARES</t>
  </si>
  <si>
    <t xml:space="preserve"> 88831 </t>
  </si>
  <si>
    <t>BETONEIRA CAPACIDADE NOMINAL DE 400 L, CAPACIDADE DE MISTURA 280 L, MOTOR ELÉTRICO TRIFÁSICO POTÊNCIA DE 2 CV, SEM CARREGADOR - CHI DIURNO. AF_10/2014</t>
  </si>
  <si>
    <t xml:space="preserve"> 88830 </t>
  </si>
  <si>
    <t>BETONEIRA CAPACIDADE NOMINAL DE 400 L, CAPACIDADE DE MISTURA 280 L, MOTOR ELÉTRICO TRIFÁSICO POTÊNCIA DE 2 CV, SEM CARREGADOR - CHP DIURNO. AF_10/2014</t>
  </si>
  <si>
    <t xml:space="preserve"> 88298 </t>
  </si>
  <si>
    <t>OPERADOR DE MARTELETE OU MARTELETEIRO COM ENCARGOS COMPLEMENTARES</t>
  </si>
  <si>
    <t xml:space="preserve"> 00034721 </t>
  </si>
  <si>
    <t>PLACA DE SINALIZACAO EM CHAPA DE ALUMINIO COM PINTURA REFLETIVA, E = 2 MM</t>
  </si>
  <si>
    <t xml:space="preserve"> CM1794 </t>
  </si>
  <si>
    <t xml:space="preserve"> 00021127 </t>
  </si>
  <si>
    <t>FITA ISOLANTE ADESIVA ANTICHAMA, USO ATE 750 V, EM ROLO DE 19 MM X 5 M</t>
  </si>
  <si>
    <t xml:space="preserve"> CM1793 </t>
  </si>
  <si>
    <t>Cabo elétrico flexível tipo PP (2x2,5mm²) têmpera mole, encordoamento classe 5, isolação PVC em dupla camada 70°C, 450/750V, fabricante Prysmian modelo PP Cordplast</t>
  </si>
  <si>
    <t xml:space="preserve"> CM0752 </t>
  </si>
  <si>
    <t>Cabo elétrico flexível tipo PP (3x2,5mm²) têmpera mole, encordoamento classe 5, isolação PVC em dupla camada 70°C, 450/750V, fabricante Prysmian modelo PP Cordplast</t>
  </si>
  <si>
    <t xml:space="preserve"> 91996 </t>
  </si>
  <si>
    <t>TOMADA MÉDIA DE EMBUTIR (1 MÓDULO), 2P+T 10 A, INCLUINDO SUPORTE E PLACA - FORNECIMENTO E INSTALAÇÃO. AF_12/2015</t>
  </si>
  <si>
    <t xml:space="preserve"> 91992 </t>
  </si>
  <si>
    <t>TOMADA ALTA DE EMBUTIR (1 MÓDULO), 2P+T 10 A, INCLUINDO SUPORTE E PLACA - FORNECIMENTO E INSTALAÇÃO. AF_12/2015</t>
  </si>
  <si>
    <t xml:space="preserve"> 97915 </t>
  </si>
  <si>
    <t>TRANSPORTE COM CAMINHÃO BASCULANTE DE 6 M³, EM VIA URBANA PAVIMENTADA, ADICIONAL PARA DMT EXCEDENTE A 30 KM (UNIDADE: M3XKM). AF_07/2020</t>
  </si>
  <si>
    <t xml:space="preserve"> 72897 </t>
  </si>
  <si>
    <t>CARGA MANUAL DE ENTULHO EM CAMINHAO BASCULANTE 6 M3</t>
  </si>
  <si>
    <t xml:space="preserve"> 88629 </t>
  </si>
  <si>
    <t>ARGAMASSA TRAÇO 1:3 (EM VOLUME DE CIMENTO E AREIA MÉDIA ÚMIDA), PREPARO MANUAL. AF_08/2019</t>
  </si>
  <si>
    <t xml:space="preserve"> CM1797 </t>
  </si>
  <si>
    <t>Olhal de ancoragem em aço inox, resistência de 1500 kgf</t>
  </si>
  <si>
    <t>Mão de Obra</t>
  </si>
  <si>
    <t>Valor Acumulado</t>
  </si>
  <si>
    <t>Composição de BDI</t>
  </si>
  <si>
    <t>ITEM</t>
  </si>
  <si>
    <t>DISCRIMINAÇÃO</t>
  </si>
  <si>
    <t>%</t>
  </si>
  <si>
    <t>Grupo A</t>
  </si>
  <si>
    <t>% em relação ao custo direto CD</t>
  </si>
  <si>
    <t>A1</t>
  </si>
  <si>
    <t>Despesas Indiretas</t>
  </si>
  <si>
    <t>a1</t>
  </si>
  <si>
    <t>Administração Central</t>
  </si>
  <si>
    <t>a2</t>
  </si>
  <si>
    <t>Seguro + garantia</t>
  </si>
  <si>
    <t>a3</t>
  </si>
  <si>
    <t>Risco</t>
  </si>
  <si>
    <t>a4</t>
  </si>
  <si>
    <t>Despesa Financeira</t>
  </si>
  <si>
    <t>a5</t>
  </si>
  <si>
    <t>Lucro</t>
  </si>
  <si>
    <t>Grupo B</t>
  </si>
  <si>
    <t>% em relação ao valor total VT</t>
  </si>
  <si>
    <t>B1</t>
  </si>
  <si>
    <t>Tributos</t>
  </si>
  <si>
    <t>Pis</t>
  </si>
  <si>
    <t>Cofins</t>
  </si>
  <si>
    <t>BDI</t>
  </si>
  <si>
    <t>BDI = [(((1+(a1+a2+a3))*(1+a4)*(1+a5)))/(1-B1)-1]</t>
  </si>
  <si>
    <t>Composição de Encargos Sociais</t>
  </si>
  <si>
    <t>CÓDIGO</t>
  </si>
  <si>
    <t>DESCRIÇÃO</t>
  </si>
  <si>
    <t>GRUPO A</t>
  </si>
  <si>
    <t>INSS</t>
  </si>
  <si>
    <t>A2</t>
  </si>
  <si>
    <t>SESI</t>
  </si>
  <si>
    <t>A3</t>
  </si>
  <si>
    <t>SENAI</t>
  </si>
  <si>
    <t>A4</t>
  </si>
  <si>
    <t>INCRA</t>
  </si>
  <si>
    <t>A5</t>
  </si>
  <si>
    <t>SEBRAE</t>
  </si>
  <si>
    <t>A6</t>
  </si>
  <si>
    <t>Salário-Educação</t>
  </si>
  <si>
    <t>A7</t>
  </si>
  <si>
    <t>Seguro Contra Acidentes Trabalho</t>
  </si>
  <si>
    <t>A8</t>
  </si>
  <si>
    <t>Fundo de Garantia por Tempo de Serviços</t>
  </si>
  <si>
    <t>A9</t>
  </si>
  <si>
    <t>SECONCI</t>
  </si>
  <si>
    <t>A</t>
  </si>
  <si>
    <t xml:space="preserve"> Total dos Encargos Sociais Básicos</t>
  </si>
  <si>
    <t>GRUPO B</t>
  </si>
  <si>
    <t>Repouso Semanal Remunerado</t>
  </si>
  <si>
    <t>B2</t>
  </si>
  <si>
    <t>Feriados</t>
  </si>
  <si>
    <t>B3</t>
  </si>
  <si>
    <t>Auxílio-enfermidade</t>
  </si>
  <si>
    <t>B4</t>
  </si>
  <si>
    <t>13º Salário</t>
  </si>
  <si>
    <t>B5</t>
  </si>
  <si>
    <t>Licença-paternidade</t>
  </si>
  <si>
    <t>B6</t>
  </si>
  <si>
    <t>Faltas justificadas</t>
  </si>
  <si>
    <t>B7</t>
  </si>
  <si>
    <t>Dias de chuva</t>
  </si>
  <si>
    <t>B8</t>
  </si>
  <si>
    <t>Auxílio acidente de trabalho</t>
  </si>
  <si>
    <t>B9</t>
  </si>
  <si>
    <t>Férias gozadas</t>
  </si>
  <si>
    <t>B10</t>
  </si>
  <si>
    <t>Salário maternidade</t>
  </si>
  <si>
    <t>B</t>
  </si>
  <si>
    <t>Total de Encargos Sociais que recebem incidências de A</t>
  </si>
  <si>
    <t>GRUPO C</t>
  </si>
  <si>
    <t>C1</t>
  </si>
  <si>
    <t>Aviso prévio indenizado</t>
  </si>
  <si>
    <t>C2</t>
  </si>
  <si>
    <t>Aviso prévio trabalhado</t>
  </si>
  <si>
    <t>C3</t>
  </si>
  <si>
    <t>Férias indenizadas (inclusive 1/3)</t>
  </si>
  <si>
    <t>C4</t>
  </si>
  <si>
    <t>Depósito rescisão sem justa causa</t>
  </si>
  <si>
    <t>C5</t>
  </si>
  <si>
    <t>Indenização adicional</t>
  </si>
  <si>
    <t>C</t>
  </si>
  <si>
    <t>GRUPO D</t>
  </si>
  <si>
    <t>D1</t>
  </si>
  <si>
    <t>Reincidência de A sobre B</t>
  </si>
  <si>
    <t>D2</t>
  </si>
  <si>
    <t>Reincidência do FGTS sobre API e Grupo A sobre APT</t>
  </si>
  <si>
    <t xml:space="preserve">D </t>
  </si>
  <si>
    <t>Total das Taxas incidências e reincidências</t>
  </si>
  <si>
    <t>Total das taxas incidências e reincidências</t>
  </si>
  <si>
    <t>Cronograma Físico e Financeiro</t>
  </si>
  <si>
    <t>Total Por Etapa</t>
  </si>
  <si>
    <t>30 DIAS</t>
  </si>
  <si>
    <t>60 DIAS</t>
  </si>
  <si>
    <t>Porcentagem</t>
  </si>
  <si>
    <t>Custo</t>
  </si>
  <si>
    <t>Porcentagem Acumulado</t>
  </si>
  <si>
    <t>Valor Mensal</t>
  </si>
  <si>
    <t>Insumos e Serviços</t>
  </si>
  <si>
    <t xml:space="preserve">MPDFT0009 </t>
  </si>
  <si>
    <t>CANTEIRO DE OBRAS</t>
  </si>
  <si>
    <t>02.01</t>
  </si>
  <si>
    <t xml:space="preserve"> 05.06.900 </t>
  </si>
  <si>
    <t>Diversos</t>
  </si>
  <si>
    <t>P. Execução:</t>
  </si>
  <si>
    <t>Licitação:</t>
  </si>
  <si>
    <r>
      <rPr>
        <b/>
        <sz val="8"/>
        <color indexed="8"/>
        <rFont val="Arial"/>
        <family val="2"/>
      </rPr>
      <t xml:space="preserve">Objeto: </t>
    </r>
    <r>
      <rPr>
        <sz val="8"/>
        <color indexed="8"/>
        <rFont val="Arial"/>
        <family val="2"/>
      </rPr>
      <t>Ampliação reuso edifício Ceilândia</t>
    </r>
  </si>
  <si>
    <r>
      <rPr>
        <b/>
        <sz val="8"/>
        <color indexed="8"/>
        <rFont val="Arial"/>
        <family val="2"/>
      </rPr>
      <t xml:space="preserve">Local: </t>
    </r>
    <r>
      <rPr>
        <sz val="8"/>
        <color indexed="8"/>
        <rFont val="Arial"/>
        <family val="2"/>
      </rPr>
      <t>QNM 11, Lotes 1 e 2, Centro Urbano, Ceilândia-DF</t>
    </r>
  </si>
  <si>
    <t>P. Validade:</t>
  </si>
  <si>
    <t>Razão Social:</t>
  </si>
  <si>
    <t>Telefone:</t>
  </si>
  <si>
    <t>D</t>
  </si>
  <si>
    <t>E</t>
  </si>
  <si>
    <t>P. Garantia:</t>
  </si>
  <si>
    <t>CNPJ:</t>
  </si>
  <si>
    <t>E-mail:</t>
  </si>
  <si>
    <t>F</t>
  </si>
  <si>
    <t>G</t>
  </si>
  <si>
    <t xml:space="preserve"> 05.06.900.1 </t>
  </si>
  <si>
    <t>Custo Acumulado</t>
  </si>
  <si>
    <t xml:space="preserve"> 05.03.100.4</t>
  </si>
  <si>
    <t xml:space="preserve"> 05.06.900.2</t>
  </si>
  <si>
    <t xml:space="preserve"> 05.06.900.3</t>
  </si>
  <si>
    <t xml:space="preserve"> 05.06.900.4</t>
  </si>
  <si>
    <t xml:space="preserve"> 05.06.900.5</t>
  </si>
  <si>
    <t xml:space="preserve"> 05.06.900.6</t>
  </si>
  <si>
    <t xml:space="preserve"> 05.06.900.7</t>
  </si>
  <si>
    <t xml:space="preserve"> 05.06.900.8</t>
  </si>
  <si>
    <t>Marca</t>
  </si>
  <si>
    <t>Modelo</t>
  </si>
  <si>
    <t>********</t>
  </si>
  <si>
    <t>Instruções de Preenchimento do Modelo de Proposta</t>
  </si>
  <si>
    <t>CONSIDERAÇÕES GERAIS</t>
  </si>
  <si>
    <r>
      <t xml:space="preserve">O cabeçalho deverá ser preenchido somente na </t>
    </r>
    <r>
      <rPr>
        <b/>
        <sz val="8"/>
        <color indexed="10"/>
        <rFont val="Arial"/>
        <family val="2"/>
      </rPr>
      <t>PLANILHA DE ORÇAMENTO SINTÉTICO</t>
    </r>
    <r>
      <rPr>
        <sz val="8"/>
        <rFont val="Arial"/>
        <family val="2"/>
      </rPr>
      <t>, pois será repetido automaticamente nas demais planilhas. Para isso, o mouse deverá ser posicionado sobre a célula que contem a informação, e posteriormente pressionado F2</t>
    </r>
  </si>
  <si>
    <t>Sugerimos a seguinte sequência de preenchimento de planilhas:</t>
  </si>
  <si>
    <t>2.1</t>
  </si>
  <si>
    <r>
      <t xml:space="preserve">Valide os valores constantes na </t>
    </r>
    <r>
      <rPr>
        <b/>
        <sz val="8"/>
        <rFont val="Arial"/>
        <family val="2"/>
      </rPr>
      <t>Planilha de Insumos</t>
    </r>
    <r>
      <rPr>
        <sz val="8"/>
        <rFont val="Arial"/>
        <family val="2"/>
      </rPr>
      <t xml:space="preserve"> </t>
    </r>
    <r>
      <rPr>
        <b/>
        <sz val="8"/>
        <rFont val="Arial"/>
        <family val="2"/>
      </rPr>
      <t>e Serviços</t>
    </r>
    <r>
      <rPr>
        <sz val="8"/>
        <rFont val="Arial"/>
        <family val="2"/>
      </rPr>
      <t>, observando as orientações contidas no edital no tocante aos valores máximos.</t>
    </r>
  </si>
  <si>
    <t>2.2</t>
  </si>
  <si>
    <r>
      <t xml:space="preserve">Valide os coeficientes de participação dos insumos, constantes na </t>
    </r>
    <r>
      <rPr>
        <b/>
        <sz val="8"/>
        <rFont val="Arial"/>
        <family val="2"/>
      </rPr>
      <t>Planilha de Orçamento Analítico</t>
    </r>
    <r>
      <rPr>
        <sz val="8"/>
        <rFont val="Arial"/>
        <family val="2"/>
      </rPr>
      <t>.</t>
    </r>
  </si>
  <si>
    <t>2.3</t>
  </si>
  <si>
    <r>
      <t xml:space="preserve">Preencha os coeficientes relativo à cada item da </t>
    </r>
    <r>
      <rPr>
        <b/>
        <sz val="8"/>
        <rFont val="Arial"/>
        <family val="2"/>
      </rPr>
      <t xml:space="preserve">Planilha de Composição do BDI, </t>
    </r>
    <r>
      <rPr>
        <sz val="8"/>
        <rFont val="Arial"/>
        <family val="2"/>
      </rPr>
      <t>realizando os ajustes que julgar necessário, observando as orientações sobre esta planilha, que estão descritas abaixo;</t>
    </r>
  </si>
  <si>
    <t>2.4</t>
  </si>
  <si>
    <t>2.5</t>
  </si>
  <si>
    <r>
      <t xml:space="preserve">Neste momento o valor final da proposta já será conhecido. Preencha a </t>
    </r>
    <r>
      <rPr>
        <b/>
        <sz val="8"/>
        <rFont val="Arial"/>
        <family val="2"/>
      </rPr>
      <t>Planilha de Composição de Encargos Sociais</t>
    </r>
    <r>
      <rPr>
        <sz val="8"/>
        <rFont val="Arial"/>
        <family val="2"/>
      </rPr>
      <t xml:space="preserve"> com os percentuais de cada item que a compoe.</t>
    </r>
  </si>
  <si>
    <t>SOBRE A PLANILHA ORÇAMENTÁRIA SINTÉTICA</t>
  </si>
  <si>
    <r>
      <t xml:space="preserve">A Planilha Orçamentária </t>
    </r>
    <r>
      <rPr>
        <b/>
        <u/>
        <sz val="8"/>
        <color indexed="10"/>
        <rFont val="Arial"/>
        <family val="2"/>
      </rPr>
      <t>não</t>
    </r>
    <r>
      <rPr>
        <sz val="8"/>
        <rFont val="Arial"/>
        <family val="2"/>
      </rPr>
      <t xml:space="preserve"> poderá sofrer alterações em sua estrutura (adição ou subtração de serviços, ou mesmo alteração na quantidade dos itens);</t>
    </r>
  </si>
  <si>
    <r>
      <t xml:space="preserve">Os preços unitários desta planilha estão vinculados, por dependência, às demais planilhas (Orçamento Analítico, Insumos e Serviços). Desta forma </t>
    </r>
    <r>
      <rPr>
        <b/>
        <u/>
        <sz val="8"/>
        <color indexed="10"/>
        <rFont val="Arial"/>
        <family val="2"/>
      </rPr>
      <t>NENHUM</t>
    </r>
    <r>
      <rPr>
        <sz val="8"/>
        <rFont val="Arial"/>
        <family val="2"/>
      </rPr>
      <t xml:space="preserve"> valor unitário deverá ser preenchido diretamente nesta planilha;</t>
    </r>
  </si>
  <si>
    <t>SOBRE A PLANILHA ORÇAMENTÁRIA ANALÍTICA</t>
  </si>
  <si>
    <r>
      <t xml:space="preserve">Esta planilha é referencial, portanto os </t>
    </r>
    <r>
      <rPr>
        <b/>
        <sz val="8"/>
        <rFont val="Arial"/>
        <family val="2"/>
      </rPr>
      <t xml:space="preserve">coeficientes </t>
    </r>
    <r>
      <rPr>
        <sz val="8"/>
        <rFont val="Arial"/>
        <family val="2"/>
      </rPr>
      <t>de participação dos insumos poderão sofrer alterações;</t>
    </r>
  </si>
  <si>
    <t>Esta planilha contem vínculos. Tornando-se dependente dos preços, descrições e unidades constantes tanto na Planilha de Insumos e Serviços quanto na Planilha de Orçamento Sintético;</t>
  </si>
  <si>
    <t>Os valores unitários de serviços compostos nesta planilha, são transportados automaticamente para a Planilha de Orçamento Sintético;</t>
  </si>
  <si>
    <t>SOBRE A PLANILHA DE INSUMOS E SERVIÇOS</t>
  </si>
  <si>
    <t>Esta planilha constitui a base para estruturação dos preços unitários e totais.</t>
  </si>
  <si>
    <t>Valide os valores constantes nesta planilha, observando as orientações contidas no edital no tocante aos valores máximos.</t>
  </si>
  <si>
    <r>
      <t>Os valores unitários deverão ser preenchidos com</t>
    </r>
    <r>
      <rPr>
        <b/>
        <u/>
        <sz val="8"/>
        <color indexed="10"/>
        <rFont val="Arial"/>
        <family val="2"/>
      </rPr>
      <t xml:space="preserve"> no máximo duas casas decimais</t>
    </r>
    <r>
      <rPr>
        <sz val="8"/>
        <rFont val="Arial"/>
        <family val="2"/>
      </rPr>
      <t>. Caso opte por aplicar um percentual lde desconto, certifique-se de utilizar fórmula de arredondamento ou truncamento respeitando este limite.</t>
    </r>
  </si>
  <si>
    <r>
      <t xml:space="preserve">Indique a marca e modelo dos itens (quando aplicável). </t>
    </r>
    <r>
      <rPr>
        <b/>
        <u/>
        <sz val="8"/>
        <color indexed="10"/>
        <rFont val="Arial"/>
        <family val="2"/>
      </rPr>
      <t>A não indicação  de marca e ou modelo de referência constitui afronta ao edital, sob pena de desclassificação da proposta.</t>
    </r>
  </si>
  <si>
    <t>SOBRE A PLANILHA DE COMPOSIÇÃO DE BDI</t>
  </si>
  <si>
    <t>Os itens constantes nesta planilha foram adotados por este Órgão com base no decreto 7.983 de 8 de abril de 2013. Os percentuais são referenciais e foram baseados no Acórdão TCU 2622/2013-Plenário. É de responsabilidade da licitante o preenchimento dos percetuais desta planilha, em conformidade com sua realidade;</t>
  </si>
  <si>
    <t>O percentual aplicável do ISS está vinculado ao percentual de mão de obra informado na Planilha de Composição de Custo Total, e será automaticamente ajustado quando executado a orientação contida em 2.4;</t>
  </si>
  <si>
    <t>D3</t>
  </si>
  <si>
    <t>O valor final da composição do BDI está vinculado, por precedência, à Planilha de Orçamento Sintético.</t>
  </si>
  <si>
    <t>SOBRE A PLANILHA DE COMPOSIÇÃO DE ENCARGOS SOCIAIS</t>
  </si>
  <si>
    <t>E1</t>
  </si>
  <si>
    <t>Esta planilha é meramente demonstrativa (não influi sobre o valor final do orçamento).</t>
  </si>
  <si>
    <t>SOBRE O CRONOGRAMA FÍSICO-FINANCEIRO</t>
  </si>
  <si>
    <t>F.1</t>
  </si>
  <si>
    <t>Os itens e valores desta planiha são provenientes da Planilha de Orçamento Sintético;</t>
  </si>
  <si>
    <t>F.2</t>
  </si>
  <si>
    <r>
      <t xml:space="preserve">Os </t>
    </r>
    <r>
      <rPr>
        <b/>
        <sz val="8"/>
        <color indexed="10"/>
        <rFont val="Arial"/>
        <family val="2"/>
      </rPr>
      <t>serviços</t>
    </r>
    <r>
      <rPr>
        <sz val="8"/>
        <rFont val="Arial"/>
        <family val="2"/>
      </rPr>
      <t xml:space="preserve"> a serem executados mensalmente, deverão ser informadas na</t>
    </r>
    <r>
      <rPr>
        <b/>
        <sz val="8"/>
        <color indexed="10"/>
        <rFont val="Arial"/>
        <family val="2"/>
      </rPr>
      <t xml:space="preserve"> linha do percentual</t>
    </r>
    <r>
      <rPr>
        <sz val="8"/>
        <rFont val="Arial"/>
        <family val="2"/>
      </rPr>
      <t>, e os valores serão preenchidos automaticamente, inclusive nas etapas macro;</t>
    </r>
  </si>
  <si>
    <t>F.3</t>
  </si>
  <si>
    <t>O ajuste final (última etapa) de um determinado item, deverá respeitar a fórmula inserida no último mês do cronograma, transportando-a quando necessário.</t>
  </si>
  <si>
    <r>
      <t xml:space="preserve">Preencha o percentual referente à mão-de-obra na célula </t>
    </r>
    <r>
      <rPr>
        <b/>
        <sz val="8"/>
        <color indexed="10"/>
        <rFont val="Arial"/>
        <family val="2"/>
      </rPr>
      <t xml:space="preserve">B199 </t>
    </r>
    <r>
      <rPr>
        <sz val="8"/>
        <rFont val="Arial"/>
        <family val="2"/>
      </rPr>
      <t xml:space="preserve">da </t>
    </r>
    <r>
      <rPr>
        <b/>
        <sz val="8"/>
        <rFont val="Arial"/>
        <family val="2"/>
      </rPr>
      <t>Planilha de Orçamento Sintético</t>
    </r>
    <r>
      <rPr>
        <sz val="8"/>
        <rFont val="Arial"/>
        <family val="2"/>
      </rPr>
      <t>;</t>
    </r>
  </si>
  <si>
    <t>ISS (2% após desconto das mercadorias aplicadas)</t>
  </si>
  <si>
    <t>90 DIAS</t>
  </si>
  <si>
    <t>Classificação</t>
  </si>
  <si>
    <t>Item</t>
  </si>
  <si>
    <t>Código</t>
  </si>
  <si>
    <t>Banco</t>
  </si>
  <si>
    <t>Descrição</t>
  </si>
  <si>
    <t>Und</t>
  </si>
  <si>
    <t>Quant.</t>
  </si>
  <si>
    <t>Valor Unit</t>
  </si>
  <si>
    <t>Total</t>
  </si>
  <si>
    <t>Peso (%)</t>
  </si>
  <si>
    <t xml:space="preserve"> 01 </t>
  </si>
  <si>
    <t>SERVIÇOS TÉCNICOS-PROFISSIONAIS</t>
  </si>
  <si>
    <t xml:space="preserve"> 01.08 </t>
  </si>
  <si>
    <t>TAXAS E EMOLUMENTOS</t>
  </si>
  <si>
    <t xml:space="preserve"> 01.08.1 </t>
  </si>
  <si>
    <t xml:space="preserve"> MPDFT0009 </t>
  </si>
  <si>
    <t>Próprio</t>
  </si>
  <si>
    <t>Registro do contrato junto ao conselho de classe (ART)</t>
  </si>
  <si>
    <t>vb</t>
  </si>
  <si>
    <t xml:space="preserve"> 02 </t>
  </si>
  <si>
    <t>SERVIÇOS PRELIMINARES</t>
  </si>
  <si>
    <t xml:space="preserve"> 02.01.400 </t>
  </si>
  <si>
    <t>Proteção e Sinalização</t>
  </si>
  <si>
    <t xml:space="preserve"> 02.01.400.1 </t>
  </si>
  <si>
    <t xml:space="preserve"> MPDFT0113 </t>
  </si>
  <si>
    <t>Copia da SINAPI (85423) -Isolamento com tela de polietileno</t>
  </si>
  <si>
    <t>m²</t>
  </si>
  <si>
    <t xml:space="preserve"> 02.02 </t>
  </si>
  <si>
    <t>DEMOLIÇÃO</t>
  </si>
  <si>
    <t xml:space="preserve"> 02.02.100 </t>
  </si>
  <si>
    <t>Demolição convencional</t>
  </si>
  <si>
    <t xml:space="preserve"> 02.02.100.1 </t>
  </si>
  <si>
    <t xml:space="preserve"> 97629 </t>
  </si>
  <si>
    <t>SINAPI</t>
  </si>
  <si>
    <t>DEMOLIÇÃO DE LAJES, DE FORMA MECANIZADA COM MARTELETE, SEM REAPROVEITAMENTO. AF_12/2017</t>
  </si>
  <si>
    <t>m³</t>
  </si>
  <si>
    <t xml:space="preserve"> 02.02.100.2 </t>
  </si>
  <si>
    <t xml:space="preserve"> MPDFT0650 </t>
  </si>
  <si>
    <t>Escarificação de superfície de concreto, espessura até 5cm</t>
  </si>
  <si>
    <t xml:space="preserve"> 02.02.100.3 </t>
  </si>
  <si>
    <t xml:space="preserve"> 97625 </t>
  </si>
  <si>
    <t>DEMOLIÇÃO DE ALVENARIA PARA QUALQUER TIPO DE BLOCO, DE FORMA MECANIZADA, SEM REAPROVEITAMENTO. AF_12/2017</t>
  </si>
  <si>
    <t xml:space="preserve"> 02.02.100.4 </t>
  </si>
  <si>
    <t xml:space="preserve"> MPDFT0494 </t>
  </si>
  <si>
    <t>Demolição de camada de proteção mecânica, impermeabilização e regularização de base</t>
  </si>
  <si>
    <t xml:space="preserve"> 02.02.100.5 </t>
  </si>
  <si>
    <t xml:space="preserve"> MPDFT0837 </t>
  </si>
  <si>
    <t>Copia da FDE (15.50.001) - RASPAGEM DE IMPERMEABILIZAÇÃO</t>
  </si>
  <si>
    <t xml:space="preserve"> 02.02.300 </t>
  </si>
  <si>
    <t>Remoções</t>
  </si>
  <si>
    <t xml:space="preserve"> 02.02.300.1 </t>
  </si>
  <si>
    <t xml:space="preserve"> 97662 </t>
  </si>
  <si>
    <t>REMOÇÃO DE TUBULAÇÕES (TUBOS E CONEXÕES) DE ÁGUA FRIA, DE FORMA MANUAL, SEM REAPROVEITAMENTO. AF_12/2017</t>
  </si>
  <si>
    <t>M</t>
  </si>
  <si>
    <t xml:space="preserve"> 02.02.300.2 </t>
  </si>
  <si>
    <t xml:space="preserve"> MPDFT1112 </t>
  </si>
  <si>
    <t>Remoção de flanges, de forma manual, sem reaproveitamento</t>
  </si>
  <si>
    <t>UN</t>
  </si>
  <si>
    <t xml:space="preserve"> 03 </t>
  </si>
  <si>
    <t>FUNDAÇÕES E ESTRUTURAS</t>
  </si>
  <si>
    <t xml:space="preserve"> 03.02 </t>
  </si>
  <si>
    <t>ESTRUTURAS DE CONCRETO</t>
  </si>
  <si>
    <t xml:space="preserve"> 03.02.100 </t>
  </si>
  <si>
    <t>Concreto Armado</t>
  </si>
  <si>
    <t xml:space="preserve"> 03.02.100.1 </t>
  </si>
  <si>
    <t xml:space="preserve"> 92776 </t>
  </si>
  <si>
    <t>ARMAÇÃO DE PILAR OU VIGA DE UMA ESTRUTURA CONVENCIONAL DE CONCRETO ARMADO EM UMA EDIFICAÇÃO TÉRREA OU SOBRADO UTILIZANDO AÇO CA-50 DE 6,3 MM - MONTAGEM. AF_12/2015</t>
  </si>
  <si>
    <t>KG</t>
  </si>
  <si>
    <t xml:space="preserve"> 03.02.100.2 </t>
  </si>
  <si>
    <t xml:space="preserve"> 92777 </t>
  </si>
  <si>
    <t>ARMAÇÃO DE PILAR OU VIGA DE UMA ESTRUTURA CONVENCIONAL DE CONCRETO ARMADO EM UMA EDIFICAÇÃO TÉRREA OU SOBRADO UTILIZANDO AÇO CA-50 DE 8,0 MM - MONTAGEM. AF_12/2015</t>
  </si>
  <si>
    <t xml:space="preserve"> 03.02.100.3 </t>
  </si>
  <si>
    <t xml:space="preserve"> 92778 </t>
  </si>
  <si>
    <t>ARMAÇÃO DE PILAR OU VIGA DE UMA ESTRUTURA CONVENCIONAL DE CONCRETO ARMADO EM UMA EDIFICAÇÃO TÉRREA OU SOBRADO UTILIZANDO AÇO CA-50 DE 10,0 MM - MONTAGEM. AF_12/2015</t>
  </si>
  <si>
    <t xml:space="preserve"> 03.02.100.4 </t>
  </si>
  <si>
    <t xml:space="preserve"> 92780 </t>
  </si>
  <si>
    <t>ARMAÇÃO DE PILAR OU VIGA DE UMA ESTRUTURA CONVENCIONAL DE CONCRETO ARMADO EM UMA EDIFICAÇÃO TÉRREA OU SOBRADO UTILIZANDO AÇO CA-50 DE 16,0 MM - MONTAGEM. AF_12/2015</t>
  </si>
  <si>
    <t xml:space="preserve"> 03.02.100.5 </t>
  </si>
  <si>
    <t xml:space="preserve"> 94973 </t>
  </si>
  <si>
    <t>CONCRETO FCK = 40MPA, TRAÇO 1:1,6:1,9 (CIMENTO/ AREIA MÉDIA/ BRITA 1)  - PREPARO MECÂNICO COM BETONEIRA 600 L. AF_07/2016</t>
  </si>
  <si>
    <t xml:space="preserve"> 03.02.100.6 </t>
  </si>
  <si>
    <t xml:space="preserve"> 92873 </t>
  </si>
  <si>
    <t>LANÇAMENTO COM USO DE BALDES, ADENSAMENTO E ACABAMENTO DE CONCRETO EM ESTRUTURAS. AF_12/2015</t>
  </si>
  <si>
    <t xml:space="preserve"> 03.02.100.7 </t>
  </si>
  <si>
    <t xml:space="preserve"> MPDFT0642 </t>
  </si>
  <si>
    <t>Recomposição de laje, utilizando graute (Sikagrout-250) e colagem de ferragem com Sikadur-32</t>
  </si>
  <si>
    <t>sv</t>
  </si>
  <si>
    <t xml:space="preserve"> 03.02.100.8 </t>
  </si>
  <si>
    <t xml:space="preserve"> 101792 </t>
  </si>
  <si>
    <t>ESCORAMENTO DE FÔRMAS DE LAJE EM MADEIRA NÃO APARELHADA, PÉ-DIREITO SIMPLES, INCLUSO TRAVAMENTO, 4 UTILIZAÇÕES. AF_09/2020</t>
  </si>
  <si>
    <t xml:space="preserve"> 03.02.100.9 </t>
  </si>
  <si>
    <t xml:space="preserve"> 92419 </t>
  </si>
  <si>
    <t>MONTAGEM E DESMONTAGEM DE FÔRMA DE PILARES RETANGULARES E ESTRUTURAS SIMILARES, PÉ-DIREITO SIMPLES, EM CHAPA DE MADEIRA COMPENSADA RESINADA, 4 UTILIZAÇÕES. AF_09/2020</t>
  </si>
  <si>
    <t xml:space="preserve"> 04.01.100 </t>
  </si>
  <si>
    <t>Parede</t>
  </si>
  <si>
    <t xml:space="preserve"> 04.01.100.1 </t>
  </si>
  <si>
    <t xml:space="preserve"> 87513 </t>
  </si>
  <si>
    <t>ALVENARIA DE VEDAÇÃO DE BLOCOS CERÂMICOS FURADOS NA HORIZONTAL DE 11,5X19X19CM (ESPESSURA 11,5CM) DE PAREDES COM ÁREA LÍQUIDA MENOR QUE 6M² COM VÃOS E ARGAMASSA DE ASSENTAMENTO COM PREPARO EM BETONEIRA. AF_06/2014</t>
  </si>
  <si>
    <t xml:space="preserve"> 04.01.200 </t>
  </si>
  <si>
    <t>Esquadrias</t>
  </si>
  <si>
    <t xml:space="preserve"> 04.01.200.1 </t>
  </si>
  <si>
    <t xml:space="preserve"> MPDFT1136 </t>
  </si>
  <si>
    <t>Claraboia metálica com grade  de fechamento - estrutura em metalon 50x50mm, #2,0 mm; tampa em chapa metálica lisa, e=3,0 mm, dobrada e soldada; lateral em veneziana 50x24mm, #16 e tela anti inseto; grade em metalon 50x30mm e 20x30mm e=2,0. Incluso fundo preparador e pintura esmalte</t>
  </si>
  <si>
    <t>un</t>
  </si>
  <si>
    <t xml:space="preserve"> 04.01.530 </t>
  </si>
  <si>
    <t>Revestimentos de paredes</t>
  </si>
  <si>
    <t xml:space="preserve"> 04.01.530.1 </t>
  </si>
  <si>
    <t xml:space="preserve"> 87905 </t>
  </si>
  <si>
    <t>CHAPISCO APLICADO EM ALVENARIA (COM PRESENÇA DE VÃOS) E ESTRUTURAS DE CONCRETO DE FACHADA, COM COLHER DE PEDREIRO.  ARGAMASSA TRAÇO 1:3 COM PREPARO EM BETONEIRA 400L. AF_06/2014</t>
  </si>
  <si>
    <t xml:space="preserve"> 04.01.530.2 </t>
  </si>
  <si>
    <t xml:space="preserve"> 89173 </t>
  </si>
  <si>
    <t>(COMPOSIÇÃO REPRESENTATIVA) DO SERVIÇO DE EMBOÇO/MASSA ÚNICA, APLICADO MANUALMENTE, TRAÇO 1:2:8, EM BETONEIRA DE 400L, PAREDES INTERNAS, COM EXECUÇÃO DE TALISCAS, EDIFICAÇÃO HABITACIONAL UNIFAMILIAR (CASAS) E EDIFICAÇÃO PÚBLICA PADRÃO. AF_12/2014</t>
  </si>
  <si>
    <t xml:space="preserve"> 04.01.550 </t>
  </si>
  <si>
    <t>Revestimentos de forro</t>
  </si>
  <si>
    <t xml:space="preserve"> 04.01.550.1 </t>
  </si>
  <si>
    <t xml:space="preserve"> 96114 </t>
  </si>
  <si>
    <t>FORRO EM DRYWALL, PARA AMBIENTES COMERCIAIS, INCLUSIVE ESTRUTURA DE FIXAÇÃO. AF_05/2017_P</t>
  </si>
  <si>
    <t xml:space="preserve"> 04.01.550.2 </t>
  </si>
  <si>
    <t xml:space="preserve"> MPDFT1052 </t>
  </si>
  <si>
    <t>Tabica metálica pré pintada, para forro em gesso acartonado</t>
  </si>
  <si>
    <t>m</t>
  </si>
  <si>
    <t xml:space="preserve"> 04.01.560 </t>
  </si>
  <si>
    <t>Pinturas</t>
  </si>
  <si>
    <t xml:space="preserve"> 04.01.560.1 </t>
  </si>
  <si>
    <t xml:space="preserve"> 88416 </t>
  </si>
  <si>
    <t>APLICAÇÃO MANUAL DE PINTURA COM TINTA TEXTURIZADA ACRÍLICA EM PANOS COM PRESENÇA DE VÃOS DE EDIFÍCIOS DE MÚLTIPLOS PAVIMENTOS, UMA COR. AF_06/2014</t>
  </si>
  <si>
    <t xml:space="preserve"> 04.01.560.2 </t>
  </si>
  <si>
    <t xml:space="preserve"> 102491 </t>
  </si>
  <si>
    <t>PINTURA DE PISO COM TINTA ACRÍLICA, APLICAÇÃO MANUAL, 2 DEMÃOS, INCLUSO FUNDO PREPARADOR. AF_05/2021</t>
  </si>
  <si>
    <t xml:space="preserve"> 04.01.560.3 </t>
  </si>
  <si>
    <t xml:space="preserve"> 88489 </t>
  </si>
  <si>
    <t>APLICAÇÃO MANUAL DE PINTURA COM TINTA LÁTEX ACRÍLICA EM PAREDES, DUAS DEMÃOS. AF_06/2014</t>
  </si>
  <si>
    <t xml:space="preserve"> 04.01.560.4 </t>
  </si>
  <si>
    <t xml:space="preserve"> 96131 </t>
  </si>
  <si>
    <t>APLICAÇÃO MANUAL DE MASSA ACRÍLICA EM PANOS DE FACHADA COM PRESENÇA DE VÃOS, DE EDIFÍCIOS DE MÚLTIPLOS PAVIMENTOS, DUAS DEMÃOS. AF_05/2017</t>
  </si>
  <si>
    <t xml:space="preserve"> 04.01.560.5 </t>
  </si>
  <si>
    <t xml:space="preserve"> 88488 </t>
  </si>
  <si>
    <t>APLICAÇÃO MANUAL DE PINTURA COM TINTA LÁTEX ACRÍLICA EM TETO, DUAS DEMÃOS. AF_06/2014</t>
  </si>
  <si>
    <t xml:space="preserve"> 04.01.560.6 </t>
  </si>
  <si>
    <t xml:space="preserve"> 88496 </t>
  </si>
  <si>
    <t>APLICAÇÃO E LIXAMENTO DE MASSA LÁTEX EM TETO, DUAS DEMÃOS. AF_06/2014</t>
  </si>
  <si>
    <t xml:space="preserve"> 04.01.560.7 </t>
  </si>
  <si>
    <t xml:space="preserve"> 100762 </t>
  </si>
  <si>
    <t>PINTURA COM TINTA ALQUÍDICA DE ACABAMENTO (ESMALTE SINTÉTICO FOSCO) APLICADA A ROLO OU PINCEL SOBRE SUPERFÍCIES METÁLICAS (EXCETO PERFIL) EXECUTADO EM OBRA (02 DEMÃOS). AF_01/2020</t>
  </si>
  <si>
    <t xml:space="preserve"> 04.01.600 </t>
  </si>
  <si>
    <t>Impermeabilizações</t>
  </si>
  <si>
    <t xml:space="preserve"> 04.01.600.1 </t>
  </si>
  <si>
    <t xml:space="preserve"> MPDFT0481 </t>
  </si>
  <si>
    <t>Copia da SINAPI (98546) - Impermeabilização de superfície com manta asfáltica antirraiz (com polímeros elastoméricos), e=4mm, ref. Torodin Extra, colada com asfalto derretido</t>
  </si>
  <si>
    <t xml:space="preserve"> 04.01.600.2 </t>
  </si>
  <si>
    <t xml:space="preserve"> MPDFT0480 </t>
  </si>
  <si>
    <t>Copia da SINAPI (98546) - Impermeabilização de superfície com manta asfáltica (com polímeros elastoméricos), e=4mm, ref. Torodin Extra, colada com asfalto derretido</t>
  </si>
  <si>
    <t xml:space="preserve"> 04.01.600.3 </t>
  </si>
  <si>
    <t xml:space="preserve"> MPDFT1061 </t>
  </si>
  <si>
    <t>Copia da SINAPI (98565) - Proteção mecânica horizontal com argamassa traço 1:4 (cimento e areia), preparo mecânico, espessura 3cm, incluso camada separadora geotextil e junta de dilatação com asfalto modificado</t>
  </si>
  <si>
    <t xml:space="preserve"> 04.01.600.4 </t>
  </si>
  <si>
    <t xml:space="preserve"> MPDFT1060 </t>
  </si>
  <si>
    <t>Cópia SINAPI (98556) - Impermeabilização com revestimento impermeabilizante flexível e tela de poliéster com malha 2x2mm, ref. Viaplus 7000  (4 demãos)</t>
  </si>
  <si>
    <t xml:space="preserve"> 04.01.600.5 </t>
  </si>
  <si>
    <t xml:space="preserve"> MPDFT1059 </t>
  </si>
  <si>
    <t>Cópia SINAPI (98556) - Impermeabilização com revestimento impermeabilizante semi-flexível e tela de poliéster com malha 2x2mm, ref. Viaplus 1000 (2 demãos)</t>
  </si>
  <si>
    <t xml:space="preserve"> 04.01.600.6 </t>
  </si>
  <si>
    <t xml:space="preserve"> 99814 </t>
  </si>
  <si>
    <t>LIMPEZA DE SUPERFÍCIE COM JATO DE ALTA PRESSÃO. AF_04/2019</t>
  </si>
  <si>
    <t xml:space="preserve"> 04.01.600.7 </t>
  </si>
  <si>
    <t xml:space="preserve"> MPDFT1109 </t>
  </si>
  <si>
    <t>Copia da SINAPI (73881/001) - Instalação de Geomanta drenante sobre proteção mecânica.</t>
  </si>
  <si>
    <t xml:space="preserve"> 04.01.600.8 </t>
  </si>
  <si>
    <t xml:space="preserve"> MPDFT0870 </t>
  </si>
  <si>
    <t>Aplicação de silicone (mastique a base de poliuretano) / junta  / cordão e=1x1cm</t>
  </si>
  <si>
    <t xml:space="preserve"> 05 </t>
  </si>
  <si>
    <t>INSTALAÇÕES HIDRÁULICAS E SANITÁRIAS</t>
  </si>
  <si>
    <t xml:space="preserve"> 05.03 </t>
  </si>
  <si>
    <t>DRENAGEM DE ÁGUAS PLUVIAIS</t>
  </si>
  <si>
    <t xml:space="preserve"> 05.03.100 </t>
  </si>
  <si>
    <t>Tubulações e conexões de ferro</t>
  </si>
  <si>
    <t xml:space="preserve"> 05.03.100.1 </t>
  </si>
  <si>
    <t xml:space="preserve"> 92344 </t>
  </si>
  <si>
    <t>NIPLE, EM FERRO GALVANIZADO, DN 50 (2"), CONEXÃO ROSQUEADA, INSTALADO EM PRUMADAS - FORNECIMENTO E INSTALAÇÃO. AF_10/2020</t>
  </si>
  <si>
    <t xml:space="preserve"> 05.03.100.2 </t>
  </si>
  <si>
    <t xml:space="preserve"> 92889 </t>
  </si>
  <si>
    <t>UNIÃO, EM FERRO GALVANIZADO, DN 50 (2"), CONEXÃO ROSQUEADA, INSTALADO EM PRUMADAS - FORNECIMENTO E INSTALAÇÃO. AF_10/2020</t>
  </si>
  <si>
    <t xml:space="preserve"> 05.03.100.3 </t>
  </si>
  <si>
    <t xml:space="preserve"> 95253 </t>
  </si>
  <si>
    <t>VÁLVULA DE ESFERA BRUTA, BRONZE, ROSCÁVEL, 2'', INSTALADO EM RESERVAÇÃO DE ÁGUA DE EDIFICAÇÃO QUE POSSUA RESERVATÓRIO DE FIBRA/FIBROCIMENTO - FORNECIMENTO E INSTALAÇÃO. AF_06/2016</t>
  </si>
  <si>
    <t xml:space="preserve"> 95252 </t>
  </si>
  <si>
    <t>VÁLVULA DE ESFERA BRUTA, BRONZE, ROSCÁVEL, 1 1/2'', INSTALADO EM RESERVAÇÃO DE ÁGUA DE EDIFICAÇÃO QUE POSSUA RESERVATÓRIO DE FIBRA/FIBROCIMENTO -   FORNECIMENTO E INSTALAÇÃO. AF_06/2016</t>
  </si>
  <si>
    <t xml:space="preserve"> 05.03.100.5 </t>
  </si>
  <si>
    <t xml:space="preserve"> 92894 </t>
  </si>
  <si>
    <t>UNIÃO, EM FERRO GALVANIZADO, DN 40 (1 1/2"), CONEXÃO ROSQUEADA, INSTALADO EM REDE DE ALIMENTAÇÃO PARA HIDRANTE - FORNECIMENTO E INSTALAÇÃO. AF_10/2020</t>
  </si>
  <si>
    <t xml:space="preserve"> 05.03.100.6 </t>
  </si>
  <si>
    <t xml:space="preserve"> 92373 </t>
  </si>
  <si>
    <t>NIPLE, EM FERRO GALVANIZADO, DN 40 (1 1/2"), CONEXÃO ROSQUEADA, INSTALADO EM REDE DE ALIMENTAÇÃO PARA HIDRANTE - FORNECIMENTO E INSTALAÇÃO. AF_10/2020</t>
  </si>
  <si>
    <t xml:space="preserve"> 05.03.100.7 </t>
  </si>
  <si>
    <t xml:space="preserve"> 92907 </t>
  </si>
  <si>
    <t>LUVA DE REDUÇÃO, EM FERRO GALVANIZADO, 2" X 1 1/2", CONEXÃO ROSQUEADA, INSTALADO EM PRUMADAS - FORNECIMENTO E INSTALAÇÃO. AF_10/2020</t>
  </si>
  <si>
    <t xml:space="preserve"> 05.03.100.8 </t>
  </si>
  <si>
    <t xml:space="preserve"> 92928 </t>
  </si>
  <si>
    <t>LUVA DE REDUÇÃO, EM FERRO GALVANIZADO, 1 1/2" X 1 1/4", CONEXÃO ROSQUEADA, INSTALADO EM REDE DE ALIMENTAÇÃO PARA HIDRANTE - FORNECIMENTO E INSTALAÇÃO. AF_10/2020</t>
  </si>
  <si>
    <t xml:space="preserve"> 05.03.100.9 </t>
  </si>
  <si>
    <t xml:space="preserve"> 92694 </t>
  </si>
  <si>
    <t>NIPLE, EM FERRO GALVANIZADO, CONEXÃO ROSQUEADA, DN 20 (3/4"), INSTALADO EM RAMAIS E SUB-RAMAIS DE GÁS - FORNECIMENTO E INSTALAÇÃO. AF_10/2020</t>
  </si>
  <si>
    <t xml:space="preserve"> 05.03.100.10 </t>
  </si>
  <si>
    <t xml:space="preserve"> 92905 </t>
  </si>
  <si>
    <t>UNIÃO, EM FERRO GALVANIZADO, CONEXÃO ROSQUEADA, DN 20 (3/4"), INSTALADO EM RAMAIS E SUB-RAMAIS DE GÁS - FORNECIMENTO E INSTALAÇÃO. AF_10/2020</t>
  </si>
  <si>
    <t xml:space="preserve"> 05.03.100.11 </t>
  </si>
  <si>
    <t xml:space="preserve"> 95249 </t>
  </si>
  <si>
    <t>VÁLVULA DE ESFERA BRUTA, BRONZE, ROSCÁVEL, 3/4'', INSTALADO EM RESERVAÇÃO DE ÁGUA DE EDIFICAÇÃO QUE POSSUA RESERVATÓRIO DE FIBRA/FIBROCIMENTO - FORNECIMENTO E INSTALAÇÃO. AF_06/2016</t>
  </si>
  <si>
    <t xml:space="preserve"> 05.03.100.12 </t>
  </si>
  <si>
    <t xml:space="preserve"> MPDFT0536 </t>
  </si>
  <si>
    <t>Copia da SINAPI (95253) - Válvula de esfera bruta, bronze, roscável, 2 1/2'' - fornecimento e instalação</t>
  </si>
  <si>
    <t xml:space="preserve"> 05.03.100.13 </t>
  </si>
  <si>
    <t xml:space="preserve"> 92890 </t>
  </si>
  <si>
    <t>UNIÃO, EM FERRO GALVANIZADO, DN 65 (2 1/2"), CONEXÃO ROSQUEADA, INSTALADO EM PRUMADAS - FORNECIMENTO E INSTALAÇÃO. AF_10/2020</t>
  </si>
  <si>
    <t xml:space="preserve"> 05.03.100.14 </t>
  </si>
  <si>
    <t xml:space="preserve"> 92346 </t>
  </si>
  <si>
    <t>NIPLE, EM FERRO GALVANIZADO, DN 65 (2 1/2"), CONEXÃO ROSQUEADA, INSTALADO EM PRUMADAS - FORNECIMENTO E INSTALAÇÃO. AF_10/2020</t>
  </si>
  <si>
    <t xml:space="preserve"> 05.03.100.15 </t>
  </si>
  <si>
    <t xml:space="preserve"> MPDFT1113 </t>
  </si>
  <si>
    <t>Copia da SINAPI (97429) - FLANGE EM AÇO, DN 60 MM X 2'', INSTALADO EM RESERVAÇÃO DE ÁGUA DE EDIFICAÇÃO QUE POSSUA RESERVATÓRIO DE FIBRA/FIBROCIMENTO - FORNECIMENTO E INSTALAÇÃO. AF_06/2016</t>
  </si>
  <si>
    <t xml:space="preserve"> 05.03.100.16 </t>
  </si>
  <si>
    <t xml:space="preserve"> MPDFT1114 </t>
  </si>
  <si>
    <t>Copia da SINAPI (97429) - FLANGE EM AÇO, DN 85 MM X 3'', INSTALADO EM RESERVAÇÃO DE ÁGUA DE EDIFICAÇÃO QUE POSSUA RESERVATÓRIO DE FIBRA/FIBROCIMENTO - FORNECIMENTO E INSTALAÇÃO. AF_06/2016</t>
  </si>
  <si>
    <t xml:space="preserve"> 05.03.100.17 </t>
  </si>
  <si>
    <t xml:space="preserve"> MPDFT1123 </t>
  </si>
  <si>
    <t>Copia da ORSE (978) - Cap de ferro galvanizado 3"</t>
  </si>
  <si>
    <t xml:space="preserve"> 05.03.300 </t>
  </si>
  <si>
    <t>Tubulações e conexões de PVC</t>
  </si>
  <si>
    <t xml:space="preserve"> 05.03.300.1 </t>
  </si>
  <si>
    <t xml:space="preserve"> 89402 </t>
  </si>
  <si>
    <t>TUBO, PVC, SOLDÁVEL, DN 25MM, INSTALADO EM RAMAL DE DISTRIBUIÇÃO DE ÁGUA - FORNECIMENTO E INSTALAÇÃO. AF_12/2014</t>
  </si>
  <si>
    <t xml:space="preserve"> 05.03.300.2 </t>
  </si>
  <si>
    <t xml:space="preserve"> 89447 </t>
  </si>
  <si>
    <t>TUBO, PVC, SOLDÁVEL, DN 32MM, INSTALADO EM PRUMADA DE ÁGUA - FORNECIMENTO E INSTALAÇÃO. AF_12/2014</t>
  </si>
  <si>
    <t xml:space="preserve"> 05.03.300.3 </t>
  </si>
  <si>
    <t xml:space="preserve"> 89448 </t>
  </si>
  <si>
    <t>TUBO, PVC, SOLDÁVEL, DN 40MM, INSTALADO EM PRUMADA DE ÁGUA - FORNECIMENTO E INSTALAÇÃO. AF_12/2014</t>
  </si>
  <si>
    <t xml:space="preserve"> 05.03.300.4 </t>
  </si>
  <si>
    <t xml:space="preserve"> 89449 </t>
  </si>
  <si>
    <t>TUBO, PVC, SOLDÁVEL, DN 50MM, INSTALADO EM PRUMADA DE ÁGUA - FORNECIMENTO E INSTALAÇÃO. AF_12/2014</t>
  </si>
  <si>
    <t xml:space="preserve"> 05.03.300.5 </t>
  </si>
  <si>
    <t xml:space="preserve"> 89509 </t>
  </si>
  <si>
    <t>TUBO PVC, SÉRIE R, ÁGUA PLUVIAL, DN 50 MM, FORNECIDO E INSTALADO EM RAMAL DE ENCAMINHAMENTO. AF_12/2014</t>
  </si>
  <si>
    <t xml:space="preserve"> 05.03.300.6 </t>
  </si>
  <si>
    <t xml:space="preserve"> 89450 </t>
  </si>
  <si>
    <t>TUBO, PVC, SOLDÁVEL, DN 60MM, INSTALADO EM PRUMADA DE ÁGUA - FORNECIMENTO E INSTALAÇÃO. AF_12/2014</t>
  </si>
  <si>
    <t xml:space="preserve"> 05.03.300.7 </t>
  </si>
  <si>
    <t xml:space="preserve"> 91789 </t>
  </si>
  <si>
    <t>(COMPOSIÇÃO REPRESENTATIVA) DO SERVIÇO DE INSTALAÇÃO DE TUBOS DE PVC, SÉRIE R, ÁGUA PLUVIAL, DN 75 MM (INSTALADO EM RAMAL DE ENCAMINHAMENTO, OU CONDUTORES VERTICAIS), INCLUSIVE CONEXÕES, CORTE E FIXAÇÕES, PARA PRÉDIOS. AF_10/2015</t>
  </si>
  <si>
    <t xml:space="preserve"> 05.03.300.8 </t>
  </si>
  <si>
    <t xml:space="preserve"> 91794 </t>
  </si>
  <si>
    <t>(COMPOSIÇÃO REPRESENTATIVA) DO SERVIÇO DE INST. TUBO PVC, SÉRIE N, ESGOTO PREDIAL, DN 75 MM, (INST. EM RAMAL DE DESCARGA, RAMAL DE ESG. SANITÁRIO, PRUMADA DE ESG. SANITÁRIO OU VENTILAÇÃO), INCL. CONEXÕES, CORTES E FIXAÇÕES, P/ PRÉDIOS. AF_10/2015</t>
  </si>
  <si>
    <t xml:space="preserve"> 05.03.300.9 </t>
  </si>
  <si>
    <t xml:space="preserve"> 89452 </t>
  </si>
  <si>
    <t>TUBO, PVC, SOLDÁVEL, DN 85MM, INSTALADO EM PRUMADA DE ÁGUA - FORNECIMENTO E INSTALAÇÃO. AF_12/2014</t>
  </si>
  <si>
    <t xml:space="preserve"> 05.03.300.10 </t>
  </si>
  <si>
    <t xml:space="preserve"> 94655 </t>
  </si>
  <si>
    <t>TUBO, PVC, SOLDÁVEL, DN 110 MM, INSTALADO EM RESERVAÇÃO DE ÁGUA DE EDIFICAÇÃO QUE POSSUA RESERVATÓRIO DE FIBRA/FIBROCIMENTO   FORNECIMENTO E INSTALAÇÃO. AF_06/2016</t>
  </si>
  <si>
    <t xml:space="preserve"> 05.03.300.11 </t>
  </si>
  <si>
    <t xml:space="preserve"> 89677 </t>
  </si>
  <si>
    <t>LUVA SIMPLES, PVC, SERIE R, ÁGUA PLUVIAL, DN 150 MM, JUNTA ELÁSTICA, FORNECIDO E INSTALADO EM CONDUTORES VERTICAIS DE ÁGUAS PLUVIAIS. AF_12/2014</t>
  </si>
  <si>
    <t xml:space="preserve"> 05.03.300.12 </t>
  </si>
  <si>
    <t xml:space="preserve"> MPDFT1037 </t>
  </si>
  <si>
    <t>Copia da Orse (1095) - CAP PVC SOLDAVEL 32MM</t>
  </si>
  <si>
    <t xml:space="preserve"> 05.03.300.13 </t>
  </si>
  <si>
    <t xml:space="preserve"> 89443 </t>
  </si>
  <si>
    <t>TE, PVC, SOLDÁVEL, DN 32MM, INSTALADO EM RAMAL DE DISTRIBUIÇÃO DE ÁGUA - FORNECIMENTO E INSTALAÇÃO. AF_12/2014</t>
  </si>
  <si>
    <t xml:space="preserve"> 05.03.300.14 </t>
  </si>
  <si>
    <t xml:space="preserve"> 89505 </t>
  </si>
  <si>
    <t>JOELHO 90 GRAUS, PVC, SOLDÁVEL, DN 60MM, INSTALADO EM PRUMADA DE ÁGUA - FORNECIMENTO E INSTALAÇÃO. AF_12/2014</t>
  </si>
  <si>
    <t xml:space="preserve"> 05.03.300.15 </t>
  </si>
  <si>
    <t xml:space="preserve"> 89628 </t>
  </si>
  <si>
    <t>TE, PVC, SOLDÁVEL, DN 60MM, INSTALADO EM PRUMADA DE ÁGUA - FORNECIMENTO E INSTALAÇÃO. AF_12/2014</t>
  </si>
  <si>
    <t xml:space="preserve"> 05.03.300.16 </t>
  </si>
  <si>
    <t xml:space="preserve"> 89610 </t>
  </si>
  <si>
    <t>ADAPTADOR CURTO COM BOLSA E ROSCA PARA REGISTRO, PVC, SOLDÁVEL, DN 60MM X 2, INSTALADO EM PRUMADA DE ÁGUA - FORNECIMENTO E INSTALAÇÃO. AF_12/2014</t>
  </si>
  <si>
    <t xml:space="preserve"> 05.03.300.17 </t>
  </si>
  <si>
    <t xml:space="preserve"> 89593 </t>
  </si>
  <si>
    <t>LUVA COM ROSCA, PVC, SOLDÁVEL, DN 50MM X 1.1/2, INSTALADO EM PRUMADA DE ÁGUA - FORNECIMENTO E INSTALAÇÃO. AF_12/2014</t>
  </si>
  <si>
    <t xml:space="preserve"> 05.03.300.18 </t>
  </si>
  <si>
    <t xml:space="preserve"> 89501 </t>
  </si>
  <si>
    <t>JOELHO 90 GRAUS, PVC, SOLDÁVEL, DN 50MM, INSTALADO EM PRUMADA DE ÁGUA - FORNECIMENTO E INSTALAÇÃO. AF_12/2014</t>
  </si>
  <si>
    <t xml:space="preserve"> 05.03.300.19 </t>
  </si>
  <si>
    <t xml:space="preserve"> 89625 </t>
  </si>
  <si>
    <t>TE, PVC, SOLDÁVEL, DN 50MM, INSTALADO EM PRUMADA DE ÁGUA - FORNECIMENTO E INSTALAÇÃO. AF_12/2014</t>
  </si>
  <si>
    <t xml:space="preserve"> 05.03.300.20 </t>
  </si>
  <si>
    <t xml:space="preserve"> 89596 </t>
  </si>
  <si>
    <t>ADAPTADOR CURTO COM BOLSA E ROSCA PARA REGISTRO, PVC, SOLDÁVEL, DN 50MM X 1.1/2, INSTALADO EM PRUMADA DE ÁGUA - FORNECIMENTO E INSTALAÇÃO. AF_12/2014</t>
  </si>
  <si>
    <t xml:space="preserve"> 05.03.300.21 </t>
  </si>
  <si>
    <t xml:space="preserve"> 89408 </t>
  </si>
  <si>
    <t>JOELHO 90 GRAUS, PVC, SOLDÁVEL, DN 25MM, INSTALADO EM RAMAL DE DISTRIBUIÇÃO DE ÁGUA - FORNECIMENTO E INSTALAÇÃO. AF_12/2014</t>
  </si>
  <si>
    <t xml:space="preserve"> 05.03.300.22 </t>
  </si>
  <si>
    <t xml:space="preserve"> 89440 </t>
  </si>
  <si>
    <t>TE, PVC, SOLDÁVEL, DN 25MM, INSTALADO EM RAMAL DE DISTRIBUIÇÃO DE ÁGUA - FORNECIMENTO E INSTALAÇÃO. AF_12/2014</t>
  </si>
  <si>
    <t xml:space="preserve"> 05.03.300.23 </t>
  </si>
  <si>
    <t xml:space="preserve"> 89429 </t>
  </si>
  <si>
    <t>ADAPTADOR CURTO COM BOLSA E ROSCA PARA REGISTRO, PVC, SOLDÁVEL, DN 25MM X 3/4, INSTALADO EM RAMAL DE DISTRIBUIÇÃO DE ÁGUA - FORNECIMENTO E INSTALAÇÃO. AF_12/2014</t>
  </si>
  <si>
    <t xml:space="preserve"> 05.03.300.24 </t>
  </si>
  <si>
    <t xml:space="preserve"> 89534 </t>
  </si>
  <si>
    <t>LUVA SOLDÁVEL E COM ROSCA, PVC, SOLDÁVEL, DN 25MM X 3/4, INSTALADO EM PRUMADA DE ÁGUA - FORNECIMENTO E INSTALAÇÃO. AF_12/2014</t>
  </si>
  <si>
    <t xml:space="preserve"> 05.03.300.25 </t>
  </si>
  <si>
    <t xml:space="preserve"> 89521 </t>
  </si>
  <si>
    <t>JOELHO 90 GRAUS, PVC, SOLDÁVEL, DN 85MM, INSTALADO EM PRUMADA DE ÁGUA - FORNECIMENTO E INSTALAÇÃO. AF_12/2014</t>
  </si>
  <si>
    <t xml:space="preserve"> 05.03.300.26 </t>
  </si>
  <si>
    <t xml:space="preserve"> 89613 </t>
  </si>
  <si>
    <t>ADAPTADOR CURTO COM BOLSA E ROSCA PARA REGISTRO, PVC, SOLDÁVEL, DN 75MM X 2.1/2, INSTALADO EM PRUMADA DE ÁGUA - FORNECIMENTO E INSTALAÇÃO. AF_12/2014</t>
  </si>
  <si>
    <t xml:space="preserve"> 05.03.300.27 </t>
  </si>
  <si>
    <t xml:space="preserve"> 89513 </t>
  </si>
  <si>
    <t>JOELHO 90 GRAUS, PVC, SOLDÁVEL, DN 75MM, INSTALADO EM PRUMADA DE ÁGUA - FORNECIMENTO E INSTALAÇÃO. AF_12/2014</t>
  </si>
  <si>
    <t xml:space="preserve"> 05.03.300.28 </t>
  </si>
  <si>
    <t xml:space="preserve"> 94701 </t>
  </si>
  <si>
    <t>TÊ, PVC, SOLDÁVEL, DN 110 MM INSTALADO EM RESERVAÇÃO DE ÁGUA DE EDIFICAÇÃO QUE POSSUA RESERVATÓRIO DE FIBRA/FIBROCIMENTO   FORNECIMENTO E INSTALAÇÃO. AF_06/2016</t>
  </si>
  <si>
    <t xml:space="preserve"> 05.03.300.29 </t>
  </si>
  <si>
    <t xml:space="preserve"> 94686 </t>
  </si>
  <si>
    <t>JOELHO 90 GRAUS, PVC, SOLDÁVEL, DN 110 MM INSTALADO EM RESERVAÇÃO DE ÁGUA DE EDIFICAÇÃO QUE POSSUA RESERVATÓRIO DE FIBRA/FIBROCIMENTO   FORNECIMENTO E INSTALAÇÃO. AF_06/2016</t>
  </si>
  <si>
    <t xml:space="preserve"> 05.03.300.30 </t>
  </si>
  <si>
    <t xml:space="preserve"> 89497 </t>
  </si>
  <si>
    <t>JOELHO 90 GRAUS, PVC, SOLDÁVEL, DN 40MM, INSTALADO EM PRUMADA DE ÁGUA - FORNECIMENTO E INSTALAÇÃO. AF_12/2014</t>
  </si>
  <si>
    <t xml:space="preserve"> 05.03.300.31 </t>
  </si>
  <si>
    <t xml:space="preserve"> 89605 </t>
  </si>
  <si>
    <t>LUVA DE REDUÇÃO, PVC, SOLDÁVEL, DN 60MM X 50MM, INSTALADO EM PRUMADA DE ÁGUA - FORNECIMENTO E INSTALAÇÃO. AF_12/2014</t>
  </si>
  <si>
    <t xml:space="preserve"> 05.03.300.32 </t>
  </si>
  <si>
    <t xml:space="preserve"> 89546 </t>
  </si>
  <si>
    <t>BUCHA DE REDUÇÃO LONGA, PVC, SERIE R, ÁGUA PLUVIAL, DN 50 X 40 MM, JUNTA ELÁSTICA, FORNECIDO E INSTALADO EM RAMAL DE ENCAMINHAMENTO. AF_12/2014</t>
  </si>
  <si>
    <t xml:space="preserve"> 05.03.300.33 </t>
  </si>
  <si>
    <t xml:space="preserve"> 89616 </t>
  </si>
  <si>
    <t>ADAPTADOR CURTO COM BOLSA E ROSCA PARA REGISTRO, PVC, SOLDÁVEL, DN 85MM X 3, INSTALADO EM PRUMADA DE ÁGUA - FORNECIMENTO E INSTALAÇÃO. AF_12/2014</t>
  </si>
  <si>
    <t xml:space="preserve"> 05.03.300.34 </t>
  </si>
  <si>
    <t xml:space="preserve"> 89502 </t>
  </si>
  <si>
    <t>JOELHO 45 GRAUS, PVC, SOLDÁVEL, DN 50MM, INSTALADO EM PRUMADA DE ÁGUA - FORNECIMENTO E INSTALAÇÃO. AF_12/2014</t>
  </si>
  <si>
    <t xml:space="preserve"> 05.03.300.35 </t>
  </si>
  <si>
    <t xml:space="preserve"> 94789 </t>
  </si>
  <si>
    <t>ADAPTADOR COM FLANGES LIVRES, PVC, SOLDÁVEL LONGO, DN 75 MM X 2 1/2 , INSTALADO EM RESERVAÇÃO DE ÁGUA DE EDIFICAÇÃO QUE POSSUA RESERVATÓRIO DE FIBRA/FIBROCIMENTO   FORNECIMENTO E INSTALAÇÃO. AF_06/2016</t>
  </si>
  <si>
    <t xml:space="preserve"> 05.03.300.36 </t>
  </si>
  <si>
    <t xml:space="preserve"> 94791 </t>
  </si>
  <si>
    <t>ADAPTADOR COM FLANGES LIVRES, PVC, SOLDÁVEL LONGO, DN 110 MM X 4 , INSTALADO EM RESERVAÇÃO DE ÁGUA DE EDIFICAÇÃO QUE POSSUA RESERVATÓRIO DE FIBRA/FIBROCIMENTO   FORNECIMENTO E INSTALAÇÃO. AF_06/2016</t>
  </si>
  <si>
    <t xml:space="preserve"> 05.03.300.37 </t>
  </si>
  <si>
    <t xml:space="preserve"> 94490 </t>
  </si>
  <si>
    <t>REGISTRO DE ESFERA, PVC, SOLDÁVEL, DN  32 MM, INSTALADO EM RESERVAÇÃO DE ÁGUA DE EDIFICAÇÃO QUE POSSUA RESERVATÓRIO DE FIBRA/FIBROCIMENTO   FORNECIMENTO E INSTALAÇÃO. AF_06/2016</t>
  </si>
  <si>
    <t xml:space="preserve"> 05.03.300.38 </t>
  </si>
  <si>
    <t xml:space="preserve"> 94492 </t>
  </si>
  <si>
    <t>REGISTRO DE ESFERA, PVC, SOLDÁVEL, DN  50 MM, INSTALADO EM RESERVAÇÃO DE ÁGUA DE EDIFICAÇÃO QUE POSSUA RESERVATÓRIO DE FIBRA/FIBROCIMENTO   FORNECIMENTO E INSTALAÇÃO. AF_06/2016</t>
  </si>
  <si>
    <t xml:space="preserve"> 05.03.300.39 </t>
  </si>
  <si>
    <t xml:space="preserve"> MPDFT0726 </t>
  </si>
  <si>
    <t>Copia da SINAPI (94493) - REGISTRO DE ESFERA, PVC, SOLDÁVEL, DN  85 MM - FORNECIMENTO E INSTALAÇÃO.</t>
  </si>
  <si>
    <t xml:space="preserve"> 05.03.300.40 </t>
  </si>
  <si>
    <t xml:space="preserve"> 94704 </t>
  </si>
  <si>
    <t>ADAPTADOR COM FLANGE E ANEL DE VEDAÇÃO, PVC, SOLDÁVEL, DN 32 MM X 1 , INSTALADO EM RESERVAÇÃO DE ÁGUA DE EDIFICAÇÃO QUE POSSUA RESERVATÓRIO DE FIBRA/FIBROCIMENTO   FORNECIMENTO E INSTALAÇÃO. AF_06/2016</t>
  </si>
  <si>
    <t xml:space="preserve"> 05.03.300.41 </t>
  </si>
  <si>
    <t xml:space="preserve"> 94714 </t>
  </si>
  <si>
    <t>ADAPTADOR COM FLANGES LIVRES, PVC, SOLDÁVEL, DN 85 MM X 3 , INSTALADO EM RESERVAÇÃO DE ÁGUA DE EDIFICAÇÃO QUE POSSUA RESERVATÓRIO DE FIBRA/FIBROCIMENTO   FORNECIMENTO E INSTALAÇÃO. AF_06/2016</t>
  </si>
  <si>
    <t xml:space="preserve"> 05.03.300.42 </t>
  </si>
  <si>
    <t xml:space="preserve"> 89631 </t>
  </si>
  <si>
    <t>TE, PVC, SOLDÁVEL, DN 85MM, INSTALADO EM PRUMADA DE ÁGUA - FORNECIMENTO E INSTALAÇÃO. AF_12/2014</t>
  </si>
  <si>
    <t xml:space="preserve"> 05.03.300.43 </t>
  </si>
  <si>
    <t xml:space="preserve"> 89632 </t>
  </si>
  <si>
    <t>TE DE REDUÇÃO, PVC, SOLDÁVEL, DN 85MM X 60MM, INSTALADO EM PRUMADA DE ÁGUA - FORNECIMENTO E INSTALAÇÃO. AF_12/2014</t>
  </si>
  <si>
    <t xml:space="preserve"> 05.03.300.44 </t>
  </si>
  <si>
    <t xml:space="preserve"> MPDFT1117 </t>
  </si>
  <si>
    <t>Copia da Orse (1165) - LUVA DE REDUÇÃO, PVC, SOLDÁVEL, DN 110MM X 75MM - FORNECIMENTO E INSTALAÇÃO</t>
  </si>
  <si>
    <t xml:space="preserve"> 05.03.300.45 </t>
  </si>
  <si>
    <t xml:space="preserve"> MPDFT1118 </t>
  </si>
  <si>
    <t>Copia da SINAPI (89630) - TE DE REDUÇÃO, PVC, SOLDÁVEL, DN 60MM X 50MM - FORNECIMENTO E INSTALAÇÃO</t>
  </si>
  <si>
    <t xml:space="preserve"> 05.03.300.46 </t>
  </si>
  <si>
    <t xml:space="preserve"> MPDFT1119 </t>
  </si>
  <si>
    <t>Copia da Orse (1166) - LUVA DE REDUÇÃO, PVC, SOLDÁVEL, DN 110MM X 85MM - FORNECIMENTO E INSTALAÇÃO</t>
  </si>
  <si>
    <t xml:space="preserve"> 05.03.300.47 </t>
  </si>
  <si>
    <t xml:space="preserve"> MPDFT1120 </t>
  </si>
  <si>
    <t>Copia da SBC (052086) - CAP PVC ROSCÁVEL DIÂMETRO 60MM</t>
  </si>
  <si>
    <t xml:space="preserve"> 05.03.300.48 </t>
  </si>
  <si>
    <t xml:space="preserve"> MPDFT1121 </t>
  </si>
  <si>
    <t>Copia da ORSE (1099) - CAP PVC SOLDÁVEL, 75MM</t>
  </si>
  <si>
    <t xml:space="preserve"> 05.03.312 </t>
  </si>
  <si>
    <t>Tubo de dreno</t>
  </si>
  <si>
    <t xml:space="preserve"> 05.03.312.1 </t>
  </si>
  <si>
    <t xml:space="preserve"> 91788 </t>
  </si>
  <si>
    <t>(COMPOSIÇÃO REPRESENTATIVA) DO SERVIÇO DE INSTALAÇÃO DE TUBOS DE PVC, SOLDÁVEL, ÁGUA FRIA, DN 50 MM (INSTALADO EM PRUMADA), INCLUSIVE CONEXÕES, CORTES E FIXAÇÕES, PARA PRÉDIOS. AF_10/2015</t>
  </si>
  <si>
    <t xml:space="preserve"> 05.03.800 </t>
  </si>
  <si>
    <t>Instalação Elevatória</t>
  </si>
  <si>
    <t xml:space="preserve"> 05.03.800.1 </t>
  </si>
  <si>
    <t xml:space="preserve"> 99631 </t>
  </si>
  <si>
    <t>VÁLVULA DE RETENÇÃO VERTICAL, DE BRONZE, ROSCÁVEL, 1 1/2" - FORNECIMENTO E INSTALAÇÃO. AF_01/2019</t>
  </si>
  <si>
    <t xml:space="preserve"> 05.03.800.2 </t>
  </si>
  <si>
    <t xml:space="preserve"> 94797 </t>
  </si>
  <si>
    <t>TORNEIRA DE BOIA, ROSCÁVEL, 1, FORNECIDA E INSTALADA EM RESERVAÇÃO DE ÁGUA. AF_06/2016</t>
  </si>
  <si>
    <t xml:space="preserve"> 05.03.800.3 </t>
  </si>
  <si>
    <t xml:space="preserve"> MPDFT1111 </t>
  </si>
  <si>
    <t>Copia da SINAPI (94800) - Conjunto de sucção com bóia flutuante e mangueira flexível, conexão 2", fab. Ecoracional</t>
  </si>
  <si>
    <t xml:space="preserve"> 05.03.800.4 </t>
  </si>
  <si>
    <t xml:space="preserve"> MPDFT1116 </t>
  </si>
  <si>
    <t>Conjunto moto-bomba trifásica 220/380V, 3cv, ref. CAM W14, fab. Dancor</t>
  </si>
  <si>
    <t xml:space="preserve"> 05.03.900 </t>
  </si>
  <si>
    <t>Equipamentos e acessórios</t>
  </si>
  <si>
    <t xml:space="preserve"> 05.03.900.1 </t>
  </si>
  <si>
    <t xml:space="preserve"> MPDFT0655 </t>
  </si>
  <si>
    <t>Copia da Sinapi (89863) - Sifão ladrão Ø150mm em polietileno, Ciclo D'água</t>
  </si>
  <si>
    <t xml:space="preserve"> 05.03.900.2 </t>
  </si>
  <si>
    <t xml:space="preserve"> MPDFT0541 </t>
  </si>
  <si>
    <t>Copia da CPOS (47.11.080) - Sensor de nível de líquido LA16M-40 com adaptador PVC M16x25, Icos Excelec</t>
  </si>
  <si>
    <t xml:space="preserve"> 05.03.900.3 </t>
  </si>
  <si>
    <t xml:space="preserve"> MPDFT0667 </t>
  </si>
  <si>
    <t>Cópia da Sinapi (95675) - Hidrômetro ultrassônico DN 40mm, ref HYdros, Diehl Metering</t>
  </si>
  <si>
    <t xml:space="preserve"> 05.03.900.4 </t>
  </si>
  <si>
    <t xml:space="preserve"> MPDFT0856 </t>
  </si>
  <si>
    <t>Filtro ultravioleta UVC Power. Potência lâmpada: 95W. Vazão: 18m³/h. DN 50mm (1.1/2") Sodramar SUV 95 - ABS</t>
  </si>
  <si>
    <t xml:space="preserve"> 05.03.900.5 </t>
  </si>
  <si>
    <t xml:space="preserve"> MPDFT0669 </t>
  </si>
  <si>
    <t>Cópia da Sinapi (95675) - Hidrômetro ultrassônico DN 20mm, ref HYdros, Diehl Metering</t>
  </si>
  <si>
    <t xml:space="preserve"> 05.03.900.6 </t>
  </si>
  <si>
    <t xml:space="preserve"> MPDFT0728 </t>
  </si>
  <si>
    <t>Hidrômetro tipo woltmann industrial - flangeado - DN 65 equipado com sensor reed-switch para saída pulsada, fornecimento e instalação</t>
  </si>
  <si>
    <t xml:space="preserve"> 05.03.900.7 </t>
  </si>
  <si>
    <t xml:space="preserve"> MPDFT0668 </t>
  </si>
  <si>
    <t>Hidrômetro Woltmann, flangeado, horizontal, classe B, equipado com sensor reed switch, marca SAGA,  DN 80</t>
  </si>
  <si>
    <t xml:space="preserve"> 05.03.900.8 </t>
  </si>
  <si>
    <t xml:space="preserve"> MPDFT0396 </t>
  </si>
  <si>
    <t>Cópia da Sinapi (95675) - Hidrômetro ultrassônico DN 25mm, com conectores RF 28x1" ref HYdros, Diehl Metering</t>
  </si>
  <si>
    <t xml:space="preserve"> 05.03.900.9 </t>
  </si>
  <si>
    <t xml:space="preserve"> MPDFT0836 </t>
  </si>
  <si>
    <t>Ralo FoFo semiesférico, 75mm, para calhas e lajes</t>
  </si>
  <si>
    <t xml:space="preserve"> 05.03.900.10 </t>
  </si>
  <si>
    <t xml:space="preserve"> MPDFT1115 </t>
  </si>
  <si>
    <t>Filtro Y em bronze com tela inox, rosca BSP 3/4"</t>
  </si>
  <si>
    <t xml:space="preserve"> 05.03.900.11 </t>
  </si>
  <si>
    <t xml:space="preserve"> MPDFT1124 </t>
  </si>
  <si>
    <t>Tampão 60 x 60cm, articulado, reforçado, em alumínio naval xadrez, formato diamante, borrachas de vedação no encaixe da tampa</t>
  </si>
  <si>
    <t xml:space="preserve"> 05.03.900.12 </t>
  </si>
  <si>
    <t xml:space="preserve"> MPDFT1126 </t>
  </si>
  <si>
    <t>Copia da SUDECAP (10.35.52) - CAIXA D'AGUA POLIETILENO COM TAMPA 1000 L</t>
  </si>
  <si>
    <t xml:space="preserve"> 05.03.900.13 </t>
  </si>
  <si>
    <t xml:space="preserve"> MPDFT1127 </t>
  </si>
  <si>
    <t>Separador atmosférico com tela anti-inseto</t>
  </si>
  <si>
    <t xml:space="preserve"> 05.06 </t>
  </si>
  <si>
    <t>SERVIÇOS DIVERSOS</t>
  </si>
  <si>
    <t xml:space="preserve"> 90441 </t>
  </si>
  <si>
    <t>FURO EM CONCRETO PARA DIÂMETROS MAIORES QUE 75 MM. AF_05/2015</t>
  </si>
  <si>
    <t xml:space="preserve"> 102117 </t>
  </si>
  <si>
    <t>BOMBA CENTRÍFUGA, TRIFÁSICA, 1,5 CV OU 1,48 HP (NÃO INCLUI O FORNECIMENTO DA BOMBA). AF_12/2020</t>
  </si>
  <si>
    <t xml:space="preserve"> MPDFT1125 </t>
  </si>
  <si>
    <t>Remanejamento de válvula solenoide</t>
  </si>
  <si>
    <t xml:space="preserve"> MPDFT0725 </t>
  </si>
  <si>
    <t>Copia da SIURB INFRA (100802) - GRAUTE - FORNECIMENTO, PREPARO E APLICAÇÃO</t>
  </si>
  <si>
    <t xml:space="preserve"> MPDFT1129 </t>
  </si>
  <si>
    <t>Copia da SINAPI (100762) - Pintura esmalte sobre tubulação de PVC, intervalo de Ø 25mm - 110mm, 2 demãos</t>
  </si>
  <si>
    <t xml:space="preserve"> 90440 </t>
  </si>
  <si>
    <t>FURO EM CONCRETO PARA DIÂMETROS MAIORES QUE 40 MM E MENORES OU IGUAIS A 75 MM. AF_05/2015</t>
  </si>
  <si>
    <t xml:space="preserve"> MPDFT0724 </t>
  </si>
  <si>
    <t>Furo em concreto (diâmetro: 1/2 " / profundidade: 15 cm)</t>
  </si>
  <si>
    <t xml:space="preserve"> MPDFT1142 </t>
  </si>
  <si>
    <t>Cópia da CPOS (97.02.210) - Placa de sinalização, em PVC 2mm / Acrílico 6mm / Alumínio 2mm / Aço 2mm, dimensões de 20x30 cm, com  inscrição, símbolos e cores</t>
  </si>
  <si>
    <t xml:space="preserve"> 05.06.100 </t>
  </si>
  <si>
    <t>Escavação de Valas</t>
  </si>
  <si>
    <t xml:space="preserve"> 05.06.100.1 </t>
  </si>
  <si>
    <t xml:space="preserve"> 93358 </t>
  </si>
  <si>
    <t>ESCAVAÇÃO MANUAL DE VALA COM PROFUNDIDADE MENOR OU IGUAL A 1,30 M. AF_02/2021</t>
  </si>
  <si>
    <t xml:space="preserve"> 05.06.100.2 </t>
  </si>
  <si>
    <t xml:space="preserve"> 96995 </t>
  </si>
  <si>
    <t>REATERRO MANUAL APILOADO COM SOQUETE. AF_10/2017</t>
  </si>
  <si>
    <t xml:space="preserve"> 06 </t>
  </si>
  <si>
    <t>INSTALAÇÕES ELÉTRICAS E ELETRÔNICAS</t>
  </si>
  <si>
    <t xml:space="preserve"> 06.01 </t>
  </si>
  <si>
    <t>INSTALAÇÕES ELÉTRICAS</t>
  </si>
  <si>
    <t xml:space="preserve"> 06.01.100 </t>
  </si>
  <si>
    <t>Quadros elétricos</t>
  </si>
  <si>
    <t xml:space="preserve"> 06.01.100.1 </t>
  </si>
  <si>
    <t xml:space="preserve"> MPDFT1134 </t>
  </si>
  <si>
    <t>QFB-APR - Quadro elétrico para bomba de recalque de águas pluviais e água de reuso - PJCE</t>
  </si>
  <si>
    <t xml:space="preserve"> 06.01.400 </t>
  </si>
  <si>
    <t>Rede elétrica secundária</t>
  </si>
  <si>
    <t xml:space="preserve"> 06.01.400.1 </t>
  </si>
  <si>
    <t xml:space="preserve"> 91926 </t>
  </si>
  <si>
    <t>CABO DE COBRE FLEXÍVEL ISOLADO, 2,5 MM², ANTI-CHAMA 450/750 V, PARA CIRCUITOS TERMINAIS - FORNECIMENTO E INSTALAÇÃO. AF_12/2015</t>
  </si>
  <si>
    <t xml:space="preserve"> 06.01.400.2 </t>
  </si>
  <si>
    <t xml:space="preserve"> 91928 </t>
  </si>
  <si>
    <t>CABO DE COBRE FLEXÍVEL ISOLADO, 4 MM², ANTI-CHAMA 450/750 V, PARA CIRCUITOS TERMINAIS - FORNECIMENTO E INSTALAÇÃO. AF_12/2015</t>
  </si>
  <si>
    <t xml:space="preserve"> 06.01.400.3 </t>
  </si>
  <si>
    <t xml:space="preserve"> MPDFT1132 </t>
  </si>
  <si>
    <t>Copia da SINAPI (91926) - CABO DE COBRE FLEXÍVEL TIPO PP (2x2,5MM²) ANTI-CHAMA 450/750 V, ref. PRYSMIAN LINHA CORDPLAST</t>
  </si>
  <si>
    <t xml:space="preserve"> 06.01.400.4 </t>
  </si>
  <si>
    <t xml:space="preserve"> MPDFT1133 </t>
  </si>
  <si>
    <t>Copia da SINAPI (91926) - CABO DE COBRE FLEXÍVEL TIPO PP (3x2,5MM²) ANTI-CHAMA 450/750 V, ref. PRYSMIAN LINHA CORDPLAST</t>
  </si>
  <si>
    <t xml:space="preserve"> 06.01.400.5 </t>
  </si>
  <si>
    <t xml:space="preserve"> 95727 </t>
  </si>
  <si>
    <t>ELETRODUTO RÍGIDO SOLDÁVEL, PVC, DN 25 MM (3/4), APARENTE, INSTALADO EM TETO - FORNECIMENTO E INSTALAÇÃO. AF_11/2016_P</t>
  </si>
  <si>
    <t xml:space="preserve"> 06.01.400.6 </t>
  </si>
  <si>
    <t xml:space="preserve"> 95730 </t>
  </si>
  <si>
    <t>ELETRODUTO RÍGIDO SOLDÁVEL, PVC, DN 25 MM (3/4), APARENTE, INSTALADO EM PAREDE - FORNECIMENTO E INSTALAÇÃO. AF_11/2016_P</t>
  </si>
  <si>
    <t xml:space="preserve"> 06.01.400.7 </t>
  </si>
  <si>
    <t xml:space="preserve"> 91914 </t>
  </si>
  <si>
    <t>CURVA 90 GRAUS PARA ELETRODUTO, PVC, ROSCÁVEL, DN 25 MM (3/4"), PARA CIRCUITOS TERMINAIS, INSTALADA EM PAREDE - FORNECIMENTO E INSTALAÇÃO. AF_12/2015</t>
  </si>
  <si>
    <t xml:space="preserve"> 06.01.400.8 </t>
  </si>
  <si>
    <t xml:space="preserve"> 95808 </t>
  </si>
  <si>
    <t>CONDULETE DE PVC, TIPO LL, PARA ELETRODUTO DE PVC SOLDÁVEL DN 25 MM (3/4''), APARENTE - FORNECIMENTO E INSTALAÇÃO. AF_11/2016</t>
  </si>
  <si>
    <t xml:space="preserve"> 06.01.400.9 </t>
  </si>
  <si>
    <t xml:space="preserve"> MPDFT1130 </t>
  </si>
  <si>
    <t>Ponto de tomada de potência (10A) média - instalação aparente</t>
  </si>
  <si>
    <t xml:space="preserve"> 06.01.400.10 </t>
  </si>
  <si>
    <t xml:space="preserve"> MPDFT1131 </t>
  </si>
  <si>
    <t>Ponto de tomada de potência (10A) teto - instalação aparente</t>
  </si>
  <si>
    <t xml:space="preserve"> 09 </t>
  </si>
  <si>
    <t>SERVIÇOS COMPLEMENTARES</t>
  </si>
  <si>
    <t xml:space="preserve"> 09.02 </t>
  </si>
  <si>
    <t>Limpeza de obra</t>
  </si>
  <si>
    <t xml:space="preserve"> 09.02.1 </t>
  </si>
  <si>
    <t xml:space="preserve"> MPDFT1135 </t>
  </si>
  <si>
    <t>Transporte de material – bota-fora, D.M.T = 20,0 km</t>
  </si>
  <si>
    <t xml:space="preserve"> 09.02.2 </t>
  </si>
  <si>
    <t xml:space="preserve"> 100206 </t>
  </si>
  <si>
    <t>TRANSPORTE HORIZONTAL COM JERICA DE 90 L, DE MASSA/ GRANEL (UNIDADE: M3XKM). AF_07/2019</t>
  </si>
  <si>
    <t>M3XKM</t>
  </si>
  <si>
    <t xml:space="preserve"> 09.02.3 </t>
  </si>
  <si>
    <t xml:space="preserve"> 100225 </t>
  </si>
  <si>
    <t>TRANSPORTE HORIZONTAL MANUAL, DE LATA DE 18 LITROS (UNIDADE: LXKM). AF_07/2019</t>
  </si>
  <si>
    <t>LXKM</t>
  </si>
  <si>
    <t xml:space="preserve"> 09.02.4 </t>
  </si>
  <si>
    <t xml:space="preserve"> 100236 </t>
  </si>
  <si>
    <t>TRANSPORTE HORIZONTAL MANUAL, DE TUBO DE PVC SOLDÁVEL COM DIÂMETRO MENOR OU IGUAL A 60 MM (UNIDADE: MXKM). AF_07/2019</t>
  </si>
  <si>
    <t>MXKM</t>
  </si>
  <si>
    <t xml:space="preserve"> 09.02.5 </t>
  </si>
  <si>
    <t xml:space="preserve"> 100237 </t>
  </si>
  <si>
    <t>TRANSPORTE HORIZONTAL MANUAL, DE TUBO DE PVC SOLDÁVEL COM DIÂMETRO MAIOR QUE 60 MM E MENOR OU IGUAL A 85 MM (UNIDADE: MXKM). AF_07/2019</t>
  </si>
  <si>
    <t xml:space="preserve"> 09.02.6 </t>
  </si>
  <si>
    <t xml:space="preserve"> MPDFT1138 </t>
  </si>
  <si>
    <t>Copia da SINAPI (91190) - CHUMBAMENTO PARA  OLHAL DE ANCORAGEM PARA BALANCIM EM AÇO INOX, RESISTÊNCIADE 1500 KGF</t>
  </si>
  <si>
    <t xml:space="preserve"> 10 </t>
  </si>
  <si>
    <t>SERVIÇOS AUXILIARES E ADMNISTRATIVOS</t>
  </si>
  <si>
    <t xml:space="preserve"> 10.01 </t>
  </si>
  <si>
    <t>Pessoal</t>
  </si>
  <si>
    <t xml:space="preserve"> 10.01.1 </t>
  </si>
  <si>
    <t xml:space="preserve"> 93572 </t>
  </si>
  <si>
    <t>ENCARREGADO GERAL DE OBRAS COM ENCARGOS COMPLEMENTARES</t>
  </si>
  <si>
    <t>MES</t>
  </si>
  <si>
    <t xml:space="preserve"> 10.01.2 </t>
  </si>
  <si>
    <t xml:space="preserve"> 90778 </t>
  </si>
  <si>
    <t>ENGENHEIRO CIVIL DE OBRA PLENO COM ENCARGOS COMPLEMENTARES</t>
  </si>
  <si>
    <t>H</t>
  </si>
  <si>
    <t>Total sem BDI</t>
  </si>
  <si>
    <t>Total do BDI</t>
  </si>
  <si>
    <t>Total Geral</t>
  </si>
  <si>
    <t>Data:</t>
  </si>
  <si>
    <t>Planilha Orçamentária Sintética</t>
  </si>
  <si>
    <t>Planilha Orçamentária Resumida</t>
  </si>
  <si>
    <t>ARQUITETURA E URBANISMO</t>
  </si>
  <si>
    <t>ARQUITETURA</t>
  </si>
  <si>
    <t>Planilha Orçamentária Analítica</t>
  </si>
  <si>
    <t>Composição</t>
  </si>
  <si>
    <t>Insumo</t>
  </si>
  <si>
    <t xml:space="preserve"> CM0645 </t>
  </si>
  <si>
    <t>Anotação de Resposanbilidade Técnica (Faixa 3 - Tabela A - CONFEA)</t>
  </si>
  <si>
    <t xml:space="preserve"> 88262 </t>
  </si>
  <si>
    <t>CARPINTEIRO DE FORMAS COM ENCARGOS COMPLEMENTARES</t>
  </si>
  <si>
    <t xml:space="preserve"> 88316 </t>
  </si>
  <si>
    <t>SERVENTE COM ENCARGOS COMPLEMENTARES</t>
  </si>
  <si>
    <t xml:space="preserve"> 00000345 </t>
  </si>
  <si>
    <t>ARAME GALVANIZADO 18 BWG, D = 1,24MM (0,009 KG/M)</t>
  </si>
  <si>
    <t>Material</t>
  </si>
  <si>
    <t xml:space="preserve"> 00007170 </t>
  </si>
  <si>
    <t>TELA FACHADEIRA EM POLIETILENO, ROLO DE 3 X 100 M (L X C), COR BRANCA, SEM LOGOMARCA - PARA PROTECAO DE OBRAS</t>
  </si>
  <si>
    <t xml:space="preserve"> 5952 </t>
  </si>
  <si>
    <t>MARTELETE OU ROMPEDOR PNEUMÁTICO MANUAL, 28 KG, COM SILENCIADOR - CHI DIURNO. AF_07/2016</t>
  </si>
  <si>
    <t>CHI</t>
  </si>
  <si>
    <t xml:space="preserve"> 5795 </t>
  </si>
  <si>
    <t>MARTELETE OU ROMPEDOR PNEUMÁTICO MANUAL, 28 KG, COM SILENCIADOR - CHP DIURNO. AF_07/2016</t>
  </si>
  <si>
    <t>CHP</t>
  </si>
  <si>
    <t xml:space="preserve"> 88309 </t>
  </si>
  <si>
    <t>PEDREIRO COM ENCARGOS COMPLEMENTARES</t>
  </si>
  <si>
    <t xml:space="preserve"> 97627 </t>
  </si>
  <si>
    <t>DEMOLIÇÃO DE PILARES E VIGAS EM CONCRETO ARMADO, DE FORMA MECANIZADA COM MARTELETE, SEM REAPROVEITAMENTO. AF_12/2017</t>
  </si>
  <si>
    <t xml:space="preserve"> 97634 </t>
  </si>
  <si>
    <t>DEMOLIÇÃO DE REVESTIMENTO CERÂMICO, DE FORMA MECANIZADA COM MARTELETE, SEM REAPROVEITAMENTO. AF_12/2017</t>
  </si>
  <si>
    <t xml:space="preserve"> 97631 </t>
  </si>
  <si>
    <t>DEMOLIÇÃO DE ARGAMASSAS, DE FORMA MANUAL, SEM REAPROVEITAMENTO. AF_12/2017</t>
  </si>
  <si>
    <t xml:space="preserve"> 88270 </t>
  </si>
  <si>
    <t>IMPERMEABILIZADOR COM ENCARGOS COMPLEMENTARES</t>
  </si>
  <si>
    <t xml:space="preserve"> 88267 </t>
  </si>
  <si>
    <t>ENCANADOR OU BOMBEIRO HIDRÁULICO COM ENCARGOS COMPLEMENTARES</t>
  </si>
  <si>
    <t xml:space="preserve"> 88248 </t>
  </si>
  <si>
    <t>AUXILIAR DE ENCANADOR OU BOMBEIRO HIDRÁULICO COM ENCARGOS COMPLEMENTARES</t>
  </si>
  <si>
    <t xml:space="preserve"> 88399 </t>
  </si>
  <si>
    <t>MISTURADOR DE ARGAMASSA, EIXO HORIZONTAL, CAPACIDADE DE MISTURA 160 KG, MOTOR ELÉTRICO POTÊNCIA 3 CV - CHP DIURNO. AF_06/2014</t>
  </si>
  <si>
    <t xml:space="preserve"> 88404 </t>
  </si>
  <si>
    <t>MISTURADOR DE ARGAMASSA, EIXO HORIZONTAL, CAPACIDADE DE MISTURA 160 KG, MOTOR ELÉTRICO POTÊNCIA 3 CV - CHI DIURNO. AF_06/2014</t>
  </si>
  <si>
    <t xml:space="preserve"> 88297 </t>
  </si>
  <si>
    <t>OPERADOR DE MÁQUINAS E EQUIPAMENTOS COM ENCARGOS COMPLEMENTARES</t>
  </si>
  <si>
    <t xml:space="preserve"> 00000134 </t>
  </si>
  <si>
    <t>GRAUTE CIMENTICIO PARA USO GERAL</t>
  </si>
  <si>
    <t xml:space="preserve"> 00000156 </t>
  </si>
  <si>
    <t>ADESIVO ESTRUTURAL A BASE DE RESINA EPOXI, BICOMPONENTE, FLUIDO</t>
  </si>
  <si>
    <t>L</t>
  </si>
  <si>
    <t xml:space="preserve"> 04 </t>
  </si>
  <si>
    <t xml:space="preserve"> 04.01 </t>
  </si>
  <si>
    <t xml:space="preserve"> 100722 </t>
  </si>
  <si>
    <t>PINTURA COM TINTA ALQUÍDICA DE FUNDO (TIPO ZARCÃO) APLICADA A ROLO OU PINCEL SOBRE SUPERFÍCIES METÁLICAS (EXCETO PERFIL) EXECUTADO EM OBRA (POR DEMÃO). AF_01/2020</t>
  </si>
  <si>
    <t xml:space="preserve"> 88251 </t>
  </si>
  <si>
    <t>AUXILIAR DE SERRALHEIRO COM ENCARGOS COMPLEMENTARES</t>
  </si>
  <si>
    <t xml:space="preserve"> 88315 </t>
  </si>
  <si>
    <t>SERRALHEIRO COM ENCARGOS COMPLEMENTARES</t>
  </si>
  <si>
    <t xml:space="preserve"> 88317 </t>
  </si>
  <si>
    <t>SOLDADOR COM ENCARGOS COMPLEMENTARES</t>
  </si>
  <si>
    <t xml:space="preserve"> 88240 </t>
  </si>
  <si>
    <t>AJUDANTE DE ESTRUTURA METÁLICA COM ENCARGOS COMPLEMENTARES</t>
  </si>
  <si>
    <t xml:space="preserve"> 00001321 </t>
  </si>
  <si>
    <t>CHAPA DE ACO FINA A QUENTE BITOLA MSG 13, E = 2,25 MM (18,00 KG/M2)</t>
  </si>
  <si>
    <t xml:space="preserve"> 00004917 </t>
  </si>
  <si>
    <t>PORTA DE ABRIR EM ALUMINIO TIPO VENEZIANA, ACABAMENTO ANODIZADO NATURAL, SEM GUARNICAO/ALIZAR/VISTA</t>
  </si>
  <si>
    <t xml:space="preserve"> CM1439 </t>
  </si>
  <si>
    <t>Tela arame galvanizado mosqueteira contra insetos</t>
  </si>
  <si>
    <t xml:space="preserve"> CM1795 </t>
  </si>
  <si>
    <t>Tubo industrial / metalon, em aço, quadrado, dim 50 x 50 mm, e=2,00mm, 4,476 kg/m</t>
  </si>
  <si>
    <t xml:space="preserve"> 00013356 </t>
  </si>
  <si>
    <t>TUBO ACO INDUSTRIAL DN 2" (50,8 MM) E=1,50MM, PESO= 1,8237 KG/M</t>
  </si>
  <si>
    <t xml:space="preserve"> 00000567 </t>
  </si>
  <si>
    <t>CANTONEIRA (ABAS IGUAIS) EM FERRO GALVANIZADO, 25,4 MM X 3,17 MM (L X E), 1,27KG/M</t>
  </si>
  <si>
    <t xml:space="preserve"> 00011963 </t>
  </si>
  <si>
    <t>PARAFUSO DE ACO TIPO CHUMBADOR PARABOLT, DIAMETRO 1/2", COMPRIMENTO 75 MM</t>
  </si>
  <si>
    <t xml:space="preserve"> CM0173 </t>
  </si>
  <si>
    <t>Fornecimento e instalação de tabica metálica pré pintada, para forro em gesso acartonado</t>
  </si>
  <si>
    <t xml:space="preserve"> 88310 </t>
  </si>
  <si>
    <t>PINTOR COM ENCARGOS COMPLEMENTARES</t>
  </si>
  <si>
    <t xml:space="preserve"> 00005318 </t>
  </si>
  <si>
    <t>SOLVENTE DILUENTE A BASE DE AGUARRAS</t>
  </si>
  <si>
    <t xml:space="preserve"> 00007288 </t>
  </si>
  <si>
    <t>TINTA ESMALTE SINTETICO PREMIUM FOSCO</t>
  </si>
  <si>
    <t xml:space="preserve"> 88243 </t>
  </si>
  <si>
    <t>AJUDANTE ESPECIALIZADO COM ENCARGOS COMPLEMENTARES</t>
  </si>
  <si>
    <t xml:space="preserve"> 00004226 </t>
  </si>
  <si>
    <t>GAS DE COZINHA - GLP</t>
  </si>
  <si>
    <t xml:space="preserve"> 00000511 </t>
  </si>
  <si>
    <t>PRIMER PARA MANTA ASFALTICA A BASE DE ASFALTO MODIFICADO DILUIDO EM SOLVENTE, APLICACAO A FRIO</t>
  </si>
  <si>
    <t xml:space="preserve"> 00000516 </t>
  </si>
  <si>
    <t>ASFALTO MODIFICADO TIPO II - NBR 9910 (ASFALTO OXIDADO PARA IMPERMEABILIZACAO, COEFICIENTE DE PENETRACAO 20-35)</t>
  </si>
  <si>
    <t xml:space="preserve"> CM1475 </t>
  </si>
  <si>
    <t>Manta asfáltica elastomérica em poliéster 4mm, antirraiz</t>
  </si>
  <si>
    <t xml:space="preserve"> 00004015 </t>
  </si>
  <si>
    <t>MANTA ASFALTICA ELASTOMERICA EM POLIESTER 4 MM, TIPO III, CLASSE B, ACABAMENTO PP (NBR 9952)</t>
  </si>
  <si>
    <t xml:space="preserve"> 87301 </t>
  </si>
  <si>
    <t>ARGAMASSA TRAÇO 1:4 (EM VOLUME DE CIMENTO E AREIA MÉDIA ÚMIDA) PARA CONTRAPISO, PREPARO MECÂNICO COM BETONEIRA 400 L. AF_08/2019</t>
  </si>
  <si>
    <t xml:space="preserve"> 00004021 </t>
  </si>
  <si>
    <t>GEOTEXTIL NAO TECIDO AGULHADO DE FILAMENTOS CONTINUOS 100% POLIESTER, RESITENCIA A TRACAO = 14 KN/M</t>
  </si>
  <si>
    <t xml:space="preserve"> 00000509 </t>
  </si>
  <si>
    <t>ASFALTO MODIFICADO TIPO III - NBR 9910 (ASFALTO OXIDADO PARA IMPERMEABILIZACAO, COEFICIENTE DE PENETRACAO 15-25)</t>
  </si>
  <si>
    <t xml:space="preserve"> 00004030 </t>
  </si>
  <si>
    <t>VEU POLIESTER</t>
  </si>
  <si>
    <t xml:space="preserve"> CM0832 </t>
  </si>
  <si>
    <t>Revestimento impermeabilizante flexível, bicomponente, à base de resinas termoplásticas e cimentos com aditivos e incorporação de fibras sintéticas, Viaplus 7000</t>
  </si>
  <si>
    <t>kg</t>
  </si>
  <si>
    <t xml:space="preserve"> 00000135 </t>
  </si>
  <si>
    <t>ARGAMASSA POLIMERICA IMPERMEABILIZANTE SEMIFLEXIVEL, BICOMPONENTE (MEMBRANA IMPERMEABILIZANTE ACRILICA)</t>
  </si>
  <si>
    <t xml:space="preserve"> 88325 </t>
  </si>
  <si>
    <t>VIDRACEIRO COM ENCARGOS COMPLEMENTARES</t>
  </si>
  <si>
    <t xml:space="preserve"> 00000151 </t>
  </si>
  <si>
    <t>IMPERMEABILIZANTE INCOLOR PARA TRATAMENTO DE FACHADAS E TELHAS, BASE SILICONE</t>
  </si>
  <si>
    <t xml:space="preserve"> 00007307 </t>
  </si>
  <si>
    <t>FUNDO ANTICORROSIVO PARA METAIS FERROSOS (ZARCAO)</t>
  </si>
  <si>
    <t xml:space="preserve"> 00003148 </t>
  </si>
  <si>
    <t>FITA VEDA ROSCA EM ROLOS DE 18 MM X 50 M (L X C)</t>
  </si>
  <si>
    <t xml:space="preserve"> CM1515 </t>
  </si>
  <si>
    <t>Válvula de esfera bruta, bronze, roscável, 2 1/2''</t>
  </si>
  <si>
    <t xml:space="preserve"> 00003266 </t>
  </si>
  <si>
    <t>FLANGE SEXTAVADO DE FERRO GALVANIZADO, COM ROSCA BSP, DE 2"</t>
  </si>
  <si>
    <t xml:space="preserve"> 00003268 </t>
  </si>
  <si>
    <t>FLANGE SEXTAVADO DE FERRO GALVANIZADO, COM ROSCA BSP, DE 3"</t>
  </si>
  <si>
    <t xml:space="preserve"> 00001168 </t>
  </si>
  <si>
    <t>CAP OU TAMPAO DE FERRO GALVANIZADO, COM ROSCA BSP, DE 3"</t>
  </si>
  <si>
    <t xml:space="preserve"> 00038383 </t>
  </si>
  <si>
    <t>LIXA D'AGUA EM FOLHA, GRAO 100</t>
  </si>
  <si>
    <t xml:space="preserve"> 00000122 </t>
  </si>
  <si>
    <t>ADESIVO PLASTICO PARA PVC, FRASCO COM 850 GR</t>
  </si>
  <si>
    <t xml:space="preserve"> 00020083 </t>
  </si>
  <si>
    <t>SOLUCAO LIMPADORA PARA PVC, FRASCO COM 1000 CM3</t>
  </si>
  <si>
    <t xml:space="preserve"> 00020078 </t>
  </si>
  <si>
    <t>PASTA LUBRIFICANTE PARA TUBOS E CONEXOES COM JUNTA ELASTICA (USO EM PVC, ACO, POLIETILENO E OUTROS) ( DE *400* G)</t>
  </si>
  <si>
    <t xml:space="preserve"> 00001189 </t>
  </si>
  <si>
    <t>CAP PVC, SOLDAVEL, 32 MM, PARA AGUA FRIA PREDIAL</t>
  </si>
  <si>
    <t xml:space="preserve"> 00020080 </t>
  </si>
  <si>
    <t>ADESIVO PLASTICO PARA PVC, FRASCO COM 175 GR</t>
  </si>
  <si>
    <t xml:space="preserve"> CM1590 </t>
  </si>
  <si>
    <t>Registro de esfera VS PVC soldável marrom - 85mm</t>
  </si>
  <si>
    <t xml:space="preserve"> CM1788 </t>
  </si>
  <si>
    <t>Luva redução PVC soldável de 110x75mm</t>
  </si>
  <si>
    <t xml:space="preserve"> CM1789 </t>
  </si>
  <si>
    <t>Tê de redução, PVC, soldável, 60mm x 50mm</t>
  </si>
  <si>
    <t xml:space="preserve"> CM1790 </t>
  </si>
  <si>
    <t>Luva redução PVC soldável de 110x85mm</t>
  </si>
  <si>
    <t xml:space="preserve"> 00001188 </t>
  </si>
  <si>
    <t>CAP PVC, ROSCAVEL, 2 1/2",  AGUA FRIA PREDIAL</t>
  </si>
  <si>
    <t xml:space="preserve"> 00003143 </t>
  </si>
  <si>
    <t>FITA VEDA ROSCA EM ROLOS DE 18 MM X 25 M (L X C)</t>
  </si>
  <si>
    <t xml:space="preserve"> 00001204 </t>
  </si>
  <si>
    <t>CAP PVC, SOLDAVEL, 75 MM, PARA AGUA FRIA PREDIAL</t>
  </si>
  <si>
    <t xml:space="preserve"> CM1330 </t>
  </si>
  <si>
    <t>Conjunto flutuador com bóia, mangueira de sucção (2,5m) com válvula de retenção, bóia e conexão 2", ref. Eco Sucção 2", fab. Ecoracional</t>
  </si>
  <si>
    <t xml:space="preserve"> 102119 </t>
  </si>
  <si>
    <t>BOMBA CENTRÍFUGA, TRIFÁSICA, 3 CV OU 2,96 HP, HM 34 A 40 M, Q 8,6 A 14,8 M3/H (NÃO INCLUI O FORNECIMENTO DA BOMBA). AF_12/2020</t>
  </si>
  <si>
    <t xml:space="preserve"> CM1787 </t>
  </si>
  <si>
    <t>Conjunto moto-bomba trifásico 220/380V, 3cv, ref. CAM W14 Dancor</t>
  </si>
  <si>
    <t xml:space="preserve"> 00000305 </t>
  </si>
  <si>
    <t>ANEL BORRACHA, PARA TUBO PVC, REDE COLETOR ESGOTO, DN 150 MM (NBR 7362)</t>
  </si>
  <si>
    <t xml:space="preserve"> CM1543 </t>
  </si>
  <si>
    <t>Sifão ladrão Ø150mm em polietileno, Ciclo D'água</t>
  </si>
  <si>
    <t xml:space="preserve"> CM1280 </t>
  </si>
  <si>
    <t>Sensor de nível de líquido LA16M-40 com adaptador PVC M16 X 25, fab. Icos</t>
  </si>
  <si>
    <t xml:space="preserve"> 88279 </t>
  </si>
  <si>
    <t>MONTADOR ELETROMECÃNICO COM ENCARGOS COMPLEMENTARES</t>
  </si>
  <si>
    <t xml:space="preserve"> CM1332 </t>
  </si>
  <si>
    <t>Hidrômetro ultrassônico DN 40mm, ref. Hydrus, fab. Diehl</t>
  </si>
  <si>
    <t xml:space="preserve"> CM1651 </t>
  </si>
</sst>
</file>

<file path=xl/styles.xml><?xml version="1.0" encoding="utf-8"?>
<styleSheet xmlns="http://schemas.openxmlformats.org/spreadsheetml/2006/main">
  <numFmts count="4">
    <numFmt numFmtId="43" formatCode="_-* #,##0.00_-;\-* #,##0.00_-;_-* &quot;-&quot;??_-;_-@_-"/>
    <numFmt numFmtId="164" formatCode="#,##0.00\ %"/>
    <numFmt numFmtId="165" formatCode="#,##0.0000000"/>
    <numFmt numFmtId="166" formatCode="0.0000"/>
  </numFmts>
  <fonts count="31">
    <font>
      <sz val="11"/>
      <name val="Arial"/>
      <family val="1"/>
    </font>
    <font>
      <b/>
      <sz val="10"/>
      <name val="Arial"/>
      <family val="1"/>
    </font>
    <font>
      <b/>
      <sz val="8"/>
      <name val="Arial"/>
      <family val="2"/>
    </font>
    <font>
      <sz val="8"/>
      <name val="Arial"/>
      <family val="2"/>
    </font>
    <font>
      <b/>
      <sz val="8"/>
      <color indexed="8"/>
      <name val="Arial"/>
      <family val="2"/>
    </font>
    <font>
      <sz val="8"/>
      <color indexed="8"/>
      <name val="Arial"/>
      <family val="2"/>
    </font>
    <font>
      <b/>
      <sz val="8"/>
      <name val="Arial"/>
      <family val="1"/>
    </font>
    <font>
      <sz val="8"/>
      <name val="Arial"/>
      <family val="1"/>
    </font>
    <font>
      <b/>
      <sz val="8"/>
      <color indexed="8"/>
      <name val="Arial"/>
      <family val="1"/>
    </font>
    <font>
      <sz val="11"/>
      <name val="Arial"/>
      <family val="1"/>
    </font>
    <font>
      <sz val="8"/>
      <color indexed="8"/>
      <name val="Arial"/>
      <family val="1"/>
    </font>
    <font>
      <sz val="10"/>
      <name val="Arial"/>
      <family val="2"/>
      <charset val="1"/>
    </font>
    <font>
      <sz val="10"/>
      <name val="Arial"/>
      <family val="2"/>
    </font>
    <font>
      <b/>
      <sz val="11"/>
      <color indexed="8"/>
      <name val="Arial"/>
      <family val="2"/>
    </font>
    <font>
      <sz val="10"/>
      <name val="Tahoma"/>
      <family val="2"/>
    </font>
    <font>
      <b/>
      <sz val="8"/>
      <name val="Arial"/>
      <family val="2"/>
      <charset val="1"/>
    </font>
    <font>
      <sz val="8"/>
      <name val="Arial"/>
      <family val="2"/>
      <charset val="1"/>
    </font>
    <font>
      <sz val="8"/>
      <color indexed="8"/>
      <name val="Arial"/>
      <family val="2"/>
    </font>
    <font>
      <b/>
      <sz val="8"/>
      <color indexed="8"/>
      <name val="Arial"/>
      <family val="2"/>
    </font>
    <font>
      <b/>
      <i/>
      <sz val="8"/>
      <color indexed="8"/>
      <name val="Arial"/>
      <family val="1"/>
    </font>
    <font>
      <b/>
      <i/>
      <sz val="8"/>
      <color indexed="8"/>
      <name val="Arial"/>
      <family val="2"/>
    </font>
    <font>
      <i/>
      <sz val="8"/>
      <color indexed="8"/>
      <name val="Arial"/>
      <family val="2"/>
    </font>
    <font>
      <b/>
      <sz val="10"/>
      <name val="Arial"/>
      <family val="2"/>
    </font>
    <font>
      <sz val="4"/>
      <name val="Arial"/>
      <family val="2"/>
    </font>
    <font>
      <b/>
      <sz val="8"/>
      <color indexed="10"/>
      <name val="Arial"/>
      <family val="2"/>
    </font>
    <font>
      <b/>
      <u/>
      <sz val="8"/>
      <color indexed="10"/>
      <name val="Arial"/>
      <family val="2"/>
    </font>
    <font>
      <b/>
      <u/>
      <sz val="8"/>
      <color indexed="10"/>
      <name val="Arial"/>
      <family val="2"/>
    </font>
    <font>
      <b/>
      <sz val="8"/>
      <color indexed="10"/>
      <name val="Arial"/>
      <family val="2"/>
    </font>
    <font>
      <b/>
      <sz val="11"/>
      <name val="Arial"/>
      <family val="1"/>
    </font>
    <font>
      <sz val="11"/>
      <name val="Arial"/>
      <family val="2"/>
    </font>
    <font>
      <b/>
      <sz val="11"/>
      <name val="Arial"/>
      <family val="2"/>
    </font>
  </fonts>
  <fills count="8">
    <fill>
      <patternFill patternType="none"/>
    </fill>
    <fill>
      <patternFill patternType="gray125"/>
    </fill>
    <fill>
      <patternFill patternType="solid">
        <fgColor indexed="9"/>
      </patternFill>
    </fill>
    <fill>
      <patternFill patternType="solid">
        <fgColor indexed="27"/>
      </patternFill>
    </fill>
    <fill>
      <patternFill patternType="solid">
        <fgColor indexed="13"/>
      </patternFill>
    </fill>
    <fill>
      <patternFill patternType="solid">
        <fgColor indexed="22"/>
        <bgColor indexed="64"/>
      </patternFill>
    </fill>
    <fill>
      <patternFill patternType="solid">
        <fgColor indexed="27"/>
        <bgColor indexed="64"/>
      </patternFill>
    </fill>
    <fill>
      <patternFill patternType="solid">
        <fgColor indexed="13"/>
        <bgColor indexed="64"/>
      </patternFill>
    </fill>
  </fills>
  <borders count="35">
    <border>
      <left/>
      <right/>
      <top/>
      <bottom/>
      <diagonal/>
    </border>
    <border>
      <left style="thin">
        <color indexed="22"/>
      </left>
      <right style="thin">
        <color indexed="22"/>
      </right>
      <top style="thin">
        <color indexed="22"/>
      </top>
      <bottom style="thin">
        <color indexed="22"/>
      </bottom>
      <diagonal/>
    </border>
    <border>
      <left/>
      <right/>
      <top style="thick">
        <color indexed="8"/>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55"/>
      </left>
      <right style="thin">
        <color indexed="55"/>
      </right>
      <top style="thin">
        <color indexed="55"/>
      </top>
      <bottom style="thin">
        <color indexed="55"/>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8"/>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8"/>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64"/>
      </top>
      <bottom style="thin">
        <color indexed="22"/>
      </bottom>
      <diagonal/>
    </border>
    <border>
      <left/>
      <right/>
      <top style="thin">
        <color indexed="22"/>
      </top>
      <bottom/>
      <diagonal/>
    </border>
    <border>
      <left/>
      <right/>
      <top/>
      <bottom style="thin">
        <color indexed="22"/>
      </bottom>
      <diagonal/>
    </border>
  </borders>
  <cellStyleXfs count="10">
    <xf numFmtId="0" fontId="0" fillId="0" borderId="0"/>
    <xf numFmtId="0" fontId="12" fillId="0" borderId="0"/>
    <xf numFmtId="0" fontId="12" fillId="0" borderId="0"/>
    <xf numFmtId="0" fontId="12" fillId="0" borderId="0"/>
    <xf numFmtId="0" fontId="12" fillId="0" borderId="0"/>
    <xf numFmtId="0" fontId="12" fillId="0" borderId="0"/>
    <xf numFmtId="0" fontId="14" fillId="0" borderId="0"/>
    <xf numFmtId="0" fontId="12" fillId="0" borderId="0"/>
    <xf numFmtId="9" fontId="9" fillId="0" borderId="0" applyFont="0" applyFill="0" applyBorder="0" applyAlignment="0" applyProtection="0"/>
    <xf numFmtId="43" fontId="9" fillId="0" borderId="0" applyFont="0" applyFill="0" applyBorder="0" applyAlignment="0" applyProtection="0"/>
  </cellStyleXfs>
  <cellXfs count="252">
    <xf numFmtId="0" fontId="0" fillId="0" borderId="0" xfId="0"/>
    <xf numFmtId="0" fontId="3" fillId="0" borderId="0" xfId="0" applyFont="1"/>
    <xf numFmtId="0" fontId="3" fillId="0" borderId="0" xfId="0" applyFont="1" applyFill="1"/>
    <xf numFmtId="0" fontId="4" fillId="0" borderId="1" xfId="0" applyFont="1" applyFill="1" applyBorder="1" applyAlignment="1">
      <alignment horizontal="left" vertical="top" wrapText="1"/>
    </xf>
    <xf numFmtId="4" fontId="4" fillId="0" borderId="1" xfId="0" applyNumberFormat="1" applyFont="1" applyFill="1" applyBorder="1" applyAlignment="1">
      <alignment horizontal="right"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right" vertical="top" wrapText="1"/>
    </xf>
    <xf numFmtId="0" fontId="5" fillId="0" borderId="1" xfId="0" applyFont="1" applyFill="1" applyBorder="1" applyAlignment="1">
      <alignment horizontal="center" vertical="top" wrapText="1"/>
    </xf>
    <xf numFmtId="4" fontId="5" fillId="0" borderId="1" xfId="0" applyNumberFormat="1" applyFont="1" applyFill="1" applyBorder="1" applyAlignment="1">
      <alignment horizontal="right" vertical="top" wrapText="1"/>
    </xf>
    <xf numFmtId="0" fontId="3" fillId="0" borderId="0" xfId="0" applyFont="1" applyFill="1" applyAlignment="1">
      <alignment horizontal="center" vertical="top" wrapText="1"/>
    </xf>
    <xf numFmtId="0" fontId="7" fillId="0" borderId="0" xfId="0" applyFont="1"/>
    <xf numFmtId="0" fontId="8" fillId="4" borderId="1" xfId="0" applyFont="1" applyFill="1" applyBorder="1" applyAlignment="1">
      <alignment horizontal="left" vertical="top" wrapText="1"/>
    </xf>
    <xf numFmtId="0" fontId="8" fillId="4" borderId="1" xfId="0" applyFont="1" applyFill="1" applyBorder="1" applyAlignment="1">
      <alignment horizontal="right" vertical="top" wrapText="1"/>
    </xf>
    <xf numFmtId="4" fontId="8" fillId="4" borderId="1" xfId="0" applyNumberFormat="1" applyFont="1" applyFill="1" applyBorder="1" applyAlignment="1">
      <alignment horizontal="right" vertical="top" wrapText="1"/>
    </xf>
    <xf numFmtId="0" fontId="10" fillId="2" borderId="2" xfId="0" applyFont="1" applyFill="1" applyBorder="1" applyAlignment="1">
      <alignment horizontal="left" vertical="top" wrapText="1"/>
    </xf>
    <xf numFmtId="0" fontId="1" fillId="5" borderId="1" xfId="0" applyFont="1" applyFill="1" applyBorder="1" applyAlignment="1">
      <alignment horizontal="center" vertical="top" wrapText="1"/>
    </xf>
    <xf numFmtId="0" fontId="7" fillId="0" borderId="1" xfId="0" applyFont="1" applyBorder="1" applyAlignment="1">
      <alignment horizontal="center" vertical="top" wrapText="1"/>
    </xf>
    <xf numFmtId="0" fontId="7" fillId="0" borderId="3" xfId="0" applyFont="1" applyBorder="1" applyAlignment="1">
      <alignment vertical="top"/>
    </xf>
    <xf numFmtId="0" fontId="7" fillId="0" borderId="4" xfId="0" applyFont="1" applyBorder="1" applyAlignment="1">
      <alignment vertical="top"/>
    </xf>
    <xf numFmtId="10" fontId="7" fillId="0" borderId="1" xfId="8" applyNumberFormat="1" applyFont="1" applyFill="1" applyBorder="1" applyAlignment="1">
      <alignment horizontal="center" vertical="top" wrapText="1"/>
    </xf>
    <xf numFmtId="0" fontId="7" fillId="0" borderId="1" xfId="0" applyFont="1" applyBorder="1" applyAlignment="1">
      <alignment horizontal="left" vertical="top" wrapText="1"/>
    </xf>
    <xf numFmtId="0" fontId="11" fillId="0" borderId="0" xfId="2" applyFont="1"/>
    <xf numFmtId="0" fontId="3" fillId="0" borderId="1" xfId="0" applyFont="1" applyBorder="1" applyAlignment="1">
      <alignment horizontal="center" vertical="top" wrapText="1"/>
    </xf>
    <xf numFmtId="0" fontId="3" fillId="0" borderId="3" xfId="0" applyFont="1" applyBorder="1" applyAlignment="1">
      <alignment vertical="top"/>
    </xf>
    <xf numFmtId="0" fontId="3" fillId="0" borderId="4" xfId="0" applyFont="1" applyBorder="1" applyAlignment="1">
      <alignment vertical="top"/>
    </xf>
    <xf numFmtId="10" fontId="3" fillId="0" borderId="1" xfId="8" applyNumberFormat="1" applyFont="1" applyFill="1" applyBorder="1" applyAlignment="1">
      <alignment horizontal="center" vertical="top" wrapText="1"/>
    </xf>
    <xf numFmtId="0" fontId="2" fillId="0" borderId="1" xfId="0" applyFont="1" applyBorder="1" applyAlignment="1">
      <alignment horizontal="center" vertical="top" wrapText="1"/>
    </xf>
    <xf numFmtId="0" fontId="2" fillId="0" borderId="3" xfId="0" applyFont="1" applyBorder="1" applyAlignment="1">
      <alignment vertical="top"/>
    </xf>
    <xf numFmtId="0" fontId="2" fillId="0" borderId="4" xfId="0" applyFont="1" applyBorder="1" applyAlignment="1">
      <alignment vertical="top"/>
    </xf>
    <xf numFmtId="10" fontId="2" fillId="0" borderId="1" xfId="8" applyNumberFormat="1" applyFont="1" applyFill="1" applyBorder="1" applyAlignment="1">
      <alignment horizontal="center" vertical="top" wrapText="1"/>
    </xf>
    <xf numFmtId="0" fontId="16" fillId="0" borderId="1" xfId="0" applyFont="1" applyBorder="1" applyAlignment="1">
      <alignment horizontal="center" vertical="top" wrapText="1"/>
    </xf>
    <xf numFmtId="0" fontId="16" fillId="0" borderId="3" xfId="0" applyFont="1" applyBorder="1" applyAlignment="1">
      <alignment vertical="top"/>
    </xf>
    <xf numFmtId="0" fontId="16" fillId="0" borderId="4" xfId="0" applyFont="1" applyBorder="1" applyAlignment="1">
      <alignment vertical="top"/>
    </xf>
    <xf numFmtId="0" fontId="15" fillId="0" borderId="1" xfId="0" applyFont="1" applyBorder="1" applyAlignment="1">
      <alignment horizontal="center" vertical="top" wrapText="1"/>
    </xf>
    <xf numFmtId="0" fontId="15" fillId="0" borderId="3" xfId="0" applyFont="1" applyBorder="1" applyAlignment="1">
      <alignment vertical="top"/>
    </xf>
    <xf numFmtId="0" fontId="15" fillId="0" borderId="4" xfId="0" applyFont="1" applyBorder="1" applyAlignment="1">
      <alignment vertical="top"/>
    </xf>
    <xf numFmtId="10" fontId="16" fillId="0" borderId="1" xfId="8" applyNumberFormat="1" applyFont="1" applyFill="1" applyBorder="1" applyAlignment="1">
      <alignment horizontal="center" vertical="top" wrapText="1"/>
    </xf>
    <xf numFmtId="10" fontId="15" fillId="0" borderId="1" xfId="8" applyNumberFormat="1" applyFont="1" applyFill="1" applyBorder="1" applyAlignment="1">
      <alignment horizontal="center" vertical="top" wrapText="1"/>
    </xf>
    <xf numFmtId="0" fontId="0" fillId="0" borderId="0" xfId="2" applyFont="1"/>
    <xf numFmtId="0" fontId="0" fillId="0" borderId="0" xfId="2" applyFont="1" applyAlignment="1">
      <alignment wrapText="1"/>
    </xf>
    <xf numFmtId="0" fontId="0" fillId="0" borderId="0" xfId="2" applyFont="1" applyAlignment="1">
      <alignment horizontal="center"/>
    </xf>
    <xf numFmtId="0" fontId="12" fillId="0" borderId="0" xfId="2"/>
    <xf numFmtId="0" fontId="7" fillId="2" borderId="0" xfId="0" applyFont="1" applyFill="1" applyAlignment="1">
      <alignment horizontal="center" vertical="top" wrapText="1"/>
    </xf>
    <xf numFmtId="0" fontId="6" fillId="2" borderId="0" xfId="0" applyFont="1" applyFill="1" applyAlignment="1">
      <alignment vertical="top" wrapText="1"/>
    </xf>
    <xf numFmtId="4" fontId="6" fillId="2" borderId="0" xfId="0" applyNumberFormat="1" applyFont="1" applyFill="1" applyAlignment="1">
      <alignment horizontal="right" vertical="top" wrapText="1"/>
    </xf>
    <xf numFmtId="0" fontId="2" fillId="2" borderId="0" xfId="0" applyFont="1" applyFill="1" applyAlignment="1">
      <alignment horizontal="left" vertical="top" wrapText="1"/>
    </xf>
    <xf numFmtId="4" fontId="2" fillId="2" borderId="0" xfId="0" applyNumberFormat="1" applyFont="1" applyFill="1" applyAlignment="1">
      <alignment horizontal="right" vertical="top" wrapText="1"/>
    </xf>
    <xf numFmtId="0" fontId="8" fillId="6" borderId="1" xfId="0" applyFont="1" applyFill="1" applyBorder="1" applyAlignment="1">
      <alignment horizontal="left" vertical="center" wrapText="1"/>
    </xf>
    <xf numFmtId="4" fontId="8" fillId="6" borderId="1" xfId="0" applyNumberFormat="1" applyFont="1" applyFill="1" applyBorder="1" applyAlignment="1">
      <alignment horizontal="righ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164" fontId="8" fillId="4" borderId="1" xfId="0" applyNumberFormat="1" applyFont="1" applyFill="1" applyBorder="1" applyAlignment="1">
      <alignment horizontal="right" vertical="top" wrapText="1"/>
    </xf>
    <xf numFmtId="4" fontId="3" fillId="0" borderId="0" xfId="0" applyNumberFormat="1" applyFont="1" applyFill="1" applyAlignment="1">
      <alignment horizontal="center" vertical="top" wrapText="1"/>
    </xf>
    <xf numFmtId="4" fontId="3" fillId="0" borderId="0" xfId="0" applyNumberFormat="1" applyFont="1" applyFill="1"/>
    <xf numFmtId="0" fontId="1" fillId="5" borderId="1" xfId="0" applyFont="1" applyFill="1" applyBorder="1" applyAlignment="1">
      <alignment horizontal="center" vertical="center" wrapText="1"/>
    </xf>
    <xf numFmtId="166" fontId="1" fillId="5" borderId="1" xfId="0" applyNumberFormat="1" applyFont="1" applyFill="1" applyBorder="1" applyAlignment="1">
      <alignment horizontal="center" vertical="center" wrapText="1"/>
    </xf>
    <xf numFmtId="4" fontId="7" fillId="0" borderId="1" xfId="9" applyNumberFormat="1" applyFont="1" applyFill="1" applyBorder="1" applyAlignment="1">
      <alignment horizontal="right" vertical="center" wrapText="1"/>
    </xf>
    <xf numFmtId="0" fontId="7" fillId="0" borderId="1" xfId="0" applyFont="1" applyFill="1" applyBorder="1" applyAlignment="1">
      <alignment horizontal="left" vertical="top" wrapText="1"/>
    </xf>
    <xf numFmtId="0" fontId="7" fillId="0" borderId="1" xfId="0" applyFont="1" applyFill="1" applyBorder="1" applyAlignment="1">
      <alignment horizontal="right" vertical="top" wrapText="1"/>
    </xf>
    <xf numFmtId="0" fontId="7" fillId="0" borderId="1" xfId="0" applyFont="1" applyFill="1" applyBorder="1" applyAlignment="1">
      <alignment horizontal="center" vertical="top" wrapText="1"/>
    </xf>
    <xf numFmtId="165" fontId="7" fillId="0" borderId="1" xfId="0" applyNumberFormat="1" applyFont="1" applyFill="1" applyBorder="1" applyAlignment="1">
      <alignment horizontal="right" vertical="top" wrapText="1"/>
    </xf>
    <xf numFmtId="4" fontId="7" fillId="0" borderId="1" xfId="0" applyNumberFormat="1" applyFont="1" applyFill="1" applyBorder="1" applyAlignment="1">
      <alignment horizontal="right" vertical="top" wrapText="1"/>
    </xf>
    <xf numFmtId="0" fontId="10" fillId="0" borderId="2" xfId="0" applyFont="1" applyFill="1" applyBorder="1" applyAlignment="1">
      <alignment horizontal="left" vertical="top" wrapText="1"/>
    </xf>
    <xf numFmtId="0" fontId="7" fillId="0" borderId="0" xfId="0" applyFont="1" applyFill="1"/>
    <xf numFmtId="0" fontId="8" fillId="0" borderId="1" xfId="0" applyFont="1" applyFill="1" applyBorder="1" applyAlignment="1">
      <alignment horizontal="left" vertical="top" wrapText="1"/>
    </xf>
    <xf numFmtId="0" fontId="8" fillId="0" borderId="1" xfId="0" applyFont="1" applyFill="1" applyBorder="1" applyAlignment="1">
      <alignment horizontal="right" vertical="top" wrapText="1"/>
    </xf>
    <xf numFmtId="4" fontId="8" fillId="0" borderId="1" xfId="0" applyNumberFormat="1" applyFont="1" applyFill="1" applyBorder="1" applyAlignment="1">
      <alignment horizontal="right" vertical="top" wrapText="1"/>
    </xf>
    <xf numFmtId="0" fontId="7" fillId="0" borderId="0" xfId="0" applyFont="1" applyFill="1" applyBorder="1" applyAlignment="1">
      <alignment horizontal="left" vertical="top" wrapText="1"/>
    </xf>
    <xf numFmtId="0" fontId="7" fillId="0" borderId="0" xfId="0" applyFont="1" applyFill="1" applyBorder="1" applyAlignment="1">
      <alignment horizontal="right" vertical="top" wrapText="1"/>
    </xf>
    <xf numFmtId="0" fontId="7" fillId="0" borderId="0" xfId="0" applyFont="1" applyFill="1" applyBorder="1" applyAlignment="1">
      <alignment horizontal="center" vertical="top" wrapText="1"/>
    </xf>
    <xf numFmtId="165" fontId="7" fillId="0" borderId="0" xfId="0" applyNumberFormat="1" applyFont="1" applyFill="1" applyBorder="1" applyAlignment="1">
      <alignment horizontal="right" vertical="top" wrapText="1"/>
    </xf>
    <xf numFmtId="4" fontId="7" fillId="0" borderId="0" xfId="0" applyNumberFormat="1" applyFont="1" applyFill="1" applyBorder="1" applyAlignment="1">
      <alignment horizontal="right" vertical="top" wrapText="1"/>
    </xf>
    <xf numFmtId="0" fontId="6" fillId="5" borderId="10" xfId="0" applyFont="1" applyFill="1" applyBorder="1" applyAlignment="1">
      <alignment horizontal="center" vertical="top" wrapText="1"/>
    </xf>
    <xf numFmtId="10" fontId="6" fillId="5" borderId="10" xfId="8" applyNumberFormat="1" applyFont="1" applyFill="1" applyBorder="1" applyAlignment="1">
      <alignment horizontal="center" vertical="top" wrapText="1"/>
    </xf>
    <xf numFmtId="0" fontId="6" fillId="5" borderId="0" xfId="0" applyFont="1" applyFill="1" applyAlignment="1">
      <alignment horizontal="right" vertical="top" wrapText="1"/>
    </xf>
    <xf numFmtId="0" fontId="6" fillId="5" borderId="0" xfId="0" applyFont="1" applyFill="1" applyAlignment="1">
      <alignment horizontal="right" vertical="top"/>
    </xf>
    <xf numFmtId="43" fontId="6" fillId="5" borderId="0" xfId="9" applyFont="1" applyFill="1" applyAlignment="1">
      <alignment vertical="top" wrapText="1"/>
    </xf>
    <xf numFmtId="0" fontId="17" fillId="0" borderId="11" xfId="4" applyFont="1" applyBorder="1" applyAlignment="1">
      <alignment horizontal="left"/>
    </xf>
    <xf numFmtId="0" fontId="17" fillId="0" borderId="12" xfId="0" applyFont="1" applyBorder="1"/>
    <xf numFmtId="0" fontId="18" fillId="0" borderId="12" xfId="0" applyFont="1" applyBorder="1" applyAlignment="1">
      <alignment horizontal="center"/>
    </xf>
    <xf numFmtId="14" fontId="18" fillId="0" borderId="8" xfId="4" applyNumberFormat="1" applyFont="1" applyBorder="1" applyAlignment="1">
      <alignment horizontal="center" vertical="center"/>
    </xf>
    <xf numFmtId="0" fontId="17" fillId="0" borderId="13" xfId="4" applyFont="1" applyBorder="1" applyAlignment="1">
      <alignment horizontal="left"/>
    </xf>
    <xf numFmtId="0" fontId="17" fillId="0" borderId="14" xfId="4" applyFont="1" applyBorder="1" applyAlignment="1">
      <alignment horizontal="left"/>
    </xf>
    <xf numFmtId="0" fontId="17" fillId="0" borderId="14" xfId="0" applyFont="1" applyBorder="1"/>
    <xf numFmtId="4" fontId="3" fillId="0" borderId="15" xfId="0" applyNumberFormat="1" applyFont="1" applyBorder="1"/>
    <xf numFmtId="0" fontId="17" fillId="0" borderId="15" xfId="4" applyFont="1" applyBorder="1" applyAlignment="1">
      <alignment horizontal="left"/>
    </xf>
    <xf numFmtId="0" fontId="3" fillId="0" borderId="11" xfId="3" applyFont="1" applyBorder="1" applyAlignment="1">
      <alignment horizontal="left"/>
    </xf>
    <xf numFmtId="0" fontId="17" fillId="0" borderId="16" xfId="4" applyFont="1" applyBorder="1" applyAlignment="1">
      <alignment horizontal="left"/>
    </xf>
    <xf numFmtId="0" fontId="18" fillId="0" borderId="8" xfId="4" applyFont="1" applyBorder="1" applyAlignment="1">
      <alignment vertical="center"/>
    </xf>
    <xf numFmtId="10" fontId="19" fillId="7" borderId="17" xfId="8" applyNumberFormat="1" applyFont="1" applyFill="1" applyBorder="1" applyAlignment="1">
      <alignment horizontal="right" vertical="top" wrapText="1"/>
    </xf>
    <xf numFmtId="10" fontId="20" fillId="7" borderId="17" xfId="8" applyNumberFormat="1" applyFont="1" applyFill="1" applyBorder="1" applyAlignment="1">
      <alignment horizontal="right" vertical="top" wrapText="1"/>
    </xf>
    <xf numFmtId="43" fontId="8" fillId="7" borderId="18" xfId="9" applyFont="1" applyFill="1" applyBorder="1" applyAlignment="1">
      <alignment horizontal="right" vertical="top" wrapText="1"/>
    </xf>
    <xf numFmtId="43" fontId="4" fillId="7" borderId="18" xfId="9" applyFont="1" applyFill="1" applyBorder="1" applyAlignment="1">
      <alignment horizontal="right" vertical="top" wrapText="1"/>
    </xf>
    <xf numFmtId="10" fontId="20" fillId="3" borderId="17" xfId="8" applyNumberFormat="1" applyFont="1" applyFill="1" applyBorder="1" applyAlignment="1">
      <alignment horizontal="right" vertical="top" wrapText="1"/>
    </xf>
    <xf numFmtId="43" fontId="4" fillId="3" borderId="18" xfId="9" applyFont="1" applyFill="1" applyBorder="1" applyAlignment="1">
      <alignment horizontal="right" vertical="top" wrapText="1"/>
    </xf>
    <xf numFmtId="10" fontId="21" fillId="0" borderId="17" xfId="8" applyNumberFormat="1" applyFont="1" applyFill="1" applyBorder="1" applyAlignment="1">
      <alignment horizontal="right" vertical="top" wrapText="1"/>
    </xf>
    <xf numFmtId="43" fontId="5" fillId="0" borderId="18" xfId="9" applyFont="1" applyFill="1" applyBorder="1" applyAlignment="1">
      <alignment horizontal="right" vertical="top" wrapText="1"/>
    </xf>
    <xf numFmtId="10" fontId="19" fillId="5" borderId="17" xfId="8" applyNumberFormat="1" applyFont="1" applyFill="1" applyBorder="1" applyAlignment="1">
      <alignment horizontal="right" vertical="top" wrapText="1"/>
    </xf>
    <xf numFmtId="10" fontId="20" fillId="5" borderId="17" xfId="8" applyNumberFormat="1" applyFont="1" applyFill="1" applyBorder="1" applyAlignment="1">
      <alignment horizontal="right" vertical="top" wrapText="1"/>
    </xf>
    <xf numFmtId="43" fontId="8" fillId="5" borderId="18" xfId="9" applyFont="1" applyFill="1" applyBorder="1" applyAlignment="1">
      <alignment horizontal="right" vertical="top" wrapText="1"/>
    </xf>
    <xf numFmtId="43" fontId="4" fillId="5" borderId="18" xfId="9" applyFont="1" applyFill="1" applyBorder="1" applyAlignment="1">
      <alignment horizontal="right" vertical="top" wrapText="1"/>
    </xf>
    <xf numFmtId="10" fontId="2" fillId="2" borderId="0" xfId="8" applyNumberFormat="1" applyFont="1" applyFill="1" applyAlignment="1">
      <alignment horizontal="right" vertical="top" wrapText="1"/>
    </xf>
    <xf numFmtId="43" fontId="2" fillId="2" borderId="0" xfId="9" applyFont="1" applyFill="1" applyAlignment="1">
      <alignment horizontal="right" vertical="top" wrapText="1"/>
    </xf>
    <xf numFmtId="0" fontId="4" fillId="3" borderId="3" xfId="0" applyFont="1" applyFill="1" applyBorder="1" applyAlignment="1">
      <alignment horizontal="left" vertical="top" wrapText="1"/>
    </xf>
    <xf numFmtId="0" fontId="4" fillId="3" borderId="4" xfId="0" applyFont="1" applyFill="1" applyBorder="1" applyAlignment="1">
      <alignment horizontal="right" vertical="top" wrapText="1"/>
    </xf>
    <xf numFmtId="0" fontId="4" fillId="3" borderId="1" xfId="0" applyFont="1" applyFill="1" applyBorder="1" applyAlignment="1">
      <alignment horizontal="right" vertical="top" wrapText="1"/>
    </xf>
    <xf numFmtId="43" fontId="4" fillId="3" borderId="1" xfId="9" applyFont="1" applyFill="1" applyBorder="1" applyAlignment="1">
      <alignment horizontal="right" vertical="top" wrapText="1"/>
    </xf>
    <xf numFmtId="0" fontId="8" fillId="0" borderId="1" xfId="0" applyFont="1" applyFill="1" applyBorder="1" applyAlignment="1">
      <alignment vertical="top" wrapText="1"/>
    </xf>
    <xf numFmtId="4" fontId="7" fillId="0" borderId="1" xfId="9" applyNumberFormat="1" applyFont="1" applyFill="1" applyBorder="1" applyAlignment="1">
      <alignment horizontal="center" vertical="center" wrapText="1"/>
    </xf>
    <xf numFmtId="0" fontId="23" fillId="0" borderId="11" xfId="7" applyFont="1" applyBorder="1"/>
    <xf numFmtId="0" fontId="23" fillId="0" borderId="16" xfId="7" applyFont="1" applyBorder="1"/>
    <xf numFmtId="0" fontId="2" fillId="7" borderId="19" xfId="7" applyFont="1" applyFill="1" applyBorder="1" applyAlignment="1">
      <alignment horizontal="center"/>
    </xf>
    <xf numFmtId="0" fontId="18" fillId="7" borderId="20" xfId="5" applyFont="1" applyFill="1" applyBorder="1" applyAlignment="1">
      <alignment vertical="distributed" wrapText="1"/>
    </xf>
    <xf numFmtId="0" fontId="3" fillId="0" borderId="21" xfId="7" applyFont="1" applyBorder="1" applyAlignment="1">
      <alignment horizontal="center"/>
    </xf>
    <xf numFmtId="0" fontId="3" fillId="0" borderId="22" xfId="7" applyFont="1" applyBorder="1" applyAlignment="1">
      <alignment horizontal="justify" vertical="distributed" wrapText="1"/>
    </xf>
    <xf numFmtId="0" fontId="3" fillId="0" borderId="23" xfId="7" applyFont="1" applyBorder="1" applyAlignment="1">
      <alignment horizontal="center"/>
    </xf>
    <xf numFmtId="0" fontId="3" fillId="0" borderId="24" xfId="7" applyFont="1" applyBorder="1" applyAlignment="1">
      <alignment horizontal="justify" vertical="distributed" wrapText="1"/>
    </xf>
    <xf numFmtId="0" fontId="12" fillId="0" borderId="6" xfId="7" applyBorder="1"/>
    <xf numFmtId="0" fontId="12" fillId="0" borderId="7" xfId="7" applyBorder="1"/>
    <xf numFmtId="0" fontId="2" fillId="7" borderId="21" xfId="7" applyFont="1" applyFill="1" applyBorder="1" applyAlignment="1">
      <alignment horizontal="center"/>
    </xf>
    <xf numFmtId="0" fontId="18" fillId="7" borderId="22" xfId="5" applyFont="1" applyFill="1" applyBorder="1" applyAlignment="1">
      <alignment vertical="distributed" wrapText="1"/>
    </xf>
    <xf numFmtId="0" fontId="2" fillId="7" borderId="21" xfId="0" applyFont="1" applyFill="1" applyBorder="1" applyAlignment="1">
      <alignment horizontal="center"/>
    </xf>
    <xf numFmtId="0" fontId="18" fillId="7" borderId="22" xfId="3" applyFont="1" applyFill="1" applyBorder="1" applyAlignment="1">
      <alignment vertical="distributed" wrapText="1"/>
    </xf>
    <xf numFmtId="0" fontId="3" fillId="0" borderId="21" xfId="0" applyFont="1" applyBorder="1" applyAlignment="1">
      <alignment horizontal="center"/>
    </xf>
    <xf numFmtId="0" fontId="3" fillId="0" borderId="22" xfId="0" applyFont="1" applyBorder="1" applyAlignment="1">
      <alignment horizontal="justify" vertical="distributed" wrapText="1"/>
    </xf>
    <xf numFmtId="0" fontId="3" fillId="0" borderId="23" xfId="0" applyFont="1" applyBorder="1" applyAlignment="1">
      <alignment horizontal="center"/>
    </xf>
    <xf numFmtId="0" fontId="3" fillId="0" borderId="24" xfId="0" applyFont="1" applyBorder="1" applyAlignment="1">
      <alignment horizontal="justify" vertical="distributed" wrapText="1"/>
    </xf>
    <xf numFmtId="0" fontId="8" fillId="4" borderId="1" xfId="0" applyFont="1" applyFill="1" applyBorder="1" applyAlignment="1">
      <alignment vertical="top" wrapText="1"/>
    </xf>
    <xf numFmtId="43" fontId="6" fillId="5" borderId="0" xfId="9" applyFont="1" applyFill="1" applyAlignment="1">
      <alignment horizontal="center" vertical="top" wrapText="1"/>
    </xf>
    <xf numFmtId="0" fontId="18" fillId="0" borderId="8" xfId="4" applyFont="1" applyBorder="1" applyAlignment="1">
      <alignment horizontal="center" vertical="center"/>
    </xf>
    <xf numFmtId="17" fontId="17" fillId="0" borderId="11" xfId="4" applyNumberFormat="1" applyFont="1" applyBorder="1" applyAlignment="1">
      <alignment horizontal="left"/>
    </xf>
    <xf numFmtId="49" fontId="17" fillId="0" borderId="14" xfId="0" applyNumberFormat="1" applyFont="1" applyBorder="1"/>
    <xf numFmtId="49" fontId="17" fillId="0" borderId="14" xfId="4" applyNumberFormat="1" applyFont="1" applyBorder="1" applyAlignment="1">
      <alignment horizontal="left"/>
    </xf>
    <xf numFmtId="14" fontId="18" fillId="0" borderId="12" xfId="4" applyNumberFormat="1" applyFont="1" applyBorder="1" applyAlignment="1">
      <alignment horizontal="center" vertical="center"/>
    </xf>
    <xf numFmtId="0" fontId="2" fillId="7" borderId="3" xfId="6" applyFont="1" applyFill="1" applyBorder="1" applyAlignment="1">
      <alignment horizontal="center" vertical="distributed" wrapText="1"/>
    </xf>
    <xf numFmtId="10" fontId="15" fillId="7" borderId="4" xfId="8" applyNumberFormat="1" applyFont="1" applyFill="1" applyBorder="1" applyAlignment="1">
      <alignment horizontal="center" vertical="distributed" wrapText="1"/>
    </xf>
    <xf numFmtId="0" fontId="2" fillId="6" borderId="3" xfId="6" applyFont="1" applyFill="1" applyBorder="1" applyAlignment="1">
      <alignment horizontal="center" vertical="distributed" wrapText="1"/>
    </xf>
    <xf numFmtId="10" fontId="15" fillId="6" borderId="4" xfId="8" applyNumberFormat="1" applyFont="1" applyFill="1" applyBorder="1" applyAlignment="1">
      <alignment horizontal="center" vertical="distributed" wrapText="1"/>
    </xf>
    <xf numFmtId="0" fontId="2" fillId="5" borderId="3" xfId="6" applyFont="1" applyFill="1" applyBorder="1" applyAlignment="1">
      <alignment horizontal="center" vertical="distributed" wrapText="1"/>
    </xf>
    <xf numFmtId="10" fontId="15" fillId="5" borderId="4" xfId="8" applyNumberFormat="1" applyFont="1" applyFill="1" applyBorder="1" applyAlignment="1">
      <alignment horizontal="center" vertical="distributed" wrapText="1"/>
    </xf>
    <xf numFmtId="0" fontId="29" fillId="0" borderId="0" xfId="0" applyFont="1"/>
    <xf numFmtId="0" fontId="29" fillId="0" borderId="0" xfId="0" applyFont="1" applyFill="1"/>
    <xf numFmtId="0" fontId="30" fillId="0" borderId="0" xfId="0" applyFont="1" applyFill="1"/>
    <xf numFmtId="0" fontId="2" fillId="2" borderId="1" xfId="0" applyFont="1" applyFill="1" applyBorder="1" applyAlignment="1">
      <alignmen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justify" vertical="center" wrapText="1"/>
    </xf>
    <xf numFmtId="166" fontId="3" fillId="5" borderId="1" xfId="0" applyNumberFormat="1" applyFont="1" applyFill="1" applyBorder="1" applyAlignment="1">
      <alignment horizontal="right" vertical="center" wrapText="1"/>
    </xf>
    <xf numFmtId="0" fontId="3" fillId="5" borderId="1" xfId="0" applyFont="1" applyFill="1" applyBorder="1" applyAlignment="1">
      <alignment horizontal="right" vertical="center" wrapText="1"/>
    </xf>
    <xf numFmtId="4" fontId="6" fillId="5" borderId="1" xfId="0" applyNumberFormat="1" applyFont="1" applyFill="1" applyBorder="1" applyAlignment="1">
      <alignment horizontal="right" vertical="center" wrapText="1"/>
    </xf>
    <xf numFmtId="0" fontId="5"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166" fontId="5" fillId="0" borderId="1" xfId="0" applyNumberFormat="1" applyFont="1" applyBorder="1" applyAlignment="1">
      <alignment horizontal="right" vertical="center" wrapText="1"/>
    </xf>
    <xf numFmtId="4" fontId="5" fillId="0" borderId="1" xfId="0" applyNumberFormat="1" applyFont="1" applyBorder="1" applyAlignment="1">
      <alignment horizontal="right" vertical="center" wrapText="1"/>
    </xf>
    <xf numFmtId="0" fontId="4" fillId="0" borderId="1" xfId="0" applyFont="1" applyBorder="1" applyAlignment="1">
      <alignment horizontal="left" vertical="top" wrapText="1"/>
    </xf>
    <xf numFmtId="0" fontId="4" fillId="0" borderId="1" xfId="0" applyFont="1" applyBorder="1" applyAlignment="1">
      <alignment horizontal="justify" vertical="top" wrapText="1"/>
    </xf>
    <xf numFmtId="0" fontId="4" fillId="0" borderId="1" xfId="0" applyFont="1" applyBorder="1" applyAlignment="1">
      <alignment horizontal="right" vertical="top" wrapText="1"/>
    </xf>
    <xf numFmtId="4" fontId="4" fillId="0" borderId="1" xfId="0" applyNumberFormat="1" applyFont="1" applyBorder="1" applyAlignment="1">
      <alignment horizontal="right" vertical="top" wrapText="1"/>
    </xf>
    <xf numFmtId="166" fontId="17" fillId="0" borderId="13" xfId="4" applyNumberFormat="1" applyFont="1" applyBorder="1" applyAlignment="1">
      <alignment horizontal="left"/>
    </xf>
    <xf numFmtId="0" fontId="3" fillId="0" borderId="6" xfId="3" applyFont="1" applyBorder="1" applyAlignment="1">
      <alignment horizontal="left"/>
    </xf>
    <xf numFmtId="0" fontId="17" fillId="0" borderId="7" xfId="4" applyFont="1" applyBorder="1" applyAlignment="1">
      <alignment horizontal="left"/>
    </xf>
    <xf numFmtId="4" fontId="1" fillId="5" borderId="1" xfId="0" applyNumberFormat="1" applyFont="1" applyFill="1" applyBorder="1" applyAlignment="1">
      <alignment horizontal="center" vertical="top"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horizontal="justify" vertical="center" wrapText="1"/>
    </xf>
    <xf numFmtId="43" fontId="10" fillId="0" borderId="1" xfId="9" applyFont="1" applyFill="1" applyBorder="1" applyAlignment="1">
      <alignment horizontal="right" vertical="center" wrapText="1"/>
    </xf>
    <xf numFmtId="4" fontId="10" fillId="0" borderId="1" xfId="0" applyNumberFormat="1" applyFont="1" applyBorder="1" applyAlignment="1">
      <alignment horizontal="right" vertical="center" wrapText="1"/>
    </xf>
    <xf numFmtId="0" fontId="0" fillId="0" borderId="11" xfId="0" applyBorder="1"/>
    <xf numFmtId="0" fontId="0" fillId="0" borderId="15" xfId="0" applyBorder="1"/>
    <xf numFmtId="0" fontId="0" fillId="0" borderId="16" xfId="0" applyBorder="1"/>
    <xf numFmtId="0" fontId="0" fillId="0" borderId="6" xfId="0" applyBorder="1"/>
    <xf numFmtId="0" fontId="0" fillId="0" borderId="7" xfId="0" applyBorder="1"/>
    <xf numFmtId="0" fontId="28" fillId="2" borderId="6" xfId="0" applyFont="1" applyFill="1" applyBorder="1" applyAlignment="1">
      <alignment vertical="top" wrapText="1"/>
    </xf>
    <xf numFmtId="0" fontId="1" fillId="2" borderId="8" xfId="0" applyFont="1" applyFill="1" applyBorder="1" applyAlignment="1">
      <alignment vertical="top" wrapText="1"/>
    </xf>
    <xf numFmtId="0" fontId="1" fillId="2" borderId="25" xfId="0" applyFont="1" applyFill="1" applyBorder="1" applyAlignment="1">
      <alignment vertical="top" wrapText="1"/>
    </xf>
    <xf numFmtId="0" fontId="0" fillId="0" borderId="0" xfId="0" applyBorder="1"/>
    <xf numFmtId="0" fontId="28" fillId="2" borderId="0" xfId="0" applyFont="1" applyFill="1" applyBorder="1" applyAlignment="1">
      <alignment vertical="top" wrapText="1"/>
    </xf>
    <xf numFmtId="0" fontId="28" fillId="2" borderId="7" xfId="0" applyFont="1" applyFill="1" applyBorder="1" applyAlignment="1">
      <alignment vertical="top" wrapText="1"/>
    </xf>
    <xf numFmtId="0" fontId="1" fillId="2" borderId="9" xfId="0" applyFont="1" applyFill="1" applyBorder="1" applyAlignment="1">
      <alignment vertical="top" wrapText="1"/>
    </xf>
    <xf numFmtId="0" fontId="8" fillId="7" borderId="1" xfId="0" applyFont="1" applyFill="1" applyBorder="1" applyAlignment="1">
      <alignment horizontal="left" vertical="center" wrapText="1"/>
    </xf>
    <xf numFmtId="4" fontId="8" fillId="7" borderId="1" xfId="0" applyNumberFormat="1" applyFont="1" applyFill="1" applyBorder="1" applyAlignment="1">
      <alignment horizontal="right" vertical="center" wrapText="1"/>
    </xf>
    <xf numFmtId="0" fontId="8" fillId="6" borderId="1" xfId="0" applyFont="1" applyFill="1" applyBorder="1" applyAlignment="1">
      <alignment horizontal="right" vertical="center" wrapText="1"/>
    </xf>
    <xf numFmtId="0" fontId="4" fillId="6" borderId="1" xfId="0" applyFont="1" applyFill="1" applyBorder="1" applyAlignment="1">
      <alignment horizontal="left" vertical="center" wrapText="1"/>
    </xf>
    <xf numFmtId="0" fontId="4" fillId="6" borderId="1" xfId="0" applyFont="1" applyFill="1" applyBorder="1" applyAlignment="1">
      <alignment horizontal="justify" vertical="center" wrapText="1"/>
    </xf>
    <xf numFmtId="4" fontId="4" fillId="6" borderId="1" xfId="0" applyNumberFormat="1" applyFont="1" applyFill="1" applyBorder="1" applyAlignment="1">
      <alignment horizontal="right" vertical="center" wrapText="1"/>
    </xf>
    <xf numFmtId="0" fontId="4" fillId="4" borderId="1" xfId="0" applyFont="1" applyFill="1" applyBorder="1" applyAlignment="1">
      <alignment horizontal="left" vertical="top" wrapText="1"/>
    </xf>
    <xf numFmtId="0" fontId="4" fillId="4" borderId="1" xfId="0" applyFont="1" applyFill="1" applyBorder="1" applyAlignment="1">
      <alignment horizontal="justify" vertical="top" wrapText="1"/>
    </xf>
    <xf numFmtId="0" fontId="4" fillId="4" borderId="1" xfId="0" applyFont="1" applyFill="1" applyBorder="1" applyAlignment="1">
      <alignment horizontal="right" vertical="top" wrapText="1"/>
    </xf>
    <xf numFmtId="4" fontId="4" fillId="4" borderId="1" xfId="0" applyNumberFormat="1" applyFont="1" applyFill="1" applyBorder="1" applyAlignment="1">
      <alignment horizontal="right" vertical="top" wrapText="1"/>
    </xf>
    <xf numFmtId="0" fontId="17" fillId="0" borderId="0" xfId="1" applyFont="1"/>
    <xf numFmtId="0" fontId="3" fillId="0" borderId="0" xfId="2" applyFont="1"/>
    <xf numFmtId="0" fontId="22" fillId="5" borderId="27" xfId="7" applyFont="1" applyFill="1" applyBorder="1" applyAlignment="1">
      <alignment horizontal="center"/>
    </xf>
    <xf numFmtId="0" fontId="22" fillId="5" borderId="28" xfId="7" applyFont="1" applyFill="1" applyBorder="1" applyAlignment="1">
      <alignment horizontal="center"/>
    </xf>
    <xf numFmtId="0" fontId="0" fillId="0" borderId="14" xfId="0" applyBorder="1" applyAlignment="1">
      <alignment horizontal="center"/>
    </xf>
    <xf numFmtId="0" fontId="0" fillId="0" borderId="29" xfId="0" applyBorder="1" applyAlignment="1">
      <alignment horizontal="center"/>
    </xf>
    <xf numFmtId="0" fontId="0" fillId="0" borderId="12" xfId="0" applyBorder="1" applyAlignment="1">
      <alignment horizontal="center"/>
    </xf>
    <xf numFmtId="0" fontId="28" fillId="2" borderId="0" xfId="0" applyFont="1" applyFill="1" applyAlignment="1">
      <alignment horizontal="center" wrapText="1"/>
    </xf>
    <xf numFmtId="0" fontId="0" fillId="0" borderId="0" xfId="0"/>
    <xf numFmtId="0" fontId="18" fillId="0" borderId="11" xfId="3" applyFont="1" applyBorder="1" applyAlignment="1">
      <alignment horizontal="center"/>
    </xf>
    <xf numFmtId="0" fontId="18" fillId="0" borderId="16" xfId="3" applyFont="1" applyBorder="1" applyAlignment="1">
      <alignment horizontal="center"/>
    </xf>
    <xf numFmtId="0" fontId="18" fillId="0" borderId="6" xfId="3" applyFont="1" applyBorder="1" applyAlignment="1">
      <alignment horizontal="center"/>
    </xf>
    <xf numFmtId="0" fontId="18" fillId="0" borderId="7" xfId="3" applyFont="1" applyBorder="1" applyAlignment="1">
      <alignment horizontal="center"/>
    </xf>
    <xf numFmtId="0" fontId="18" fillId="0" borderId="8" xfId="3" applyFont="1" applyBorder="1" applyAlignment="1">
      <alignment horizontal="center"/>
    </xf>
    <xf numFmtId="0" fontId="18" fillId="0" borderId="9" xfId="3" applyFont="1" applyBorder="1" applyAlignment="1">
      <alignment horizontal="center"/>
    </xf>
    <xf numFmtId="43" fontId="6" fillId="5" borderId="0" xfId="9" applyFont="1" applyFill="1" applyAlignment="1">
      <alignment horizontal="center" vertical="top" wrapText="1"/>
    </xf>
    <xf numFmtId="0" fontId="18" fillId="0" borderId="8" xfId="4" applyFont="1" applyBorder="1" applyAlignment="1">
      <alignment horizontal="center" vertical="center"/>
    </xf>
    <xf numFmtId="0" fontId="18" fillId="0" borderId="25" xfId="4" applyFont="1" applyBorder="1" applyAlignment="1">
      <alignment horizontal="center" vertical="center"/>
    </xf>
    <xf numFmtId="0" fontId="6" fillId="5" borderId="30" xfId="0" applyFont="1" applyFill="1" applyBorder="1" applyAlignment="1">
      <alignment horizontal="center" vertical="top" wrapText="1"/>
    </xf>
    <xf numFmtId="0" fontId="6" fillId="5" borderId="31" xfId="0" applyFont="1" applyFill="1" applyBorder="1" applyAlignment="1">
      <alignment horizontal="center" vertical="top" wrapText="1"/>
    </xf>
    <xf numFmtId="10" fontId="6" fillId="5" borderId="30" xfId="8" applyNumberFormat="1" applyFont="1" applyFill="1" applyBorder="1" applyAlignment="1">
      <alignment horizontal="center" vertical="top" wrapText="1"/>
    </xf>
    <xf numFmtId="10" fontId="6" fillId="5" borderId="31" xfId="8" applyNumberFormat="1" applyFont="1" applyFill="1" applyBorder="1" applyAlignment="1">
      <alignment horizontal="center" vertical="top" wrapText="1"/>
    </xf>
    <xf numFmtId="0" fontId="18" fillId="0" borderId="9" xfId="4" applyFont="1" applyBorder="1" applyAlignment="1">
      <alignment horizontal="center" vertical="center"/>
    </xf>
    <xf numFmtId="14" fontId="18" fillId="0" borderId="8" xfId="3" applyNumberFormat="1" applyFont="1" applyBorder="1" applyAlignment="1">
      <alignment horizontal="center"/>
    </xf>
    <xf numFmtId="14" fontId="18" fillId="0" borderId="25" xfId="3" applyNumberFormat="1" applyFont="1" applyBorder="1" applyAlignment="1">
      <alignment horizontal="center"/>
    </xf>
    <xf numFmtId="17" fontId="17" fillId="0" borderId="11" xfId="4" applyNumberFormat="1" applyFont="1" applyBorder="1" applyAlignment="1">
      <alignment horizontal="justify"/>
    </xf>
    <xf numFmtId="17" fontId="17" fillId="0" borderId="16" xfId="4" applyNumberFormat="1" applyFont="1" applyBorder="1" applyAlignment="1">
      <alignment horizontal="justify"/>
    </xf>
    <xf numFmtId="0" fontId="28" fillId="2" borderId="15" xfId="0" applyFont="1" applyFill="1" applyBorder="1" applyAlignment="1">
      <alignment horizontal="center" wrapText="1"/>
    </xf>
    <xf numFmtId="14" fontId="18" fillId="0" borderId="8" xfId="4" applyNumberFormat="1" applyFont="1" applyBorder="1" applyAlignment="1">
      <alignment horizontal="center" vertical="center"/>
    </xf>
    <xf numFmtId="14" fontId="18" fillId="0" borderId="9" xfId="4" applyNumberFormat="1" applyFont="1" applyBorder="1" applyAlignment="1">
      <alignment horizontal="center" vertical="center"/>
    </xf>
    <xf numFmtId="0" fontId="18" fillId="0" borderId="26" xfId="3" applyFont="1" applyBorder="1" applyAlignment="1">
      <alignment horizontal="center"/>
    </xf>
    <xf numFmtId="0" fontId="0" fillId="0" borderId="11" xfId="0" applyBorder="1" applyAlignment="1">
      <alignment horizontal="center"/>
    </xf>
    <xf numFmtId="0" fontId="0" fillId="0" borderId="16"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2" fillId="7" borderId="5" xfId="6" applyFont="1" applyFill="1" applyBorder="1" applyAlignment="1">
      <alignment horizontal="justify" vertical="distributed" wrapText="1"/>
    </xf>
    <xf numFmtId="0" fontId="2" fillId="6" borderId="5" xfId="6" applyFont="1" applyFill="1" applyBorder="1" applyAlignment="1">
      <alignment horizontal="justify" vertical="distributed" wrapText="1"/>
    </xf>
    <xf numFmtId="0" fontId="2" fillId="5" borderId="5" xfId="6" applyFont="1" applyFill="1" applyBorder="1" applyAlignment="1">
      <alignment horizontal="justify" vertical="distributed" wrapText="1"/>
    </xf>
    <xf numFmtId="0" fontId="13" fillId="0" borderId="32" xfId="0" applyFont="1" applyBorder="1" applyAlignment="1">
      <alignment horizontal="center" vertical="center" wrapText="1"/>
    </xf>
    <xf numFmtId="0" fontId="1" fillId="5" borderId="3" xfId="0" applyFont="1" applyFill="1" applyBorder="1" applyAlignment="1">
      <alignment horizontal="center" vertical="top"/>
    </xf>
    <xf numFmtId="0" fontId="1" fillId="5" borderId="4" xfId="0" applyFont="1" applyFill="1" applyBorder="1" applyAlignment="1">
      <alignment horizontal="center" vertical="top"/>
    </xf>
    <xf numFmtId="0" fontId="2" fillId="5" borderId="3" xfId="6" applyFont="1" applyFill="1" applyBorder="1" applyAlignment="1">
      <alignment horizontal="center" vertical="distributed" wrapText="1"/>
    </xf>
    <xf numFmtId="0" fontId="2" fillId="5" borderId="5" xfId="6" applyFont="1" applyFill="1" applyBorder="1" applyAlignment="1">
      <alignment horizontal="center" vertical="distributed" wrapText="1"/>
    </xf>
    <xf numFmtId="0" fontId="13" fillId="0" borderId="32" xfId="3" applyFont="1" applyBorder="1" applyAlignment="1">
      <alignment horizontal="center" vertical="center"/>
    </xf>
    <xf numFmtId="0" fontId="2" fillId="6" borderId="3" xfId="6" applyFont="1" applyFill="1" applyBorder="1" applyAlignment="1">
      <alignment horizontal="center" vertical="distributed" wrapText="1"/>
    </xf>
    <xf numFmtId="0" fontId="2" fillId="6" borderId="5" xfId="6" applyFont="1" applyFill="1" applyBorder="1" applyAlignment="1">
      <alignment horizontal="center" vertical="distributed" wrapText="1"/>
    </xf>
    <xf numFmtId="0" fontId="2" fillId="6" borderId="4" xfId="6" applyFont="1" applyFill="1" applyBorder="1" applyAlignment="1">
      <alignment horizontal="center" vertical="distributed" wrapText="1"/>
    </xf>
    <xf numFmtId="0" fontId="8" fillId="3" borderId="1" xfId="0" applyFont="1" applyFill="1" applyBorder="1" applyAlignment="1">
      <alignment vertical="top" wrapText="1"/>
    </xf>
    <xf numFmtId="0" fontId="8" fillId="3" borderId="1" xfId="0" applyFont="1" applyFill="1" applyBorder="1" applyAlignment="1">
      <alignment horizontal="justify" vertical="top" wrapText="1"/>
    </xf>
    <xf numFmtId="0" fontId="8" fillId="5" borderId="1" xfId="0" applyFont="1" applyFill="1" applyBorder="1" applyAlignment="1">
      <alignment horizontal="justify" vertical="top" wrapText="1"/>
    </xf>
    <xf numFmtId="0" fontId="4" fillId="5" borderId="1" xfId="0" applyFont="1" applyFill="1" applyBorder="1" applyAlignment="1">
      <alignment horizontal="justify" vertical="top" wrapText="1"/>
    </xf>
    <xf numFmtId="0" fontId="8" fillId="3" borderId="17" xfId="0" applyFont="1" applyFill="1" applyBorder="1" applyAlignment="1">
      <alignment horizontal="justify" vertical="top" wrapText="1"/>
    </xf>
    <xf numFmtId="0" fontId="8" fillId="3" borderId="18" xfId="0" applyFont="1" applyFill="1" applyBorder="1" applyAlignment="1">
      <alignment horizontal="justify" vertical="top" wrapText="1"/>
    </xf>
    <xf numFmtId="0" fontId="5" fillId="0" borderId="1" xfId="0" applyFont="1" applyBorder="1" applyAlignment="1">
      <alignment horizontal="justify" vertical="top" wrapText="1"/>
    </xf>
    <xf numFmtId="0" fontId="5" fillId="0" borderId="17" xfId="0" applyFont="1" applyBorder="1" applyAlignment="1">
      <alignment horizontal="justify" vertical="top" wrapText="1"/>
    </xf>
    <xf numFmtId="0" fontId="5" fillId="0" borderId="18" xfId="0" applyFont="1" applyBorder="1" applyAlignment="1">
      <alignment horizontal="justify" vertical="top" wrapText="1"/>
    </xf>
    <xf numFmtId="0" fontId="8" fillId="7" borderId="1" xfId="0" applyFont="1" applyFill="1" applyBorder="1" applyAlignment="1">
      <alignment vertical="top" wrapText="1"/>
    </xf>
    <xf numFmtId="0" fontId="8" fillId="7" borderId="1" xfId="0" applyFont="1" applyFill="1" applyBorder="1" applyAlignment="1">
      <alignment horizontal="justify" vertical="top" wrapText="1"/>
    </xf>
    <xf numFmtId="0" fontId="2" fillId="2" borderId="34" xfId="0" applyFont="1" applyFill="1" applyBorder="1" applyAlignment="1">
      <alignment horizontal="right" vertical="top" wrapText="1"/>
    </xf>
    <xf numFmtId="0" fontId="2" fillId="2" borderId="33" xfId="0" applyFont="1" applyFill="1" applyBorder="1" applyAlignment="1">
      <alignment horizontal="right" vertical="top" wrapText="1"/>
    </xf>
    <xf numFmtId="0" fontId="2" fillId="2" borderId="0" xfId="0" applyFont="1" applyFill="1" applyAlignment="1">
      <alignment horizontal="right" vertical="top" wrapText="1"/>
    </xf>
  </cellXfs>
  <cellStyles count="10">
    <cellStyle name="Normal" xfId="0" builtinId="0"/>
    <cellStyle name="Normal 2" xfId="1"/>
    <cellStyle name="Normal_Orç 037_2009 - Ar Condicionado Salas Técnicas - PJ Sobradinho" xfId="2"/>
    <cellStyle name="Normal_Orç 041_2009 Adaptação Copa PJ Ceilândia" xfId="3"/>
    <cellStyle name="Normal_Orç 041_2009 Adaptação Copa PJ Ceilândia_Orçamento Sintético" xfId="4"/>
    <cellStyle name="Normal_Orç 041_2009 Adaptação Copa PJ Ceilândia_Plan1" xfId="5"/>
    <cellStyle name="Normal_Plan1" xfId="6"/>
    <cellStyle name="Normal_Plan1_1 2" xfId="7"/>
    <cellStyle name="Porcentagem" xfId="8" builtinId="5"/>
    <cellStyle name="Separador de milhares" xfId="9" builtinId="3"/>
  </cellStyles>
  <dxfs count="1029">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ont>
        <color rgb="FFD8ECF6"/>
      </font>
    </dxf>
    <dxf>
      <font>
        <color rgb="FFD8ECF6"/>
      </font>
    </dxf>
    <dxf>
      <font>
        <color theme="0" tint="-4.9989318521683403E-2"/>
      </font>
    </dxf>
    <dxf>
      <font>
        <color rgb="FFD8ECF6"/>
      </font>
    </dxf>
    <dxf>
      <font>
        <color rgb="FFD8ECF6"/>
      </font>
    </dxf>
    <dxf>
      <font>
        <color rgb="FFD8ECF6"/>
      </font>
    </dxf>
    <dxf>
      <font>
        <color rgb="FFD8ECF6"/>
      </font>
    </dxf>
    <dxf>
      <font>
        <color rgb="FFD8ECF6"/>
      </font>
    </dxf>
    <dxf>
      <font>
        <color rgb="FFD8ECF6"/>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D8ECF6"/>
      </font>
    </dxf>
    <dxf>
      <font>
        <color rgb="FFD8ECF6"/>
      </font>
    </dxf>
    <dxf>
      <font>
        <color rgb="FFFFFF00"/>
      </font>
    </dxf>
    <dxf>
      <font>
        <color rgb="FFFFFF00"/>
      </font>
    </dxf>
    <dxf>
      <font>
        <color rgb="FFD8ECF6"/>
      </font>
    </dxf>
    <dxf>
      <font>
        <color rgb="FFD8ECF6"/>
      </font>
    </dxf>
    <dxf>
      <font>
        <color rgb="FFD8ECF6"/>
      </font>
    </dxf>
    <dxf>
      <font>
        <color rgb="FFD8ECF6"/>
      </font>
    </dxf>
    <dxf>
      <font>
        <color rgb="FFD8ECF6"/>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ont>
        <color theme="0" tint="-4.9989318521683403E-2"/>
      </font>
    </dxf>
    <dxf>
      <font>
        <color theme="0" tint="-4.9989318521683403E-2"/>
      </font>
    </dxf>
    <dxf>
      <font>
        <color theme="0" tint="-4.9989318521683403E-2"/>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ont>
        <color theme="0" tint="-4.9989318521683403E-2"/>
      </font>
    </dxf>
    <dxf>
      <font>
        <color theme="0" tint="-4.9989318521683403E-2"/>
      </font>
    </dxf>
    <dxf>
      <font>
        <color theme="0" tint="-4.9989318521683403E-2"/>
      </font>
    </dxf>
    <dxf>
      <font>
        <color theme="0" tint="-4.9989318521683403E-2"/>
      </font>
    </dxf>
    <dxf>
      <font>
        <color rgb="FFD8ECF6"/>
      </font>
    </dxf>
    <dxf>
      <font>
        <color rgb="FFD8ECF6"/>
      </font>
    </dxf>
    <dxf>
      <font>
        <color rgb="FFD8ECF6"/>
      </font>
    </dxf>
    <dxf>
      <font>
        <color rgb="FFD8ECF6"/>
      </font>
    </dxf>
    <dxf>
      <font>
        <color rgb="FFD8ECF6"/>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ont>
        <color theme="0" tint="-4.9989318521683403E-2"/>
      </font>
    </dxf>
    <dxf>
      <font>
        <color theme="0" tint="-4.9989318521683403E-2"/>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ont>
        <color theme="0" tint="-4.9989318521683403E-2"/>
      </font>
    </dxf>
    <dxf>
      <font>
        <color theme="0" tint="-4.9989318521683403E-2"/>
      </font>
    </dxf>
    <dxf>
      <font>
        <color theme="0" tint="-4.9989318521683403E-2"/>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ont>
        <color theme="0" tint="-4.9989318521683403E-2"/>
      </font>
    </dxf>
    <dxf>
      <font>
        <color theme="0" tint="-4.9989318521683403E-2"/>
      </font>
    </dxf>
    <dxf>
      <font>
        <color theme="0" tint="-4.9989318521683403E-2"/>
      </font>
    </dxf>
    <dxf>
      <font>
        <color theme="0" tint="-4.9989318521683403E-2"/>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ont>
        <color theme="0" tint="-4.9989318521683403E-2"/>
      </font>
    </dxf>
    <dxf>
      <font>
        <color theme="0" tint="-4.9989318521683403E-2"/>
      </font>
    </dxf>
    <dxf>
      <font>
        <color rgb="FFD8ECF6"/>
      </font>
    </dxf>
    <dxf>
      <font>
        <color rgb="FFD8ECF6"/>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D8ECF6"/>
      </font>
    </dxf>
    <dxf>
      <font>
        <color rgb="FFD8ECF6"/>
      </font>
    </dxf>
    <dxf>
      <font>
        <color rgb="FFD8ECF6"/>
      </font>
    </dxf>
    <dxf>
      <font>
        <color rgb="FFD8ECF6"/>
      </font>
    </dxf>
    <dxf>
      <font>
        <color rgb="FFD8ECF6"/>
      </font>
    </dxf>
    <dxf>
      <font>
        <color rgb="FFFFFF00"/>
      </font>
    </dxf>
    <dxf>
      <font>
        <color rgb="FFFFFF00"/>
      </font>
    </dxf>
    <dxf>
      <font>
        <color theme="0" tint="-4.9989318521683403E-2"/>
      </font>
    </dxf>
    <dxf>
      <font>
        <color theme="0" tint="-4.9989318521683403E-2"/>
      </font>
    </dxf>
    <dxf>
      <font>
        <color theme="0" tint="-4.9989318521683403E-2"/>
      </font>
    </dxf>
    <dxf>
      <font>
        <color rgb="FFD8ECF6"/>
      </font>
    </dxf>
    <dxf>
      <font>
        <color rgb="FFD8ECF6"/>
      </font>
    </dxf>
    <dxf>
      <font>
        <color rgb="FFD8ECF6"/>
      </font>
    </dxf>
    <dxf>
      <font>
        <color rgb="FFD8ECF6"/>
      </font>
    </dxf>
    <dxf>
      <font>
        <color rgb="FFD8ECF6"/>
      </font>
    </dxf>
    <dxf>
      <font>
        <color rgb="FFFFFF00"/>
      </font>
    </dxf>
    <dxf>
      <font>
        <color rgb="FFFFFF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D8ECF6"/>
      </font>
    </dxf>
    <dxf>
      <font>
        <color rgb="FFD8ECF6"/>
      </font>
    </dxf>
    <dxf>
      <font>
        <color rgb="FFFFFF00"/>
      </font>
    </dxf>
    <dxf>
      <font>
        <color rgb="FFFFFF00"/>
      </font>
    </dxf>
    <dxf>
      <fill>
        <gradientFill degree="90">
          <stop position="0">
            <color theme="6" tint="0.80001220740379042"/>
          </stop>
          <stop position="1">
            <color theme="6" tint="0.40000610370189521"/>
          </stop>
        </gradientFill>
      </fill>
    </dxf>
    <dxf>
      <font>
        <color theme="0"/>
      </font>
    </dxf>
    <dxf>
      <font>
        <color rgb="FFD8ECF6"/>
      </font>
    </dxf>
    <dxf>
      <font>
        <color rgb="FFD8ECF6"/>
      </font>
    </dxf>
    <dxf>
      <font>
        <color rgb="FFD8ECF6"/>
      </font>
    </dxf>
    <dxf>
      <font>
        <color rgb="FFD8ECF6"/>
      </font>
    </dxf>
    <dxf>
      <font>
        <color rgb="FFFFFF00"/>
      </font>
    </dxf>
    <dxf>
      <font>
        <color rgb="FFFFFF00"/>
      </font>
    </dxf>
    <dxf>
      <font>
        <color rgb="FFD8ECF6"/>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ont>
        <color rgb="FFD8ECF6"/>
      </font>
    </dxf>
    <dxf>
      <font>
        <color rgb="FFD8ECF6"/>
      </font>
    </dxf>
    <dxf>
      <font>
        <color rgb="FFD8ECF6"/>
      </font>
    </dxf>
    <dxf>
      <font>
        <color rgb="FFFFFF00"/>
      </font>
    </dxf>
    <dxf>
      <font>
        <color rgb="FFFFFF00"/>
      </font>
    </dxf>
    <dxf>
      <font>
        <color rgb="FFD8ECF6"/>
      </font>
    </dxf>
    <dxf>
      <font>
        <color rgb="FFD8ECF6"/>
      </font>
    </dxf>
    <dxf>
      <font>
        <color theme="0" tint="-4.9989318521683403E-2"/>
      </font>
    </dxf>
    <dxf>
      <font>
        <color theme="0" tint="-4.9989318521683403E-2"/>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ont>
        <color rgb="FFD8ECF6"/>
      </font>
    </dxf>
    <dxf>
      <font>
        <color rgb="FFD8ECF6"/>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ont>
        <color theme="0" tint="-4.9989318521683403E-2"/>
      </font>
    </dxf>
    <dxf>
      <font>
        <color rgb="FFFFFF00"/>
      </font>
    </dxf>
    <dxf>
      <font>
        <color rgb="FFFFFF00"/>
      </font>
    </dxf>
    <dxf>
      <font>
        <color rgb="FFD8ECF6"/>
      </font>
    </dxf>
    <dxf>
      <font>
        <color rgb="FFD8ECF6"/>
      </font>
    </dxf>
    <dxf>
      <font>
        <color rgb="FFD8ECF6"/>
      </font>
    </dxf>
    <dxf>
      <font>
        <color theme="0" tint="-4.9989318521683403E-2"/>
      </font>
    </dxf>
    <dxf>
      <font>
        <color theme="0" tint="-4.9989318521683403E-2"/>
      </font>
    </dxf>
    <dxf>
      <fill>
        <gradientFill degree="90">
          <stop position="0">
            <color theme="6" tint="0.80001220740379042"/>
          </stop>
          <stop position="1">
            <color theme="6" tint="0.40000610370189521"/>
          </stop>
        </gradientFill>
      </fill>
    </dxf>
    <dxf>
      <font>
        <color theme="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ont>
        <color theme="0" tint="-4.9989318521683403E-2"/>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ont>
        <color theme="0" tint="-4.9989318521683403E-2"/>
      </font>
    </dxf>
    <dxf>
      <font>
        <color theme="0" tint="-4.9989318521683403E-2"/>
      </font>
    </dxf>
    <dxf>
      <font>
        <color theme="0" tint="-4.9989318521683403E-2"/>
      </font>
    </dxf>
    <dxf>
      <font>
        <color theme="0" tint="-4.9989318521683403E-2"/>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ont>
        <color theme="0" tint="-4.9989318521683403E-2"/>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ont>
        <color theme="0" tint="-4.9989318521683403E-2"/>
      </font>
    </dxf>
    <dxf>
      <font>
        <color theme="0" tint="-4.9989318521683403E-2"/>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ont>
        <color theme="0" tint="-4.9989318521683403E-2"/>
      </font>
    </dxf>
    <dxf>
      <font>
        <color theme="0" tint="-4.9989318521683403E-2"/>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ont>
        <color theme="0" tint="-4.9989318521683403E-2"/>
      </font>
    </dxf>
    <dxf>
      <font>
        <color rgb="FFD8ECF6"/>
      </font>
    </dxf>
    <dxf>
      <font>
        <color rgb="FFD8ECF6"/>
      </font>
    </dxf>
    <dxf>
      <font>
        <color theme="0" tint="-4.9989318521683403E-2"/>
      </font>
    </dxf>
    <dxf>
      <font>
        <color theme="0" tint="-4.9989318521683403E-2"/>
      </font>
    </dxf>
    <dxf>
      <font>
        <color theme="0" tint="-4.9989318521683403E-2"/>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ont>
        <color theme="0" tint="-4.9989318521683403E-2"/>
      </font>
    </dxf>
    <dxf>
      <font>
        <color rgb="FFD8ECF6"/>
      </font>
    </dxf>
    <dxf>
      <font>
        <color rgb="FFD8ECF6"/>
      </font>
    </dxf>
    <dxf>
      <font>
        <color rgb="FFD8ECF6"/>
      </font>
    </dxf>
    <dxf>
      <font>
        <color rgb="FFD8ECF6"/>
      </font>
    </dxf>
    <dxf>
      <font>
        <color rgb="FFD8ECF6"/>
      </font>
    </dxf>
    <dxf>
      <font>
        <color rgb="FFD8ECF6"/>
      </font>
    </dxf>
    <dxf>
      <font>
        <color rgb="FFD8ECF6"/>
      </font>
    </dxf>
    <dxf>
      <font>
        <color theme="0" tint="-4.9989318521683403E-2"/>
      </font>
    </dxf>
    <dxf>
      <font>
        <color theme="0" tint="-4.9989318521683403E-2"/>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ont>
        <color theme="0" tint="-4.9989318521683403E-2"/>
      </font>
    </dxf>
    <dxf>
      <font>
        <color rgb="FFFFFF00"/>
      </font>
    </dxf>
    <dxf>
      <font>
        <color rgb="FFFFFF00"/>
      </font>
    </dxf>
    <dxf>
      <font>
        <color rgb="FFD8ECF6"/>
      </font>
    </dxf>
    <dxf>
      <font>
        <color rgb="FFD8ECF6"/>
      </font>
    </dxf>
    <dxf>
      <font>
        <color rgb="FFFFFF00"/>
      </font>
    </dxf>
    <dxf>
      <font>
        <color rgb="FFD8ECF6"/>
      </font>
    </dxf>
    <dxf>
      <font>
        <color rgb="FFD8ECF6"/>
      </font>
    </dxf>
    <dxf>
      <font>
        <color rgb="FFD8ECF6"/>
      </font>
    </dxf>
    <dxf>
      <font>
        <color rgb="FFD8ECF6"/>
      </font>
    </dxf>
    <dxf>
      <font>
        <color rgb="FFD8ECF6"/>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ont>
        <color rgb="FFD8ECF6"/>
      </font>
    </dxf>
    <dxf>
      <font>
        <color rgb="FFFFFF0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B33"/>
  <sheetViews>
    <sheetView showGridLines="0" workbookViewId="0">
      <selection sqref="A1:B1"/>
    </sheetView>
  </sheetViews>
  <sheetFormatPr defaultRowHeight="14.25"/>
  <cols>
    <col min="1" max="1" width="6" customWidth="1"/>
    <col min="2" max="2" width="73.75" customWidth="1"/>
    <col min="251" max="251" width="6" customWidth="1"/>
    <col min="252" max="252" width="73.75" customWidth="1"/>
  </cols>
  <sheetData>
    <row r="1" spans="1:2">
      <c r="A1" s="191" t="s">
        <v>188</v>
      </c>
      <c r="B1" s="192"/>
    </row>
    <row r="2" spans="1:2">
      <c r="A2" s="109"/>
      <c r="B2" s="110"/>
    </row>
    <row r="3" spans="1:2">
      <c r="A3" s="111"/>
      <c r="B3" s="112" t="s">
        <v>189</v>
      </c>
    </row>
    <row r="4" spans="1:2" ht="33.75">
      <c r="A4" s="113">
        <v>1</v>
      </c>
      <c r="B4" s="114" t="s">
        <v>190</v>
      </c>
    </row>
    <row r="5" spans="1:2">
      <c r="A5" s="113">
        <v>2</v>
      </c>
      <c r="B5" s="114" t="s">
        <v>191</v>
      </c>
    </row>
    <row r="6" spans="1:2" ht="22.5">
      <c r="A6" s="113" t="s">
        <v>192</v>
      </c>
      <c r="B6" s="114" t="s">
        <v>193</v>
      </c>
    </row>
    <row r="7" spans="1:2">
      <c r="A7" s="113" t="s">
        <v>194</v>
      </c>
      <c r="B7" s="114" t="s">
        <v>195</v>
      </c>
    </row>
    <row r="8" spans="1:2" ht="22.5">
      <c r="A8" s="113" t="s">
        <v>196</v>
      </c>
      <c r="B8" s="114" t="s">
        <v>197</v>
      </c>
    </row>
    <row r="9" spans="1:2">
      <c r="A9" s="113" t="s">
        <v>198</v>
      </c>
      <c r="B9" s="114" t="s">
        <v>228</v>
      </c>
    </row>
    <row r="10" spans="1:2" ht="22.5">
      <c r="A10" s="115" t="s">
        <v>199</v>
      </c>
      <c r="B10" s="116" t="s">
        <v>200</v>
      </c>
    </row>
    <row r="11" spans="1:2">
      <c r="A11" s="117"/>
      <c r="B11" s="118"/>
    </row>
    <row r="12" spans="1:2">
      <c r="A12" s="111" t="s">
        <v>103</v>
      </c>
      <c r="B12" s="112" t="s">
        <v>201</v>
      </c>
    </row>
    <row r="13" spans="1:2" ht="22.5">
      <c r="A13" s="113" t="s">
        <v>62</v>
      </c>
      <c r="B13" s="114" t="s">
        <v>202</v>
      </c>
    </row>
    <row r="14" spans="1:2" ht="22.5">
      <c r="A14" s="113" t="s">
        <v>87</v>
      </c>
      <c r="B14" s="114" t="s">
        <v>203</v>
      </c>
    </row>
    <row r="15" spans="1:2">
      <c r="A15" s="119" t="s">
        <v>125</v>
      </c>
      <c r="B15" s="120" t="s">
        <v>204</v>
      </c>
    </row>
    <row r="16" spans="1:2">
      <c r="A16" s="113" t="s">
        <v>76</v>
      </c>
      <c r="B16" s="114" t="s">
        <v>205</v>
      </c>
    </row>
    <row r="17" spans="1:2" ht="22.5">
      <c r="A17" s="113" t="s">
        <v>107</v>
      </c>
      <c r="B17" s="114" t="s">
        <v>206</v>
      </c>
    </row>
    <row r="18" spans="1:2" ht="22.5">
      <c r="A18" s="113" t="s">
        <v>109</v>
      </c>
      <c r="B18" s="114" t="s">
        <v>207</v>
      </c>
    </row>
    <row r="19" spans="1:2">
      <c r="A19" s="119" t="s">
        <v>138</v>
      </c>
      <c r="B19" s="120" t="s">
        <v>208</v>
      </c>
    </row>
    <row r="20" spans="1:2">
      <c r="A20" s="113" t="s">
        <v>128</v>
      </c>
      <c r="B20" s="114" t="s">
        <v>209</v>
      </c>
    </row>
    <row r="21" spans="1:2" ht="22.5">
      <c r="A21" s="113" t="s">
        <v>130</v>
      </c>
      <c r="B21" s="114" t="s">
        <v>210</v>
      </c>
    </row>
    <row r="22" spans="1:2" ht="22.5">
      <c r="A22" s="113" t="s">
        <v>132</v>
      </c>
      <c r="B22" s="114" t="s">
        <v>211</v>
      </c>
    </row>
    <row r="23" spans="1:2" ht="22.5">
      <c r="A23" s="113" t="s">
        <v>134</v>
      </c>
      <c r="B23" s="114" t="s">
        <v>212</v>
      </c>
    </row>
    <row r="24" spans="1:2">
      <c r="A24" s="119" t="s">
        <v>168</v>
      </c>
      <c r="B24" s="120" t="s">
        <v>213</v>
      </c>
    </row>
    <row r="25" spans="1:2" ht="33.75">
      <c r="A25" s="113" t="s">
        <v>140</v>
      </c>
      <c r="B25" s="114" t="s">
        <v>214</v>
      </c>
    </row>
    <row r="26" spans="1:2" ht="22.5">
      <c r="A26" s="113" t="s">
        <v>142</v>
      </c>
      <c r="B26" s="114" t="s">
        <v>215</v>
      </c>
    </row>
    <row r="27" spans="1:2">
      <c r="A27" s="113" t="s">
        <v>216</v>
      </c>
      <c r="B27" s="114" t="s">
        <v>217</v>
      </c>
    </row>
    <row r="28" spans="1:2">
      <c r="A28" s="119" t="s">
        <v>169</v>
      </c>
      <c r="B28" s="120" t="s">
        <v>218</v>
      </c>
    </row>
    <row r="29" spans="1:2">
      <c r="A29" s="113" t="s">
        <v>219</v>
      </c>
      <c r="B29" s="114" t="s">
        <v>220</v>
      </c>
    </row>
    <row r="30" spans="1:2">
      <c r="A30" s="121" t="s">
        <v>173</v>
      </c>
      <c r="B30" s="122" t="s">
        <v>221</v>
      </c>
    </row>
    <row r="31" spans="1:2">
      <c r="A31" s="123" t="s">
        <v>222</v>
      </c>
      <c r="B31" s="124" t="s">
        <v>223</v>
      </c>
    </row>
    <row r="32" spans="1:2" ht="22.5">
      <c r="A32" s="123" t="s">
        <v>224</v>
      </c>
      <c r="B32" s="124" t="s">
        <v>225</v>
      </c>
    </row>
    <row r="33" spans="1:2" ht="22.5">
      <c r="A33" s="125" t="s">
        <v>226</v>
      </c>
      <c r="B33" s="126" t="s">
        <v>227</v>
      </c>
    </row>
  </sheetData>
  <mergeCells count="1">
    <mergeCell ref="A1:B1"/>
  </mergeCells>
  <phoneticPr fontId="7" type="noConversion"/>
  <printOptions horizontalCentered="1"/>
  <pageMargins left="0.59055118110236227" right="0.59055118110236227" top="0.59055118110236227" bottom="0.59055118110236227" header="0.19685039370078741" footer="0.19685039370078741"/>
  <pageSetup paperSize="9"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F23"/>
  <sheetViews>
    <sheetView showGridLines="0" tabSelected="1" zoomScaleNormal="100" zoomScaleSheetLayoutView="100" workbookViewId="0"/>
  </sheetViews>
  <sheetFormatPr defaultRowHeight="11.25"/>
  <cols>
    <col min="1" max="1" width="10" style="10" bestFit="1" customWidth="1"/>
    <col min="2" max="2" width="60" style="10" customWidth="1"/>
    <col min="3" max="3" width="10" style="10" customWidth="1"/>
    <col min="4" max="4" width="18.125" style="10" customWidth="1"/>
    <col min="5" max="16384" width="9" style="10"/>
  </cols>
  <sheetData>
    <row r="1" spans="1:4" customFormat="1" ht="14.25">
      <c r="A1" s="77" t="str">
        <f ca="1">'Orçamento Sintético'!A1</f>
        <v>P. Execução:</v>
      </c>
      <c r="B1" s="131" t="str">
        <f ca="1">'Orçamento Sintético'!D1</f>
        <v>Objeto: Ampliação reuso edifício Ceilândia</v>
      </c>
      <c r="C1" s="132" t="str">
        <f ca="1">'Orçamento Sintético'!C1</f>
        <v>Licitação:</v>
      </c>
      <c r="D1" s="193"/>
    </row>
    <row r="2" spans="1:4" customFormat="1" ht="14.25">
      <c r="A2" s="129" t="str">
        <f ca="1">'Orçamento Sintético'!A2:B2</f>
        <v>A</v>
      </c>
      <c r="B2" s="78" t="str">
        <f ca="1">'Orçamento Sintético'!D2</f>
        <v>Local: QNM 11, Lotes 1 e 2, Centro Urbano, Ceilândia-DF</v>
      </c>
      <c r="C2" s="79" t="str">
        <f ca="1">'Orçamento Sintético'!C2</f>
        <v>B</v>
      </c>
      <c r="D2" s="194"/>
    </row>
    <row r="3" spans="1:4" customFormat="1" ht="14.25">
      <c r="A3" s="130" t="str">
        <f ca="1">'Orçamento Sintético'!A3:B3</f>
        <v>P. Validade:</v>
      </c>
      <c r="B3" s="130" t="str">
        <f ca="1">'Orçamento Sintético'!C3</f>
        <v>Razão Social:</v>
      </c>
      <c r="C3" s="77" t="str">
        <f ca="1">'Orçamento Sintético'!E1</f>
        <v>Data:</v>
      </c>
      <c r="D3" s="194"/>
    </row>
    <row r="4" spans="1:4" customFormat="1" ht="14.25">
      <c r="A4" s="129" t="str">
        <f ca="1">'Orçamento Sintético'!A4:B4</f>
        <v>C</v>
      </c>
      <c r="B4" s="129" t="str">
        <f ca="1">'Orçamento Analítico'!C4</f>
        <v>D</v>
      </c>
      <c r="C4" s="80">
        <f ca="1">'Orçamento Sintético'!E2</f>
        <v>1</v>
      </c>
      <c r="D4" s="194"/>
    </row>
    <row r="5" spans="1:4" customFormat="1" ht="14.25">
      <c r="A5" s="77" t="str">
        <f ca="1">'Orçamento Sintético'!A5</f>
        <v>P. Garantia:</v>
      </c>
      <c r="B5" s="130" t="str">
        <f ca="1">'Orçamento Sintético'!C5</f>
        <v>CNPJ:</v>
      </c>
      <c r="C5" s="77" t="str">
        <f ca="1">'Orçamento Sintético'!E3</f>
        <v>Telefone:</v>
      </c>
      <c r="D5" s="194"/>
    </row>
    <row r="6" spans="1:4" customFormat="1" ht="14.25">
      <c r="A6" s="129" t="str">
        <f ca="1">'Orçamento Sintético'!A6:B6</f>
        <v>F</v>
      </c>
      <c r="B6" s="129" t="str">
        <f ca="1">'Orçamento Sintético'!C6</f>
        <v>G</v>
      </c>
      <c r="C6" s="80" t="str">
        <f ca="1">'Orçamento Sintético'!E6</f>
        <v>H</v>
      </c>
      <c r="D6" s="195"/>
    </row>
    <row r="7" spans="1:4" customFormat="1" ht="15">
      <c r="A7" s="196" t="s">
        <v>772</v>
      </c>
      <c r="B7" s="197"/>
      <c r="C7" s="197"/>
      <c r="D7" s="197"/>
    </row>
    <row r="8" spans="1:4" ht="30" customHeight="1">
      <c r="A8" s="15" t="s">
        <v>232</v>
      </c>
      <c r="B8" s="15" t="s">
        <v>235</v>
      </c>
      <c r="C8" s="15" t="s">
        <v>239</v>
      </c>
      <c r="D8" s="15" t="s">
        <v>240</v>
      </c>
    </row>
    <row r="9" spans="1:4" ht="24" customHeight="1">
      <c r="A9" s="127" t="s">
        <v>241</v>
      </c>
      <c r="B9" s="127" t="str">
        <f ca="1">VLOOKUP(A9,'Orçamento Sintético'!$A:$H,4,0)</f>
        <v>SERVIÇOS TÉCNICOS-PROFISSIONAIS</v>
      </c>
      <c r="C9" s="13">
        <f ca="1">VLOOKUP(A9,'Orçamento Sintético'!$A:$H,8,0)</f>
        <v>233.94</v>
      </c>
      <c r="D9" s="51">
        <f t="shared" ref="D9:D16" si="0">ROUND(C9/$D$18,4)</f>
        <v>1.1000000000000001E-3</v>
      </c>
    </row>
    <row r="10" spans="1:4" ht="24" customHeight="1">
      <c r="A10" s="127" t="s">
        <v>250</v>
      </c>
      <c r="B10" s="127" t="str">
        <f ca="1">VLOOKUP(A10,'Orçamento Sintético'!$A:$H,4,0)</f>
        <v>SERVIÇOS PRELIMINARES</v>
      </c>
      <c r="C10" s="13">
        <f ca="1">VLOOKUP(A10,'Orçamento Sintético'!$A:$H,8,0)</f>
        <v>4546.4499999999989</v>
      </c>
      <c r="D10" s="51">
        <f t="shared" si="0"/>
        <v>2.1899999999999999E-2</v>
      </c>
    </row>
    <row r="11" spans="1:4" ht="24" customHeight="1">
      <c r="A11" s="127" t="s">
        <v>289</v>
      </c>
      <c r="B11" s="127" t="str">
        <f ca="1">VLOOKUP(A11,'Orçamento Sintético'!$A:$H,4,0)</f>
        <v>FUNDAÇÕES E ESTRUTURAS</v>
      </c>
      <c r="C11" s="13">
        <f ca="1">VLOOKUP(A11,'Orçamento Sintético'!$A:$H,8,0)</f>
        <v>6924.82</v>
      </c>
      <c r="D11" s="51">
        <f t="shared" si="0"/>
        <v>3.3399999999999999E-2</v>
      </c>
    </row>
    <row r="12" spans="1:4" ht="24" customHeight="1">
      <c r="A12" s="127" t="s">
        <v>820</v>
      </c>
      <c r="B12" s="127" t="str">
        <f ca="1">VLOOKUP(A12,'Orçamento Sintético'!$A:$H,4,0)</f>
        <v>ARQUITETURA E URBANISMO</v>
      </c>
      <c r="C12" s="13">
        <f ca="1">VLOOKUP(A12,'Orçamento Sintético'!$A:$H,8,0)</f>
        <v>92965.349999999991</v>
      </c>
      <c r="D12" s="51">
        <f t="shared" si="0"/>
        <v>0.44850000000000001</v>
      </c>
    </row>
    <row r="13" spans="1:4" ht="24" customHeight="1">
      <c r="A13" s="127" t="s">
        <v>401</v>
      </c>
      <c r="B13" s="127" t="str">
        <f ca="1">VLOOKUP(A13,'Orçamento Sintético'!$A:$H,4,0)</f>
        <v>INSTALAÇÕES HIDRÁULICAS E SANITÁRIAS</v>
      </c>
      <c r="C13" s="13">
        <f ca="1">VLOOKUP(A13,'Orçamento Sintético'!$A:$H,8,0)</f>
        <v>60716.800000000003</v>
      </c>
      <c r="D13" s="51">
        <f t="shared" si="0"/>
        <v>0.29289999999999999</v>
      </c>
    </row>
    <row r="14" spans="1:4" ht="24" customHeight="1">
      <c r="A14" s="127" t="s">
        <v>689</v>
      </c>
      <c r="B14" s="127" t="str">
        <f ca="1">VLOOKUP(A14,'Orçamento Sintético'!$A:$H,4,0)</f>
        <v>INSTALAÇÕES ELÉTRICAS E ELETRÔNICAS</v>
      </c>
      <c r="C14" s="13">
        <f ca="1">VLOOKUP(A14,'Orçamento Sintético'!$A:$H,8,0)</f>
        <v>17603.98</v>
      </c>
      <c r="D14" s="51">
        <f t="shared" si="0"/>
        <v>8.4900000000000003E-2</v>
      </c>
    </row>
    <row r="15" spans="1:4" ht="24" customHeight="1">
      <c r="A15" s="127" t="s">
        <v>730</v>
      </c>
      <c r="B15" s="127" t="str">
        <f ca="1">VLOOKUP(A15,'Orçamento Sintético'!$A:$H,4,0)</f>
        <v>SERVIÇOS COMPLEMENTARES</v>
      </c>
      <c r="C15" s="13">
        <f ca="1">VLOOKUP(A15,'Orçamento Sintético'!$A:$H,8,0)</f>
        <v>8414.39</v>
      </c>
      <c r="D15" s="51">
        <f t="shared" si="0"/>
        <v>4.0599999999999997E-2</v>
      </c>
    </row>
    <row r="16" spans="1:4" ht="11.25" customHeight="1">
      <c r="A16" s="127" t="s">
        <v>755</v>
      </c>
      <c r="B16" s="127" t="str">
        <f ca="1">VLOOKUP(A16,'Orçamento Sintético'!$A:$H,4,0)</f>
        <v>SERVIÇOS AUXILIARES E ADMNISTRATIVOS</v>
      </c>
      <c r="C16" s="13">
        <f ca="1">VLOOKUP(A16,'Orçamento Sintético'!$A:$H,8,0)</f>
        <v>15887.470000000001</v>
      </c>
      <c r="D16" s="51">
        <f t="shared" si="0"/>
        <v>7.6600000000000001E-2</v>
      </c>
    </row>
    <row r="17" spans="1:6" ht="11.25" customHeight="1">
      <c r="A17" s="42"/>
      <c r="B17" s="42"/>
      <c r="C17" s="42"/>
      <c r="D17" s="42"/>
    </row>
    <row r="18" spans="1:6" ht="11.25" customHeight="1">
      <c r="A18" s="74"/>
      <c r="B18" s="75" t="s">
        <v>767</v>
      </c>
      <c r="C18" s="76"/>
      <c r="D18" s="76">
        <f>SUM(C9:C16)</f>
        <v>207293.19999999998</v>
      </c>
    </row>
    <row r="19" spans="1:6">
      <c r="A19" s="74"/>
      <c r="B19" s="75" t="s">
        <v>768</v>
      </c>
      <c r="C19" s="128" t="e">
        <f ca="1">"("&amp;'Composição de BDI'!#REF!*100&amp;"%)"</f>
        <v>#REF!</v>
      </c>
      <c r="D19" s="76">
        <f ca="1">TRUNC(D18*'Composição de BDI'!D23,2)</f>
        <v>45853.25</v>
      </c>
    </row>
    <row r="20" spans="1:6">
      <c r="A20" s="74"/>
      <c r="B20" s="75" t="s">
        <v>769</v>
      </c>
      <c r="C20" s="76"/>
      <c r="D20" s="76">
        <f>D18+D19</f>
        <v>253146.44999999998</v>
      </c>
    </row>
    <row r="21" spans="1:6">
      <c r="D21" s="44"/>
      <c r="E21" s="43"/>
      <c r="F21" s="43"/>
    </row>
    <row r="22" spans="1:6">
      <c r="D22" s="44"/>
    </row>
    <row r="23" spans="1:6">
      <c r="D23" s="44"/>
    </row>
  </sheetData>
  <sheetCalcPr fullCalcOnLoad="1"/>
  <mergeCells count="2">
    <mergeCell ref="D1:D6"/>
    <mergeCell ref="A7:D7"/>
  </mergeCells>
  <phoneticPr fontId="7" type="noConversion"/>
  <printOptions horizontalCentered="1"/>
  <pageMargins left="0.59055118110236227" right="0.59055118110236227" top="0.59055118110236227" bottom="0.59055118110236227" header="0.19685039370078741" footer="0.19685039370078741"/>
  <pageSetup paperSize="9" scale="84" fitToHeight="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H200"/>
  <sheetViews>
    <sheetView showGridLines="0" zoomScaleNormal="100" zoomScaleSheetLayoutView="85" workbookViewId="0"/>
  </sheetViews>
  <sheetFormatPr defaultRowHeight="14.25"/>
  <cols>
    <col min="1" max="2" width="10" style="2" customWidth="1"/>
    <col min="3" max="3" width="13.25" style="2" customWidth="1"/>
    <col min="4" max="4" width="60" style="2" customWidth="1"/>
    <col min="5" max="5" width="8" style="2" customWidth="1"/>
    <col min="6" max="6" width="13" style="53" customWidth="1"/>
    <col min="7" max="8" width="13" style="2" customWidth="1"/>
    <col min="9" max="16384" width="9" style="141"/>
  </cols>
  <sheetData>
    <row r="1" spans="1:8" s="140" customFormat="1">
      <c r="A1" s="77" t="s">
        <v>161</v>
      </c>
      <c r="B1" s="81"/>
      <c r="C1" s="82" t="s">
        <v>162</v>
      </c>
      <c r="D1" s="83" t="s">
        <v>163</v>
      </c>
      <c r="E1" s="77" t="s">
        <v>770</v>
      </c>
      <c r="F1" s="84"/>
      <c r="G1" s="198"/>
      <c r="H1" s="199"/>
    </row>
    <row r="2" spans="1:8" s="140" customFormat="1">
      <c r="A2" s="205" t="s">
        <v>103</v>
      </c>
      <c r="B2" s="211"/>
      <c r="C2" s="79" t="s">
        <v>125</v>
      </c>
      <c r="D2" s="78" t="s">
        <v>164</v>
      </c>
      <c r="E2" s="212">
        <v>1</v>
      </c>
      <c r="F2" s="213"/>
      <c r="G2" s="200"/>
      <c r="H2" s="201"/>
    </row>
    <row r="3" spans="1:8" s="140" customFormat="1">
      <c r="A3" s="214" t="s">
        <v>165</v>
      </c>
      <c r="B3" s="215"/>
      <c r="C3" s="214" t="s">
        <v>166</v>
      </c>
      <c r="D3" s="215"/>
      <c r="E3" s="77" t="s">
        <v>167</v>
      </c>
      <c r="F3" s="85"/>
      <c r="G3" s="159"/>
      <c r="H3" s="160"/>
    </row>
    <row r="4" spans="1:8" s="140" customFormat="1">
      <c r="A4" s="205" t="s">
        <v>138</v>
      </c>
      <c r="B4" s="211"/>
      <c r="C4" s="205" t="s">
        <v>168</v>
      </c>
      <c r="D4" s="211"/>
      <c r="E4" s="205" t="s">
        <v>169</v>
      </c>
      <c r="F4" s="206"/>
      <c r="G4" s="200"/>
      <c r="H4" s="201"/>
    </row>
    <row r="5" spans="1:8" s="140" customFormat="1">
      <c r="A5" s="86" t="s">
        <v>170</v>
      </c>
      <c r="B5" s="87"/>
      <c r="C5" s="77" t="s">
        <v>171</v>
      </c>
      <c r="D5" s="81"/>
      <c r="E5" s="77" t="s">
        <v>172</v>
      </c>
      <c r="F5" s="85"/>
      <c r="G5" s="159"/>
      <c r="H5" s="160"/>
    </row>
    <row r="6" spans="1:8" s="140" customFormat="1">
      <c r="A6" s="202" t="s">
        <v>173</v>
      </c>
      <c r="B6" s="203"/>
      <c r="C6" s="205" t="s">
        <v>174</v>
      </c>
      <c r="D6" s="211"/>
      <c r="E6" s="205" t="s">
        <v>766</v>
      </c>
      <c r="F6" s="206"/>
      <c r="G6" s="202"/>
      <c r="H6" s="203"/>
    </row>
    <row r="7" spans="1:8" ht="15">
      <c r="A7" s="196" t="s">
        <v>771</v>
      </c>
      <c r="B7" s="197"/>
      <c r="C7" s="197"/>
      <c r="D7" s="197"/>
      <c r="E7" s="197"/>
      <c r="F7" s="197"/>
      <c r="G7" s="197"/>
      <c r="H7" s="197"/>
    </row>
    <row r="8" spans="1:8">
      <c r="A8" s="15" t="s">
        <v>232</v>
      </c>
      <c r="B8" s="15" t="s">
        <v>233</v>
      </c>
      <c r="C8" s="15" t="s">
        <v>234</v>
      </c>
      <c r="D8" s="15" t="s">
        <v>235</v>
      </c>
      <c r="E8" s="15" t="s">
        <v>236</v>
      </c>
      <c r="F8" s="161" t="s">
        <v>237</v>
      </c>
      <c r="G8" s="15" t="s">
        <v>238</v>
      </c>
      <c r="H8" s="15" t="s">
        <v>239</v>
      </c>
    </row>
    <row r="9" spans="1:8">
      <c r="A9" s="179" t="s">
        <v>241</v>
      </c>
      <c r="B9" s="179"/>
      <c r="C9" s="179"/>
      <c r="D9" s="179" t="s">
        <v>242</v>
      </c>
      <c r="E9" s="179"/>
      <c r="F9" s="180"/>
      <c r="G9" s="179"/>
      <c r="H9" s="180">
        <f>H10</f>
        <v>233.94</v>
      </c>
    </row>
    <row r="10" spans="1:8" s="140" customFormat="1">
      <c r="A10" s="47" t="s">
        <v>243</v>
      </c>
      <c r="B10" s="47"/>
      <c r="C10" s="47"/>
      <c r="D10" s="47" t="s">
        <v>244</v>
      </c>
      <c r="E10" s="47"/>
      <c r="F10" s="181"/>
      <c r="G10" s="47"/>
      <c r="H10" s="48">
        <f>H11</f>
        <v>233.94</v>
      </c>
    </row>
    <row r="11" spans="1:8">
      <c r="A11" s="162" t="s">
        <v>245</v>
      </c>
      <c r="B11" s="163" t="s">
        <v>246</v>
      </c>
      <c r="C11" s="163" t="s">
        <v>247</v>
      </c>
      <c r="D11" s="164" t="s">
        <v>248</v>
      </c>
      <c r="E11" s="163" t="s">
        <v>249</v>
      </c>
      <c r="F11" s="165">
        <v>1</v>
      </c>
      <c r="G11" s="166">
        <f ca="1">VLOOKUP(A11,'Orçamento Analítico'!A:H,8,0)</f>
        <v>233.94</v>
      </c>
      <c r="H11" s="166">
        <f>TRUNC(F11*G11,2)</f>
        <v>233.94</v>
      </c>
    </row>
    <row r="12" spans="1:8">
      <c r="A12" s="179" t="s">
        <v>250</v>
      </c>
      <c r="B12" s="179"/>
      <c r="C12" s="179"/>
      <c r="D12" s="179" t="s">
        <v>251</v>
      </c>
      <c r="E12" s="179"/>
      <c r="F12" s="180"/>
      <c r="G12" s="179"/>
      <c r="H12" s="180">
        <f>H13+H16</f>
        <v>4546.4499999999989</v>
      </c>
    </row>
    <row r="13" spans="1:8" s="140" customFormat="1">
      <c r="A13" s="47" t="s">
        <v>158</v>
      </c>
      <c r="B13" s="47"/>
      <c r="C13" s="47"/>
      <c r="D13" s="47" t="s">
        <v>157</v>
      </c>
      <c r="E13" s="47"/>
      <c r="F13" s="181"/>
      <c r="G13" s="47"/>
      <c r="H13" s="48">
        <f>H14</f>
        <v>810.02</v>
      </c>
    </row>
    <row r="14" spans="1:8">
      <c r="A14" s="3" t="s">
        <v>252</v>
      </c>
      <c r="B14" s="3"/>
      <c r="C14" s="3"/>
      <c r="D14" s="3" t="s">
        <v>253</v>
      </c>
      <c r="E14" s="3"/>
      <c r="F14" s="4"/>
      <c r="G14" s="3"/>
      <c r="H14" s="4">
        <f>H15</f>
        <v>810.02</v>
      </c>
    </row>
    <row r="15" spans="1:8">
      <c r="A15" s="162" t="s">
        <v>254</v>
      </c>
      <c r="B15" s="163" t="s">
        <v>255</v>
      </c>
      <c r="C15" s="163" t="s">
        <v>247</v>
      </c>
      <c r="D15" s="164" t="s">
        <v>256</v>
      </c>
      <c r="E15" s="163" t="s">
        <v>257</v>
      </c>
      <c r="F15" s="165">
        <v>101</v>
      </c>
      <c r="G15" s="166">
        <f ca="1">VLOOKUP(A15,'Orçamento Analítico'!A:H,8,0)</f>
        <v>8.02</v>
      </c>
      <c r="H15" s="166">
        <f>TRUNC(F15*G15,2)</f>
        <v>810.02</v>
      </c>
    </row>
    <row r="16" spans="1:8" s="140" customFormat="1">
      <c r="A16" s="47" t="s">
        <v>258</v>
      </c>
      <c r="B16" s="47"/>
      <c r="C16" s="47"/>
      <c r="D16" s="47" t="s">
        <v>259</v>
      </c>
      <c r="E16" s="47"/>
      <c r="F16" s="48"/>
      <c r="G16" s="47"/>
      <c r="H16" s="48">
        <f>H17+H23</f>
        <v>3736.4299999999994</v>
      </c>
    </row>
    <row r="17" spans="1:8">
      <c r="A17" s="3" t="s">
        <v>260</v>
      </c>
      <c r="B17" s="3"/>
      <c r="C17" s="3"/>
      <c r="D17" s="3" t="s">
        <v>261</v>
      </c>
      <c r="E17" s="3"/>
      <c r="F17" s="4"/>
      <c r="G17" s="3"/>
      <c r="H17" s="4">
        <f>SUM(H18:H22)</f>
        <v>3718.2699999999995</v>
      </c>
    </row>
    <row r="18" spans="1:8" ht="22.5">
      <c r="A18" s="162" t="s">
        <v>262</v>
      </c>
      <c r="B18" s="163" t="s">
        <v>263</v>
      </c>
      <c r="C18" s="163" t="str">
        <f ca="1">VLOOKUP(B18,'Insumos e Serviços'!$A:$F,2,0)</f>
        <v>SINAPI</v>
      </c>
      <c r="D18" s="164" t="str">
        <f ca="1">VLOOKUP(B18,'Insumos e Serviços'!$A:$F,4,0)</f>
        <v>DEMOLIÇÃO DE LAJES, DE FORMA MECANIZADA COM MARTELETE, SEM REAPROVEITAMENTO. AF_12/2017</v>
      </c>
      <c r="E18" s="163" t="str">
        <f ca="1">VLOOKUP(B18,'Insumos e Serviços'!$A:$F,5,0)</f>
        <v>m³</v>
      </c>
      <c r="F18" s="165">
        <v>1</v>
      </c>
      <c r="G18" s="166">
        <f ca="1">VLOOKUP(B18,'Insumos e Serviços'!$A:$F,6,0)</f>
        <v>106.16</v>
      </c>
      <c r="H18" s="166">
        <f>TRUNC(F18*G18,2)</f>
        <v>106.16</v>
      </c>
    </row>
    <row r="19" spans="1:8">
      <c r="A19" s="162" t="s">
        <v>267</v>
      </c>
      <c r="B19" s="163" t="s">
        <v>268</v>
      </c>
      <c r="C19" s="163" t="s">
        <v>247</v>
      </c>
      <c r="D19" s="164" t="s">
        <v>269</v>
      </c>
      <c r="E19" s="163" t="s">
        <v>257</v>
      </c>
      <c r="F19" s="165">
        <v>4</v>
      </c>
      <c r="G19" s="166">
        <f ca="1">VLOOKUP(A19,'Orçamento Analítico'!A:H,8,0)</f>
        <v>11.98</v>
      </c>
      <c r="H19" s="166">
        <f>TRUNC(F19*G19,2)</f>
        <v>47.92</v>
      </c>
    </row>
    <row r="20" spans="1:8" ht="22.5">
      <c r="A20" s="162" t="s">
        <v>270</v>
      </c>
      <c r="B20" s="163" t="s">
        <v>271</v>
      </c>
      <c r="C20" s="163" t="str">
        <f ca="1">VLOOKUP(B20,'Insumos e Serviços'!$A:$F,2,0)</f>
        <v>SINAPI</v>
      </c>
      <c r="D20" s="164" t="str">
        <f ca="1">VLOOKUP(B20,'Insumos e Serviços'!$A:$F,4,0)</f>
        <v>DEMOLIÇÃO DE ALVENARIA PARA QUALQUER TIPO DE BLOCO, DE FORMA MECANIZADA, SEM REAPROVEITAMENTO. AF_12/2017</v>
      </c>
      <c r="E20" s="163" t="str">
        <f ca="1">VLOOKUP(B20,'Insumos e Serviços'!$A:$F,5,0)</f>
        <v>m³</v>
      </c>
      <c r="F20" s="165">
        <v>4</v>
      </c>
      <c r="G20" s="166">
        <f ca="1">VLOOKUP(B20,'Insumos e Serviços'!$A:$F,6,0)</f>
        <v>41.02</v>
      </c>
      <c r="H20" s="166">
        <f>TRUNC(F20*G20,2)</f>
        <v>164.08</v>
      </c>
    </row>
    <row r="21" spans="1:8">
      <c r="A21" s="162" t="s">
        <v>273</v>
      </c>
      <c r="B21" s="163" t="s">
        <v>274</v>
      </c>
      <c r="C21" s="163" t="s">
        <v>247</v>
      </c>
      <c r="D21" s="164" t="s">
        <v>275</v>
      </c>
      <c r="E21" s="163" t="s">
        <v>257</v>
      </c>
      <c r="F21" s="165">
        <v>179</v>
      </c>
      <c r="G21" s="166">
        <f ca="1">VLOOKUP(A21,'Orçamento Analítico'!A:H,8,0)</f>
        <v>13</v>
      </c>
      <c r="H21" s="166">
        <f>TRUNC(F21*G21,2)</f>
        <v>2327</v>
      </c>
    </row>
    <row r="22" spans="1:8">
      <c r="A22" s="162" t="s">
        <v>276</v>
      </c>
      <c r="B22" s="163" t="s">
        <v>277</v>
      </c>
      <c r="C22" s="163" t="s">
        <v>247</v>
      </c>
      <c r="D22" s="164" t="s">
        <v>278</v>
      </c>
      <c r="E22" s="163" t="s">
        <v>257</v>
      </c>
      <c r="F22" s="165">
        <v>449</v>
      </c>
      <c r="G22" s="166">
        <f ca="1">VLOOKUP(A22,'Orçamento Analítico'!A:H,8,0)</f>
        <v>2.39</v>
      </c>
      <c r="H22" s="166">
        <f>TRUNC(F22*G22,2)</f>
        <v>1073.1099999999999</v>
      </c>
    </row>
    <row r="23" spans="1:8">
      <c r="A23" s="3" t="s">
        <v>279</v>
      </c>
      <c r="B23" s="3"/>
      <c r="C23" s="3"/>
      <c r="D23" s="3" t="s">
        <v>280</v>
      </c>
      <c r="E23" s="3"/>
      <c r="F23" s="4"/>
      <c r="G23" s="3"/>
      <c r="H23" s="4">
        <f>SUM(H24:H25)</f>
        <v>18.16</v>
      </c>
    </row>
    <row r="24" spans="1:8" ht="22.5">
      <c r="A24" s="5" t="s">
        <v>281</v>
      </c>
      <c r="B24" s="6" t="s">
        <v>282</v>
      </c>
      <c r="C24" s="5" t="str">
        <f ca="1">VLOOKUP(B24,'Insumos e Serviços'!$A:$F,2,0)</f>
        <v>SINAPI</v>
      </c>
      <c r="D24" s="5" t="str">
        <f ca="1">VLOOKUP(B24,'Insumos e Serviços'!$A:$F,4,0)</f>
        <v>REMOÇÃO DE TUBULAÇÕES (TUBOS E CONEXÕES) DE ÁGUA FRIA, DE FORMA MANUAL, SEM REAPROVEITAMENTO. AF_12/2017</v>
      </c>
      <c r="E24" s="7" t="str">
        <f ca="1">VLOOKUP(B24,'Insumos e Serviços'!$A:$F,5,0)</f>
        <v>M</v>
      </c>
      <c r="F24" s="8">
        <v>29</v>
      </c>
      <c r="G24" s="8">
        <f ca="1">VLOOKUP(B24,'Insumos e Serviços'!$A:$F,6,0)</f>
        <v>0.4</v>
      </c>
      <c r="H24" s="8">
        <f>TRUNC(F24*G24,2)</f>
        <v>11.6</v>
      </c>
    </row>
    <row r="25" spans="1:8">
      <c r="A25" s="162" t="s">
        <v>285</v>
      </c>
      <c r="B25" s="163" t="s">
        <v>286</v>
      </c>
      <c r="C25" s="163" t="s">
        <v>247</v>
      </c>
      <c r="D25" s="164" t="s">
        <v>287</v>
      </c>
      <c r="E25" s="163" t="s">
        <v>288</v>
      </c>
      <c r="F25" s="165">
        <v>8</v>
      </c>
      <c r="G25" s="166">
        <f ca="1">VLOOKUP(A25,'Orçamento Analítico'!A:H,8,0)</f>
        <v>0.82000000000000006</v>
      </c>
      <c r="H25" s="166">
        <f>TRUNC(F25*G25,2)</f>
        <v>6.56</v>
      </c>
    </row>
    <row r="26" spans="1:8">
      <c r="A26" s="179" t="s">
        <v>289</v>
      </c>
      <c r="B26" s="179"/>
      <c r="C26" s="179"/>
      <c r="D26" s="179" t="s">
        <v>290</v>
      </c>
      <c r="E26" s="179"/>
      <c r="F26" s="180"/>
      <c r="G26" s="179"/>
      <c r="H26" s="180">
        <f>H27</f>
        <v>6924.82</v>
      </c>
    </row>
    <row r="27" spans="1:8" s="140" customFormat="1">
      <c r="A27" s="47" t="s">
        <v>291</v>
      </c>
      <c r="B27" s="47"/>
      <c r="C27" s="47"/>
      <c r="D27" s="47" t="s">
        <v>292</v>
      </c>
      <c r="E27" s="47"/>
      <c r="F27" s="181"/>
      <c r="G27" s="47"/>
      <c r="H27" s="48">
        <f>H28</f>
        <v>6924.82</v>
      </c>
    </row>
    <row r="28" spans="1:8">
      <c r="A28" s="3" t="s">
        <v>293</v>
      </c>
      <c r="B28" s="3"/>
      <c r="C28" s="3"/>
      <c r="D28" s="3" t="s">
        <v>294</v>
      </c>
      <c r="E28" s="3"/>
      <c r="F28" s="4"/>
      <c r="G28" s="3"/>
      <c r="H28" s="4">
        <f>SUM(H29:H37)</f>
        <v>6924.82</v>
      </c>
    </row>
    <row r="29" spans="1:8" ht="33.75">
      <c r="A29" s="162" t="s">
        <v>295</v>
      </c>
      <c r="B29" s="163" t="s">
        <v>296</v>
      </c>
      <c r="C29" s="163" t="str">
        <f ca="1">VLOOKUP(B29,'Insumos e Serviços'!$A:$F,2,0)</f>
        <v>SINAPI</v>
      </c>
      <c r="D29" s="164" t="str">
        <f ca="1">VLOOKUP(B29,'Insumos e Serviços'!$A:$F,4,0)</f>
        <v>ARMAÇÃO DE PILAR OU VIGA DE UMA ESTRUTURA CONVENCIONAL DE CONCRETO ARMADO EM UMA EDIFICAÇÃO TÉRREA OU SOBRADO UTILIZANDO AÇO CA-50 DE 6,3 MM - MONTAGEM. AF_12/2015</v>
      </c>
      <c r="E29" s="163" t="str">
        <f ca="1">VLOOKUP(B29,'Insumos e Serviços'!$A:$F,5,0)</f>
        <v>KG</v>
      </c>
      <c r="F29" s="165">
        <v>30</v>
      </c>
      <c r="G29" s="166">
        <f ca="1">VLOOKUP(B29,'Insumos e Serviços'!$A:$F,6,0)</f>
        <v>17.399999999999999</v>
      </c>
      <c r="H29" s="166">
        <f t="shared" ref="H29:H34" si="0">TRUNC(F29*G29,2)</f>
        <v>522</v>
      </c>
    </row>
    <row r="30" spans="1:8" ht="33.75">
      <c r="A30" s="162" t="s">
        <v>299</v>
      </c>
      <c r="B30" s="163" t="s">
        <v>300</v>
      </c>
      <c r="C30" s="163" t="str">
        <f ca="1">VLOOKUP(B30,'Insumos e Serviços'!$A:$F,2,0)</f>
        <v>SINAPI</v>
      </c>
      <c r="D30" s="164" t="str">
        <f ca="1">VLOOKUP(B30,'Insumos e Serviços'!$A:$F,4,0)</f>
        <v>ARMAÇÃO DE PILAR OU VIGA DE UMA ESTRUTURA CONVENCIONAL DE CONCRETO ARMADO EM UMA EDIFICAÇÃO TÉRREA OU SOBRADO UTILIZANDO AÇO CA-50 DE 8,0 MM - MONTAGEM. AF_12/2015</v>
      </c>
      <c r="E30" s="163" t="str">
        <f ca="1">VLOOKUP(B30,'Insumos e Serviços'!$A:$F,5,0)</f>
        <v>KG</v>
      </c>
      <c r="F30" s="165">
        <v>34</v>
      </c>
      <c r="G30" s="166">
        <f ca="1">VLOOKUP(B30,'Insumos e Serviços'!$A:$F,6,0)</f>
        <v>16.14</v>
      </c>
      <c r="H30" s="166">
        <f t="shared" si="0"/>
        <v>548.76</v>
      </c>
    </row>
    <row r="31" spans="1:8" ht="33.75">
      <c r="A31" s="162" t="s">
        <v>302</v>
      </c>
      <c r="B31" s="163" t="s">
        <v>303</v>
      </c>
      <c r="C31" s="163" t="str">
        <f ca="1">VLOOKUP(B31,'Insumos e Serviços'!$A:$F,2,0)</f>
        <v>SINAPI</v>
      </c>
      <c r="D31" s="164" t="str">
        <f ca="1">VLOOKUP(B31,'Insumos e Serviços'!$A:$F,4,0)</f>
        <v>ARMAÇÃO DE PILAR OU VIGA DE UMA ESTRUTURA CONVENCIONAL DE CONCRETO ARMADO EM UMA EDIFICAÇÃO TÉRREA OU SOBRADO UTILIZANDO AÇO CA-50 DE 10,0 MM - MONTAGEM. AF_12/2015</v>
      </c>
      <c r="E31" s="163" t="str">
        <f ca="1">VLOOKUP(B31,'Insumos e Serviços'!$A:$F,5,0)</f>
        <v>KG</v>
      </c>
      <c r="F31" s="165">
        <v>112</v>
      </c>
      <c r="G31" s="166">
        <f ca="1">VLOOKUP(B31,'Insumos e Serviços'!$A:$F,6,0)</f>
        <v>14.33</v>
      </c>
      <c r="H31" s="166">
        <f t="shared" si="0"/>
        <v>1604.96</v>
      </c>
    </row>
    <row r="32" spans="1:8" ht="33.75">
      <c r="A32" s="162" t="s">
        <v>305</v>
      </c>
      <c r="B32" s="163" t="s">
        <v>306</v>
      </c>
      <c r="C32" s="163" t="str">
        <f ca="1">VLOOKUP(B32,'Insumos e Serviços'!$A:$F,2,0)</f>
        <v>SINAPI</v>
      </c>
      <c r="D32" s="164" t="str">
        <f ca="1">VLOOKUP(B32,'Insumos e Serviços'!$A:$F,4,0)</f>
        <v>ARMAÇÃO DE PILAR OU VIGA DE UMA ESTRUTURA CONVENCIONAL DE CONCRETO ARMADO EM UMA EDIFICAÇÃO TÉRREA OU SOBRADO UTILIZANDO AÇO CA-50 DE 16,0 MM - MONTAGEM. AF_12/2015</v>
      </c>
      <c r="E32" s="163" t="str">
        <f ca="1">VLOOKUP(B32,'Insumos e Serviços'!$A:$F,5,0)</f>
        <v>KG</v>
      </c>
      <c r="F32" s="165">
        <v>55</v>
      </c>
      <c r="G32" s="166">
        <f ca="1">VLOOKUP(B32,'Insumos e Serviços'!$A:$F,6,0)</f>
        <v>11.28</v>
      </c>
      <c r="H32" s="166">
        <f t="shared" si="0"/>
        <v>620.4</v>
      </c>
    </row>
    <row r="33" spans="1:8" ht="22.5">
      <c r="A33" s="162" t="s">
        <v>308</v>
      </c>
      <c r="B33" s="163" t="s">
        <v>309</v>
      </c>
      <c r="C33" s="163" t="str">
        <f ca="1">VLOOKUP(B33,'Insumos e Serviços'!$A:$F,2,0)</f>
        <v>SINAPI</v>
      </c>
      <c r="D33" s="164" t="str">
        <f ca="1">VLOOKUP(B33,'Insumos e Serviços'!$A:$F,4,0)</f>
        <v>CONCRETO FCK = 40MPA, TRAÇO 1:1,6:1,9 (CIMENTO/ AREIA MÉDIA/ BRITA 1)  - PREPARO MECÂNICO COM BETONEIRA 600 L. AF_07/2016</v>
      </c>
      <c r="E33" s="163" t="str">
        <f ca="1">VLOOKUP(B33,'Insumos e Serviços'!$A:$F,5,0)</f>
        <v>m³</v>
      </c>
      <c r="F33" s="165">
        <v>1</v>
      </c>
      <c r="G33" s="166">
        <f ca="1">VLOOKUP(B33,'Insumos e Serviços'!$A:$F,6,0)</f>
        <v>458.11</v>
      </c>
      <c r="H33" s="166">
        <f t="shared" si="0"/>
        <v>458.11</v>
      </c>
    </row>
    <row r="34" spans="1:8" ht="22.5">
      <c r="A34" s="162" t="s">
        <v>311</v>
      </c>
      <c r="B34" s="163" t="s">
        <v>312</v>
      </c>
      <c r="C34" s="163" t="str">
        <f ca="1">VLOOKUP(B34,'Insumos e Serviços'!$A:$F,2,0)</f>
        <v>SINAPI</v>
      </c>
      <c r="D34" s="164" t="str">
        <f ca="1">VLOOKUP(B34,'Insumos e Serviços'!$A:$F,4,0)</f>
        <v>LANÇAMENTO COM USO DE BALDES, ADENSAMENTO E ACABAMENTO DE CONCRETO EM ESTRUTURAS. AF_12/2015</v>
      </c>
      <c r="E34" s="163" t="str">
        <f ca="1">VLOOKUP(B34,'Insumos e Serviços'!$A:$F,5,0)</f>
        <v>m³</v>
      </c>
      <c r="F34" s="165">
        <v>1</v>
      </c>
      <c r="G34" s="166">
        <f ca="1">VLOOKUP(B34,'Insumos e Serviços'!$A:$F,6,0)</f>
        <v>186.89</v>
      </c>
      <c r="H34" s="166">
        <f t="shared" si="0"/>
        <v>186.89</v>
      </c>
    </row>
    <row r="35" spans="1:8">
      <c r="A35" s="162" t="s">
        <v>314</v>
      </c>
      <c r="B35" s="163" t="s">
        <v>315</v>
      </c>
      <c r="C35" s="163" t="s">
        <v>247</v>
      </c>
      <c r="D35" s="164" t="s">
        <v>316</v>
      </c>
      <c r="E35" s="163" t="s">
        <v>317</v>
      </c>
      <c r="F35" s="165">
        <v>1</v>
      </c>
      <c r="G35" s="166">
        <f ca="1">VLOOKUP(A35,'Orçamento Analítico'!A:H,8,0)</f>
        <v>1624.4599999999998</v>
      </c>
      <c r="H35" s="166">
        <f>TRUNC(F35*G35,2)</f>
        <v>1624.46</v>
      </c>
    </row>
    <row r="36" spans="1:8" ht="22.5">
      <c r="A36" s="162" t="s">
        <v>318</v>
      </c>
      <c r="B36" s="163" t="s">
        <v>319</v>
      </c>
      <c r="C36" s="163" t="str">
        <f ca="1">VLOOKUP(B36,'Insumos e Serviços'!$A:$F,2,0)</f>
        <v>SINAPI</v>
      </c>
      <c r="D36" s="164" t="str">
        <f ca="1">VLOOKUP(B36,'Insumos e Serviços'!$A:$F,4,0)</f>
        <v>ESCORAMENTO DE FÔRMAS DE LAJE EM MADEIRA NÃO APARELHADA, PÉ-DIREITO SIMPLES, INCLUSO TRAVAMENTO, 4 UTILIZAÇÕES. AF_09/2020</v>
      </c>
      <c r="E36" s="163" t="str">
        <f ca="1">VLOOKUP(B36,'Insumos e Serviços'!$A:$F,5,0)</f>
        <v>m³</v>
      </c>
      <c r="F36" s="165">
        <v>27</v>
      </c>
      <c r="G36" s="166">
        <f ca="1">VLOOKUP(B36,'Insumos e Serviços'!$A:$F,6,0)</f>
        <v>14.16</v>
      </c>
      <c r="H36" s="166">
        <f>TRUNC(F36*G36,2)</f>
        <v>382.32</v>
      </c>
    </row>
    <row r="37" spans="1:8" ht="33.75">
      <c r="A37" s="162" t="s">
        <v>321</v>
      </c>
      <c r="B37" s="163" t="s">
        <v>322</v>
      </c>
      <c r="C37" s="163" t="str">
        <f ca="1">VLOOKUP(B37,'Insumos e Serviços'!$A:$F,2,0)</f>
        <v>SINAPI</v>
      </c>
      <c r="D37" s="164" t="str">
        <f ca="1">VLOOKUP(B37,'Insumos e Serviços'!$A:$F,4,0)</f>
        <v>MONTAGEM E DESMONTAGEM DE FÔRMA DE PILARES RETANGULARES E ESTRUTURAS SIMILARES, PÉ-DIREITO SIMPLES, EM CHAPA DE MADEIRA COMPENSADA RESINADA, 4 UTILIZAÇÕES. AF_09/2020</v>
      </c>
      <c r="E37" s="163" t="str">
        <f ca="1">VLOOKUP(B37,'Insumos e Serviços'!$A:$F,5,0)</f>
        <v>m²</v>
      </c>
      <c r="F37" s="165">
        <v>14</v>
      </c>
      <c r="G37" s="166">
        <f ca="1">VLOOKUP(B37,'Insumos e Serviços'!$A:$F,6,0)</f>
        <v>69.78</v>
      </c>
      <c r="H37" s="166">
        <f>TRUNC(F37*G37,2)</f>
        <v>976.92</v>
      </c>
    </row>
    <row r="38" spans="1:8">
      <c r="A38" s="179" t="s">
        <v>820</v>
      </c>
      <c r="B38" s="179"/>
      <c r="C38" s="179"/>
      <c r="D38" s="179" t="s">
        <v>773</v>
      </c>
      <c r="E38" s="179"/>
      <c r="F38" s="180"/>
      <c r="G38" s="179"/>
      <c r="H38" s="180">
        <f>H39</f>
        <v>92965.349999999991</v>
      </c>
    </row>
    <row r="39" spans="1:8">
      <c r="A39" s="107" t="s">
        <v>821</v>
      </c>
      <c r="B39" s="3"/>
      <c r="C39" s="3"/>
      <c r="D39" s="3" t="s">
        <v>774</v>
      </c>
      <c r="E39" s="3"/>
      <c r="F39" s="4"/>
      <c r="G39" s="3"/>
      <c r="H39" s="4">
        <f>H40+H42+H44+H47+H50+H58</f>
        <v>92965.349999999991</v>
      </c>
    </row>
    <row r="40" spans="1:8" s="140" customFormat="1">
      <c r="A40" s="47" t="s">
        <v>324</v>
      </c>
      <c r="B40" s="47"/>
      <c r="C40" s="47"/>
      <c r="D40" s="47" t="s">
        <v>325</v>
      </c>
      <c r="E40" s="47"/>
      <c r="F40" s="48"/>
      <c r="G40" s="47"/>
      <c r="H40" s="48">
        <f>H41</f>
        <v>2745.68</v>
      </c>
    </row>
    <row r="41" spans="1:8" ht="33.75">
      <c r="A41" s="162" t="s">
        <v>326</v>
      </c>
      <c r="B41" s="163" t="s">
        <v>327</v>
      </c>
      <c r="C41" s="163" t="str">
        <f ca="1">VLOOKUP(B41,'Insumos e Serviços'!$A:$F,2,0)</f>
        <v>SINAPI</v>
      </c>
      <c r="D41" s="164" t="str">
        <f ca="1">VLOOKUP(B41,'Insumos e Serviços'!$A:$F,4,0)</f>
        <v>ALVENARIA DE VEDAÇÃO DE BLOCOS CERÂMICOS FURADOS NA HORIZONTAL DE 11,5X19X19CM (ESPESSURA 11,5CM) DE PAREDES COM ÁREA LÍQUIDA MENOR QUE 6M² COM VÃOS E ARGAMASSA DE ASSENTAMENTO COM PREPARO EM BETONEIRA. AF_06/2014</v>
      </c>
      <c r="E41" s="163" t="str">
        <f ca="1">VLOOKUP(B41,'Insumos e Serviços'!$A:$F,5,0)</f>
        <v>m²</v>
      </c>
      <c r="F41" s="165">
        <v>28</v>
      </c>
      <c r="G41" s="166">
        <f ca="1">VLOOKUP(B41,'Insumos e Serviços'!$A:$F,6,0)</f>
        <v>98.06</v>
      </c>
      <c r="H41" s="166">
        <f>TRUNC(F41*G41,2)</f>
        <v>2745.68</v>
      </c>
    </row>
    <row r="42" spans="1:8" s="140" customFormat="1">
      <c r="A42" s="47" t="s">
        <v>329</v>
      </c>
      <c r="B42" s="47"/>
      <c r="C42" s="47"/>
      <c r="D42" s="47" t="s">
        <v>330</v>
      </c>
      <c r="E42" s="47"/>
      <c r="F42" s="48"/>
      <c r="G42" s="47"/>
      <c r="H42" s="48">
        <f>H43</f>
        <v>9141.48</v>
      </c>
    </row>
    <row r="43" spans="1:8" ht="45">
      <c r="A43" s="162" t="s">
        <v>331</v>
      </c>
      <c r="B43" s="163" t="s">
        <v>332</v>
      </c>
      <c r="C43" s="163" t="s">
        <v>247</v>
      </c>
      <c r="D43" s="164" t="s">
        <v>333</v>
      </c>
      <c r="E43" s="163" t="s">
        <v>334</v>
      </c>
      <c r="F43" s="165">
        <v>1</v>
      </c>
      <c r="G43" s="166">
        <f ca="1">VLOOKUP(A43,'Orçamento Analítico'!A:H,8,0)</f>
        <v>9141.48</v>
      </c>
      <c r="H43" s="166">
        <f>TRUNC(F43*G43,2)</f>
        <v>9141.48</v>
      </c>
    </row>
    <row r="44" spans="1:8" s="140" customFormat="1">
      <c r="A44" s="47" t="s">
        <v>335</v>
      </c>
      <c r="B44" s="47"/>
      <c r="C44" s="47"/>
      <c r="D44" s="47" t="s">
        <v>336</v>
      </c>
      <c r="E44" s="47"/>
      <c r="F44" s="48"/>
      <c r="G44" s="47"/>
      <c r="H44" s="48">
        <f>SUM(H45:H46)</f>
        <v>2202.48</v>
      </c>
    </row>
    <row r="45" spans="1:8" ht="33.75">
      <c r="A45" s="162" t="s">
        <v>337</v>
      </c>
      <c r="B45" s="163" t="s">
        <v>338</v>
      </c>
      <c r="C45" s="163" t="str">
        <f ca="1">VLOOKUP(B45,'Insumos e Serviços'!$A:$F,2,0)</f>
        <v>SINAPI</v>
      </c>
      <c r="D45" s="164" t="str">
        <f ca="1">VLOOKUP(B45,'Insumos e Serviços'!$A:$F,4,0)</f>
        <v>CHAPISCO APLICADO EM ALVENARIA (COM PRESENÇA DE VÃOS) E ESTRUTURAS DE CONCRETO DE FACHADA, COM COLHER DE PEDREIRO.  ARGAMASSA TRAÇO 1:3 COM PREPARO EM BETONEIRA 400L. AF_06/2014</v>
      </c>
      <c r="E45" s="163" t="str">
        <f ca="1">VLOOKUP(B45,'Insumos e Serviços'!$A:$F,5,0)</f>
        <v>m²</v>
      </c>
      <c r="F45" s="165">
        <v>56</v>
      </c>
      <c r="G45" s="166">
        <f ca="1">VLOOKUP(B45,'Insumos e Serviços'!$A:$F,6,0)</f>
        <v>7.81</v>
      </c>
      <c r="H45" s="166">
        <f>TRUNC(F45*G45,2)</f>
        <v>437.36</v>
      </c>
    </row>
    <row r="46" spans="1:8" ht="45">
      <c r="A46" s="162" t="s">
        <v>340</v>
      </c>
      <c r="B46" s="163" t="s">
        <v>341</v>
      </c>
      <c r="C46" s="163" t="str">
        <f ca="1">VLOOKUP(B46,'Insumos e Serviços'!$A:$F,2,0)</f>
        <v>SINAPI</v>
      </c>
      <c r="D46" s="164" t="str">
        <f ca="1">VLOOKUP(B46,'Insumos e Serviços'!$A:$F,4,0)</f>
        <v>(COMPOSIÇÃO REPRESENTATIVA) DO SERVIÇO DE EMBOÇO/MASSA ÚNICA, APLICADO MANUALMENTE, TRAÇO 1:2:8, EM BETONEIRA DE 400L, PAREDES INTERNAS, COM EXECUÇÃO DE TALISCAS, EDIFICAÇÃO HABITACIONAL UNIFAMILIAR (CASAS) E EDIFICAÇÃO PÚBLICA PADRÃO. AF_12/2014</v>
      </c>
      <c r="E46" s="163" t="str">
        <f ca="1">VLOOKUP(B46,'Insumos e Serviços'!$A:$F,5,0)</f>
        <v>m²</v>
      </c>
      <c r="F46" s="165">
        <v>56</v>
      </c>
      <c r="G46" s="166">
        <f ca="1">VLOOKUP(B46,'Insumos e Serviços'!$A:$F,6,0)</f>
        <v>31.52</v>
      </c>
      <c r="H46" s="166">
        <f>TRUNC(F46*G46,2)</f>
        <v>1765.12</v>
      </c>
    </row>
    <row r="47" spans="1:8" s="140" customFormat="1">
      <c r="A47" s="47" t="s">
        <v>343</v>
      </c>
      <c r="B47" s="47"/>
      <c r="C47" s="47"/>
      <c r="D47" s="47" t="s">
        <v>344</v>
      </c>
      <c r="E47" s="47"/>
      <c r="F47" s="48"/>
      <c r="G47" s="47"/>
      <c r="H47" s="48">
        <f>SUM(H48:H49)</f>
        <v>2464.4</v>
      </c>
    </row>
    <row r="48" spans="1:8" ht="22.5">
      <c r="A48" s="162" t="s">
        <v>345</v>
      </c>
      <c r="B48" s="163" t="s">
        <v>346</v>
      </c>
      <c r="C48" s="163" t="str">
        <f ca="1">VLOOKUP(B48,'Insumos e Serviços'!$A:$F,2,0)</f>
        <v>SINAPI</v>
      </c>
      <c r="D48" s="164" t="str">
        <f ca="1">VLOOKUP(B48,'Insumos e Serviços'!$A:$F,4,0)</f>
        <v>FORRO EM DRYWALL, PARA AMBIENTES COMERCIAIS, INCLUSIVE ESTRUTURA DE FIXAÇÃO. AF_05/2017_P</v>
      </c>
      <c r="E48" s="163" t="str">
        <f ca="1">VLOOKUP(B48,'Insumos e Serviços'!$A:$F,5,0)</f>
        <v>m²</v>
      </c>
      <c r="F48" s="165">
        <v>32</v>
      </c>
      <c r="G48" s="166">
        <f ca="1">VLOOKUP(B48,'Insumos e Serviços'!$A:$F,6,0)</f>
        <v>59.26</v>
      </c>
      <c r="H48" s="166">
        <f>TRUNC(F48*G48,2)</f>
        <v>1896.32</v>
      </c>
    </row>
    <row r="49" spans="1:8">
      <c r="A49" s="162" t="s">
        <v>348</v>
      </c>
      <c r="B49" s="163" t="s">
        <v>349</v>
      </c>
      <c r="C49" s="163" t="s">
        <v>247</v>
      </c>
      <c r="D49" s="164" t="s">
        <v>350</v>
      </c>
      <c r="E49" s="163" t="s">
        <v>351</v>
      </c>
      <c r="F49" s="165">
        <v>36</v>
      </c>
      <c r="G49" s="166">
        <f ca="1">VLOOKUP(A49,'Orçamento Analítico'!A:H,8,0)</f>
        <v>15.78</v>
      </c>
      <c r="H49" s="166">
        <f>TRUNC(F49*G49,2)</f>
        <v>568.08000000000004</v>
      </c>
    </row>
    <row r="50" spans="1:8" s="140" customFormat="1">
      <c r="A50" s="47" t="s">
        <v>352</v>
      </c>
      <c r="B50" s="47"/>
      <c r="C50" s="47"/>
      <c r="D50" s="47" t="s">
        <v>353</v>
      </c>
      <c r="E50" s="47"/>
      <c r="F50" s="48"/>
      <c r="G50" s="47"/>
      <c r="H50" s="48">
        <f>SUM(H51:H57)</f>
        <v>11353.59</v>
      </c>
    </row>
    <row r="51" spans="1:8" ht="22.5">
      <c r="A51" s="162" t="s">
        <v>354</v>
      </c>
      <c r="B51" s="163" t="s">
        <v>355</v>
      </c>
      <c r="C51" s="163" t="str">
        <f ca="1">VLOOKUP(B51,'Insumos e Serviços'!$A:$F,2,0)</f>
        <v>SINAPI</v>
      </c>
      <c r="D51" s="164" t="str">
        <f ca="1">VLOOKUP(B51,'Insumos e Serviços'!$A:$F,4,0)</f>
        <v>APLICAÇÃO MANUAL DE PINTURA COM TINTA TEXTURIZADA ACRÍLICA EM PANOS COM PRESENÇA DE VÃOS DE EDIFÍCIOS DE MÚLTIPLOS PAVIMENTOS, UMA COR. AF_06/2014</v>
      </c>
      <c r="E51" s="163" t="str">
        <f ca="1">VLOOKUP(B51,'Insumos e Serviços'!$A:$F,5,0)</f>
        <v>m²</v>
      </c>
      <c r="F51" s="165">
        <v>180</v>
      </c>
      <c r="G51" s="166">
        <f ca="1">VLOOKUP(B51,'Insumos e Serviços'!$A:$F,6,0)</f>
        <v>17.45</v>
      </c>
      <c r="H51" s="166">
        <f t="shared" ref="H51:H57" si="1">TRUNC(F51*G51,2)</f>
        <v>3141</v>
      </c>
    </row>
    <row r="52" spans="1:8" ht="22.5">
      <c r="A52" s="162" t="s">
        <v>357</v>
      </c>
      <c r="B52" s="163" t="s">
        <v>358</v>
      </c>
      <c r="C52" s="163" t="str">
        <f ca="1">VLOOKUP(B52,'Insumos e Serviços'!$A:$F,2,0)</f>
        <v>SINAPI</v>
      </c>
      <c r="D52" s="164" t="str">
        <f ca="1">VLOOKUP(B52,'Insumos e Serviços'!$A:$F,4,0)</f>
        <v>PINTURA DE PISO COM TINTA ACRÍLICA, APLICAÇÃO MANUAL, 2 DEMÃOS, INCLUSO FUNDO PREPARADOR. AF_05/2021</v>
      </c>
      <c r="E52" s="163" t="str">
        <f ca="1">VLOOKUP(B52,'Insumos e Serviços'!$A:$F,5,0)</f>
        <v>m²</v>
      </c>
      <c r="F52" s="165">
        <v>53</v>
      </c>
      <c r="G52" s="166">
        <f ca="1">VLOOKUP(B52,'Insumos e Serviços'!$A:$F,6,0)</f>
        <v>16.440000000000001</v>
      </c>
      <c r="H52" s="166">
        <f t="shared" si="1"/>
        <v>871.32</v>
      </c>
    </row>
    <row r="53" spans="1:8" ht="22.5">
      <c r="A53" s="162" t="s">
        <v>360</v>
      </c>
      <c r="B53" s="163" t="s">
        <v>361</v>
      </c>
      <c r="C53" s="163" t="str">
        <f ca="1">VLOOKUP(B53,'Insumos e Serviços'!$A:$F,2,0)</f>
        <v>SINAPI</v>
      </c>
      <c r="D53" s="164" t="str">
        <f ca="1">VLOOKUP(B53,'Insumos e Serviços'!$A:$F,4,0)</f>
        <v>APLICAÇÃO MANUAL DE PINTURA COM TINTA LÁTEX ACRÍLICA EM PAREDES, DUAS DEMÃOS. AF_06/2014</v>
      </c>
      <c r="E53" s="163" t="str">
        <f ca="1">VLOOKUP(B53,'Insumos e Serviços'!$A:$F,5,0)</f>
        <v>m²</v>
      </c>
      <c r="F53" s="165">
        <v>99</v>
      </c>
      <c r="G53" s="166">
        <f ca="1">VLOOKUP(B53,'Insumos e Serviços'!$A:$F,6,0)</f>
        <v>13.06</v>
      </c>
      <c r="H53" s="166">
        <f t="shared" si="1"/>
        <v>1292.94</v>
      </c>
    </row>
    <row r="54" spans="1:8" ht="22.5">
      <c r="A54" s="162" t="s">
        <v>363</v>
      </c>
      <c r="B54" s="163" t="s">
        <v>364</v>
      </c>
      <c r="C54" s="163" t="str">
        <f ca="1">VLOOKUP(B54,'Insumos e Serviços'!$A:$F,2,0)</f>
        <v>SINAPI</v>
      </c>
      <c r="D54" s="164" t="str">
        <f ca="1">VLOOKUP(B54,'Insumos e Serviços'!$A:$F,4,0)</f>
        <v>APLICAÇÃO MANUAL DE MASSA ACRÍLICA EM PANOS DE FACHADA COM PRESENÇA DE VÃOS, DE EDIFÍCIOS DE MÚLTIPLOS PAVIMENTOS, DUAS DEMÃOS. AF_05/2017</v>
      </c>
      <c r="E54" s="163" t="str">
        <f ca="1">VLOOKUP(B54,'Insumos e Serviços'!$A:$F,5,0)</f>
        <v>m²</v>
      </c>
      <c r="F54" s="165">
        <v>232</v>
      </c>
      <c r="G54" s="166">
        <f ca="1">VLOOKUP(B54,'Insumos e Serviços'!$A:$F,6,0)</f>
        <v>22.92</v>
      </c>
      <c r="H54" s="166">
        <f t="shared" si="1"/>
        <v>5317.44</v>
      </c>
    </row>
    <row r="55" spans="1:8" ht="22.5">
      <c r="A55" s="162" t="s">
        <v>366</v>
      </c>
      <c r="B55" s="163" t="s">
        <v>367</v>
      </c>
      <c r="C55" s="163" t="str">
        <f ca="1">VLOOKUP(B55,'Insumos e Serviços'!$A:$F,2,0)</f>
        <v>SINAPI</v>
      </c>
      <c r="D55" s="164" t="str">
        <f ca="1">VLOOKUP(B55,'Insumos e Serviços'!$A:$F,4,0)</f>
        <v>APLICAÇÃO MANUAL DE PINTURA COM TINTA LÁTEX ACRÍLICA EM TETO, DUAS DEMÃOS. AF_06/2014</v>
      </c>
      <c r="E55" s="163" t="str">
        <f ca="1">VLOOKUP(B55,'Insumos e Serviços'!$A:$F,5,0)</f>
        <v>m²</v>
      </c>
      <c r="F55" s="165">
        <v>9</v>
      </c>
      <c r="G55" s="166">
        <f ca="1">VLOOKUP(B55,'Insumos e Serviços'!$A:$F,6,0)</f>
        <v>14.83</v>
      </c>
      <c r="H55" s="166">
        <f t="shared" si="1"/>
        <v>133.47</v>
      </c>
    </row>
    <row r="56" spans="1:8">
      <c r="A56" s="162" t="s">
        <v>369</v>
      </c>
      <c r="B56" s="163" t="s">
        <v>370</v>
      </c>
      <c r="C56" s="163" t="str">
        <f ca="1">VLOOKUP(B56,'Insumos e Serviços'!$A:$F,2,0)</f>
        <v>SINAPI</v>
      </c>
      <c r="D56" s="164" t="str">
        <f ca="1">VLOOKUP(B56,'Insumos e Serviços'!$A:$F,4,0)</f>
        <v>APLICAÇÃO E LIXAMENTO DE MASSA LÁTEX EM TETO, DUAS DEMÃOS. AF_06/2014</v>
      </c>
      <c r="E56" s="163" t="str">
        <f ca="1">VLOOKUP(B56,'Insumos e Serviços'!$A:$F,5,0)</f>
        <v>m²</v>
      </c>
      <c r="F56" s="165">
        <v>9</v>
      </c>
      <c r="G56" s="166">
        <f ca="1">VLOOKUP(B56,'Insumos e Serviços'!$A:$F,6,0)</f>
        <v>25.03</v>
      </c>
      <c r="H56" s="166">
        <f t="shared" si="1"/>
        <v>225.27</v>
      </c>
    </row>
    <row r="57" spans="1:8" ht="33.75">
      <c r="A57" s="162" t="s">
        <v>372</v>
      </c>
      <c r="B57" s="163" t="s">
        <v>373</v>
      </c>
      <c r="C57" s="163" t="str">
        <f ca="1">VLOOKUP(B57,'Insumos e Serviços'!$A:$F,2,0)</f>
        <v>SINAPI</v>
      </c>
      <c r="D57" s="164" t="str">
        <f ca="1">VLOOKUP(B57,'Insumos e Serviços'!$A:$F,4,0)</f>
        <v>PINTURA COM TINTA ALQUÍDICA DE ACABAMENTO (ESMALTE SINTÉTICO FOSCO) APLICADA A ROLO OU PINCEL SOBRE SUPERFÍCIES METÁLICAS (EXCETO PERFIL) EXECUTADO EM OBRA (02 DEMÃOS). AF_01/2020</v>
      </c>
      <c r="E57" s="163" t="str">
        <f ca="1">VLOOKUP(B57,'Insumos e Serviços'!$A:$F,5,0)</f>
        <v>m²</v>
      </c>
      <c r="F57" s="165">
        <v>9</v>
      </c>
      <c r="G57" s="166">
        <f ca="1">VLOOKUP(B57,'Insumos e Serviços'!$A:$F,6,0)</f>
        <v>41.35</v>
      </c>
      <c r="H57" s="166">
        <f t="shared" si="1"/>
        <v>372.15</v>
      </c>
    </row>
    <row r="58" spans="1:8" s="140" customFormat="1">
      <c r="A58" s="47" t="s">
        <v>375</v>
      </c>
      <c r="B58" s="47"/>
      <c r="C58" s="47"/>
      <c r="D58" s="47" t="s">
        <v>376</v>
      </c>
      <c r="E58" s="47"/>
      <c r="F58" s="48"/>
      <c r="G58" s="47"/>
      <c r="H58" s="48">
        <f>SUM(H59:H66)</f>
        <v>65057.719999999994</v>
      </c>
    </row>
    <row r="59" spans="1:8" ht="22.5">
      <c r="A59" s="162" t="s">
        <v>377</v>
      </c>
      <c r="B59" s="163" t="s">
        <v>378</v>
      </c>
      <c r="C59" s="163" t="s">
        <v>247</v>
      </c>
      <c r="D59" s="164" t="s">
        <v>379</v>
      </c>
      <c r="E59" s="163" t="s">
        <v>257</v>
      </c>
      <c r="F59" s="165">
        <v>96</v>
      </c>
      <c r="G59" s="166">
        <f ca="1">VLOOKUP(A59,'Orçamento Analítico'!A:H,8,0)</f>
        <v>119.67000000000002</v>
      </c>
      <c r="H59" s="166">
        <f t="shared" ref="H59:H66" si="2">TRUNC(F59*G59,2)</f>
        <v>11488.32</v>
      </c>
    </row>
    <row r="60" spans="1:8" ht="22.5">
      <c r="A60" s="162" t="s">
        <v>380</v>
      </c>
      <c r="B60" s="163" t="s">
        <v>381</v>
      </c>
      <c r="C60" s="163" t="s">
        <v>247</v>
      </c>
      <c r="D60" s="164" t="s">
        <v>382</v>
      </c>
      <c r="E60" s="163" t="s">
        <v>257</v>
      </c>
      <c r="F60" s="165">
        <v>84</v>
      </c>
      <c r="G60" s="166">
        <f ca="1">VLOOKUP(A60,'Orçamento Analítico'!A:H,8,0)</f>
        <v>108.48000000000002</v>
      </c>
      <c r="H60" s="166">
        <f t="shared" si="2"/>
        <v>9112.32</v>
      </c>
    </row>
    <row r="61" spans="1:8" ht="33.75">
      <c r="A61" s="162" t="s">
        <v>383</v>
      </c>
      <c r="B61" s="163" t="s">
        <v>384</v>
      </c>
      <c r="C61" s="163" t="s">
        <v>247</v>
      </c>
      <c r="D61" s="164" t="s">
        <v>385</v>
      </c>
      <c r="E61" s="163" t="s">
        <v>257</v>
      </c>
      <c r="F61" s="165">
        <v>179</v>
      </c>
      <c r="G61" s="166">
        <f ca="1">VLOOKUP(A61,'Orçamento Analítico'!A:H,8,0)</f>
        <v>63.33</v>
      </c>
      <c r="H61" s="166">
        <f t="shared" si="2"/>
        <v>11336.07</v>
      </c>
    </row>
    <row r="62" spans="1:8" ht="22.5">
      <c r="A62" s="162" t="s">
        <v>386</v>
      </c>
      <c r="B62" s="163" t="s">
        <v>387</v>
      </c>
      <c r="C62" s="163" t="s">
        <v>247</v>
      </c>
      <c r="D62" s="164" t="s">
        <v>388</v>
      </c>
      <c r="E62" s="163" t="s">
        <v>257</v>
      </c>
      <c r="F62" s="165">
        <v>397</v>
      </c>
      <c r="G62" s="166">
        <f ca="1">VLOOKUP(A62,'Orçamento Analítico'!A:H,8,0)</f>
        <v>72.86</v>
      </c>
      <c r="H62" s="166">
        <f t="shared" si="2"/>
        <v>28925.42</v>
      </c>
    </row>
    <row r="63" spans="1:8" ht="22.5">
      <c r="A63" s="162" t="s">
        <v>389</v>
      </c>
      <c r="B63" s="163" t="s">
        <v>390</v>
      </c>
      <c r="C63" s="163" t="s">
        <v>247</v>
      </c>
      <c r="D63" s="164" t="s">
        <v>391</v>
      </c>
      <c r="E63" s="163" t="s">
        <v>257</v>
      </c>
      <c r="F63" s="165">
        <v>53</v>
      </c>
      <c r="G63" s="166">
        <f ca="1">VLOOKUP(A63,'Orçamento Analítico'!A:H,8,0)</f>
        <v>26.029999999999998</v>
      </c>
      <c r="H63" s="166">
        <f t="shared" si="2"/>
        <v>1379.59</v>
      </c>
    </row>
    <row r="64" spans="1:8">
      <c r="A64" s="162" t="s">
        <v>392</v>
      </c>
      <c r="B64" s="163" t="s">
        <v>393</v>
      </c>
      <c r="C64" s="163" t="str">
        <f ca="1">VLOOKUP(B64,'Insumos e Serviços'!$A:$F,2,0)</f>
        <v>SINAPI</v>
      </c>
      <c r="D64" s="164" t="str">
        <f ca="1">VLOOKUP(B64,'Insumos e Serviços'!$A:$F,4,0)</f>
        <v>LIMPEZA DE SUPERFÍCIE COM JATO DE ALTA PRESSÃO. AF_04/2019</v>
      </c>
      <c r="E64" s="163" t="str">
        <f ca="1">VLOOKUP(B64,'Insumos e Serviços'!$A:$F,5,0)</f>
        <v>m²</v>
      </c>
      <c r="F64" s="165">
        <v>628</v>
      </c>
      <c r="G64" s="166">
        <f ca="1">VLOOKUP(B64,'Insumos e Serviços'!$A:$F,6,0)</f>
        <v>1.57</v>
      </c>
      <c r="H64" s="166">
        <f t="shared" si="2"/>
        <v>985.96</v>
      </c>
    </row>
    <row r="65" spans="1:8">
      <c r="A65" s="162" t="s">
        <v>395</v>
      </c>
      <c r="B65" s="163" t="s">
        <v>396</v>
      </c>
      <c r="C65" s="163" t="s">
        <v>247</v>
      </c>
      <c r="D65" s="164" t="s">
        <v>397</v>
      </c>
      <c r="E65" s="163" t="s">
        <v>257</v>
      </c>
      <c r="F65" s="165">
        <v>191</v>
      </c>
      <c r="G65" s="166">
        <f ca="1">VLOOKUP(A65,'Orçamento Analítico'!A:H,8,0)</f>
        <v>7.9399999999999995</v>
      </c>
      <c r="H65" s="166">
        <f t="shared" si="2"/>
        <v>1516.54</v>
      </c>
    </row>
    <row r="66" spans="1:8">
      <c r="A66" s="162" t="s">
        <v>398</v>
      </c>
      <c r="B66" s="163" t="s">
        <v>399</v>
      </c>
      <c r="C66" s="163" t="s">
        <v>247</v>
      </c>
      <c r="D66" s="164" t="s">
        <v>400</v>
      </c>
      <c r="E66" s="163" t="s">
        <v>351</v>
      </c>
      <c r="F66" s="165">
        <v>25</v>
      </c>
      <c r="G66" s="166">
        <f ca="1">VLOOKUP(A66,'Orçamento Analítico'!A:H,8,0)</f>
        <v>12.540000000000001</v>
      </c>
      <c r="H66" s="166">
        <f t="shared" si="2"/>
        <v>313.5</v>
      </c>
    </row>
    <row r="67" spans="1:8">
      <c r="A67" s="179" t="s">
        <v>401</v>
      </c>
      <c r="B67" s="179"/>
      <c r="C67" s="179"/>
      <c r="D67" s="179" t="s">
        <v>402</v>
      </c>
      <c r="E67" s="179"/>
      <c r="F67" s="180"/>
      <c r="G67" s="179"/>
      <c r="H67" s="180">
        <f>H68+H157</f>
        <v>60716.800000000003</v>
      </c>
    </row>
    <row r="68" spans="1:8" s="140" customFormat="1">
      <c r="A68" s="47" t="s">
        <v>403</v>
      </c>
      <c r="B68" s="47"/>
      <c r="C68" s="47"/>
      <c r="D68" s="47" t="s">
        <v>404</v>
      </c>
      <c r="E68" s="47"/>
      <c r="F68" s="181"/>
      <c r="G68" s="47"/>
      <c r="H68" s="48">
        <f>H69+H87+H136+H138+H143</f>
        <v>43252.83</v>
      </c>
    </row>
    <row r="69" spans="1:8">
      <c r="A69" s="3" t="s">
        <v>405</v>
      </c>
      <c r="B69" s="3"/>
      <c r="C69" s="3"/>
      <c r="D69" s="3" t="s">
        <v>406</v>
      </c>
      <c r="E69" s="3"/>
      <c r="F69" s="4"/>
      <c r="G69" s="3"/>
      <c r="H69" s="4">
        <f>SUM(H70:H86)</f>
        <v>4602.579999999999</v>
      </c>
    </row>
    <row r="70" spans="1:8" ht="22.5">
      <c r="A70" s="162" t="s">
        <v>407</v>
      </c>
      <c r="B70" s="163" t="s">
        <v>408</v>
      </c>
      <c r="C70" s="163" t="str">
        <f ca="1">VLOOKUP(B70,'Insumos e Serviços'!$A:$F,2,0)</f>
        <v>SINAPI</v>
      </c>
      <c r="D70" s="164" t="str">
        <f ca="1">VLOOKUP(B70,'Insumos e Serviços'!$A:$F,4,0)</f>
        <v>NIPLE, EM FERRO GALVANIZADO, DN 50 (2"), CONEXÃO ROSQUEADA, INSTALADO EM PRUMADAS - FORNECIMENTO E INSTALAÇÃO. AF_10/2020</v>
      </c>
      <c r="E70" s="163" t="str">
        <f ca="1">VLOOKUP(B70,'Insumos e Serviços'!$A:$F,5,0)</f>
        <v>UN</v>
      </c>
      <c r="F70" s="165">
        <v>6</v>
      </c>
      <c r="G70" s="166">
        <f ca="1">VLOOKUP(B70,'Insumos e Serviços'!$A:$F,6,0)</f>
        <v>51.02</v>
      </c>
      <c r="H70" s="166">
        <f t="shared" ref="H70:H80" si="3">TRUNC(F70*G70,2)</f>
        <v>306.12</v>
      </c>
    </row>
    <row r="71" spans="1:8" ht="22.5">
      <c r="A71" s="162" t="s">
        <v>410</v>
      </c>
      <c r="B71" s="163" t="s">
        <v>411</v>
      </c>
      <c r="C71" s="163" t="str">
        <f ca="1">VLOOKUP(B71,'Insumos e Serviços'!$A:$F,2,0)</f>
        <v>SINAPI</v>
      </c>
      <c r="D71" s="164" t="str">
        <f ca="1">VLOOKUP(B71,'Insumos e Serviços'!$A:$F,4,0)</f>
        <v>UNIÃO, EM FERRO GALVANIZADO, DN 50 (2"), CONEXÃO ROSQUEADA, INSTALADO EM PRUMADAS - FORNECIMENTO E INSTALAÇÃO. AF_10/2020</v>
      </c>
      <c r="E71" s="163" t="str">
        <f ca="1">VLOOKUP(B71,'Insumos e Serviços'!$A:$F,5,0)</f>
        <v>UN</v>
      </c>
      <c r="F71" s="165">
        <v>4</v>
      </c>
      <c r="G71" s="166">
        <f ca="1">VLOOKUP(B71,'Insumos e Serviços'!$A:$F,6,0)</f>
        <v>95.95</v>
      </c>
      <c r="H71" s="166">
        <f t="shared" si="3"/>
        <v>383.8</v>
      </c>
    </row>
    <row r="72" spans="1:8" ht="33.75">
      <c r="A72" s="162" t="s">
        <v>413</v>
      </c>
      <c r="B72" s="163" t="s">
        <v>414</v>
      </c>
      <c r="C72" s="163" t="str">
        <f ca="1">VLOOKUP(B72,'Insumos e Serviços'!$A:$F,2,0)</f>
        <v>SINAPI</v>
      </c>
      <c r="D72" s="164" t="str">
        <f ca="1">VLOOKUP(B72,'Insumos e Serviços'!$A:$F,4,0)</f>
        <v>VÁLVULA DE ESFERA BRUTA, BRONZE, ROSCÁVEL, 2'', INSTALADO EM RESERVAÇÃO DE ÁGUA DE EDIFICAÇÃO QUE POSSUA RESERVATÓRIO DE FIBRA/FIBROCIMENTO - FORNECIMENTO E INSTALAÇÃO. AF_06/2016</v>
      </c>
      <c r="E72" s="163" t="str">
        <f ca="1">VLOOKUP(B72,'Insumos e Serviços'!$A:$F,5,0)</f>
        <v>UN</v>
      </c>
      <c r="F72" s="165">
        <v>4</v>
      </c>
      <c r="G72" s="166">
        <f ca="1">VLOOKUP(B72,'Insumos e Serviços'!$A:$F,6,0)</f>
        <v>235.68</v>
      </c>
      <c r="H72" s="166">
        <f t="shared" si="3"/>
        <v>942.72</v>
      </c>
    </row>
    <row r="73" spans="1:8" ht="33.75">
      <c r="A73" s="162" t="s">
        <v>177</v>
      </c>
      <c r="B73" s="163" t="s">
        <v>416</v>
      </c>
      <c r="C73" s="163" t="str">
        <f ca="1">VLOOKUP(B73,'Insumos e Serviços'!$A:$F,2,0)</f>
        <v>SINAPI</v>
      </c>
      <c r="D73" s="164" t="str">
        <f ca="1">VLOOKUP(B73,'Insumos e Serviços'!$A:$F,4,0)</f>
        <v>VÁLVULA DE ESFERA BRUTA, BRONZE, ROSCÁVEL, 1 1/2'', INSTALADO EM RESERVAÇÃO DE ÁGUA DE EDIFICAÇÃO QUE POSSUA RESERVATÓRIO DE FIBRA/FIBROCIMENTO -   FORNECIMENTO E INSTALAÇÃO. AF_06/2016</v>
      </c>
      <c r="E73" s="163" t="str">
        <f ca="1">VLOOKUP(B73,'Insumos e Serviços'!$A:$F,5,0)</f>
        <v>UN</v>
      </c>
      <c r="F73" s="165">
        <v>5</v>
      </c>
      <c r="G73" s="166">
        <f ca="1">VLOOKUP(B73,'Insumos e Serviços'!$A:$F,6,0)</f>
        <v>163.53</v>
      </c>
      <c r="H73" s="166">
        <f t="shared" si="3"/>
        <v>817.65</v>
      </c>
    </row>
    <row r="74" spans="1:8" ht="22.5">
      <c r="A74" s="162" t="s">
        <v>418</v>
      </c>
      <c r="B74" s="163" t="s">
        <v>419</v>
      </c>
      <c r="C74" s="163" t="str">
        <f ca="1">VLOOKUP(B74,'Insumos e Serviços'!$A:$F,2,0)</f>
        <v>SINAPI</v>
      </c>
      <c r="D74" s="164" t="str">
        <f ca="1">VLOOKUP(B74,'Insumos e Serviços'!$A:$F,4,0)</f>
        <v>UNIÃO, EM FERRO GALVANIZADO, DN 40 (1 1/2"), CONEXÃO ROSQUEADA, INSTALADO EM REDE DE ALIMENTAÇÃO PARA HIDRANTE - FORNECIMENTO E INSTALAÇÃO. AF_10/2020</v>
      </c>
      <c r="E74" s="163" t="str">
        <f ca="1">VLOOKUP(B74,'Insumos e Serviços'!$A:$F,5,0)</f>
        <v>UN</v>
      </c>
      <c r="F74" s="165">
        <v>7</v>
      </c>
      <c r="G74" s="166">
        <f ca="1">VLOOKUP(B74,'Insumos e Serviços'!$A:$F,6,0)</f>
        <v>71.28</v>
      </c>
      <c r="H74" s="166">
        <f t="shared" si="3"/>
        <v>498.96</v>
      </c>
    </row>
    <row r="75" spans="1:8" ht="22.5">
      <c r="A75" s="162" t="s">
        <v>421</v>
      </c>
      <c r="B75" s="163" t="s">
        <v>422</v>
      </c>
      <c r="C75" s="163" t="str">
        <f ca="1">VLOOKUP(B75,'Insumos e Serviços'!$A:$F,2,0)</f>
        <v>SINAPI</v>
      </c>
      <c r="D75" s="164" t="str">
        <f ca="1">VLOOKUP(B75,'Insumos e Serviços'!$A:$F,4,0)</f>
        <v>NIPLE, EM FERRO GALVANIZADO, DN 40 (1 1/2"), CONEXÃO ROSQUEADA, INSTALADO EM REDE DE ALIMENTAÇÃO PARA HIDRANTE - FORNECIMENTO E INSTALAÇÃO. AF_10/2020</v>
      </c>
      <c r="E75" s="163" t="str">
        <f ca="1">VLOOKUP(B75,'Insumos e Serviços'!$A:$F,5,0)</f>
        <v>UN</v>
      </c>
      <c r="F75" s="165">
        <v>5</v>
      </c>
      <c r="G75" s="166">
        <f ca="1">VLOOKUP(B75,'Insumos e Serviços'!$A:$F,6,0)</f>
        <v>39.840000000000003</v>
      </c>
      <c r="H75" s="166">
        <f t="shared" si="3"/>
        <v>199.2</v>
      </c>
    </row>
    <row r="76" spans="1:8" ht="22.5">
      <c r="A76" s="162" t="s">
        <v>424</v>
      </c>
      <c r="B76" s="163" t="s">
        <v>425</v>
      </c>
      <c r="C76" s="163" t="str">
        <f ca="1">VLOOKUP(B76,'Insumos e Serviços'!$A:$F,2,0)</f>
        <v>SINAPI</v>
      </c>
      <c r="D76" s="164" t="str">
        <f ca="1">VLOOKUP(B76,'Insumos e Serviços'!$A:$F,4,0)</f>
        <v>LUVA DE REDUÇÃO, EM FERRO GALVANIZADO, 2" X 1 1/2", CONEXÃO ROSQUEADA, INSTALADO EM PRUMADAS - FORNECIMENTO E INSTALAÇÃO. AF_10/2020</v>
      </c>
      <c r="E76" s="163" t="str">
        <f ca="1">VLOOKUP(B76,'Insumos e Serviços'!$A:$F,5,0)</f>
        <v>UN</v>
      </c>
      <c r="F76" s="165">
        <v>2</v>
      </c>
      <c r="G76" s="166">
        <f ca="1">VLOOKUP(B76,'Insumos e Serviços'!$A:$F,6,0)</f>
        <v>53.61</v>
      </c>
      <c r="H76" s="166">
        <f t="shared" si="3"/>
        <v>107.22</v>
      </c>
    </row>
    <row r="77" spans="1:8" ht="33.75">
      <c r="A77" s="162" t="s">
        <v>427</v>
      </c>
      <c r="B77" s="163" t="s">
        <v>428</v>
      </c>
      <c r="C77" s="163" t="str">
        <f ca="1">VLOOKUP(B77,'Insumos e Serviços'!$A:$F,2,0)</f>
        <v>SINAPI</v>
      </c>
      <c r="D77" s="164" t="str">
        <f ca="1">VLOOKUP(B77,'Insumos e Serviços'!$A:$F,4,0)</f>
        <v>LUVA DE REDUÇÃO, EM FERRO GALVANIZADO, 1 1/2" X 1 1/4", CONEXÃO ROSQUEADA, INSTALADO EM REDE DE ALIMENTAÇÃO PARA HIDRANTE - FORNECIMENTO E INSTALAÇÃO. AF_10/2020</v>
      </c>
      <c r="E77" s="163" t="str">
        <f ca="1">VLOOKUP(B77,'Insumos e Serviços'!$A:$F,5,0)</f>
        <v>UN</v>
      </c>
      <c r="F77" s="165">
        <v>2</v>
      </c>
      <c r="G77" s="166">
        <f ca="1">VLOOKUP(B77,'Insumos e Serviços'!$A:$F,6,0)</f>
        <v>41.03</v>
      </c>
      <c r="H77" s="166">
        <f t="shared" si="3"/>
        <v>82.06</v>
      </c>
    </row>
    <row r="78" spans="1:8" ht="22.5">
      <c r="A78" s="162" t="s">
        <v>430</v>
      </c>
      <c r="B78" s="163" t="s">
        <v>431</v>
      </c>
      <c r="C78" s="163" t="str">
        <f ca="1">VLOOKUP(B78,'Insumos e Serviços'!$A:$F,2,0)</f>
        <v>SINAPI</v>
      </c>
      <c r="D78" s="164" t="str">
        <f ca="1">VLOOKUP(B78,'Insumos e Serviços'!$A:$F,4,0)</f>
        <v>NIPLE, EM FERRO GALVANIZADO, CONEXÃO ROSQUEADA, DN 20 (3/4"), INSTALADO EM RAMAIS E SUB-RAMAIS DE GÁS - FORNECIMENTO E INSTALAÇÃO. AF_10/2020</v>
      </c>
      <c r="E78" s="163" t="str">
        <f ca="1">VLOOKUP(B78,'Insumos e Serviços'!$A:$F,5,0)</f>
        <v>UN</v>
      </c>
      <c r="F78" s="165">
        <v>3</v>
      </c>
      <c r="G78" s="166">
        <f ca="1">VLOOKUP(B78,'Insumos e Serviços'!$A:$F,6,0)</f>
        <v>17.86</v>
      </c>
      <c r="H78" s="166">
        <f t="shared" si="3"/>
        <v>53.58</v>
      </c>
    </row>
    <row r="79" spans="1:8" ht="22.5">
      <c r="A79" s="162" t="s">
        <v>433</v>
      </c>
      <c r="B79" s="163" t="s">
        <v>434</v>
      </c>
      <c r="C79" s="163" t="str">
        <f ca="1">VLOOKUP(B79,'Insumos e Serviços'!$A:$F,2,0)</f>
        <v>SINAPI</v>
      </c>
      <c r="D79" s="164" t="str">
        <f ca="1">VLOOKUP(B79,'Insumos e Serviços'!$A:$F,4,0)</f>
        <v>UNIÃO, EM FERRO GALVANIZADO, CONEXÃO ROSQUEADA, DN 20 (3/4"), INSTALADO EM RAMAIS E SUB-RAMAIS DE GÁS - FORNECIMENTO E INSTALAÇÃO. AF_10/2020</v>
      </c>
      <c r="E79" s="163" t="str">
        <f ca="1">VLOOKUP(B79,'Insumos e Serviços'!$A:$F,5,0)</f>
        <v>UN</v>
      </c>
      <c r="F79" s="165">
        <v>6</v>
      </c>
      <c r="G79" s="166">
        <f ca="1">VLOOKUP(B79,'Insumos e Serviços'!$A:$F,6,0)</f>
        <v>34.25</v>
      </c>
      <c r="H79" s="166">
        <f t="shared" si="3"/>
        <v>205.5</v>
      </c>
    </row>
    <row r="80" spans="1:8" ht="33.75">
      <c r="A80" s="162" t="s">
        <v>436</v>
      </c>
      <c r="B80" s="163" t="s">
        <v>437</v>
      </c>
      <c r="C80" s="163" t="str">
        <f ca="1">VLOOKUP(B80,'Insumos e Serviços'!$A:$F,2,0)</f>
        <v>SINAPI</v>
      </c>
      <c r="D80" s="164" t="str">
        <f ca="1">VLOOKUP(B80,'Insumos e Serviços'!$A:$F,4,0)</f>
        <v>VÁLVULA DE ESFERA BRUTA, BRONZE, ROSCÁVEL, 3/4'', INSTALADO EM RESERVAÇÃO DE ÁGUA DE EDIFICAÇÃO QUE POSSUA RESERVATÓRIO DE FIBRA/FIBROCIMENTO - FORNECIMENTO E INSTALAÇÃO. AF_06/2016</v>
      </c>
      <c r="E80" s="163" t="str">
        <f ca="1">VLOOKUP(B80,'Insumos e Serviços'!$A:$F,5,0)</f>
        <v>UN</v>
      </c>
      <c r="F80" s="165">
        <v>3</v>
      </c>
      <c r="G80" s="166">
        <f ca="1">VLOOKUP(B80,'Insumos e Serviços'!$A:$F,6,0)</f>
        <v>86.15</v>
      </c>
      <c r="H80" s="166">
        <f t="shared" si="3"/>
        <v>258.45</v>
      </c>
    </row>
    <row r="81" spans="1:8" ht="22.5">
      <c r="A81" s="162" t="s">
        <v>439</v>
      </c>
      <c r="B81" s="163" t="s">
        <v>440</v>
      </c>
      <c r="C81" s="163" t="s">
        <v>247</v>
      </c>
      <c r="D81" s="164" t="s">
        <v>441</v>
      </c>
      <c r="E81" s="163" t="s">
        <v>288</v>
      </c>
      <c r="F81" s="165">
        <v>1</v>
      </c>
      <c r="G81" s="166">
        <f ca="1">VLOOKUP(A81,'Orçamento Analítico'!A:H,8,0)</f>
        <v>317.63</v>
      </c>
      <c r="H81" s="166">
        <f t="shared" ref="H81:H86" si="4">TRUNC(F81*G81,2)</f>
        <v>317.63</v>
      </c>
    </row>
    <row r="82" spans="1:8" ht="22.5">
      <c r="A82" s="162" t="s">
        <v>442</v>
      </c>
      <c r="B82" s="163" t="s">
        <v>443</v>
      </c>
      <c r="C82" s="163" t="str">
        <f ca="1">VLOOKUP(B82,'Insumos e Serviços'!$A:$F,2,0)</f>
        <v>SINAPI</v>
      </c>
      <c r="D82" s="164" t="str">
        <f ca="1">VLOOKUP(B82,'Insumos e Serviços'!$A:$F,4,0)</f>
        <v>UNIÃO, EM FERRO GALVANIZADO, DN 65 (2 1/2"), CONEXÃO ROSQUEADA, INSTALADO EM PRUMADAS - FORNECIMENTO E INSTALAÇÃO. AF_10/2020</v>
      </c>
      <c r="E82" s="163" t="str">
        <f ca="1">VLOOKUP(B82,'Insumos e Serviços'!$A:$F,5,0)</f>
        <v>UN</v>
      </c>
      <c r="F82" s="165">
        <v>1</v>
      </c>
      <c r="G82" s="166">
        <f ca="1">VLOOKUP(B82,'Insumos e Serviços'!$A:$F,6,0)</f>
        <v>143.34</v>
      </c>
      <c r="H82" s="166">
        <f t="shared" si="4"/>
        <v>143.34</v>
      </c>
    </row>
    <row r="83" spans="1:8" ht="22.5">
      <c r="A83" s="162" t="s">
        <v>445</v>
      </c>
      <c r="B83" s="163" t="s">
        <v>446</v>
      </c>
      <c r="C83" s="163" t="str">
        <f ca="1">VLOOKUP(B83,'Insumos e Serviços'!$A:$F,2,0)</f>
        <v>SINAPI</v>
      </c>
      <c r="D83" s="164" t="str">
        <f ca="1">VLOOKUP(B83,'Insumos e Serviços'!$A:$F,4,0)</f>
        <v>NIPLE, EM FERRO GALVANIZADO, DN 65 (2 1/2"), CONEXÃO ROSQUEADA, INSTALADO EM PRUMADAS - FORNECIMENTO E INSTALAÇÃO. AF_10/2020</v>
      </c>
      <c r="E83" s="163" t="str">
        <f ca="1">VLOOKUP(B83,'Insumos e Serviços'!$A:$F,5,0)</f>
        <v>UN</v>
      </c>
      <c r="F83" s="165">
        <v>1</v>
      </c>
      <c r="G83" s="166">
        <f ca="1">VLOOKUP(B83,'Insumos e Serviços'!$A:$F,6,0)</f>
        <v>66.069999999999993</v>
      </c>
      <c r="H83" s="166">
        <f t="shared" si="4"/>
        <v>66.069999999999993</v>
      </c>
    </row>
    <row r="84" spans="1:8" ht="33.75">
      <c r="A84" s="162" t="s">
        <v>448</v>
      </c>
      <c r="B84" s="163" t="s">
        <v>449</v>
      </c>
      <c r="C84" s="163" t="s">
        <v>247</v>
      </c>
      <c r="D84" s="164" t="s">
        <v>450</v>
      </c>
      <c r="E84" s="163" t="s">
        <v>288</v>
      </c>
      <c r="F84" s="165">
        <v>1</v>
      </c>
      <c r="G84" s="166">
        <f ca="1">VLOOKUP(A84,'Orçamento Analítico'!A:H,8,0)</f>
        <v>53.41</v>
      </c>
      <c r="H84" s="166">
        <f t="shared" si="4"/>
        <v>53.41</v>
      </c>
    </row>
    <row r="85" spans="1:8" ht="33.75">
      <c r="A85" s="162" t="s">
        <v>451</v>
      </c>
      <c r="B85" s="163" t="s">
        <v>452</v>
      </c>
      <c r="C85" s="163" t="s">
        <v>247</v>
      </c>
      <c r="D85" s="164" t="s">
        <v>453</v>
      </c>
      <c r="E85" s="163" t="s">
        <v>288</v>
      </c>
      <c r="F85" s="165">
        <v>1</v>
      </c>
      <c r="G85" s="166">
        <f ca="1">VLOOKUP(A85,'Orçamento Analítico'!A:H,8,0)</f>
        <v>100.97999999999999</v>
      </c>
      <c r="H85" s="166">
        <f t="shared" si="4"/>
        <v>100.98</v>
      </c>
    </row>
    <row r="86" spans="1:8">
      <c r="A86" s="162" t="s">
        <v>454</v>
      </c>
      <c r="B86" s="163" t="s">
        <v>455</v>
      </c>
      <c r="C86" s="163" t="s">
        <v>247</v>
      </c>
      <c r="D86" s="164" t="s">
        <v>456</v>
      </c>
      <c r="E86" s="163" t="s">
        <v>288</v>
      </c>
      <c r="F86" s="165">
        <v>1</v>
      </c>
      <c r="G86" s="166">
        <f ca="1">VLOOKUP(A86,'Orçamento Analítico'!A:H,8,0)</f>
        <v>65.89</v>
      </c>
      <c r="H86" s="166">
        <f t="shared" si="4"/>
        <v>65.89</v>
      </c>
    </row>
    <row r="87" spans="1:8">
      <c r="A87" s="3" t="s">
        <v>457</v>
      </c>
      <c r="B87" s="3"/>
      <c r="C87" s="3"/>
      <c r="D87" s="3" t="s">
        <v>458</v>
      </c>
      <c r="E87" s="3"/>
      <c r="F87" s="4"/>
      <c r="G87" s="3"/>
      <c r="H87" s="4">
        <f>SUM(H88:H135)</f>
        <v>10950.35</v>
      </c>
    </row>
    <row r="88" spans="1:8" ht="22.5">
      <c r="A88" s="162" t="s">
        <v>459</v>
      </c>
      <c r="B88" s="163" t="s">
        <v>460</v>
      </c>
      <c r="C88" s="163" t="str">
        <f ca="1">VLOOKUP(B88,'Insumos e Serviços'!$A:$F,2,0)</f>
        <v>SINAPI</v>
      </c>
      <c r="D88" s="164" t="str">
        <f ca="1">VLOOKUP(B88,'Insumos e Serviços'!$A:$F,4,0)</f>
        <v>TUBO, PVC, SOLDÁVEL, DN 25MM, INSTALADO EM RAMAL DE DISTRIBUIÇÃO DE ÁGUA - FORNECIMENTO E INSTALAÇÃO. AF_12/2014</v>
      </c>
      <c r="E88" s="163" t="str">
        <f ca="1">VLOOKUP(B88,'Insumos e Serviços'!$A:$F,5,0)</f>
        <v>M</v>
      </c>
      <c r="F88" s="165">
        <v>4</v>
      </c>
      <c r="G88" s="166">
        <f ca="1">VLOOKUP(B88,'Insumos e Serviços'!$A:$F,6,0)</f>
        <v>9.06</v>
      </c>
      <c r="H88" s="166">
        <f t="shared" ref="H88:H98" si="5">TRUNC(F88*G88,2)</f>
        <v>36.24</v>
      </c>
    </row>
    <row r="89" spans="1:8" ht="22.5">
      <c r="A89" s="162" t="s">
        <v>462</v>
      </c>
      <c r="B89" s="163" t="s">
        <v>463</v>
      </c>
      <c r="C89" s="163" t="str">
        <f ca="1">VLOOKUP(B89,'Insumos e Serviços'!$A:$F,2,0)</f>
        <v>SINAPI</v>
      </c>
      <c r="D89" s="164" t="str">
        <f ca="1">VLOOKUP(B89,'Insumos e Serviços'!$A:$F,4,0)</f>
        <v>TUBO, PVC, SOLDÁVEL, DN 32MM, INSTALADO EM PRUMADA DE ÁGUA - FORNECIMENTO E INSTALAÇÃO. AF_12/2014</v>
      </c>
      <c r="E89" s="163" t="str">
        <f ca="1">VLOOKUP(B89,'Insumos e Serviços'!$A:$F,5,0)</f>
        <v>M</v>
      </c>
      <c r="F89" s="165">
        <v>12</v>
      </c>
      <c r="G89" s="166">
        <f ca="1">VLOOKUP(B89,'Insumos e Serviços'!$A:$F,6,0)</f>
        <v>10.46</v>
      </c>
      <c r="H89" s="166">
        <f t="shared" si="5"/>
        <v>125.52</v>
      </c>
    </row>
    <row r="90" spans="1:8" ht="22.5">
      <c r="A90" s="162" t="s">
        <v>465</v>
      </c>
      <c r="B90" s="163" t="s">
        <v>466</v>
      </c>
      <c r="C90" s="163" t="str">
        <f ca="1">VLOOKUP(B90,'Insumos e Serviços'!$A:$F,2,0)</f>
        <v>SINAPI</v>
      </c>
      <c r="D90" s="164" t="str">
        <f ca="1">VLOOKUP(B90,'Insumos e Serviços'!$A:$F,4,0)</f>
        <v>TUBO, PVC, SOLDÁVEL, DN 40MM, INSTALADO EM PRUMADA DE ÁGUA - FORNECIMENTO E INSTALAÇÃO. AF_12/2014</v>
      </c>
      <c r="E90" s="163" t="str">
        <f ca="1">VLOOKUP(B90,'Insumos e Serviços'!$A:$F,5,0)</f>
        <v>M</v>
      </c>
      <c r="F90" s="165">
        <v>5</v>
      </c>
      <c r="G90" s="166">
        <f ca="1">VLOOKUP(B90,'Insumos e Serviços'!$A:$F,6,0)</f>
        <v>15.04</v>
      </c>
      <c r="H90" s="166">
        <f t="shared" si="5"/>
        <v>75.2</v>
      </c>
    </row>
    <row r="91" spans="1:8" ht="22.5">
      <c r="A91" s="162" t="s">
        <v>468</v>
      </c>
      <c r="B91" s="163" t="s">
        <v>469</v>
      </c>
      <c r="C91" s="163" t="str">
        <f ca="1">VLOOKUP(B91,'Insumos e Serviços'!$A:$F,2,0)</f>
        <v>SINAPI</v>
      </c>
      <c r="D91" s="164" t="str">
        <f ca="1">VLOOKUP(B91,'Insumos e Serviços'!$A:$F,4,0)</f>
        <v>TUBO, PVC, SOLDÁVEL, DN 50MM, INSTALADO EM PRUMADA DE ÁGUA - FORNECIMENTO E INSTALAÇÃO. AF_12/2014</v>
      </c>
      <c r="E91" s="163" t="str">
        <f ca="1">VLOOKUP(B91,'Insumos e Serviços'!$A:$F,5,0)</f>
        <v>M</v>
      </c>
      <c r="F91" s="165">
        <v>72</v>
      </c>
      <c r="G91" s="166">
        <f ca="1">VLOOKUP(B91,'Insumos e Serviços'!$A:$F,6,0)</f>
        <v>17.3</v>
      </c>
      <c r="H91" s="166">
        <f t="shared" si="5"/>
        <v>1245.5999999999999</v>
      </c>
    </row>
    <row r="92" spans="1:8" ht="22.5">
      <c r="A92" s="162" t="s">
        <v>471</v>
      </c>
      <c r="B92" s="163" t="s">
        <v>472</v>
      </c>
      <c r="C92" s="163" t="str">
        <f ca="1">VLOOKUP(B92,'Insumos e Serviços'!$A:$F,2,0)</f>
        <v>SINAPI</v>
      </c>
      <c r="D92" s="164" t="str">
        <f ca="1">VLOOKUP(B92,'Insumos e Serviços'!$A:$F,4,0)</f>
        <v>TUBO PVC, SÉRIE R, ÁGUA PLUVIAL, DN 50 MM, FORNECIDO E INSTALADO EM RAMAL DE ENCAMINHAMENTO. AF_12/2014</v>
      </c>
      <c r="E92" s="163" t="str">
        <f ca="1">VLOOKUP(B92,'Insumos e Serviços'!$A:$F,5,0)</f>
        <v>M</v>
      </c>
      <c r="F92" s="165">
        <v>20</v>
      </c>
      <c r="G92" s="166">
        <f ca="1">VLOOKUP(B92,'Insumos e Serviços'!$A:$F,6,0)</f>
        <v>27.32</v>
      </c>
      <c r="H92" s="166">
        <f t="shared" si="5"/>
        <v>546.4</v>
      </c>
    </row>
    <row r="93" spans="1:8" ht="22.5">
      <c r="A93" s="162" t="s">
        <v>474</v>
      </c>
      <c r="B93" s="163" t="s">
        <v>475</v>
      </c>
      <c r="C93" s="163" t="str">
        <f ca="1">VLOOKUP(B93,'Insumos e Serviços'!$A:$F,2,0)</f>
        <v>SINAPI</v>
      </c>
      <c r="D93" s="164" t="str">
        <f ca="1">VLOOKUP(B93,'Insumos e Serviços'!$A:$F,4,0)</f>
        <v>TUBO, PVC, SOLDÁVEL, DN 60MM, INSTALADO EM PRUMADA DE ÁGUA - FORNECIMENTO E INSTALAÇÃO. AF_12/2014</v>
      </c>
      <c r="E93" s="163" t="str">
        <f ca="1">VLOOKUP(B93,'Insumos e Serviços'!$A:$F,5,0)</f>
        <v>M</v>
      </c>
      <c r="F93" s="165">
        <v>7</v>
      </c>
      <c r="G93" s="166">
        <f ca="1">VLOOKUP(B93,'Insumos e Serviços'!$A:$F,6,0)</f>
        <v>28.57</v>
      </c>
      <c r="H93" s="166">
        <f t="shared" si="5"/>
        <v>199.99</v>
      </c>
    </row>
    <row r="94" spans="1:8" ht="45">
      <c r="A94" s="162" t="s">
        <v>477</v>
      </c>
      <c r="B94" s="163" t="s">
        <v>478</v>
      </c>
      <c r="C94" s="163" t="str">
        <f ca="1">VLOOKUP(B94,'Insumos e Serviços'!$A:$F,2,0)</f>
        <v>SINAPI</v>
      </c>
      <c r="D94" s="164" t="str">
        <f ca="1">VLOOKUP(B94,'Insumos e Serviços'!$A:$F,4,0)</f>
        <v>(COMPOSIÇÃO REPRESENTATIVA) DO SERVIÇO DE INSTALAÇÃO DE TUBOS DE PVC, SÉRIE R, ÁGUA PLUVIAL, DN 75 MM (INSTALADO EM RAMAL DE ENCAMINHAMENTO, OU CONDUTORES VERTICAIS), INCLUSIVE CONEXÕES, CORTE E FIXAÇÕES, PARA PRÉDIOS. AF_10/2015</v>
      </c>
      <c r="E94" s="163" t="str">
        <f ca="1">VLOOKUP(B94,'Insumos e Serviços'!$A:$F,5,0)</f>
        <v>M</v>
      </c>
      <c r="F94" s="165">
        <v>9</v>
      </c>
      <c r="G94" s="166">
        <f ca="1">VLOOKUP(B94,'Insumos e Serviços'!$A:$F,6,0)</f>
        <v>43.78</v>
      </c>
      <c r="H94" s="166">
        <f t="shared" si="5"/>
        <v>394.02</v>
      </c>
    </row>
    <row r="95" spans="1:8" ht="45">
      <c r="A95" s="162" t="s">
        <v>480</v>
      </c>
      <c r="B95" s="163" t="s">
        <v>481</v>
      </c>
      <c r="C95" s="163" t="str">
        <f ca="1">VLOOKUP(B95,'Insumos e Serviços'!$A:$F,2,0)</f>
        <v>SINAPI</v>
      </c>
      <c r="D95" s="164" t="str">
        <f ca="1">VLOOKUP(B95,'Insumos e Serviços'!$A:$F,4,0)</f>
        <v>(COMPOSIÇÃO REPRESENTATIVA) DO SERVIÇO DE INST. TUBO PVC, SÉRIE N, ESGOTO PREDIAL, DN 75 MM, (INST. EM RAMAL DE DESCARGA, RAMAL DE ESG. SANITÁRIO, PRUMADA DE ESG. SANITÁRIO OU VENTILAÇÃO), INCL. CONEXÕES, CORTES E FIXAÇÕES, P/ PRÉDIOS. AF_10/2015</v>
      </c>
      <c r="E95" s="163" t="str">
        <f ca="1">VLOOKUP(B95,'Insumos e Serviços'!$A:$F,5,0)</f>
        <v>M</v>
      </c>
      <c r="F95" s="165">
        <v>5</v>
      </c>
      <c r="G95" s="166">
        <f ca="1">VLOOKUP(B95,'Insumos e Serviços'!$A:$F,6,0)</f>
        <v>38.57</v>
      </c>
      <c r="H95" s="166">
        <f t="shared" si="5"/>
        <v>192.85</v>
      </c>
    </row>
    <row r="96" spans="1:8" ht="22.5">
      <c r="A96" s="162" t="s">
        <v>483</v>
      </c>
      <c r="B96" s="163" t="s">
        <v>484</v>
      </c>
      <c r="C96" s="163" t="str">
        <f ca="1">VLOOKUP(B96,'Insumos e Serviços'!$A:$F,2,0)</f>
        <v>SINAPI</v>
      </c>
      <c r="D96" s="164" t="str">
        <f ca="1">VLOOKUP(B96,'Insumos e Serviços'!$A:$F,4,0)</f>
        <v>TUBO, PVC, SOLDÁVEL, DN 85MM, INSTALADO EM PRUMADA DE ÁGUA - FORNECIMENTO E INSTALAÇÃO. AF_12/2014</v>
      </c>
      <c r="E96" s="163" t="str">
        <f ca="1">VLOOKUP(B96,'Insumos e Serviços'!$A:$F,5,0)</f>
        <v>M</v>
      </c>
      <c r="F96" s="165">
        <v>13</v>
      </c>
      <c r="G96" s="166">
        <f ca="1">VLOOKUP(B96,'Insumos e Serviços'!$A:$F,6,0)</f>
        <v>58.8</v>
      </c>
      <c r="H96" s="166">
        <f t="shared" si="5"/>
        <v>764.4</v>
      </c>
    </row>
    <row r="97" spans="1:8" ht="33.75">
      <c r="A97" s="162" t="s">
        <v>486</v>
      </c>
      <c r="B97" s="163" t="s">
        <v>487</v>
      </c>
      <c r="C97" s="163" t="str">
        <f ca="1">VLOOKUP(B97,'Insumos e Serviços'!$A:$F,2,0)</f>
        <v>SINAPI</v>
      </c>
      <c r="D97" s="164" t="str">
        <f ca="1">VLOOKUP(B97,'Insumos e Serviços'!$A:$F,4,0)</f>
        <v>TUBO, PVC, SOLDÁVEL, DN 110 MM, INSTALADO EM RESERVAÇÃO DE ÁGUA DE EDIFICAÇÃO QUE POSSUA RESERVATÓRIO DE FIBRA/FIBROCIMENTO   FORNECIMENTO E INSTALAÇÃO. AF_06/2016</v>
      </c>
      <c r="E97" s="163" t="str">
        <f ca="1">VLOOKUP(B97,'Insumos e Serviços'!$A:$F,5,0)</f>
        <v>M</v>
      </c>
      <c r="F97" s="165">
        <v>2</v>
      </c>
      <c r="G97" s="166">
        <f ca="1">VLOOKUP(B97,'Insumos e Serviços'!$A:$F,6,0)</f>
        <v>103.38</v>
      </c>
      <c r="H97" s="166">
        <f t="shared" si="5"/>
        <v>206.76</v>
      </c>
    </row>
    <row r="98" spans="1:8" ht="22.5">
      <c r="A98" s="162" t="s">
        <v>489</v>
      </c>
      <c r="B98" s="163" t="s">
        <v>490</v>
      </c>
      <c r="C98" s="163" t="str">
        <f ca="1">VLOOKUP(B98,'Insumos e Serviços'!$A:$F,2,0)</f>
        <v>SINAPI</v>
      </c>
      <c r="D98" s="164" t="str">
        <f ca="1">VLOOKUP(B98,'Insumos e Serviços'!$A:$F,4,0)</f>
        <v>LUVA SIMPLES, PVC, SERIE R, ÁGUA PLUVIAL, DN 150 MM, JUNTA ELÁSTICA, FORNECIDO E INSTALADO EM CONDUTORES VERTICAIS DE ÁGUAS PLUVIAIS. AF_12/2014</v>
      </c>
      <c r="E98" s="163" t="str">
        <f ca="1">VLOOKUP(B98,'Insumos e Serviços'!$A:$F,5,0)</f>
        <v>UN</v>
      </c>
      <c r="F98" s="165">
        <v>6</v>
      </c>
      <c r="G98" s="166">
        <f ca="1">VLOOKUP(B98,'Insumos e Serviços'!$A:$F,6,0)</f>
        <v>61.36</v>
      </c>
      <c r="H98" s="166">
        <f t="shared" si="5"/>
        <v>368.16</v>
      </c>
    </row>
    <row r="99" spans="1:8">
      <c r="A99" s="162" t="s">
        <v>492</v>
      </c>
      <c r="B99" s="163" t="s">
        <v>493</v>
      </c>
      <c r="C99" s="163" t="s">
        <v>247</v>
      </c>
      <c r="D99" s="164" t="s">
        <v>494</v>
      </c>
      <c r="E99" s="163" t="s">
        <v>288</v>
      </c>
      <c r="F99" s="165">
        <v>5</v>
      </c>
      <c r="G99" s="166">
        <f ca="1">VLOOKUP(A99,'Orçamento Analítico'!A:H,8,0)</f>
        <v>4.93</v>
      </c>
      <c r="H99" s="166">
        <f>TRUNC(F99*G99,2)</f>
        <v>24.65</v>
      </c>
    </row>
    <row r="100" spans="1:8" ht="22.5">
      <c r="A100" s="162" t="s">
        <v>495</v>
      </c>
      <c r="B100" s="163" t="s">
        <v>496</v>
      </c>
      <c r="C100" s="163" t="str">
        <f ca="1">VLOOKUP(B100,'Insumos e Serviços'!$A:$F,2,0)</f>
        <v>SINAPI</v>
      </c>
      <c r="D100" s="164" t="str">
        <f ca="1">VLOOKUP(B100,'Insumos e Serviços'!$A:$F,4,0)</f>
        <v>TE, PVC, SOLDÁVEL, DN 32MM, INSTALADO EM RAMAL DE DISTRIBUIÇÃO DE ÁGUA - FORNECIMENTO E INSTALAÇÃO. AF_12/2014</v>
      </c>
      <c r="E100" s="163" t="str">
        <f ca="1">VLOOKUP(B100,'Insumos e Serviços'!$A:$F,5,0)</f>
        <v>UN</v>
      </c>
      <c r="F100" s="165">
        <v>15</v>
      </c>
      <c r="G100" s="166">
        <f ca="1">VLOOKUP(B100,'Insumos e Serviços'!$A:$F,6,0)</f>
        <v>12.84</v>
      </c>
      <c r="H100" s="166">
        <f t="shared" ref="H100:H125" si="6">TRUNC(F100*G100,2)</f>
        <v>192.6</v>
      </c>
    </row>
    <row r="101" spans="1:8" ht="22.5">
      <c r="A101" s="162" t="s">
        <v>498</v>
      </c>
      <c r="B101" s="163" t="s">
        <v>499</v>
      </c>
      <c r="C101" s="163" t="str">
        <f ca="1">VLOOKUP(B101,'Insumos e Serviços'!$A:$F,2,0)</f>
        <v>SINAPI</v>
      </c>
      <c r="D101" s="164" t="str">
        <f ca="1">VLOOKUP(B101,'Insumos e Serviços'!$A:$F,4,0)</f>
        <v>JOELHO 90 GRAUS, PVC, SOLDÁVEL, DN 60MM, INSTALADO EM PRUMADA DE ÁGUA - FORNECIMENTO E INSTALAÇÃO. AF_12/2014</v>
      </c>
      <c r="E101" s="163" t="str">
        <f ca="1">VLOOKUP(B101,'Insumos e Serviços'!$A:$F,5,0)</f>
        <v>UN</v>
      </c>
      <c r="F101" s="165">
        <v>5</v>
      </c>
      <c r="G101" s="166">
        <f ca="1">VLOOKUP(B101,'Insumos e Serviços'!$A:$F,6,0)</f>
        <v>35.909999999999997</v>
      </c>
      <c r="H101" s="166">
        <f t="shared" si="6"/>
        <v>179.55</v>
      </c>
    </row>
    <row r="102" spans="1:8" ht="22.5">
      <c r="A102" s="162" t="s">
        <v>501</v>
      </c>
      <c r="B102" s="163" t="s">
        <v>502</v>
      </c>
      <c r="C102" s="163" t="str">
        <f ca="1">VLOOKUP(B102,'Insumos e Serviços'!$A:$F,2,0)</f>
        <v>SINAPI</v>
      </c>
      <c r="D102" s="164" t="str">
        <f ca="1">VLOOKUP(B102,'Insumos e Serviços'!$A:$F,4,0)</f>
        <v>TE, PVC, SOLDÁVEL, DN 60MM, INSTALADO EM PRUMADA DE ÁGUA - FORNECIMENTO E INSTALAÇÃO. AF_12/2014</v>
      </c>
      <c r="E102" s="163" t="str">
        <f ca="1">VLOOKUP(B102,'Insumos e Serviços'!$A:$F,5,0)</f>
        <v>UN</v>
      </c>
      <c r="F102" s="165">
        <v>3</v>
      </c>
      <c r="G102" s="166">
        <f ca="1">VLOOKUP(B102,'Insumos e Serviços'!$A:$F,6,0)</f>
        <v>45.87</v>
      </c>
      <c r="H102" s="166">
        <f t="shared" si="6"/>
        <v>137.61000000000001</v>
      </c>
    </row>
    <row r="103" spans="1:8" ht="22.5">
      <c r="A103" s="162" t="s">
        <v>504</v>
      </c>
      <c r="B103" s="163" t="s">
        <v>505</v>
      </c>
      <c r="C103" s="163" t="str">
        <f ca="1">VLOOKUP(B103,'Insumos e Serviços'!$A:$F,2,0)</f>
        <v>SINAPI</v>
      </c>
      <c r="D103" s="164" t="str">
        <f ca="1">VLOOKUP(B103,'Insumos e Serviços'!$A:$F,4,0)</f>
        <v>ADAPTADOR CURTO COM BOLSA E ROSCA PARA REGISTRO, PVC, SOLDÁVEL, DN 60MM X 2, INSTALADO EM PRUMADA DE ÁGUA - FORNECIMENTO E INSTALAÇÃO. AF_12/2014</v>
      </c>
      <c r="E103" s="163" t="str">
        <f ca="1">VLOOKUP(B103,'Insumos e Serviços'!$A:$F,5,0)</f>
        <v>UN</v>
      </c>
      <c r="F103" s="165">
        <v>4</v>
      </c>
      <c r="G103" s="166">
        <f ca="1">VLOOKUP(B103,'Insumos e Serviços'!$A:$F,6,0)</f>
        <v>20.63</v>
      </c>
      <c r="H103" s="166">
        <f t="shared" si="6"/>
        <v>82.52</v>
      </c>
    </row>
    <row r="104" spans="1:8" ht="22.5">
      <c r="A104" s="162" t="s">
        <v>507</v>
      </c>
      <c r="B104" s="163" t="s">
        <v>508</v>
      </c>
      <c r="C104" s="163" t="str">
        <f ca="1">VLOOKUP(B104,'Insumos e Serviços'!$A:$F,2,0)</f>
        <v>SINAPI</v>
      </c>
      <c r="D104" s="164" t="str">
        <f ca="1">VLOOKUP(B104,'Insumos e Serviços'!$A:$F,4,0)</f>
        <v>LUVA COM ROSCA, PVC, SOLDÁVEL, DN 50MM X 1.1/2, INSTALADO EM PRUMADA DE ÁGUA - FORNECIMENTO E INSTALAÇÃO. AF_12/2014</v>
      </c>
      <c r="E104" s="163" t="str">
        <f ca="1">VLOOKUP(B104,'Insumos e Serviços'!$A:$F,5,0)</f>
        <v>UN</v>
      </c>
      <c r="F104" s="165">
        <v>3</v>
      </c>
      <c r="G104" s="166">
        <f ca="1">VLOOKUP(B104,'Insumos e Serviços'!$A:$F,6,0)</f>
        <v>32.729999999999997</v>
      </c>
      <c r="H104" s="166">
        <f t="shared" si="6"/>
        <v>98.19</v>
      </c>
    </row>
    <row r="105" spans="1:8" ht="22.5">
      <c r="A105" s="162" t="s">
        <v>510</v>
      </c>
      <c r="B105" s="163" t="s">
        <v>511</v>
      </c>
      <c r="C105" s="163" t="str">
        <f ca="1">VLOOKUP(B105,'Insumos e Serviços'!$A:$F,2,0)</f>
        <v>SINAPI</v>
      </c>
      <c r="D105" s="164" t="str">
        <f ca="1">VLOOKUP(B105,'Insumos e Serviços'!$A:$F,4,0)</f>
        <v>JOELHO 90 GRAUS, PVC, SOLDÁVEL, DN 50MM, INSTALADO EM PRUMADA DE ÁGUA - FORNECIMENTO E INSTALAÇÃO. AF_12/2014</v>
      </c>
      <c r="E105" s="163" t="str">
        <f ca="1">VLOOKUP(B105,'Insumos e Serviços'!$A:$F,5,0)</f>
        <v>UN</v>
      </c>
      <c r="F105" s="165">
        <v>26</v>
      </c>
      <c r="G105" s="166">
        <f ca="1">VLOOKUP(B105,'Insumos e Serviços'!$A:$F,6,0)</f>
        <v>13.59</v>
      </c>
      <c r="H105" s="166">
        <f t="shared" si="6"/>
        <v>353.34</v>
      </c>
    </row>
    <row r="106" spans="1:8" ht="22.5">
      <c r="A106" s="162" t="s">
        <v>513</v>
      </c>
      <c r="B106" s="163" t="s">
        <v>514</v>
      </c>
      <c r="C106" s="163" t="str">
        <f ca="1">VLOOKUP(B106,'Insumos e Serviços'!$A:$F,2,0)</f>
        <v>SINAPI</v>
      </c>
      <c r="D106" s="164" t="str">
        <f ca="1">VLOOKUP(B106,'Insumos e Serviços'!$A:$F,4,0)</f>
        <v>TE, PVC, SOLDÁVEL, DN 50MM, INSTALADO EM PRUMADA DE ÁGUA - FORNECIMENTO E INSTALAÇÃO. AF_12/2014</v>
      </c>
      <c r="E106" s="163" t="str">
        <f ca="1">VLOOKUP(B106,'Insumos e Serviços'!$A:$F,5,0)</f>
        <v>UN</v>
      </c>
      <c r="F106" s="165">
        <v>5</v>
      </c>
      <c r="G106" s="166">
        <f ca="1">VLOOKUP(B106,'Insumos e Serviços'!$A:$F,6,0)</f>
        <v>21.41</v>
      </c>
      <c r="H106" s="166">
        <f t="shared" si="6"/>
        <v>107.05</v>
      </c>
    </row>
    <row r="107" spans="1:8" ht="22.5">
      <c r="A107" s="162" t="s">
        <v>516</v>
      </c>
      <c r="B107" s="163" t="s">
        <v>517</v>
      </c>
      <c r="C107" s="163" t="str">
        <f ca="1">VLOOKUP(B107,'Insumos e Serviços'!$A:$F,2,0)</f>
        <v>SINAPI</v>
      </c>
      <c r="D107" s="164" t="str">
        <f ca="1">VLOOKUP(B107,'Insumos e Serviços'!$A:$F,4,0)</f>
        <v>ADAPTADOR CURTO COM BOLSA E ROSCA PARA REGISTRO, PVC, SOLDÁVEL, DN 50MM X 1.1/2, INSTALADO EM PRUMADA DE ÁGUA - FORNECIMENTO E INSTALAÇÃO. AF_12/2014</v>
      </c>
      <c r="E107" s="163" t="str">
        <f ca="1">VLOOKUP(B107,'Insumos e Serviços'!$A:$F,5,0)</f>
        <v>UN</v>
      </c>
      <c r="F107" s="165">
        <v>11</v>
      </c>
      <c r="G107" s="166">
        <f ca="1">VLOOKUP(B107,'Insumos e Serviços'!$A:$F,6,0)</f>
        <v>10.8</v>
      </c>
      <c r="H107" s="166">
        <f t="shared" si="6"/>
        <v>118.8</v>
      </c>
    </row>
    <row r="108" spans="1:8" ht="22.5">
      <c r="A108" s="162" t="s">
        <v>519</v>
      </c>
      <c r="B108" s="163" t="s">
        <v>520</v>
      </c>
      <c r="C108" s="163" t="str">
        <f ca="1">VLOOKUP(B108,'Insumos e Serviços'!$A:$F,2,0)</f>
        <v>SINAPI</v>
      </c>
      <c r="D108" s="164" t="str">
        <f ca="1">VLOOKUP(B108,'Insumos e Serviços'!$A:$F,4,0)</f>
        <v>JOELHO 90 GRAUS, PVC, SOLDÁVEL, DN 25MM, INSTALADO EM RAMAL DE DISTRIBUIÇÃO DE ÁGUA - FORNECIMENTO E INSTALAÇÃO. AF_12/2014</v>
      </c>
      <c r="E108" s="163" t="str">
        <f ca="1">VLOOKUP(B108,'Insumos e Serviços'!$A:$F,5,0)</f>
        <v>UN</v>
      </c>
      <c r="F108" s="165">
        <v>6</v>
      </c>
      <c r="G108" s="166">
        <f ca="1">VLOOKUP(B108,'Insumos e Serviços'!$A:$F,6,0)</f>
        <v>5.7</v>
      </c>
      <c r="H108" s="166">
        <f t="shared" si="6"/>
        <v>34.200000000000003</v>
      </c>
    </row>
    <row r="109" spans="1:8" ht="22.5">
      <c r="A109" s="162" t="s">
        <v>522</v>
      </c>
      <c r="B109" s="163" t="s">
        <v>523</v>
      </c>
      <c r="C109" s="163" t="str">
        <f ca="1">VLOOKUP(B109,'Insumos e Serviços'!$A:$F,2,0)</f>
        <v>SINAPI</v>
      </c>
      <c r="D109" s="164" t="str">
        <f ca="1">VLOOKUP(B109,'Insumos e Serviços'!$A:$F,4,0)</f>
        <v>TE, PVC, SOLDÁVEL, DN 25MM, INSTALADO EM RAMAL DE DISTRIBUIÇÃO DE ÁGUA - FORNECIMENTO E INSTALAÇÃO. AF_12/2014</v>
      </c>
      <c r="E109" s="163" t="str">
        <f ca="1">VLOOKUP(B109,'Insumos e Serviços'!$A:$F,5,0)</f>
        <v>UN</v>
      </c>
      <c r="F109" s="165">
        <v>2</v>
      </c>
      <c r="G109" s="166">
        <f ca="1">VLOOKUP(B109,'Insumos e Serviços'!$A:$F,6,0)</f>
        <v>8.11</v>
      </c>
      <c r="H109" s="166">
        <f t="shared" si="6"/>
        <v>16.22</v>
      </c>
    </row>
    <row r="110" spans="1:8" ht="33.75">
      <c r="A110" s="162" t="s">
        <v>525</v>
      </c>
      <c r="B110" s="163" t="s">
        <v>526</v>
      </c>
      <c r="C110" s="163" t="str">
        <f ca="1">VLOOKUP(B110,'Insumos e Serviços'!$A:$F,2,0)</f>
        <v>SINAPI</v>
      </c>
      <c r="D110" s="164" t="str">
        <f ca="1">VLOOKUP(B110,'Insumos e Serviços'!$A:$F,4,0)</f>
        <v>ADAPTADOR CURTO COM BOLSA E ROSCA PARA REGISTRO, PVC, SOLDÁVEL, DN 25MM X 3/4, INSTALADO EM RAMAL DE DISTRIBUIÇÃO DE ÁGUA - FORNECIMENTO E INSTALAÇÃO. AF_12/2014</v>
      </c>
      <c r="E110" s="163" t="str">
        <f ca="1">VLOOKUP(B110,'Insumos e Serviços'!$A:$F,5,0)</f>
        <v>UN</v>
      </c>
      <c r="F110" s="165">
        <v>4</v>
      </c>
      <c r="G110" s="166">
        <f ca="1">VLOOKUP(B110,'Insumos e Serviços'!$A:$F,6,0)</f>
        <v>4.6100000000000003</v>
      </c>
      <c r="H110" s="166">
        <f t="shared" si="6"/>
        <v>18.440000000000001</v>
      </c>
    </row>
    <row r="111" spans="1:8" ht="22.5">
      <c r="A111" s="162" t="s">
        <v>528</v>
      </c>
      <c r="B111" s="163" t="s">
        <v>529</v>
      </c>
      <c r="C111" s="163" t="str">
        <f ca="1">VLOOKUP(B111,'Insumos e Serviços'!$A:$F,2,0)</f>
        <v>SINAPI</v>
      </c>
      <c r="D111" s="164" t="str">
        <f ca="1">VLOOKUP(B111,'Insumos e Serviços'!$A:$F,4,0)</f>
        <v>LUVA SOLDÁVEL E COM ROSCA, PVC, SOLDÁVEL, DN 25MM X 3/4, INSTALADO EM PRUMADA DE ÁGUA - FORNECIMENTO E INSTALAÇÃO. AF_12/2014</v>
      </c>
      <c r="E111" s="163" t="str">
        <f ca="1">VLOOKUP(B111,'Insumos e Serviços'!$A:$F,5,0)</f>
        <v>UN</v>
      </c>
      <c r="F111" s="165">
        <v>1</v>
      </c>
      <c r="G111" s="166">
        <f ca="1">VLOOKUP(B111,'Insumos e Serviços'!$A:$F,6,0)</f>
        <v>4.54</v>
      </c>
      <c r="H111" s="166">
        <f t="shared" si="6"/>
        <v>4.54</v>
      </c>
    </row>
    <row r="112" spans="1:8" ht="22.5">
      <c r="A112" s="162" t="s">
        <v>531</v>
      </c>
      <c r="B112" s="163" t="s">
        <v>532</v>
      </c>
      <c r="C112" s="163" t="str">
        <f ca="1">VLOOKUP(B112,'Insumos e Serviços'!$A:$F,2,0)</f>
        <v>SINAPI</v>
      </c>
      <c r="D112" s="164" t="str">
        <f ca="1">VLOOKUP(B112,'Insumos e Serviços'!$A:$F,4,0)</f>
        <v>JOELHO 90 GRAUS, PVC, SOLDÁVEL, DN 85MM, INSTALADO EM PRUMADA DE ÁGUA - FORNECIMENTO E INSTALAÇÃO. AF_12/2014</v>
      </c>
      <c r="E112" s="163" t="str">
        <f ca="1">VLOOKUP(B112,'Insumos e Serviços'!$A:$F,5,0)</f>
        <v>UN</v>
      </c>
      <c r="F112" s="165">
        <v>5</v>
      </c>
      <c r="G112" s="166">
        <f ca="1">VLOOKUP(B112,'Insumos e Serviços'!$A:$F,6,0)</f>
        <v>133.32</v>
      </c>
      <c r="H112" s="166">
        <f t="shared" si="6"/>
        <v>666.6</v>
      </c>
    </row>
    <row r="113" spans="1:8" ht="22.5">
      <c r="A113" s="162" t="s">
        <v>534</v>
      </c>
      <c r="B113" s="163" t="s">
        <v>535</v>
      </c>
      <c r="C113" s="163" t="str">
        <f ca="1">VLOOKUP(B113,'Insumos e Serviços'!$A:$F,2,0)</f>
        <v>SINAPI</v>
      </c>
      <c r="D113" s="164" t="str">
        <f ca="1">VLOOKUP(B113,'Insumos e Serviços'!$A:$F,4,0)</f>
        <v>ADAPTADOR CURTO COM BOLSA E ROSCA PARA REGISTRO, PVC, SOLDÁVEL, DN 75MM X 2.1/2, INSTALADO EM PRUMADA DE ÁGUA - FORNECIMENTO E INSTALAÇÃO. AF_12/2014</v>
      </c>
      <c r="E113" s="163" t="str">
        <f ca="1">VLOOKUP(B113,'Insumos e Serviços'!$A:$F,5,0)</f>
        <v>UN</v>
      </c>
      <c r="F113" s="165">
        <v>4</v>
      </c>
      <c r="G113" s="166">
        <f ca="1">VLOOKUP(B113,'Insumos e Serviços'!$A:$F,6,0)</f>
        <v>30.16</v>
      </c>
      <c r="H113" s="166">
        <f t="shared" si="6"/>
        <v>120.64</v>
      </c>
    </row>
    <row r="114" spans="1:8" ht="22.5">
      <c r="A114" s="162" t="s">
        <v>537</v>
      </c>
      <c r="B114" s="163" t="s">
        <v>538</v>
      </c>
      <c r="C114" s="163" t="str">
        <f ca="1">VLOOKUP(B114,'Insumos e Serviços'!$A:$F,2,0)</f>
        <v>SINAPI</v>
      </c>
      <c r="D114" s="164" t="str">
        <f ca="1">VLOOKUP(B114,'Insumos e Serviços'!$A:$F,4,0)</f>
        <v>JOELHO 90 GRAUS, PVC, SOLDÁVEL, DN 75MM, INSTALADO EM PRUMADA DE ÁGUA - FORNECIMENTO E INSTALAÇÃO. AF_12/2014</v>
      </c>
      <c r="E114" s="163" t="str">
        <f ca="1">VLOOKUP(B114,'Insumos e Serviços'!$A:$F,5,0)</f>
        <v>UN</v>
      </c>
      <c r="F114" s="165">
        <v>2</v>
      </c>
      <c r="G114" s="166">
        <f ca="1">VLOOKUP(B114,'Insumos e Serviços'!$A:$F,6,0)</f>
        <v>113.06</v>
      </c>
      <c r="H114" s="166">
        <f t="shared" si="6"/>
        <v>226.12</v>
      </c>
    </row>
    <row r="115" spans="1:8" ht="33.75">
      <c r="A115" s="162" t="s">
        <v>540</v>
      </c>
      <c r="B115" s="163" t="s">
        <v>541</v>
      </c>
      <c r="C115" s="163" t="str">
        <f ca="1">VLOOKUP(B115,'Insumos e Serviços'!$A:$F,2,0)</f>
        <v>SINAPI</v>
      </c>
      <c r="D115" s="164" t="str">
        <f ca="1">VLOOKUP(B115,'Insumos e Serviços'!$A:$F,4,0)</f>
        <v>TÊ, PVC, SOLDÁVEL, DN 110 MM INSTALADO EM RESERVAÇÃO DE ÁGUA DE EDIFICAÇÃO QUE POSSUA RESERVATÓRIO DE FIBRA/FIBROCIMENTO   FORNECIMENTO E INSTALAÇÃO. AF_06/2016</v>
      </c>
      <c r="E115" s="163" t="str">
        <f ca="1">VLOOKUP(B115,'Insumos e Serviços'!$A:$F,5,0)</f>
        <v>UN</v>
      </c>
      <c r="F115" s="165">
        <v>1</v>
      </c>
      <c r="G115" s="166">
        <f ca="1">VLOOKUP(B115,'Insumos e Serviços'!$A:$F,6,0)</f>
        <v>228.58</v>
      </c>
      <c r="H115" s="166">
        <f t="shared" si="6"/>
        <v>228.58</v>
      </c>
    </row>
    <row r="116" spans="1:8" ht="33.75">
      <c r="A116" s="162" t="s">
        <v>543</v>
      </c>
      <c r="B116" s="163" t="s">
        <v>544</v>
      </c>
      <c r="C116" s="163" t="str">
        <f ca="1">VLOOKUP(B116,'Insumos e Serviços'!$A:$F,2,0)</f>
        <v>SINAPI</v>
      </c>
      <c r="D116" s="164" t="str">
        <f ca="1">VLOOKUP(B116,'Insumos e Serviços'!$A:$F,4,0)</f>
        <v>JOELHO 90 GRAUS, PVC, SOLDÁVEL, DN 110 MM INSTALADO EM RESERVAÇÃO DE ÁGUA DE EDIFICAÇÃO QUE POSSUA RESERVATÓRIO DE FIBRA/FIBROCIMENTO   FORNECIMENTO E INSTALAÇÃO. AF_06/2016</v>
      </c>
      <c r="E116" s="163" t="str">
        <f ca="1">VLOOKUP(B116,'Insumos e Serviços'!$A:$F,5,0)</f>
        <v>UN</v>
      </c>
      <c r="F116" s="165">
        <v>1</v>
      </c>
      <c r="G116" s="166">
        <f ca="1">VLOOKUP(B116,'Insumos e Serviços'!$A:$F,6,0)</f>
        <v>281.85000000000002</v>
      </c>
      <c r="H116" s="166">
        <f t="shared" si="6"/>
        <v>281.85000000000002</v>
      </c>
    </row>
    <row r="117" spans="1:8" ht="22.5">
      <c r="A117" s="162" t="s">
        <v>546</v>
      </c>
      <c r="B117" s="163" t="s">
        <v>547</v>
      </c>
      <c r="C117" s="163" t="str">
        <f ca="1">VLOOKUP(B117,'Insumos e Serviços'!$A:$F,2,0)</f>
        <v>SINAPI</v>
      </c>
      <c r="D117" s="164" t="str">
        <f ca="1">VLOOKUP(B117,'Insumos e Serviços'!$A:$F,4,0)</f>
        <v>JOELHO 90 GRAUS, PVC, SOLDÁVEL, DN 40MM, INSTALADO EM PRUMADA DE ÁGUA - FORNECIMENTO E INSTALAÇÃO. AF_12/2014</v>
      </c>
      <c r="E117" s="163" t="str">
        <f ca="1">VLOOKUP(B117,'Insumos e Serviços'!$A:$F,5,0)</f>
        <v>UN</v>
      </c>
      <c r="F117" s="165">
        <v>2</v>
      </c>
      <c r="G117" s="166">
        <f ca="1">VLOOKUP(B117,'Insumos e Serviços'!$A:$F,6,0)</f>
        <v>11.3</v>
      </c>
      <c r="H117" s="166">
        <f t="shared" si="6"/>
        <v>22.6</v>
      </c>
    </row>
    <row r="118" spans="1:8" ht="22.5">
      <c r="A118" s="162" t="s">
        <v>549</v>
      </c>
      <c r="B118" s="163" t="s">
        <v>550</v>
      </c>
      <c r="C118" s="163" t="str">
        <f ca="1">VLOOKUP(B118,'Insumos e Serviços'!$A:$F,2,0)</f>
        <v>SINAPI</v>
      </c>
      <c r="D118" s="164" t="str">
        <f ca="1">VLOOKUP(B118,'Insumos e Serviços'!$A:$F,4,0)</f>
        <v>LUVA DE REDUÇÃO, PVC, SOLDÁVEL, DN 60MM X 50MM, INSTALADO EM PRUMADA DE ÁGUA - FORNECIMENTO E INSTALAÇÃO. AF_12/2014</v>
      </c>
      <c r="E118" s="163" t="str">
        <f ca="1">VLOOKUP(B118,'Insumos e Serviços'!$A:$F,5,0)</f>
        <v>UN</v>
      </c>
      <c r="F118" s="165">
        <v>1</v>
      </c>
      <c r="G118" s="166">
        <f ca="1">VLOOKUP(B118,'Insumos e Serviços'!$A:$F,6,0)</f>
        <v>20.11</v>
      </c>
      <c r="H118" s="166">
        <f t="shared" si="6"/>
        <v>20.11</v>
      </c>
    </row>
    <row r="119" spans="1:8" ht="22.5">
      <c r="A119" s="162" t="s">
        <v>552</v>
      </c>
      <c r="B119" s="163" t="s">
        <v>553</v>
      </c>
      <c r="C119" s="163" t="str">
        <f ca="1">VLOOKUP(B119,'Insumos e Serviços'!$A:$F,2,0)</f>
        <v>SINAPI</v>
      </c>
      <c r="D119" s="164" t="str">
        <f ca="1">VLOOKUP(B119,'Insumos e Serviços'!$A:$F,4,0)</f>
        <v>BUCHA DE REDUÇÃO LONGA, PVC, SERIE R, ÁGUA PLUVIAL, DN 50 X 40 MM, JUNTA ELÁSTICA, FORNECIDO E INSTALADO EM RAMAL DE ENCAMINHAMENTO. AF_12/2014</v>
      </c>
      <c r="E119" s="163" t="str">
        <f ca="1">VLOOKUP(B119,'Insumos e Serviços'!$A:$F,5,0)</f>
        <v>UN</v>
      </c>
      <c r="F119" s="165">
        <v>1</v>
      </c>
      <c r="G119" s="166">
        <f ca="1">VLOOKUP(B119,'Insumos e Serviços'!$A:$F,6,0)</f>
        <v>10.54</v>
      </c>
      <c r="H119" s="166">
        <f t="shared" si="6"/>
        <v>10.54</v>
      </c>
    </row>
    <row r="120" spans="1:8" ht="22.5">
      <c r="A120" s="162" t="s">
        <v>555</v>
      </c>
      <c r="B120" s="163" t="s">
        <v>556</v>
      </c>
      <c r="C120" s="163" t="str">
        <f ca="1">VLOOKUP(B120,'Insumos e Serviços'!$A:$F,2,0)</f>
        <v>SINAPI</v>
      </c>
      <c r="D120" s="164" t="str">
        <f ca="1">VLOOKUP(B120,'Insumos e Serviços'!$A:$F,4,0)</f>
        <v>ADAPTADOR CURTO COM BOLSA E ROSCA PARA REGISTRO, PVC, SOLDÁVEL, DN 85MM X 3, INSTALADO EM PRUMADA DE ÁGUA - FORNECIMENTO E INSTALAÇÃO. AF_12/2014</v>
      </c>
      <c r="E120" s="163" t="str">
        <f ca="1">VLOOKUP(B120,'Insumos e Serviços'!$A:$F,5,0)</f>
        <v>UN</v>
      </c>
      <c r="F120" s="165">
        <v>2</v>
      </c>
      <c r="G120" s="166">
        <f ca="1">VLOOKUP(B120,'Insumos e Serviços'!$A:$F,6,0)</f>
        <v>44.04</v>
      </c>
      <c r="H120" s="166">
        <f t="shared" si="6"/>
        <v>88.08</v>
      </c>
    </row>
    <row r="121" spans="1:8" ht="22.5">
      <c r="A121" s="162" t="s">
        <v>558</v>
      </c>
      <c r="B121" s="163" t="s">
        <v>559</v>
      </c>
      <c r="C121" s="163" t="str">
        <f ca="1">VLOOKUP(B121,'Insumos e Serviços'!$A:$F,2,0)</f>
        <v>SINAPI</v>
      </c>
      <c r="D121" s="164" t="str">
        <f ca="1">VLOOKUP(B121,'Insumos e Serviços'!$A:$F,4,0)</f>
        <v>JOELHO 45 GRAUS, PVC, SOLDÁVEL, DN 50MM, INSTALADO EM PRUMADA DE ÁGUA - FORNECIMENTO E INSTALAÇÃO. AF_12/2014</v>
      </c>
      <c r="E121" s="163" t="str">
        <f ca="1">VLOOKUP(B121,'Insumos e Serviços'!$A:$F,5,0)</f>
        <v>UN</v>
      </c>
      <c r="F121" s="165">
        <v>2</v>
      </c>
      <c r="G121" s="166">
        <f ca="1">VLOOKUP(B121,'Insumos e Serviços'!$A:$F,6,0)</f>
        <v>15.52</v>
      </c>
      <c r="H121" s="166">
        <f t="shared" si="6"/>
        <v>31.04</v>
      </c>
    </row>
    <row r="122" spans="1:8" ht="33.75">
      <c r="A122" s="162" t="s">
        <v>561</v>
      </c>
      <c r="B122" s="163" t="s">
        <v>562</v>
      </c>
      <c r="C122" s="163" t="str">
        <f ca="1">VLOOKUP(B122,'Insumos e Serviços'!$A:$F,2,0)</f>
        <v>SINAPI</v>
      </c>
      <c r="D122" s="164" t="str">
        <f ca="1">VLOOKUP(B122,'Insumos e Serviços'!$A:$F,4,0)</f>
        <v>ADAPTADOR COM FLANGES LIVRES, PVC, SOLDÁVEL LONGO, DN 75 MM X 2 1/2 , INSTALADO EM RESERVAÇÃO DE ÁGUA DE EDIFICAÇÃO QUE POSSUA RESERVATÓRIO DE FIBRA/FIBROCIMENTO   FORNECIMENTO E INSTALAÇÃO. AF_06/2016</v>
      </c>
      <c r="E122" s="163" t="str">
        <f ca="1">VLOOKUP(B122,'Insumos e Serviços'!$A:$F,5,0)</f>
        <v>UN</v>
      </c>
      <c r="F122" s="165">
        <v>1</v>
      </c>
      <c r="G122" s="166">
        <f ca="1">VLOOKUP(B122,'Insumos e Serviços'!$A:$F,6,0)</f>
        <v>262.32</v>
      </c>
      <c r="H122" s="166">
        <f t="shared" si="6"/>
        <v>262.32</v>
      </c>
    </row>
    <row r="123" spans="1:8" ht="33.75">
      <c r="A123" s="162" t="s">
        <v>564</v>
      </c>
      <c r="B123" s="163" t="s">
        <v>565</v>
      </c>
      <c r="C123" s="163" t="str">
        <f ca="1">VLOOKUP(B123,'Insumos e Serviços'!$A:$F,2,0)</f>
        <v>SINAPI</v>
      </c>
      <c r="D123" s="164" t="str">
        <f ca="1">VLOOKUP(B123,'Insumos e Serviços'!$A:$F,4,0)</f>
        <v>ADAPTADOR COM FLANGES LIVRES, PVC, SOLDÁVEL LONGO, DN 110 MM X 4 , INSTALADO EM RESERVAÇÃO DE ÁGUA DE EDIFICAÇÃO QUE POSSUA RESERVATÓRIO DE FIBRA/FIBROCIMENTO   FORNECIMENTO E INSTALAÇÃO. AF_06/2016</v>
      </c>
      <c r="E123" s="163" t="str">
        <f ca="1">VLOOKUP(B123,'Insumos e Serviços'!$A:$F,5,0)</f>
        <v>UN</v>
      </c>
      <c r="F123" s="165">
        <v>2</v>
      </c>
      <c r="G123" s="166">
        <f ca="1">VLOOKUP(B123,'Insumos e Serviços'!$A:$F,6,0)</f>
        <v>425.21</v>
      </c>
      <c r="H123" s="166">
        <f t="shared" si="6"/>
        <v>850.42</v>
      </c>
    </row>
    <row r="124" spans="1:8" ht="33.75">
      <c r="A124" s="162" t="s">
        <v>567</v>
      </c>
      <c r="B124" s="163" t="s">
        <v>568</v>
      </c>
      <c r="C124" s="163" t="str">
        <f ca="1">VLOOKUP(B124,'Insumos e Serviços'!$A:$F,2,0)</f>
        <v>SINAPI</v>
      </c>
      <c r="D124" s="164" t="str">
        <f ca="1">VLOOKUP(B124,'Insumos e Serviços'!$A:$F,4,0)</f>
        <v>REGISTRO DE ESFERA, PVC, SOLDÁVEL, DN  32 MM, INSTALADO EM RESERVAÇÃO DE ÁGUA DE EDIFICAÇÃO QUE POSSUA RESERVATÓRIO DE FIBRA/FIBROCIMENTO   FORNECIMENTO E INSTALAÇÃO. AF_06/2016</v>
      </c>
      <c r="E124" s="163" t="str">
        <f ca="1">VLOOKUP(B124,'Insumos e Serviços'!$A:$F,5,0)</f>
        <v>UN</v>
      </c>
      <c r="F124" s="165">
        <v>2</v>
      </c>
      <c r="G124" s="166">
        <f ca="1">VLOOKUP(B124,'Insumos e Serviços'!$A:$F,6,0)</f>
        <v>55.01</v>
      </c>
      <c r="H124" s="166">
        <f t="shared" si="6"/>
        <v>110.02</v>
      </c>
    </row>
    <row r="125" spans="1:8" ht="33.75">
      <c r="A125" s="162" t="s">
        <v>570</v>
      </c>
      <c r="B125" s="163" t="s">
        <v>571</v>
      </c>
      <c r="C125" s="163" t="str">
        <f ca="1">VLOOKUP(B125,'Insumos e Serviços'!$A:$F,2,0)</f>
        <v>SINAPI</v>
      </c>
      <c r="D125" s="164" t="str">
        <f ca="1">VLOOKUP(B125,'Insumos e Serviços'!$A:$F,4,0)</f>
        <v>REGISTRO DE ESFERA, PVC, SOLDÁVEL, DN  50 MM, INSTALADO EM RESERVAÇÃO DE ÁGUA DE EDIFICAÇÃO QUE POSSUA RESERVATÓRIO DE FIBRA/FIBROCIMENTO   FORNECIMENTO E INSTALAÇÃO. AF_06/2016</v>
      </c>
      <c r="E125" s="163" t="str">
        <f ca="1">VLOOKUP(B125,'Insumos e Serviços'!$A:$F,5,0)</f>
        <v>UN</v>
      </c>
      <c r="F125" s="165">
        <v>1</v>
      </c>
      <c r="G125" s="166">
        <f ca="1">VLOOKUP(B125,'Insumos e Serviços'!$A:$F,6,0)</f>
        <v>77.430000000000007</v>
      </c>
      <c r="H125" s="166">
        <f t="shared" si="6"/>
        <v>77.430000000000007</v>
      </c>
    </row>
    <row r="126" spans="1:8" ht="22.5">
      <c r="A126" s="162" t="s">
        <v>573</v>
      </c>
      <c r="B126" s="163" t="s">
        <v>574</v>
      </c>
      <c r="C126" s="163" t="s">
        <v>247</v>
      </c>
      <c r="D126" s="164" t="s">
        <v>575</v>
      </c>
      <c r="E126" s="163" t="s">
        <v>288</v>
      </c>
      <c r="F126" s="165">
        <v>2</v>
      </c>
      <c r="G126" s="166">
        <f ca="1">VLOOKUP(A126,'Orçamento Analítico'!A:H,8,0)</f>
        <v>544.16999999999996</v>
      </c>
      <c r="H126" s="166">
        <f t="shared" ref="H126:H135" si="7">TRUNC(F126*G126,2)</f>
        <v>1088.3399999999999</v>
      </c>
    </row>
    <row r="127" spans="1:8" ht="33.75">
      <c r="A127" s="162" t="s">
        <v>576</v>
      </c>
      <c r="B127" s="163" t="s">
        <v>577</v>
      </c>
      <c r="C127" s="163" t="str">
        <f ca="1">VLOOKUP(B127,'Insumos e Serviços'!$A:$F,2,0)</f>
        <v>SINAPI</v>
      </c>
      <c r="D127" s="164" t="str">
        <f ca="1">VLOOKUP(B127,'Insumos e Serviços'!$A:$F,4,0)</f>
        <v>ADAPTADOR COM FLANGE E ANEL DE VEDAÇÃO, PVC, SOLDÁVEL, DN 32 MM X 1 , INSTALADO EM RESERVAÇÃO DE ÁGUA DE EDIFICAÇÃO QUE POSSUA RESERVATÓRIO DE FIBRA/FIBROCIMENTO   FORNECIMENTO E INSTALAÇÃO. AF_06/2016</v>
      </c>
      <c r="E127" s="163" t="str">
        <f ca="1">VLOOKUP(B127,'Insumos e Serviços'!$A:$F,5,0)</f>
        <v>UN</v>
      </c>
      <c r="F127" s="165">
        <v>4</v>
      </c>
      <c r="G127" s="166">
        <f ca="1">VLOOKUP(B127,'Insumos e Serviços'!$A:$F,6,0)</f>
        <v>23.38</v>
      </c>
      <c r="H127" s="166">
        <f t="shared" si="7"/>
        <v>93.52</v>
      </c>
    </row>
    <row r="128" spans="1:8" ht="33.75">
      <c r="A128" s="162" t="s">
        <v>579</v>
      </c>
      <c r="B128" s="163" t="s">
        <v>580</v>
      </c>
      <c r="C128" s="163" t="str">
        <f ca="1">VLOOKUP(B128,'Insumos e Serviços'!$A:$F,2,0)</f>
        <v>SINAPI</v>
      </c>
      <c r="D128" s="164" t="str">
        <f ca="1">VLOOKUP(B128,'Insumos e Serviços'!$A:$F,4,0)</f>
        <v>ADAPTADOR COM FLANGES LIVRES, PVC, SOLDÁVEL, DN 85 MM X 3 , INSTALADO EM RESERVAÇÃO DE ÁGUA DE EDIFICAÇÃO QUE POSSUA RESERVATÓRIO DE FIBRA/FIBROCIMENTO   FORNECIMENTO E INSTALAÇÃO. AF_06/2016</v>
      </c>
      <c r="E128" s="163" t="str">
        <f ca="1">VLOOKUP(B128,'Insumos e Serviços'!$A:$F,5,0)</f>
        <v>UN</v>
      </c>
      <c r="F128" s="165">
        <v>2</v>
      </c>
      <c r="G128" s="166">
        <f ca="1">VLOOKUP(B128,'Insumos e Serviços'!$A:$F,6,0)</f>
        <v>287.2</v>
      </c>
      <c r="H128" s="166">
        <f t="shared" si="7"/>
        <v>574.4</v>
      </c>
    </row>
    <row r="129" spans="1:8" ht="22.5">
      <c r="A129" s="162" t="s">
        <v>582</v>
      </c>
      <c r="B129" s="163" t="s">
        <v>583</v>
      </c>
      <c r="C129" s="163" t="str">
        <f ca="1">VLOOKUP(B129,'Insumos e Serviços'!$A:$F,2,0)</f>
        <v>SINAPI</v>
      </c>
      <c r="D129" s="164" t="str">
        <f ca="1">VLOOKUP(B129,'Insumos e Serviços'!$A:$F,4,0)</f>
        <v>TE, PVC, SOLDÁVEL, DN 85MM, INSTALADO EM PRUMADA DE ÁGUA - FORNECIMENTO E INSTALAÇÃO. AF_12/2014</v>
      </c>
      <c r="E129" s="163" t="str">
        <f ca="1">VLOOKUP(B129,'Insumos e Serviços'!$A:$F,5,0)</f>
        <v>UN</v>
      </c>
      <c r="F129" s="165">
        <v>2</v>
      </c>
      <c r="G129" s="166">
        <f ca="1">VLOOKUP(B129,'Insumos e Serviços'!$A:$F,6,0)</f>
        <v>129.47999999999999</v>
      </c>
      <c r="H129" s="166">
        <f t="shared" si="7"/>
        <v>258.95999999999998</v>
      </c>
    </row>
    <row r="130" spans="1:8" ht="22.5">
      <c r="A130" s="162" t="s">
        <v>585</v>
      </c>
      <c r="B130" s="163" t="s">
        <v>586</v>
      </c>
      <c r="C130" s="163" t="str">
        <f ca="1">VLOOKUP(B130,'Insumos e Serviços'!$A:$F,2,0)</f>
        <v>SINAPI</v>
      </c>
      <c r="D130" s="164" t="str">
        <f ca="1">VLOOKUP(B130,'Insumos e Serviços'!$A:$F,4,0)</f>
        <v>TE DE REDUÇÃO, PVC, SOLDÁVEL, DN 85MM X 60MM, INSTALADO EM PRUMADA DE ÁGUA - FORNECIMENTO E INSTALAÇÃO. AF_12/2014</v>
      </c>
      <c r="E130" s="163" t="str">
        <f ca="1">VLOOKUP(B130,'Insumos e Serviços'!$A:$F,5,0)</f>
        <v>UN</v>
      </c>
      <c r="F130" s="165">
        <v>1</v>
      </c>
      <c r="G130" s="166">
        <f ca="1">VLOOKUP(B130,'Insumos e Serviços'!$A:$F,6,0)</f>
        <v>105.84</v>
      </c>
      <c r="H130" s="166">
        <f t="shared" si="7"/>
        <v>105.84</v>
      </c>
    </row>
    <row r="131" spans="1:8" ht="22.5">
      <c r="A131" s="162" t="s">
        <v>588</v>
      </c>
      <c r="B131" s="163" t="s">
        <v>589</v>
      </c>
      <c r="C131" s="163" t="s">
        <v>247</v>
      </c>
      <c r="D131" s="164" t="s">
        <v>590</v>
      </c>
      <c r="E131" s="163" t="s">
        <v>288</v>
      </c>
      <c r="F131" s="165">
        <v>1</v>
      </c>
      <c r="G131" s="166">
        <f ca="1">VLOOKUP(A131,'Orçamento Analítico'!A:H,8,0)</f>
        <v>68.790000000000006</v>
      </c>
      <c r="H131" s="166">
        <f t="shared" si="7"/>
        <v>68.790000000000006</v>
      </c>
    </row>
    <row r="132" spans="1:8" ht="22.5">
      <c r="A132" s="162" t="s">
        <v>591</v>
      </c>
      <c r="B132" s="163" t="s">
        <v>592</v>
      </c>
      <c r="C132" s="163" t="s">
        <v>247</v>
      </c>
      <c r="D132" s="164" t="s">
        <v>593</v>
      </c>
      <c r="E132" s="163" t="s">
        <v>288</v>
      </c>
      <c r="F132" s="165">
        <v>1</v>
      </c>
      <c r="G132" s="166">
        <f ca="1">VLOOKUP(A132,'Orçamento Analítico'!A:H,8,0)</f>
        <v>76.45</v>
      </c>
      <c r="H132" s="166">
        <f t="shared" si="7"/>
        <v>76.45</v>
      </c>
    </row>
    <row r="133" spans="1:8" ht="22.5">
      <c r="A133" s="162" t="s">
        <v>594</v>
      </c>
      <c r="B133" s="163" t="s">
        <v>595</v>
      </c>
      <c r="C133" s="163" t="s">
        <v>247</v>
      </c>
      <c r="D133" s="164" t="s">
        <v>596</v>
      </c>
      <c r="E133" s="163" t="s">
        <v>288</v>
      </c>
      <c r="F133" s="165">
        <v>1</v>
      </c>
      <c r="G133" s="166">
        <f ca="1">VLOOKUP(A133,'Orçamento Analítico'!A:H,8,0)</f>
        <v>69.31</v>
      </c>
      <c r="H133" s="166">
        <f t="shared" si="7"/>
        <v>69.31</v>
      </c>
    </row>
    <row r="134" spans="1:8">
      <c r="A134" s="162" t="s">
        <v>597</v>
      </c>
      <c r="B134" s="163" t="s">
        <v>598</v>
      </c>
      <c r="C134" s="163" t="s">
        <v>247</v>
      </c>
      <c r="D134" s="164" t="s">
        <v>599</v>
      </c>
      <c r="E134" s="163" t="s">
        <v>288</v>
      </c>
      <c r="F134" s="165">
        <v>2</v>
      </c>
      <c r="G134" s="166">
        <f ca="1">VLOOKUP(A134,'Orçamento Analítico'!A:H,8,0)</f>
        <v>32.65</v>
      </c>
      <c r="H134" s="166">
        <f t="shared" si="7"/>
        <v>65.3</v>
      </c>
    </row>
    <row r="135" spans="1:8">
      <c r="A135" s="162" t="s">
        <v>600</v>
      </c>
      <c r="B135" s="163" t="s">
        <v>601</v>
      </c>
      <c r="C135" s="163" t="s">
        <v>247</v>
      </c>
      <c r="D135" s="164" t="s">
        <v>602</v>
      </c>
      <c r="E135" s="163" t="s">
        <v>334</v>
      </c>
      <c r="F135" s="165">
        <v>1</v>
      </c>
      <c r="G135" s="166">
        <f ca="1">VLOOKUP(A135,'Orçamento Analítico'!A:H,8,0)</f>
        <v>30.240000000000002</v>
      </c>
      <c r="H135" s="166">
        <f t="shared" si="7"/>
        <v>30.24</v>
      </c>
    </row>
    <row r="136" spans="1:8">
      <c r="A136" s="3" t="s">
        <v>603</v>
      </c>
      <c r="B136" s="3"/>
      <c r="C136" s="3"/>
      <c r="D136" s="3" t="s">
        <v>604</v>
      </c>
      <c r="E136" s="3"/>
      <c r="F136" s="4"/>
      <c r="G136" s="3"/>
      <c r="H136" s="4">
        <f>H137</f>
        <v>284.69</v>
      </c>
    </row>
    <row r="137" spans="1:8" ht="33.75">
      <c r="A137" s="162" t="s">
        <v>605</v>
      </c>
      <c r="B137" s="163" t="s">
        <v>606</v>
      </c>
      <c r="C137" s="163" t="str">
        <f ca="1">VLOOKUP(B137,'Insumos e Serviços'!$A:$F,2,0)</f>
        <v>SINAPI</v>
      </c>
      <c r="D137" s="164" t="str">
        <f ca="1">VLOOKUP(B137,'Insumos e Serviços'!$A:$F,4,0)</f>
        <v>(COMPOSIÇÃO REPRESENTATIVA) DO SERVIÇO DE INSTALAÇÃO DE TUBOS DE PVC, SOLDÁVEL, ÁGUA FRIA, DN 50 MM (INSTALADO EM PRUMADA), INCLUSIVE CONEXÕES, CORTES E FIXAÇÕES, PARA PRÉDIOS. AF_10/2015</v>
      </c>
      <c r="E137" s="163" t="str">
        <f ca="1">VLOOKUP(B137,'Insumos e Serviços'!$A:$F,5,0)</f>
        <v>M</v>
      </c>
      <c r="F137" s="165">
        <v>7</v>
      </c>
      <c r="G137" s="166">
        <f ca="1">VLOOKUP(B137,'Insumos e Serviços'!$A:$F,6,0)</f>
        <v>40.67</v>
      </c>
      <c r="H137" s="166">
        <f>TRUNC(F137*G137,2)</f>
        <v>284.69</v>
      </c>
    </row>
    <row r="138" spans="1:8">
      <c r="A138" s="3" t="s">
        <v>608</v>
      </c>
      <c r="B138" s="3"/>
      <c r="C138" s="3"/>
      <c r="D138" s="3" t="s">
        <v>609</v>
      </c>
      <c r="E138" s="3"/>
      <c r="F138" s="4"/>
      <c r="G138" s="3"/>
      <c r="H138" s="4">
        <f>SUM(H139:H142)</f>
        <v>4821.0200000000004</v>
      </c>
    </row>
    <row r="139" spans="1:8" ht="22.5">
      <c r="A139" s="162" t="s">
        <v>610</v>
      </c>
      <c r="B139" s="163" t="s">
        <v>611</v>
      </c>
      <c r="C139" s="163" t="str">
        <f ca="1">VLOOKUP(B139,'Insumos e Serviços'!$A:$F,2,0)</f>
        <v>SINAPI</v>
      </c>
      <c r="D139" s="164" t="str">
        <f ca="1">VLOOKUP(B139,'Insumos e Serviços'!$A:$F,4,0)</f>
        <v>VÁLVULA DE RETENÇÃO VERTICAL, DE BRONZE, ROSCÁVEL, 1 1/2" - FORNECIMENTO E INSTALAÇÃO. AF_01/2019</v>
      </c>
      <c r="E139" s="163" t="str">
        <f ca="1">VLOOKUP(B139,'Insumos e Serviços'!$A:$F,5,0)</f>
        <v>UN</v>
      </c>
      <c r="F139" s="165">
        <v>3</v>
      </c>
      <c r="G139" s="166">
        <f ca="1">VLOOKUP(B139,'Insumos e Serviços'!$A:$F,6,0)</f>
        <v>131.87</v>
      </c>
      <c r="H139" s="166">
        <f>TRUNC(F139*G139,2)</f>
        <v>395.61</v>
      </c>
    </row>
    <row r="140" spans="1:8" ht="22.5">
      <c r="A140" s="162" t="s">
        <v>613</v>
      </c>
      <c r="B140" s="163" t="s">
        <v>614</v>
      </c>
      <c r="C140" s="163" t="str">
        <f ca="1">VLOOKUP(B140,'Insumos e Serviços'!$A:$F,2,0)</f>
        <v>SINAPI</v>
      </c>
      <c r="D140" s="164" t="str">
        <f ca="1">VLOOKUP(B140,'Insumos e Serviços'!$A:$F,4,0)</f>
        <v>TORNEIRA DE BOIA, ROSCÁVEL, 1, FORNECIDA E INSTALADA EM RESERVAÇÃO DE ÁGUA. AF_06/2016</v>
      </c>
      <c r="E140" s="163" t="str">
        <f ca="1">VLOOKUP(B140,'Insumos e Serviços'!$A:$F,5,0)</f>
        <v>UN</v>
      </c>
      <c r="F140" s="165">
        <v>2</v>
      </c>
      <c r="G140" s="166">
        <f ca="1">VLOOKUP(B140,'Insumos e Serviços'!$A:$F,6,0)</f>
        <v>92.9</v>
      </c>
      <c r="H140" s="166">
        <f>TRUNC(F140*G140,2)</f>
        <v>185.8</v>
      </c>
    </row>
    <row r="141" spans="1:8" ht="22.5">
      <c r="A141" s="162" t="s">
        <v>616</v>
      </c>
      <c r="B141" s="163" t="s">
        <v>617</v>
      </c>
      <c r="C141" s="163" t="s">
        <v>247</v>
      </c>
      <c r="D141" s="164" t="s">
        <v>618</v>
      </c>
      <c r="E141" s="163" t="s">
        <v>288</v>
      </c>
      <c r="F141" s="165">
        <v>1</v>
      </c>
      <c r="G141" s="166">
        <f ca="1">VLOOKUP(A141,'Orçamento Analítico'!A:H,8,0)</f>
        <v>555.53</v>
      </c>
      <c r="H141" s="166">
        <f>TRUNC(F141*G141,2)</f>
        <v>555.53</v>
      </c>
    </row>
    <row r="142" spans="1:8">
      <c r="A142" s="162" t="s">
        <v>619</v>
      </c>
      <c r="B142" s="163" t="s">
        <v>620</v>
      </c>
      <c r="C142" s="163" t="s">
        <v>247</v>
      </c>
      <c r="D142" s="164" t="s">
        <v>621</v>
      </c>
      <c r="E142" s="163" t="s">
        <v>334</v>
      </c>
      <c r="F142" s="165">
        <v>2</v>
      </c>
      <c r="G142" s="166">
        <f ca="1">VLOOKUP(A142,'Orçamento Analítico'!A:H,8,0)</f>
        <v>1842.04</v>
      </c>
      <c r="H142" s="166">
        <f>TRUNC(F142*G142,2)</f>
        <v>3684.08</v>
      </c>
    </row>
    <row r="143" spans="1:8">
      <c r="A143" s="3" t="s">
        <v>622</v>
      </c>
      <c r="B143" s="3"/>
      <c r="C143" s="3"/>
      <c r="D143" s="3" t="s">
        <v>623</v>
      </c>
      <c r="E143" s="3"/>
      <c r="F143" s="4"/>
      <c r="G143" s="3"/>
      <c r="H143" s="4">
        <f>SUM(H144:H156)</f>
        <v>22594.190000000002</v>
      </c>
    </row>
    <row r="144" spans="1:8">
      <c r="A144" s="162" t="s">
        <v>624</v>
      </c>
      <c r="B144" s="163" t="s">
        <v>625</v>
      </c>
      <c r="C144" s="163" t="s">
        <v>247</v>
      </c>
      <c r="D144" s="164" t="s">
        <v>626</v>
      </c>
      <c r="E144" s="163" t="s">
        <v>334</v>
      </c>
      <c r="F144" s="165">
        <v>6</v>
      </c>
      <c r="G144" s="166">
        <f ca="1">VLOOKUP(A144,'Orçamento Analítico'!A:H,8,0)</f>
        <v>362.28000000000003</v>
      </c>
      <c r="H144" s="166">
        <f t="shared" ref="H144:H156" si="8">TRUNC(F144*G144,2)</f>
        <v>2173.6799999999998</v>
      </c>
    </row>
    <row r="145" spans="1:8" ht="22.5">
      <c r="A145" s="162" t="s">
        <v>627</v>
      </c>
      <c r="B145" s="163" t="s">
        <v>628</v>
      </c>
      <c r="C145" s="163" t="s">
        <v>247</v>
      </c>
      <c r="D145" s="164" t="s">
        <v>629</v>
      </c>
      <c r="E145" s="163" t="s">
        <v>334</v>
      </c>
      <c r="F145" s="165">
        <v>15</v>
      </c>
      <c r="G145" s="166">
        <f ca="1">VLOOKUP(A145,'Orçamento Analítico'!A:H,8,0)</f>
        <v>62.8</v>
      </c>
      <c r="H145" s="166">
        <f t="shared" si="8"/>
        <v>942</v>
      </c>
    </row>
    <row r="146" spans="1:8">
      <c r="A146" s="162" t="s">
        <v>630</v>
      </c>
      <c r="B146" s="163" t="s">
        <v>631</v>
      </c>
      <c r="C146" s="163" t="s">
        <v>247</v>
      </c>
      <c r="D146" s="164" t="s">
        <v>632</v>
      </c>
      <c r="E146" s="163" t="s">
        <v>334</v>
      </c>
      <c r="F146" s="165">
        <v>3</v>
      </c>
      <c r="G146" s="166">
        <f ca="1">VLOOKUP(A146,'Orçamento Analítico'!A:H,8,0)</f>
        <v>2839.3900000000003</v>
      </c>
      <c r="H146" s="166">
        <f t="shared" si="8"/>
        <v>8518.17</v>
      </c>
    </row>
    <row r="147" spans="1:8" ht="22.5">
      <c r="A147" s="162" t="s">
        <v>633</v>
      </c>
      <c r="B147" s="163" t="s">
        <v>634</v>
      </c>
      <c r="C147" s="163" t="s">
        <v>247</v>
      </c>
      <c r="D147" s="164" t="s">
        <v>635</v>
      </c>
      <c r="E147" s="163" t="s">
        <v>334</v>
      </c>
      <c r="F147" s="165">
        <v>1</v>
      </c>
      <c r="G147" s="166">
        <f ca="1">VLOOKUP(A147,'Orçamento Analítico'!A:H,8,0)</f>
        <v>2168.37</v>
      </c>
      <c r="H147" s="166">
        <f t="shared" si="8"/>
        <v>2168.37</v>
      </c>
    </row>
    <row r="148" spans="1:8">
      <c r="A148" s="162" t="s">
        <v>636</v>
      </c>
      <c r="B148" s="163" t="s">
        <v>637</v>
      </c>
      <c r="C148" s="163" t="s">
        <v>247</v>
      </c>
      <c r="D148" s="164" t="s">
        <v>638</v>
      </c>
      <c r="E148" s="163" t="s">
        <v>334</v>
      </c>
      <c r="F148" s="165">
        <v>1</v>
      </c>
      <c r="G148" s="166">
        <f ca="1">VLOOKUP(A148,'Orçamento Analítico'!A:H,8,0)</f>
        <v>1068.0899999999999</v>
      </c>
      <c r="H148" s="166">
        <f t="shared" si="8"/>
        <v>1068.0899999999999</v>
      </c>
    </row>
    <row r="149" spans="1:8" ht="22.5">
      <c r="A149" s="162" t="s">
        <v>639</v>
      </c>
      <c r="B149" s="163" t="s">
        <v>640</v>
      </c>
      <c r="C149" s="163" t="s">
        <v>247</v>
      </c>
      <c r="D149" s="164" t="s">
        <v>641</v>
      </c>
      <c r="E149" s="163" t="s">
        <v>334</v>
      </c>
      <c r="F149" s="165">
        <v>1</v>
      </c>
      <c r="G149" s="166">
        <f ca="1">VLOOKUP(A149,'Orçamento Analítico'!A:H,8,0)</f>
        <v>1971.89</v>
      </c>
      <c r="H149" s="166">
        <f t="shared" si="8"/>
        <v>1971.89</v>
      </c>
    </row>
    <row r="150" spans="1:8" ht="22.5">
      <c r="A150" s="162" t="s">
        <v>642</v>
      </c>
      <c r="B150" s="163" t="s">
        <v>643</v>
      </c>
      <c r="C150" s="163" t="s">
        <v>247</v>
      </c>
      <c r="D150" s="164" t="s">
        <v>644</v>
      </c>
      <c r="E150" s="163" t="s">
        <v>334</v>
      </c>
      <c r="F150" s="165">
        <v>1</v>
      </c>
      <c r="G150" s="166">
        <f ca="1">VLOOKUP(A150,'Orçamento Analítico'!A:H,8,0)</f>
        <v>1836.65</v>
      </c>
      <c r="H150" s="166">
        <f t="shared" si="8"/>
        <v>1836.65</v>
      </c>
    </row>
    <row r="151" spans="1:8" ht="22.5">
      <c r="A151" s="162" t="s">
        <v>645</v>
      </c>
      <c r="B151" s="163" t="s">
        <v>646</v>
      </c>
      <c r="C151" s="163" t="s">
        <v>247</v>
      </c>
      <c r="D151" s="164" t="s">
        <v>647</v>
      </c>
      <c r="E151" s="163" t="s">
        <v>334</v>
      </c>
      <c r="F151" s="165">
        <v>1</v>
      </c>
      <c r="G151" s="166">
        <f ca="1">VLOOKUP(A151,'Orçamento Analítico'!A:H,8,0)</f>
        <v>1983.3899999999999</v>
      </c>
      <c r="H151" s="166">
        <f t="shared" si="8"/>
        <v>1983.39</v>
      </c>
    </row>
    <row r="152" spans="1:8">
      <c r="A152" s="162" t="s">
        <v>648</v>
      </c>
      <c r="B152" s="163" t="s">
        <v>649</v>
      </c>
      <c r="C152" s="163" t="s">
        <v>247</v>
      </c>
      <c r="D152" s="164" t="s">
        <v>650</v>
      </c>
      <c r="E152" s="163" t="s">
        <v>334</v>
      </c>
      <c r="F152" s="165">
        <v>1</v>
      </c>
      <c r="G152" s="166">
        <f ca="1">VLOOKUP(A152,'Orçamento Analítico'!A:H,8,0)</f>
        <v>20.6</v>
      </c>
      <c r="H152" s="166">
        <f t="shared" si="8"/>
        <v>20.6</v>
      </c>
    </row>
    <row r="153" spans="1:8">
      <c r="A153" s="162" t="s">
        <v>651</v>
      </c>
      <c r="B153" s="163" t="s">
        <v>652</v>
      </c>
      <c r="C153" s="163" t="s">
        <v>247</v>
      </c>
      <c r="D153" s="164" t="s">
        <v>653</v>
      </c>
      <c r="E153" s="163" t="s">
        <v>334</v>
      </c>
      <c r="F153" s="165">
        <v>1</v>
      </c>
      <c r="G153" s="166">
        <f ca="1">VLOOKUP(A153,'Orçamento Analítico'!A:H,8,0)</f>
        <v>49.730000000000004</v>
      </c>
      <c r="H153" s="166">
        <f t="shared" si="8"/>
        <v>49.73</v>
      </c>
    </row>
    <row r="154" spans="1:8" ht="22.5">
      <c r="A154" s="162" t="s">
        <v>654</v>
      </c>
      <c r="B154" s="163" t="s">
        <v>655</v>
      </c>
      <c r="C154" s="163" t="s">
        <v>247</v>
      </c>
      <c r="D154" s="164" t="s">
        <v>656</v>
      </c>
      <c r="E154" s="163" t="s">
        <v>334</v>
      </c>
      <c r="F154" s="165">
        <v>1</v>
      </c>
      <c r="G154" s="166">
        <f ca="1">VLOOKUP(A154,'Orçamento Analítico'!A:H,8,0)</f>
        <v>800.75</v>
      </c>
      <c r="H154" s="166">
        <f t="shared" si="8"/>
        <v>800.75</v>
      </c>
    </row>
    <row r="155" spans="1:8">
      <c r="A155" s="162" t="s">
        <v>657</v>
      </c>
      <c r="B155" s="163" t="s">
        <v>658</v>
      </c>
      <c r="C155" s="163" t="s">
        <v>247</v>
      </c>
      <c r="D155" s="164" t="s">
        <v>659</v>
      </c>
      <c r="E155" s="163" t="s">
        <v>288</v>
      </c>
      <c r="F155" s="165">
        <v>2</v>
      </c>
      <c r="G155" s="166">
        <f ca="1">VLOOKUP(A155,'Orçamento Analítico'!A:H,8,0)</f>
        <v>521.28</v>
      </c>
      <c r="H155" s="166">
        <f t="shared" si="8"/>
        <v>1042.56</v>
      </c>
    </row>
    <row r="156" spans="1:8">
      <c r="A156" s="162" t="s">
        <v>660</v>
      </c>
      <c r="B156" s="163" t="s">
        <v>661</v>
      </c>
      <c r="C156" s="163" t="s">
        <v>247</v>
      </c>
      <c r="D156" s="164" t="s">
        <v>662</v>
      </c>
      <c r="E156" s="163" t="s">
        <v>288</v>
      </c>
      <c r="F156" s="165">
        <v>1</v>
      </c>
      <c r="G156" s="166">
        <f ca="1">VLOOKUP(A156,'Orçamento Analítico'!A:H,8,0)</f>
        <v>18.310000000000002</v>
      </c>
      <c r="H156" s="166">
        <f t="shared" si="8"/>
        <v>18.309999999999999</v>
      </c>
    </row>
    <row r="157" spans="1:8" s="140" customFormat="1">
      <c r="A157" s="47" t="s">
        <v>663</v>
      </c>
      <c r="B157" s="47"/>
      <c r="C157" s="47"/>
      <c r="D157" s="47" t="s">
        <v>664</v>
      </c>
      <c r="E157" s="47"/>
      <c r="F157" s="48"/>
      <c r="G157" s="47"/>
      <c r="H157" s="48">
        <f>H158+H161</f>
        <v>17463.97</v>
      </c>
    </row>
    <row r="158" spans="1:8">
      <c r="A158" s="3" t="s">
        <v>681</v>
      </c>
      <c r="B158" s="3"/>
      <c r="C158" s="3"/>
      <c r="D158" s="3" t="s">
        <v>682</v>
      </c>
      <c r="E158" s="3"/>
      <c r="F158" s="4"/>
      <c r="G158" s="3"/>
      <c r="H158" s="4">
        <f>SUM(H159:H160)</f>
        <v>6949.8099999999995</v>
      </c>
    </row>
    <row r="159" spans="1:8" ht="22.5">
      <c r="A159" s="162" t="s">
        <v>683</v>
      </c>
      <c r="B159" s="163" t="s">
        <v>684</v>
      </c>
      <c r="C159" s="163" t="str">
        <f ca="1">VLOOKUP(B159,'Insumos e Serviços'!$A:$F,2,0)</f>
        <v>SINAPI</v>
      </c>
      <c r="D159" s="164" t="str">
        <f ca="1">VLOOKUP(B159,'Insumos e Serviços'!$A:$F,4,0)</f>
        <v>ESCAVAÇÃO MANUAL DE VALA COM PROFUNDIDADE MENOR OU IGUAL A 1,30 M. AF_02/2021</v>
      </c>
      <c r="E159" s="163" t="str">
        <f ca="1">VLOOKUP(B159,'Insumos e Serviços'!$A:$F,5,0)</f>
        <v>m³</v>
      </c>
      <c r="F159" s="165">
        <v>64</v>
      </c>
      <c r="G159" s="166">
        <f ca="1">VLOOKUP(B159,'Insumos e Serviços'!$A:$F,6,0)</f>
        <v>69.66</v>
      </c>
      <c r="H159" s="166">
        <f>TRUNC(F159*G159,2)</f>
        <v>4458.24</v>
      </c>
    </row>
    <row r="160" spans="1:8">
      <c r="A160" s="162" t="s">
        <v>686</v>
      </c>
      <c r="B160" s="163" t="s">
        <v>687</v>
      </c>
      <c r="C160" s="163" t="str">
        <f ca="1">VLOOKUP(B160,'Insumos e Serviços'!$A:$F,2,0)</f>
        <v>SINAPI</v>
      </c>
      <c r="D160" s="164" t="str">
        <f ca="1">VLOOKUP(B160,'Insumos e Serviços'!$A:$F,4,0)</f>
        <v>REATERRO MANUAL APILOADO COM SOQUETE. AF_10/2017</v>
      </c>
      <c r="E160" s="163" t="str">
        <f ca="1">VLOOKUP(B160,'Insumos e Serviços'!$A:$F,5,0)</f>
        <v>m³</v>
      </c>
      <c r="F160" s="165">
        <v>59</v>
      </c>
      <c r="G160" s="166">
        <f ca="1">VLOOKUP(B160,'Insumos e Serviços'!$A:$F,6,0)</f>
        <v>42.23</v>
      </c>
      <c r="H160" s="166">
        <f>TRUNC(F160*G160,2)</f>
        <v>2491.5700000000002</v>
      </c>
    </row>
    <row r="161" spans="1:8" s="140" customFormat="1">
      <c r="A161" s="3" t="s">
        <v>159</v>
      </c>
      <c r="B161" s="3"/>
      <c r="C161" s="3"/>
      <c r="D161" s="3" t="s">
        <v>160</v>
      </c>
      <c r="E161" s="3"/>
      <c r="F161" s="4"/>
      <c r="G161" s="3"/>
      <c r="H161" s="4">
        <f>SUM(H162:H169)</f>
        <v>10514.16</v>
      </c>
    </row>
    <row r="162" spans="1:8">
      <c r="A162" s="162" t="s">
        <v>175</v>
      </c>
      <c r="B162" s="163" t="s">
        <v>665</v>
      </c>
      <c r="C162" s="163" t="str">
        <f ca="1">VLOOKUP(B162,'Insumos e Serviços'!$A:$F,2,0)</f>
        <v>SINAPI</v>
      </c>
      <c r="D162" s="164" t="str">
        <f ca="1">VLOOKUP(B162,'Insumos e Serviços'!$A:$F,4,0)</f>
        <v>FURO EM CONCRETO PARA DIÂMETROS MAIORES QUE 75 MM. AF_05/2015</v>
      </c>
      <c r="E162" s="163" t="str">
        <f ca="1">VLOOKUP(B162,'Insumos e Serviços'!$A:$F,5,0)</f>
        <v>UN</v>
      </c>
      <c r="F162" s="165">
        <v>16</v>
      </c>
      <c r="G162" s="166">
        <f ca="1">VLOOKUP(B162,'Insumos e Serviços'!$A:$F,6,0)</f>
        <v>113.15</v>
      </c>
      <c r="H162" s="166">
        <f>TRUNC(F162*G162,2)</f>
        <v>1810.4</v>
      </c>
    </row>
    <row r="163" spans="1:8" ht="22.5">
      <c r="A163" s="162" t="s">
        <v>178</v>
      </c>
      <c r="B163" s="163" t="s">
        <v>667</v>
      </c>
      <c r="C163" s="163" t="str">
        <f ca="1">VLOOKUP(B163,'Insumos e Serviços'!$A:$F,2,0)</f>
        <v>SINAPI</v>
      </c>
      <c r="D163" s="164" t="str">
        <f ca="1">VLOOKUP(B163,'Insumos e Serviços'!$A:$F,4,0)</f>
        <v>BOMBA CENTRÍFUGA, TRIFÁSICA, 1,5 CV OU 1,48 HP (NÃO INCLUI O FORNECIMENTO DA BOMBA). AF_12/2020</v>
      </c>
      <c r="E163" s="163" t="str">
        <f ca="1">VLOOKUP(B163,'Insumos e Serviços'!$A:$F,5,0)</f>
        <v>UN</v>
      </c>
      <c r="F163" s="165">
        <v>1</v>
      </c>
      <c r="G163" s="166">
        <f ca="1">VLOOKUP(B163,'Insumos e Serviços'!$A:$F,6,0)</f>
        <v>123.86</v>
      </c>
      <c r="H163" s="166">
        <f>TRUNC(F163*G163,2)</f>
        <v>123.86</v>
      </c>
    </row>
    <row r="164" spans="1:8">
      <c r="A164" s="162" t="s">
        <v>179</v>
      </c>
      <c r="B164" s="163" t="s">
        <v>669</v>
      </c>
      <c r="C164" s="163" t="s">
        <v>247</v>
      </c>
      <c r="D164" s="164" t="s">
        <v>670</v>
      </c>
      <c r="E164" s="163" t="s">
        <v>334</v>
      </c>
      <c r="F164" s="165">
        <v>1</v>
      </c>
      <c r="G164" s="166">
        <f ca="1">VLOOKUP(A164,'Orçamento Analítico'!A:H,8,0)</f>
        <v>22.79</v>
      </c>
      <c r="H164" s="166">
        <f t="shared" ref="H164:H169" si="9">TRUNC(F164*G164,2)</f>
        <v>22.79</v>
      </c>
    </row>
    <row r="165" spans="1:8">
      <c r="A165" s="162" t="s">
        <v>180</v>
      </c>
      <c r="B165" s="163" t="s">
        <v>671</v>
      </c>
      <c r="C165" s="163" t="s">
        <v>247</v>
      </c>
      <c r="D165" s="164" t="s">
        <v>672</v>
      </c>
      <c r="E165" s="163" t="s">
        <v>266</v>
      </c>
      <c r="F165" s="165">
        <v>4.7999999999999996E-3</v>
      </c>
      <c r="G165" s="166">
        <f ca="1">VLOOKUP(A165,'Orçamento Analítico'!A:H,8,0)</f>
        <v>3750.12</v>
      </c>
      <c r="H165" s="166">
        <f t="shared" si="9"/>
        <v>18</v>
      </c>
    </row>
    <row r="166" spans="1:8" ht="22.5">
      <c r="A166" s="162" t="s">
        <v>181</v>
      </c>
      <c r="B166" s="163" t="s">
        <v>673</v>
      </c>
      <c r="C166" s="163" t="s">
        <v>247</v>
      </c>
      <c r="D166" s="164" t="s">
        <v>674</v>
      </c>
      <c r="E166" s="163" t="s">
        <v>351</v>
      </c>
      <c r="F166" s="165">
        <v>145</v>
      </c>
      <c r="G166" s="166">
        <f ca="1">VLOOKUP(A166,'Orçamento Analítico'!A:H,8,0)</f>
        <v>7.03</v>
      </c>
      <c r="H166" s="166">
        <f t="shared" si="9"/>
        <v>1019.35</v>
      </c>
    </row>
    <row r="167" spans="1:8" ht="22.5">
      <c r="A167" s="162" t="s">
        <v>182</v>
      </c>
      <c r="B167" s="163" t="s">
        <v>675</v>
      </c>
      <c r="C167" s="163" t="str">
        <f ca="1">VLOOKUP(B167,'Insumos e Serviços'!$A:$F,2,0)</f>
        <v>SINAPI</v>
      </c>
      <c r="D167" s="164" t="str">
        <f ca="1">VLOOKUP(B167,'Insumos e Serviços'!$A:$F,4,0)</f>
        <v>FURO EM CONCRETO PARA DIÂMETROS MAIORES QUE 40 MM E MENORES OU IGUAIS A 75 MM. AF_05/2015</v>
      </c>
      <c r="E167" s="163" t="str">
        <f ca="1">VLOOKUP(B167,'Insumos e Serviços'!$A:$F,5,0)</f>
        <v>UN</v>
      </c>
      <c r="F167" s="165">
        <v>2</v>
      </c>
      <c r="G167" s="166">
        <f ca="1">VLOOKUP(B167,'Insumos e Serviços'!$A:$F,6,0)</f>
        <v>88.59</v>
      </c>
      <c r="H167" s="166">
        <f t="shared" si="9"/>
        <v>177.18</v>
      </c>
    </row>
    <row r="168" spans="1:8">
      <c r="A168" s="162" t="s">
        <v>183</v>
      </c>
      <c r="B168" s="163" t="s">
        <v>677</v>
      </c>
      <c r="C168" s="163" t="s">
        <v>247</v>
      </c>
      <c r="D168" s="164" t="s">
        <v>678</v>
      </c>
      <c r="E168" s="163" t="s">
        <v>334</v>
      </c>
      <c r="F168" s="165">
        <v>202</v>
      </c>
      <c r="G168" s="166">
        <f ca="1">VLOOKUP(A168,'Orçamento Analítico'!A:H,8,0)</f>
        <v>35.69</v>
      </c>
      <c r="H168" s="166">
        <f t="shared" si="9"/>
        <v>7209.38</v>
      </c>
    </row>
    <row r="169" spans="1:8" ht="22.5">
      <c r="A169" s="162" t="s">
        <v>184</v>
      </c>
      <c r="B169" s="163" t="s">
        <v>679</v>
      </c>
      <c r="C169" s="163" t="s">
        <v>247</v>
      </c>
      <c r="D169" s="164" t="s">
        <v>680</v>
      </c>
      <c r="E169" s="163" t="s">
        <v>334</v>
      </c>
      <c r="F169" s="165">
        <v>3</v>
      </c>
      <c r="G169" s="166">
        <f ca="1">VLOOKUP(A169,'Orçamento Analítico'!A:H,8,0)</f>
        <v>44.4</v>
      </c>
      <c r="H169" s="166">
        <f t="shared" si="9"/>
        <v>133.19999999999999</v>
      </c>
    </row>
    <row r="170" spans="1:8">
      <c r="A170" s="179" t="s">
        <v>689</v>
      </c>
      <c r="B170" s="179"/>
      <c r="C170" s="179"/>
      <c r="D170" s="179" t="s">
        <v>690</v>
      </c>
      <c r="E170" s="179"/>
      <c r="F170" s="180"/>
      <c r="G170" s="179"/>
      <c r="H170" s="180">
        <f>H171</f>
        <v>17603.98</v>
      </c>
    </row>
    <row r="171" spans="1:8" s="140" customFormat="1">
      <c r="A171" s="47" t="s">
        <v>691</v>
      </c>
      <c r="B171" s="47"/>
      <c r="C171" s="47"/>
      <c r="D171" s="47" t="s">
        <v>692</v>
      </c>
      <c r="E171" s="47"/>
      <c r="F171" s="181"/>
      <c r="G171" s="47"/>
      <c r="H171" s="48">
        <f>H172+H174</f>
        <v>17603.98</v>
      </c>
    </row>
    <row r="172" spans="1:8">
      <c r="A172" s="3" t="s">
        <v>693</v>
      </c>
      <c r="B172" s="3"/>
      <c r="C172" s="3"/>
      <c r="D172" s="3" t="s">
        <v>694</v>
      </c>
      <c r="E172" s="3"/>
      <c r="F172" s="4"/>
      <c r="G172" s="3"/>
      <c r="H172" s="4">
        <f>SUM(H173)</f>
        <v>9900.0400000000009</v>
      </c>
    </row>
    <row r="173" spans="1:8">
      <c r="A173" s="162" t="s">
        <v>695</v>
      </c>
      <c r="B173" s="163" t="s">
        <v>696</v>
      </c>
      <c r="C173" s="163" t="s">
        <v>247</v>
      </c>
      <c r="D173" s="164" t="s">
        <v>697</v>
      </c>
      <c r="E173" s="163" t="s">
        <v>334</v>
      </c>
      <c r="F173" s="165">
        <v>1</v>
      </c>
      <c r="G173" s="166">
        <f ca="1">VLOOKUP(A173,'Orçamento Analítico'!A:H,8,0)</f>
        <v>9900.0400000000009</v>
      </c>
      <c r="H173" s="166">
        <f>TRUNC(F173*G173,2)</f>
        <v>9900.0400000000009</v>
      </c>
    </row>
    <row r="174" spans="1:8">
      <c r="A174" s="3" t="s">
        <v>698</v>
      </c>
      <c r="B174" s="3"/>
      <c r="C174" s="3"/>
      <c r="D174" s="3" t="s">
        <v>699</v>
      </c>
      <c r="E174" s="3"/>
      <c r="F174" s="4"/>
      <c r="G174" s="3"/>
      <c r="H174" s="4">
        <f>SUM(H175:H184)</f>
        <v>7703.94</v>
      </c>
    </row>
    <row r="175" spans="1:8" ht="22.5">
      <c r="A175" s="162" t="s">
        <v>700</v>
      </c>
      <c r="B175" s="163" t="s">
        <v>701</v>
      </c>
      <c r="C175" s="163" t="str">
        <f ca="1">VLOOKUP(B175,'Insumos e Serviços'!$A:$F,2,0)</f>
        <v>SINAPI</v>
      </c>
      <c r="D175" s="164" t="str">
        <f ca="1">VLOOKUP(B175,'Insumos e Serviços'!$A:$F,4,0)</f>
        <v>CABO DE COBRE FLEXÍVEL ISOLADO, 2,5 MM², ANTI-CHAMA 450/750 V, PARA CIRCUITOS TERMINAIS - FORNECIMENTO E INSTALAÇÃO. AF_12/2015</v>
      </c>
      <c r="E175" s="163" t="str">
        <f ca="1">VLOOKUP(B175,'Insumos e Serviços'!$A:$F,5,0)</f>
        <v>M</v>
      </c>
      <c r="F175" s="165">
        <v>36</v>
      </c>
      <c r="G175" s="166">
        <f ca="1">VLOOKUP(B175,'Insumos e Serviços'!$A:$F,6,0)</f>
        <v>4.0999999999999996</v>
      </c>
      <c r="H175" s="166">
        <f t="shared" ref="H175:H184" si="10">TRUNC(F175*G175,2)</f>
        <v>147.6</v>
      </c>
    </row>
    <row r="176" spans="1:8" ht="22.5">
      <c r="A176" s="162" t="s">
        <v>703</v>
      </c>
      <c r="B176" s="163" t="s">
        <v>704</v>
      </c>
      <c r="C176" s="163" t="str">
        <f ca="1">VLOOKUP(B176,'Insumos e Serviços'!$A:$F,2,0)</f>
        <v>SINAPI</v>
      </c>
      <c r="D176" s="164" t="str">
        <f ca="1">VLOOKUP(B176,'Insumos e Serviços'!$A:$F,4,0)</f>
        <v>CABO DE COBRE FLEXÍVEL ISOLADO, 4 MM², ANTI-CHAMA 450/750 V, PARA CIRCUITOS TERMINAIS - FORNECIMENTO E INSTALAÇÃO. AF_12/2015</v>
      </c>
      <c r="E176" s="163" t="str">
        <f ca="1">VLOOKUP(B176,'Insumos e Serviços'!$A:$F,5,0)</f>
        <v>M</v>
      </c>
      <c r="F176" s="165">
        <v>235</v>
      </c>
      <c r="G176" s="166">
        <f ca="1">VLOOKUP(B176,'Insumos e Serviços'!$A:$F,6,0)</f>
        <v>6.73</v>
      </c>
      <c r="H176" s="166">
        <f t="shared" si="10"/>
        <v>1581.55</v>
      </c>
    </row>
    <row r="177" spans="1:8" ht="22.5">
      <c r="A177" s="162" t="s">
        <v>706</v>
      </c>
      <c r="B177" s="163" t="s">
        <v>707</v>
      </c>
      <c r="C177" s="163" t="s">
        <v>247</v>
      </c>
      <c r="D177" s="164" t="s">
        <v>708</v>
      </c>
      <c r="E177" s="163" t="s">
        <v>284</v>
      </c>
      <c r="F177" s="165">
        <v>394</v>
      </c>
      <c r="G177" s="166">
        <f ca="1">VLOOKUP(A177,'Orçamento Analítico'!A:H,8,0)</f>
        <v>8.75</v>
      </c>
      <c r="H177" s="166">
        <f t="shared" si="10"/>
        <v>3447.5</v>
      </c>
    </row>
    <row r="178" spans="1:8" ht="22.5">
      <c r="A178" s="162" t="s">
        <v>709</v>
      </c>
      <c r="B178" s="163" t="s">
        <v>710</v>
      </c>
      <c r="C178" s="163" t="s">
        <v>247</v>
      </c>
      <c r="D178" s="164" t="s">
        <v>711</v>
      </c>
      <c r="E178" s="163" t="s">
        <v>284</v>
      </c>
      <c r="F178" s="165">
        <v>14</v>
      </c>
      <c r="G178" s="166">
        <f ca="1">VLOOKUP(A178,'Orçamento Analítico'!A:H,8,0)</f>
        <v>12.05</v>
      </c>
      <c r="H178" s="166">
        <f t="shared" si="10"/>
        <v>168.7</v>
      </c>
    </row>
    <row r="179" spans="1:8" ht="22.5">
      <c r="A179" s="162" t="s">
        <v>712</v>
      </c>
      <c r="B179" s="163" t="s">
        <v>713</v>
      </c>
      <c r="C179" s="163" t="str">
        <f ca="1">VLOOKUP(B179,'Insumos e Serviços'!$A:$F,2,0)</f>
        <v>SINAPI</v>
      </c>
      <c r="D179" s="164" t="str">
        <f ca="1">VLOOKUP(B179,'Insumos e Serviços'!$A:$F,4,0)</f>
        <v>ELETRODUTO RÍGIDO SOLDÁVEL, PVC, DN 25 MM (3/4), APARENTE, INSTALADO EM TETO - FORNECIMENTO E INSTALAÇÃO. AF_11/2016_P</v>
      </c>
      <c r="E179" s="163" t="str">
        <f ca="1">VLOOKUP(B179,'Insumos e Serviços'!$A:$F,5,0)</f>
        <v>M</v>
      </c>
      <c r="F179" s="165">
        <v>100</v>
      </c>
      <c r="G179" s="166">
        <f ca="1">VLOOKUP(B179,'Insumos e Serviços'!$A:$F,6,0)</f>
        <v>6.91</v>
      </c>
      <c r="H179" s="166">
        <f t="shared" si="10"/>
        <v>691</v>
      </c>
    </row>
    <row r="180" spans="1:8" ht="22.5">
      <c r="A180" s="162" t="s">
        <v>715</v>
      </c>
      <c r="B180" s="163" t="s">
        <v>716</v>
      </c>
      <c r="C180" s="163" t="str">
        <f ca="1">VLOOKUP(B180,'Insumos e Serviços'!$A:$F,2,0)</f>
        <v>SINAPI</v>
      </c>
      <c r="D180" s="164" t="str">
        <f ca="1">VLOOKUP(B180,'Insumos e Serviços'!$A:$F,4,0)</f>
        <v>ELETRODUTO RÍGIDO SOLDÁVEL, PVC, DN 25 MM (3/4), APARENTE, INSTALADO EM PAREDE - FORNECIMENTO E INSTALAÇÃO. AF_11/2016_P</v>
      </c>
      <c r="E180" s="163" t="str">
        <f ca="1">VLOOKUP(B180,'Insumos e Serviços'!$A:$F,5,0)</f>
        <v>M</v>
      </c>
      <c r="F180" s="165">
        <v>60</v>
      </c>
      <c r="G180" s="166">
        <f ca="1">VLOOKUP(B180,'Insumos e Serviços'!$A:$F,6,0)</f>
        <v>8.7200000000000006</v>
      </c>
      <c r="H180" s="166">
        <f t="shared" si="10"/>
        <v>523.20000000000005</v>
      </c>
    </row>
    <row r="181" spans="1:8" ht="22.5">
      <c r="A181" s="162" t="s">
        <v>718</v>
      </c>
      <c r="B181" s="163" t="s">
        <v>719</v>
      </c>
      <c r="C181" s="163" t="str">
        <f ca="1">VLOOKUP(B181,'Insumos e Serviços'!$A:$F,2,0)</f>
        <v>SINAPI</v>
      </c>
      <c r="D181" s="164" t="str">
        <f ca="1">VLOOKUP(B181,'Insumos e Serviços'!$A:$F,4,0)</f>
        <v>CURVA 90 GRAUS PARA ELETRODUTO, PVC, ROSCÁVEL, DN 25 MM (3/4"), PARA CIRCUITOS TERMINAIS, INSTALADA EM PAREDE - FORNECIMENTO E INSTALAÇÃO. AF_12/2015</v>
      </c>
      <c r="E181" s="163" t="str">
        <f ca="1">VLOOKUP(B181,'Insumos e Serviços'!$A:$F,5,0)</f>
        <v>UN</v>
      </c>
      <c r="F181" s="165">
        <v>9</v>
      </c>
      <c r="G181" s="166">
        <f ca="1">VLOOKUP(B181,'Insumos e Serviços'!$A:$F,6,0)</f>
        <v>12.57</v>
      </c>
      <c r="H181" s="166">
        <f t="shared" si="10"/>
        <v>113.13</v>
      </c>
    </row>
    <row r="182" spans="1:8" ht="22.5">
      <c r="A182" s="162" t="s">
        <v>721</v>
      </c>
      <c r="B182" s="163" t="s">
        <v>722</v>
      </c>
      <c r="C182" s="163" t="str">
        <f ca="1">VLOOKUP(B182,'Insumos e Serviços'!$A:$F,2,0)</f>
        <v>SINAPI</v>
      </c>
      <c r="D182" s="164" t="str">
        <f ca="1">VLOOKUP(B182,'Insumos e Serviços'!$A:$F,4,0)</f>
        <v>CONDULETE DE PVC, TIPO LL, PARA ELETRODUTO DE PVC SOLDÁVEL DN 25 MM (3/4''), APARENTE - FORNECIMENTO E INSTALAÇÃO. AF_11/2016</v>
      </c>
      <c r="E182" s="163" t="str">
        <f ca="1">VLOOKUP(B182,'Insumos e Serviços'!$A:$F,5,0)</f>
        <v>UN</v>
      </c>
      <c r="F182" s="165">
        <v>32</v>
      </c>
      <c r="G182" s="166">
        <f ca="1">VLOOKUP(B182,'Insumos e Serviços'!$A:$F,6,0)</f>
        <v>25.14</v>
      </c>
      <c r="H182" s="166">
        <f t="shared" si="10"/>
        <v>804.48</v>
      </c>
    </row>
    <row r="183" spans="1:8">
      <c r="A183" s="162" t="s">
        <v>724</v>
      </c>
      <c r="B183" s="163" t="s">
        <v>725</v>
      </c>
      <c r="C183" s="163" t="s">
        <v>247</v>
      </c>
      <c r="D183" s="164" t="s">
        <v>726</v>
      </c>
      <c r="E183" s="163" t="s">
        <v>288</v>
      </c>
      <c r="F183" s="165">
        <v>2</v>
      </c>
      <c r="G183" s="166">
        <f ca="1">VLOOKUP(A183,'Orçamento Analítico'!A:H,8,0)</f>
        <v>52.67</v>
      </c>
      <c r="H183" s="166">
        <f t="shared" si="10"/>
        <v>105.34</v>
      </c>
    </row>
    <row r="184" spans="1:8">
      <c r="A184" s="162" t="s">
        <v>727</v>
      </c>
      <c r="B184" s="163" t="s">
        <v>728</v>
      </c>
      <c r="C184" s="163" t="s">
        <v>247</v>
      </c>
      <c r="D184" s="164" t="s">
        <v>729</v>
      </c>
      <c r="E184" s="163" t="s">
        <v>288</v>
      </c>
      <c r="F184" s="165">
        <v>2</v>
      </c>
      <c r="G184" s="166">
        <f ca="1">VLOOKUP(A184,'Orçamento Analítico'!A:H,8,0)</f>
        <v>60.72</v>
      </c>
      <c r="H184" s="166">
        <f t="shared" si="10"/>
        <v>121.44</v>
      </c>
    </row>
    <row r="185" spans="1:8">
      <c r="A185" s="179" t="s">
        <v>730</v>
      </c>
      <c r="B185" s="179"/>
      <c r="C185" s="179"/>
      <c r="D185" s="179" t="s">
        <v>731</v>
      </c>
      <c r="E185" s="179"/>
      <c r="F185" s="180"/>
      <c r="G185" s="179"/>
      <c r="H185" s="180">
        <f>H186</f>
        <v>8414.39</v>
      </c>
    </row>
    <row r="186" spans="1:8" s="140" customFormat="1">
      <c r="A186" s="47" t="s">
        <v>732</v>
      </c>
      <c r="B186" s="47"/>
      <c r="C186" s="47"/>
      <c r="D186" s="47" t="s">
        <v>733</v>
      </c>
      <c r="E186" s="47"/>
      <c r="F186" s="181"/>
      <c r="G186" s="47"/>
      <c r="H186" s="48">
        <f>SUM(H187:H192)</f>
        <v>8414.39</v>
      </c>
    </row>
    <row r="187" spans="1:8">
      <c r="A187" s="162" t="s">
        <v>734</v>
      </c>
      <c r="B187" s="163" t="s">
        <v>735</v>
      </c>
      <c r="C187" s="163" t="s">
        <v>247</v>
      </c>
      <c r="D187" s="164" t="s">
        <v>736</v>
      </c>
      <c r="E187" s="163" t="s">
        <v>266</v>
      </c>
      <c r="F187" s="165">
        <v>53</v>
      </c>
      <c r="G187" s="166">
        <f ca="1">VLOOKUP(A187,'Orçamento Analítico'!A:H,8,0)</f>
        <v>38.370000000000005</v>
      </c>
      <c r="H187" s="166">
        <f t="shared" ref="H187:H192" si="11">TRUNC(F187*G187,2)</f>
        <v>2033.61</v>
      </c>
    </row>
    <row r="188" spans="1:8" ht="22.5">
      <c r="A188" s="162" t="s">
        <v>737</v>
      </c>
      <c r="B188" s="163" t="s">
        <v>738</v>
      </c>
      <c r="C188" s="163" t="str">
        <f ca="1">VLOOKUP(B188,'Insumos e Serviços'!$A:$F,2,0)</f>
        <v>SINAPI</v>
      </c>
      <c r="D188" s="164" t="str">
        <f ca="1">VLOOKUP(B188,'Insumos e Serviços'!$A:$F,4,0)</f>
        <v>TRANSPORTE HORIZONTAL COM JERICA DE 90 L, DE MASSA/ GRANEL (UNIDADE: M3XKM). AF_07/2019</v>
      </c>
      <c r="E188" s="163" t="str">
        <f ca="1">VLOOKUP(B188,'Insumos e Serviços'!$A:$F,5,0)</f>
        <v>M3XKM</v>
      </c>
      <c r="F188" s="165">
        <v>4</v>
      </c>
      <c r="G188" s="166">
        <f ca="1">VLOOKUP(B188,'Insumos e Serviços'!$A:$F,6,0)</f>
        <v>869.47</v>
      </c>
      <c r="H188" s="166">
        <f t="shared" si="11"/>
        <v>3477.88</v>
      </c>
    </row>
    <row r="189" spans="1:8">
      <c r="A189" s="162" t="s">
        <v>741</v>
      </c>
      <c r="B189" s="163" t="s">
        <v>742</v>
      </c>
      <c r="C189" s="163" t="str">
        <f ca="1">VLOOKUP(B189,'Insumos e Serviços'!$A:$F,2,0)</f>
        <v>SINAPI</v>
      </c>
      <c r="D189" s="164" t="str">
        <f ca="1">VLOOKUP(B189,'Insumos e Serviços'!$A:$F,4,0)</f>
        <v>TRANSPORTE HORIZONTAL MANUAL, DE LATA DE 18 LITROS (UNIDADE: LXKM). AF_07/2019</v>
      </c>
      <c r="E189" s="163" t="str">
        <f ca="1">VLOOKUP(B189,'Insumos e Serviços'!$A:$F,5,0)</f>
        <v>LXKM</v>
      </c>
      <c r="F189" s="165">
        <v>120</v>
      </c>
      <c r="G189" s="166">
        <f ca="1">VLOOKUP(B189,'Insumos e Serviços'!$A:$F,6,0)</f>
        <v>1.79</v>
      </c>
      <c r="H189" s="166">
        <f t="shared" si="11"/>
        <v>214.8</v>
      </c>
    </row>
    <row r="190" spans="1:8" ht="22.5">
      <c r="A190" s="162" t="s">
        <v>745</v>
      </c>
      <c r="B190" s="163" t="s">
        <v>746</v>
      </c>
      <c r="C190" s="163" t="str">
        <f ca="1">VLOOKUP(B190,'Insumos e Serviços'!$A:$F,2,0)</f>
        <v>SINAPI</v>
      </c>
      <c r="D190" s="164" t="str">
        <f ca="1">VLOOKUP(B190,'Insumos e Serviços'!$A:$F,4,0)</f>
        <v>TRANSPORTE HORIZONTAL MANUAL, DE TUBO DE PVC SOLDÁVEL COM DIÂMETRO MENOR OU IGUAL A 60 MM (UNIDADE: MXKM). AF_07/2019</v>
      </c>
      <c r="E190" s="163" t="str">
        <f ca="1">VLOOKUP(B190,'Insumos e Serviços'!$A:$F,5,0)</f>
        <v>MXKM</v>
      </c>
      <c r="F190" s="165">
        <v>2</v>
      </c>
      <c r="G190" s="166">
        <f ca="1">VLOOKUP(B190,'Insumos e Serviços'!$A:$F,6,0)</f>
        <v>2.2799999999999998</v>
      </c>
      <c r="H190" s="166">
        <f t="shared" si="11"/>
        <v>4.5599999999999996</v>
      </c>
    </row>
    <row r="191" spans="1:8" ht="22.5">
      <c r="A191" s="162" t="s">
        <v>749</v>
      </c>
      <c r="B191" s="163" t="s">
        <v>750</v>
      </c>
      <c r="C191" s="163" t="str">
        <f ca="1">VLOOKUP(B191,'Insumos e Serviços'!$A:$F,2,0)</f>
        <v>SINAPI</v>
      </c>
      <c r="D191" s="164" t="str">
        <f ca="1">VLOOKUP(B191,'Insumos e Serviços'!$A:$F,4,0)</f>
        <v>TRANSPORTE HORIZONTAL MANUAL, DE TUBO DE PVC SOLDÁVEL COM DIÂMETRO MAIOR QUE 60 MM E MENOR OU IGUAL A 85 MM (UNIDADE: MXKM). AF_07/2019</v>
      </c>
      <c r="E191" s="163" t="str">
        <f ca="1">VLOOKUP(B191,'Insumos e Serviços'!$A:$F,5,0)</f>
        <v>MXKM</v>
      </c>
      <c r="F191" s="165">
        <v>2</v>
      </c>
      <c r="G191" s="166">
        <f ca="1">VLOOKUP(B191,'Insumos e Serviços'!$A:$F,6,0)</f>
        <v>2.73</v>
      </c>
      <c r="H191" s="166">
        <f t="shared" si="11"/>
        <v>5.46</v>
      </c>
    </row>
    <row r="192" spans="1:8" ht="22.5">
      <c r="A192" s="162" t="s">
        <v>752</v>
      </c>
      <c r="B192" s="163" t="s">
        <v>753</v>
      </c>
      <c r="C192" s="163" t="s">
        <v>247</v>
      </c>
      <c r="D192" s="164" t="s">
        <v>754</v>
      </c>
      <c r="E192" s="163" t="s">
        <v>288</v>
      </c>
      <c r="F192" s="165">
        <v>4</v>
      </c>
      <c r="G192" s="166">
        <f ca="1">VLOOKUP(A192,'Orçamento Analítico'!A:H,8,0)</f>
        <v>669.52</v>
      </c>
      <c r="H192" s="166">
        <f t="shared" si="11"/>
        <v>2678.08</v>
      </c>
    </row>
    <row r="193" spans="1:8">
      <c r="A193" s="179" t="s">
        <v>755</v>
      </c>
      <c r="B193" s="179"/>
      <c r="C193" s="179"/>
      <c r="D193" s="179" t="s">
        <v>756</v>
      </c>
      <c r="E193" s="179"/>
      <c r="F193" s="180"/>
      <c r="G193" s="179"/>
      <c r="H193" s="180">
        <f>H194</f>
        <v>15887.470000000001</v>
      </c>
    </row>
    <row r="194" spans="1:8">
      <c r="A194" s="47" t="s">
        <v>757</v>
      </c>
      <c r="B194" s="47"/>
      <c r="C194" s="47"/>
      <c r="D194" s="47" t="s">
        <v>758</v>
      </c>
      <c r="E194" s="47"/>
      <c r="F194" s="181"/>
      <c r="G194" s="47"/>
      <c r="H194" s="48">
        <f>SUM(H195:H196)</f>
        <v>15887.470000000001</v>
      </c>
    </row>
    <row r="195" spans="1:8">
      <c r="A195" s="162" t="s">
        <v>759</v>
      </c>
      <c r="B195" s="163" t="s">
        <v>760</v>
      </c>
      <c r="C195" s="163" t="str">
        <f ca="1">VLOOKUP(B195,'Insumos e Serviços'!$A:$F,2,0)</f>
        <v>SINAPI</v>
      </c>
      <c r="D195" s="164" t="str">
        <f ca="1">VLOOKUP(B195,'Insumos e Serviços'!$A:$F,4,0)</f>
        <v>ENCARREGADO GERAL DE OBRAS COM ENCARGOS COMPLEMENTARES</v>
      </c>
      <c r="E195" s="163" t="str">
        <f ca="1">VLOOKUP(B195,'Insumos e Serviços'!$A:$F,5,0)</f>
        <v>MES</v>
      </c>
      <c r="F195" s="165">
        <v>3</v>
      </c>
      <c r="G195" s="166">
        <f ca="1">VLOOKUP(B195,'Insumos e Serviços'!$A:$F,6,0)</f>
        <v>3465.25</v>
      </c>
      <c r="H195" s="166">
        <f>TRUNC(F195*G195,2)</f>
        <v>10395.75</v>
      </c>
    </row>
    <row r="196" spans="1:8">
      <c r="A196" s="162" t="s">
        <v>763</v>
      </c>
      <c r="B196" s="163" t="s">
        <v>764</v>
      </c>
      <c r="C196" s="163" t="str">
        <f ca="1">VLOOKUP(B196,'Insumos e Serviços'!$A:$F,2,0)</f>
        <v>SINAPI</v>
      </c>
      <c r="D196" s="164" t="str">
        <f ca="1">VLOOKUP(B196,'Insumos e Serviços'!$A:$F,4,0)</f>
        <v>ENGENHEIRO CIVIL DE OBRA PLENO COM ENCARGOS COMPLEMENTARES</v>
      </c>
      <c r="E196" s="163" t="str">
        <f ca="1">VLOOKUP(B196,'Insumos e Serviços'!$A:$F,5,0)</f>
        <v>H</v>
      </c>
      <c r="F196" s="165">
        <v>52</v>
      </c>
      <c r="G196" s="166">
        <f ca="1">VLOOKUP(B196,'Insumos e Serviços'!$A:$F,6,0)</f>
        <v>105.61</v>
      </c>
      <c r="H196" s="166">
        <f>TRUNC(F196*G196,2)</f>
        <v>5491.72</v>
      </c>
    </row>
    <row r="197" spans="1:8">
      <c r="A197" s="9"/>
      <c r="B197" s="9"/>
      <c r="C197" s="9"/>
      <c r="D197" s="9"/>
      <c r="E197" s="9"/>
      <c r="F197" s="52"/>
      <c r="G197" s="9"/>
      <c r="H197" s="9"/>
    </row>
    <row r="198" spans="1:8" s="140" customFormat="1">
      <c r="A198" s="72" t="s">
        <v>786</v>
      </c>
      <c r="B198" s="73">
        <f>1-B199</f>
        <v>0.5</v>
      </c>
      <c r="C198" s="74"/>
      <c r="D198" s="75" t="s">
        <v>767</v>
      </c>
      <c r="E198" s="75"/>
      <c r="F198" s="76"/>
      <c r="G198" s="204">
        <f>H9+H12+H26+H38+H67+H170+H185+H193</f>
        <v>207293.19999999998</v>
      </c>
      <c r="H198" s="204"/>
    </row>
    <row r="199" spans="1:8" s="140" customFormat="1">
      <c r="A199" s="207" t="s">
        <v>54</v>
      </c>
      <c r="B199" s="209">
        <v>0.5</v>
      </c>
      <c r="C199" s="74"/>
      <c r="D199" s="74" t="s">
        <v>768</v>
      </c>
      <c r="E199" s="74" t="str">
        <f ca="1">CONCATENATE("(",'Composição de BDI'!$D$23*100,"%)")</f>
        <v>(22,12%)</v>
      </c>
      <c r="F199" s="76"/>
      <c r="G199" s="204">
        <f ca="1">TRUNC(G198*'Composição de BDI'!$D$23,2)</f>
        <v>45853.25</v>
      </c>
      <c r="H199" s="204"/>
    </row>
    <row r="200" spans="1:8" s="140" customFormat="1">
      <c r="A200" s="208"/>
      <c r="B200" s="210"/>
      <c r="C200" s="74"/>
      <c r="D200" s="75" t="s">
        <v>769</v>
      </c>
      <c r="E200" s="75"/>
      <c r="F200" s="76"/>
      <c r="G200" s="204">
        <f>G198+G199</f>
        <v>253146.44999999998</v>
      </c>
      <c r="H200" s="204"/>
    </row>
  </sheetData>
  <sheetCalcPr fullCalcOnLoad="1"/>
  <mergeCells count="20">
    <mergeCell ref="A2:B2"/>
    <mergeCell ref="E2:F2"/>
    <mergeCell ref="A3:B3"/>
    <mergeCell ref="C3:D3"/>
    <mergeCell ref="A6:B6"/>
    <mergeCell ref="C6:D6"/>
    <mergeCell ref="A4:B4"/>
    <mergeCell ref="C4:D4"/>
    <mergeCell ref="E4:F4"/>
    <mergeCell ref="G199:H199"/>
    <mergeCell ref="G1:H1"/>
    <mergeCell ref="G2:H2"/>
    <mergeCell ref="G4:H4"/>
    <mergeCell ref="G6:H6"/>
    <mergeCell ref="G200:H200"/>
    <mergeCell ref="A7:H7"/>
    <mergeCell ref="G198:H198"/>
    <mergeCell ref="E6:F6"/>
    <mergeCell ref="A199:A200"/>
    <mergeCell ref="B199:B200"/>
  </mergeCells>
  <phoneticPr fontId="7" type="noConversion"/>
  <printOptions horizontalCentered="1"/>
  <pageMargins left="0.59055118110236227" right="0.59055118110236227" top="0.59055118110236227" bottom="0.59055118110236227" header="0.19685039370078741" footer="0.19685039370078741"/>
  <pageSetup paperSize="9" scale="59" fitToHeight="0" orientation="portrait" r:id="rId1"/>
  <headerFooter>
    <oddHeader>&amp;L &amp;C &amp;R</oddHeader>
    <oddFooter>&amp;L &amp;C &amp;R</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368"/>
  <sheetViews>
    <sheetView showGridLines="0" workbookViewId="0"/>
  </sheetViews>
  <sheetFormatPr defaultRowHeight="14.25"/>
  <cols>
    <col min="1" max="2" width="10" style="10" customWidth="1"/>
    <col min="3" max="3" width="13.25" style="10" customWidth="1"/>
    <col min="4" max="4" width="60" style="10" customWidth="1"/>
    <col min="5" max="5" width="8" style="10" customWidth="1"/>
    <col min="6" max="8" width="13" style="10" customWidth="1"/>
    <col min="9" max="16384" width="9" style="141"/>
  </cols>
  <sheetData>
    <row r="1" spans="1:8">
      <c r="A1" s="77" t="str">
        <f ca="1">'Orçamento Sintético'!A1</f>
        <v>P. Execução:</v>
      </c>
      <c r="B1" s="81"/>
      <c r="C1" s="77" t="str">
        <f ca="1">'Orçamento Sintético'!C1</f>
        <v>Licitação:</v>
      </c>
      <c r="D1" s="83" t="str">
        <f ca="1">'Orçamento Sintético'!D1</f>
        <v>Objeto: Ampliação reuso edifício Ceilândia</v>
      </c>
      <c r="E1" s="77" t="str">
        <f ca="1">'Orçamento Sintético'!E1</f>
        <v>Data:</v>
      </c>
      <c r="F1" s="158"/>
      <c r="G1" s="219"/>
      <c r="H1" s="199"/>
    </row>
    <row r="2" spans="1:8">
      <c r="A2" s="205" t="str">
        <f ca="1">'Orçamento Sintético'!A2:B2</f>
        <v>A</v>
      </c>
      <c r="B2" s="211"/>
      <c r="C2" s="79" t="str">
        <f ca="1">'Orçamento Sintético'!C2</f>
        <v>B</v>
      </c>
      <c r="D2" s="78" t="str">
        <f ca="1">'Orçamento Sintético'!D2</f>
        <v>Local: QNM 11, Lotes 1 e 2, Centro Urbano, Ceilândia-DF</v>
      </c>
      <c r="E2" s="217">
        <f ca="1">'Orçamento Sintético'!E2:F2</f>
        <v>1</v>
      </c>
      <c r="F2" s="218"/>
      <c r="G2" s="200"/>
      <c r="H2" s="201"/>
    </row>
    <row r="3" spans="1:8">
      <c r="A3" s="130" t="str">
        <f ca="1">'Orçamento Sintético'!A3:B3</f>
        <v>P. Validade:</v>
      </c>
      <c r="B3" s="81"/>
      <c r="C3" s="130" t="str">
        <f ca="1">'Orçamento Sintético'!C3:D3</f>
        <v>Razão Social:</v>
      </c>
      <c r="D3" s="81"/>
      <c r="E3" s="77" t="str">
        <f ca="1">'Orçamento Sintético'!E3</f>
        <v>Telefone:</v>
      </c>
      <c r="F3" s="158"/>
      <c r="G3" s="159"/>
      <c r="H3" s="160"/>
    </row>
    <row r="4" spans="1:8">
      <c r="A4" s="205" t="str">
        <f ca="1">'Orçamento Sintético'!A4:B4</f>
        <v>C</v>
      </c>
      <c r="B4" s="211"/>
      <c r="C4" s="205" t="str">
        <f ca="1">'Orçamento Sintético'!C4:D4</f>
        <v>D</v>
      </c>
      <c r="D4" s="211"/>
      <c r="E4" s="205" t="str">
        <f ca="1">'Orçamento Sintético'!E4:F4</f>
        <v>E</v>
      </c>
      <c r="F4" s="211"/>
      <c r="G4" s="200"/>
      <c r="H4" s="201"/>
    </row>
    <row r="5" spans="1:8">
      <c r="A5" s="77" t="str">
        <f ca="1">'Orçamento Sintético'!A5</f>
        <v>P. Garantia:</v>
      </c>
      <c r="B5" s="81"/>
      <c r="C5" s="77" t="str">
        <f ca="1">'Orçamento Sintético'!C5</f>
        <v>CNPJ:</v>
      </c>
      <c r="D5" s="81"/>
      <c r="E5" s="77" t="str">
        <f ca="1">'Orçamento Sintético'!E5</f>
        <v>E-mail:</v>
      </c>
      <c r="F5" s="158"/>
      <c r="G5" s="159"/>
      <c r="H5" s="160"/>
    </row>
    <row r="6" spans="1:8">
      <c r="A6" s="205" t="str">
        <f ca="1">'Orçamento Sintético'!A6:B6</f>
        <v>F</v>
      </c>
      <c r="B6" s="211"/>
      <c r="C6" s="205" t="str">
        <f ca="1">'Orçamento Sintético'!C6:D6</f>
        <v>G</v>
      </c>
      <c r="D6" s="211"/>
      <c r="E6" s="205" t="str">
        <f ca="1">'Orçamento Sintético'!E6:F6</f>
        <v>H</v>
      </c>
      <c r="F6" s="211"/>
      <c r="G6" s="202"/>
      <c r="H6" s="203"/>
    </row>
    <row r="7" spans="1:8" customFormat="1" ht="15">
      <c r="A7" s="216" t="s">
        <v>775</v>
      </c>
      <c r="B7" s="216"/>
      <c r="C7" s="216"/>
      <c r="D7" s="216"/>
      <c r="E7" s="216"/>
      <c r="F7" s="216"/>
      <c r="G7" s="216"/>
      <c r="H7" s="216"/>
    </row>
    <row r="8" spans="1:8">
      <c r="A8" s="54" t="s">
        <v>232</v>
      </c>
      <c r="B8" s="54" t="s">
        <v>233</v>
      </c>
      <c r="C8" s="54" t="s">
        <v>234</v>
      </c>
      <c r="D8" s="54" t="s">
        <v>235</v>
      </c>
      <c r="E8" s="54" t="s">
        <v>236</v>
      </c>
      <c r="F8" s="55" t="s">
        <v>237</v>
      </c>
      <c r="G8" s="54" t="s">
        <v>238</v>
      </c>
      <c r="H8" s="54" t="s">
        <v>239</v>
      </c>
    </row>
    <row r="9" spans="1:8">
      <c r="A9" s="185" t="s">
        <v>241</v>
      </c>
      <c r="B9" s="185"/>
      <c r="C9" s="185"/>
      <c r="D9" s="186" t="s">
        <v>242</v>
      </c>
      <c r="E9" s="185"/>
      <c r="F9" s="187"/>
      <c r="G9" s="185"/>
      <c r="H9" s="188"/>
    </row>
    <row r="10" spans="1:8">
      <c r="A10" s="182" t="s">
        <v>243</v>
      </c>
      <c r="B10" s="182"/>
      <c r="C10" s="182"/>
      <c r="D10" s="183" t="s">
        <v>244</v>
      </c>
      <c r="E10" s="182"/>
      <c r="F10" s="184"/>
      <c r="G10" s="184"/>
      <c r="H10" s="184"/>
    </row>
    <row r="11" spans="1:8" s="142" customFormat="1" ht="15">
      <c r="A11" s="143" t="s">
        <v>245</v>
      </c>
      <c r="B11" s="144" t="s">
        <v>156</v>
      </c>
      <c r="C11" s="144" t="s">
        <v>247</v>
      </c>
      <c r="D11" s="145" t="s">
        <v>248</v>
      </c>
      <c r="E11" s="144" t="s">
        <v>249</v>
      </c>
      <c r="F11" s="146"/>
      <c r="G11" s="147"/>
      <c r="H11" s="148">
        <f>SUM(H12)</f>
        <v>233.94</v>
      </c>
    </row>
    <row r="12" spans="1:8" ht="15" thickBot="1">
      <c r="A12" s="149" t="str">
        <f ca="1">VLOOKUP(B12,'Insumos e Serviços'!$A:$F,3,0)</f>
        <v>Insumo</v>
      </c>
      <c r="B12" s="150" t="s">
        <v>778</v>
      </c>
      <c r="C12" s="151" t="str">
        <f ca="1">VLOOKUP(B12,'Insumos e Serviços'!$A:$F,2,0)</f>
        <v>Próprio</v>
      </c>
      <c r="D12" s="149" t="str">
        <f ca="1">VLOOKUP(B12,'Insumos e Serviços'!$A:$F,4,0)</f>
        <v>Anotação de Resposanbilidade Técnica (Faixa 3 - Tabela A - CONFEA)</v>
      </c>
      <c r="E12" s="151" t="str">
        <f ca="1">VLOOKUP(B12,'Insumos e Serviços'!$A:$F,5,0)</f>
        <v>vb</v>
      </c>
      <c r="F12" s="152">
        <v>1</v>
      </c>
      <c r="G12" s="153">
        <f ca="1">VLOOKUP(B12,'Insumos e Serviços'!$A:$F,6,0)</f>
        <v>233.94</v>
      </c>
      <c r="H12" s="153">
        <f>TRUNC(F12*G12,2)</f>
        <v>233.94</v>
      </c>
    </row>
    <row r="13" spans="1:8" ht="15" thickTop="1">
      <c r="A13" s="14"/>
      <c r="B13" s="14"/>
      <c r="C13" s="14"/>
      <c r="D13" s="14"/>
      <c r="E13" s="14"/>
      <c r="F13" s="14"/>
      <c r="G13" s="14"/>
      <c r="H13" s="14"/>
    </row>
    <row r="14" spans="1:8">
      <c r="A14" s="185" t="s">
        <v>250</v>
      </c>
      <c r="B14" s="185"/>
      <c r="C14" s="185"/>
      <c r="D14" s="186" t="s">
        <v>251</v>
      </c>
      <c r="E14" s="185"/>
      <c r="F14" s="187"/>
      <c r="G14" s="185"/>
      <c r="H14" s="188"/>
    </row>
    <row r="15" spans="1:8">
      <c r="A15" s="182" t="s">
        <v>158</v>
      </c>
      <c r="B15" s="182"/>
      <c r="C15" s="182"/>
      <c r="D15" s="183" t="s">
        <v>157</v>
      </c>
      <c r="E15" s="182"/>
      <c r="F15" s="184"/>
      <c r="G15" s="184"/>
      <c r="H15" s="184"/>
    </row>
    <row r="16" spans="1:8">
      <c r="A16" s="154" t="s">
        <v>252</v>
      </c>
      <c r="B16" s="154"/>
      <c r="C16" s="154"/>
      <c r="D16" s="155" t="s">
        <v>253</v>
      </c>
      <c r="E16" s="154"/>
      <c r="F16" s="156"/>
      <c r="G16" s="154"/>
      <c r="H16" s="157"/>
    </row>
    <row r="17" spans="1:8" s="142" customFormat="1" ht="15">
      <c r="A17" s="143" t="s">
        <v>254</v>
      </c>
      <c r="B17" s="144" t="s">
        <v>255</v>
      </c>
      <c r="C17" s="144" t="s">
        <v>247</v>
      </c>
      <c r="D17" s="145" t="s">
        <v>256</v>
      </c>
      <c r="E17" s="144" t="s">
        <v>257</v>
      </c>
      <c r="F17" s="146"/>
      <c r="G17" s="147"/>
      <c r="H17" s="148">
        <f>SUM(H18:H21)</f>
        <v>8.02</v>
      </c>
    </row>
    <row r="18" spans="1:8">
      <c r="A18" s="149" t="str">
        <f ca="1">VLOOKUP(B18,'Insumos e Serviços'!$A:$F,3,0)</f>
        <v>Composição</v>
      </c>
      <c r="B18" s="150" t="s">
        <v>780</v>
      </c>
      <c r="C18" s="151" t="str">
        <f ca="1">VLOOKUP(B18,'Insumos e Serviços'!$A:$F,2,0)</f>
        <v>SINAPI</v>
      </c>
      <c r="D18" s="149" t="str">
        <f ca="1">VLOOKUP(B18,'Insumos e Serviços'!$A:$F,4,0)</f>
        <v>CARPINTEIRO DE FORMAS COM ENCARGOS COMPLEMENTARES</v>
      </c>
      <c r="E18" s="151" t="str">
        <f ca="1">VLOOKUP(B18,'Insumos e Serviços'!$A:$F,5,0)</f>
        <v>H</v>
      </c>
      <c r="F18" s="152">
        <v>0.06</v>
      </c>
      <c r="G18" s="153">
        <f ca="1">VLOOKUP(B18,'Insumos e Serviços'!$A:$F,6,0)</f>
        <v>23.68</v>
      </c>
      <c r="H18" s="153">
        <f>TRUNC(F18*G18,2)</f>
        <v>1.42</v>
      </c>
    </row>
    <row r="19" spans="1:8">
      <c r="A19" s="149" t="str">
        <f ca="1">VLOOKUP(B19,'Insumos e Serviços'!$A:$F,3,0)</f>
        <v>Composição</v>
      </c>
      <c r="B19" s="150" t="s">
        <v>782</v>
      </c>
      <c r="C19" s="151" t="str">
        <f ca="1">VLOOKUP(B19,'Insumos e Serviços'!$A:$F,2,0)</f>
        <v>SINAPI</v>
      </c>
      <c r="D19" s="149" t="str">
        <f ca="1">VLOOKUP(B19,'Insumos e Serviços'!$A:$F,4,0)</f>
        <v>SERVENTE COM ENCARGOS COMPLEMENTARES</v>
      </c>
      <c r="E19" s="151" t="str">
        <f ca="1">VLOOKUP(B19,'Insumos e Serviços'!$A:$F,5,0)</f>
        <v>H</v>
      </c>
      <c r="F19" s="152">
        <v>0.18</v>
      </c>
      <c r="G19" s="153">
        <f ca="1">VLOOKUP(B19,'Insumos e Serviços'!$A:$F,6,0)</f>
        <v>17.61</v>
      </c>
      <c r="H19" s="153">
        <f>TRUNC(F19*G19,2)</f>
        <v>3.16</v>
      </c>
    </row>
    <row r="20" spans="1:8">
      <c r="A20" s="149" t="str">
        <f ca="1">VLOOKUP(B20,'Insumos e Serviços'!$A:$F,3,0)</f>
        <v>Insumo</v>
      </c>
      <c r="B20" s="150" t="s">
        <v>784</v>
      </c>
      <c r="C20" s="151" t="str">
        <f ca="1">VLOOKUP(B20,'Insumos e Serviços'!$A:$F,2,0)</f>
        <v>SINAPI</v>
      </c>
      <c r="D20" s="149" t="str">
        <f ca="1">VLOOKUP(B20,'Insumos e Serviços'!$A:$F,4,0)</f>
        <v>ARAME GALVANIZADO 18 BWG, D = 1,24MM (0,009 KG/M)</v>
      </c>
      <c r="E20" s="151" t="str">
        <f ca="1">VLOOKUP(B20,'Insumos e Serviços'!$A:$F,5,0)</f>
        <v>KG</v>
      </c>
      <c r="F20" s="152">
        <v>0.04</v>
      </c>
      <c r="G20" s="153">
        <f ca="1">VLOOKUP(B20,'Insumos e Serviços'!$A:$F,6,0)</f>
        <v>29.1</v>
      </c>
      <c r="H20" s="153">
        <f>TRUNC(F20*G20,2)</f>
        <v>1.1599999999999999</v>
      </c>
    </row>
    <row r="21" spans="1:8" ht="23.25" thickBot="1">
      <c r="A21" s="149" t="str">
        <f ca="1">VLOOKUP(B21,'Insumos e Serviços'!$A:$F,3,0)</f>
        <v>Insumo</v>
      </c>
      <c r="B21" s="150" t="s">
        <v>787</v>
      </c>
      <c r="C21" s="151" t="str">
        <f ca="1">VLOOKUP(B21,'Insumos e Serviços'!$A:$F,2,0)</f>
        <v>SINAPI</v>
      </c>
      <c r="D21" s="149" t="str">
        <f ca="1">VLOOKUP(B21,'Insumos e Serviços'!$A:$F,4,0)</f>
        <v>TELA FACHADEIRA EM POLIETILENO, ROLO DE 3 X 100 M (L X C), COR BRANCA, SEM LOGOMARCA - PARA PROTECAO DE OBRAS</v>
      </c>
      <c r="E21" s="151" t="str">
        <f ca="1">VLOOKUP(B21,'Insumos e Serviços'!$A:$F,5,0)</f>
        <v>m²</v>
      </c>
      <c r="F21" s="152">
        <v>1.1000000000000001</v>
      </c>
      <c r="G21" s="153">
        <f ca="1">VLOOKUP(B21,'Insumos e Serviços'!$A:$F,6,0)</f>
        <v>2.08</v>
      </c>
      <c r="H21" s="153">
        <f>TRUNC(F21*G21,2)</f>
        <v>2.2799999999999998</v>
      </c>
    </row>
    <row r="22" spans="1:8" ht="15" thickTop="1">
      <c r="A22" s="14"/>
      <c r="B22" s="14"/>
      <c r="C22" s="14"/>
      <c r="D22" s="14"/>
      <c r="E22" s="14"/>
      <c r="F22" s="14"/>
      <c r="G22" s="14"/>
      <c r="H22" s="14"/>
    </row>
    <row r="23" spans="1:8">
      <c r="A23" s="182" t="s">
        <v>258</v>
      </c>
      <c r="B23" s="182"/>
      <c r="C23" s="182"/>
      <c r="D23" s="183" t="s">
        <v>259</v>
      </c>
      <c r="E23" s="182"/>
      <c r="F23" s="184"/>
      <c r="G23" s="184"/>
      <c r="H23" s="184"/>
    </row>
    <row r="24" spans="1:8">
      <c r="A24" s="64" t="s">
        <v>260</v>
      </c>
      <c r="B24" s="64"/>
      <c r="C24" s="64"/>
      <c r="D24" s="64" t="s">
        <v>261</v>
      </c>
      <c r="E24" s="64"/>
      <c r="F24" s="65"/>
      <c r="G24" s="64"/>
      <c r="H24" s="66"/>
    </row>
    <row r="25" spans="1:8" s="142" customFormat="1" ht="15">
      <c r="A25" s="143" t="s">
        <v>267</v>
      </c>
      <c r="B25" s="144" t="s">
        <v>268</v>
      </c>
      <c r="C25" s="144" t="s">
        <v>247</v>
      </c>
      <c r="D25" s="145" t="s">
        <v>269</v>
      </c>
      <c r="E25" s="144" t="s">
        <v>257</v>
      </c>
      <c r="F25" s="146"/>
      <c r="G25" s="147"/>
      <c r="H25" s="148">
        <f>H26</f>
        <v>11.98</v>
      </c>
    </row>
    <row r="26" spans="1:8" ht="23.25" thickBot="1">
      <c r="A26" s="149" t="str">
        <f ca="1">VLOOKUP(B26,'Insumos e Serviços'!$A:$F,3,0)</f>
        <v>Composição</v>
      </c>
      <c r="B26" s="150" t="s">
        <v>797</v>
      </c>
      <c r="C26" s="151" t="str">
        <f ca="1">VLOOKUP(B26,'Insumos e Serviços'!$A:$F,2,0)</f>
        <v>SINAPI</v>
      </c>
      <c r="D26" s="149" t="str">
        <f ca="1">VLOOKUP(B26,'Insumos e Serviços'!$A:$F,4,0)</f>
        <v>DEMOLIÇÃO DE PILARES E VIGAS EM CONCRETO ARMADO, DE FORMA MECANIZADA COM MARTELETE, SEM REAPROVEITAMENTO. AF_12/2017</v>
      </c>
      <c r="E26" s="151" t="str">
        <f ca="1">VLOOKUP(B26,'Insumos e Serviços'!$A:$F,5,0)</f>
        <v>m³</v>
      </c>
      <c r="F26" s="152">
        <v>0.05</v>
      </c>
      <c r="G26" s="153">
        <f ca="1">VLOOKUP(B26,'Insumos e Serviços'!$A:$F,6,0)</f>
        <v>239.79</v>
      </c>
      <c r="H26" s="153">
        <f>TRUNC(F26*G26,2)</f>
        <v>11.98</v>
      </c>
    </row>
    <row r="27" spans="1:8" ht="15" thickTop="1">
      <c r="A27" s="62"/>
      <c r="B27" s="62"/>
      <c r="C27" s="62"/>
      <c r="D27" s="62"/>
      <c r="E27" s="62"/>
      <c r="F27" s="62"/>
      <c r="G27" s="62"/>
      <c r="H27" s="62"/>
    </row>
    <row r="28" spans="1:8" s="142" customFormat="1" ht="22.5">
      <c r="A28" s="143" t="s">
        <v>273</v>
      </c>
      <c r="B28" s="144" t="s">
        <v>274</v>
      </c>
      <c r="C28" s="144" t="s">
        <v>247</v>
      </c>
      <c r="D28" s="145" t="s">
        <v>275</v>
      </c>
      <c r="E28" s="144" t="s">
        <v>257</v>
      </c>
      <c r="F28" s="146"/>
      <c r="G28" s="147"/>
      <c r="H28" s="148">
        <f>SUM(H29:H30)</f>
        <v>13</v>
      </c>
    </row>
    <row r="29" spans="1:8" ht="22.5">
      <c r="A29" s="149" t="str">
        <f ca="1">VLOOKUP(B29,'Insumos e Serviços'!$A:$F,3,0)</f>
        <v>Composição</v>
      </c>
      <c r="B29" s="150" t="s">
        <v>799</v>
      </c>
      <c r="C29" s="151" t="str">
        <f ca="1">VLOOKUP(B29,'Insumos e Serviços'!$A:$F,2,0)</f>
        <v>SINAPI</v>
      </c>
      <c r="D29" s="149" t="str">
        <f ca="1">VLOOKUP(B29,'Insumos e Serviços'!$A:$F,4,0)</f>
        <v>DEMOLIÇÃO DE REVESTIMENTO CERÂMICO, DE FORMA MECANIZADA COM MARTELETE, SEM REAPROVEITAMENTO. AF_12/2017</v>
      </c>
      <c r="E29" s="151" t="str">
        <f ca="1">VLOOKUP(B29,'Insumos e Serviços'!$A:$F,5,0)</f>
        <v>m²</v>
      </c>
      <c r="F29" s="152">
        <v>1</v>
      </c>
      <c r="G29" s="153">
        <f ca="1">VLOOKUP(B29,'Insumos e Serviços'!$A:$F,6,0)</f>
        <v>10.26</v>
      </c>
      <c r="H29" s="153">
        <f>TRUNC(F29*G29,2)</f>
        <v>10.26</v>
      </c>
    </row>
    <row r="30" spans="1:8" ht="22.5">
      <c r="A30" s="149" t="str">
        <f ca="1">VLOOKUP(B30,'Insumos e Serviços'!$A:$F,3,0)</f>
        <v>Composição</v>
      </c>
      <c r="B30" s="150" t="s">
        <v>801</v>
      </c>
      <c r="C30" s="151" t="str">
        <f ca="1">VLOOKUP(B30,'Insumos e Serviços'!$A:$F,2,0)</f>
        <v>SINAPI</v>
      </c>
      <c r="D30" s="149" t="str">
        <f ca="1">VLOOKUP(B30,'Insumos e Serviços'!$A:$F,4,0)</f>
        <v>DEMOLIÇÃO DE ARGAMASSAS, DE FORMA MANUAL, SEM REAPROVEITAMENTO. AF_12/2017</v>
      </c>
      <c r="E30" s="151" t="str">
        <f ca="1">VLOOKUP(B30,'Insumos e Serviços'!$A:$F,5,0)</f>
        <v>m²</v>
      </c>
      <c r="F30" s="152">
        <v>1</v>
      </c>
      <c r="G30" s="153">
        <f ca="1">VLOOKUP(B30,'Insumos e Serviços'!$A:$F,6,0)</f>
        <v>2.74</v>
      </c>
      <c r="H30" s="153">
        <f>TRUNC(F30*G30,2)</f>
        <v>2.74</v>
      </c>
    </row>
    <row r="31" spans="1:8" ht="15" thickBot="1">
      <c r="A31" s="67"/>
      <c r="B31" s="68"/>
      <c r="C31" s="67"/>
      <c r="D31" s="67"/>
      <c r="E31" s="69"/>
      <c r="F31" s="70"/>
      <c r="G31" s="71"/>
      <c r="H31" s="71"/>
    </row>
    <row r="32" spans="1:8" ht="15" thickTop="1">
      <c r="A32" s="62"/>
      <c r="B32" s="62"/>
      <c r="C32" s="62"/>
      <c r="D32" s="62"/>
      <c r="E32" s="62"/>
      <c r="F32" s="62"/>
      <c r="G32" s="62"/>
      <c r="H32" s="62"/>
    </row>
    <row r="33" spans="1:8" s="142" customFormat="1" ht="22.5">
      <c r="A33" s="143" t="s">
        <v>276</v>
      </c>
      <c r="B33" s="144" t="s">
        <v>277</v>
      </c>
      <c r="C33" s="144" t="s">
        <v>247</v>
      </c>
      <c r="D33" s="145" t="s">
        <v>275</v>
      </c>
      <c r="E33" s="144" t="s">
        <v>257</v>
      </c>
      <c r="F33" s="146"/>
      <c r="G33" s="147"/>
      <c r="H33" s="148">
        <f>SUM(H34)</f>
        <v>2.39</v>
      </c>
    </row>
    <row r="34" spans="1:8">
      <c r="A34" s="149" t="str">
        <f ca="1">VLOOKUP(B34,'Insumos e Serviços'!$A:$F,3,0)</f>
        <v>Composição</v>
      </c>
      <c r="B34" s="150" t="s">
        <v>803</v>
      </c>
      <c r="C34" s="151" t="str">
        <f ca="1">VLOOKUP(B34,'Insumos e Serviços'!$A:$F,2,0)</f>
        <v>SINAPI</v>
      </c>
      <c r="D34" s="149" t="str">
        <f ca="1">VLOOKUP(B34,'Insumos e Serviços'!$A:$F,4,0)</f>
        <v>IMPERMEABILIZADOR COM ENCARGOS COMPLEMENTARES</v>
      </c>
      <c r="E34" s="151" t="str">
        <f ca="1">VLOOKUP(B34,'Insumos e Serviços'!$A:$F,5,0)</f>
        <v>H</v>
      </c>
      <c r="F34" s="152">
        <v>0.1</v>
      </c>
      <c r="G34" s="153">
        <f ca="1">VLOOKUP(B34,'Insumos e Serviços'!$A:$F,6,0)</f>
        <v>23.9</v>
      </c>
      <c r="H34" s="153">
        <f>TRUNC(F34*G34,2)</f>
        <v>2.39</v>
      </c>
    </row>
    <row r="35" spans="1:8" ht="15" thickBot="1">
      <c r="A35" s="67"/>
      <c r="B35" s="68"/>
      <c r="C35" s="67"/>
      <c r="D35" s="67"/>
      <c r="E35" s="69"/>
      <c r="F35" s="70"/>
      <c r="G35" s="71"/>
      <c r="H35" s="71"/>
    </row>
    <row r="36" spans="1:8" ht="15" thickTop="1">
      <c r="A36" s="14"/>
      <c r="B36" s="14"/>
      <c r="C36" s="14"/>
      <c r="D36" s="14"/>
      <c r="E36" s="14"/>
      <c r="F36" s="14"/>
      <c r="G36" s="14"/>
      <c r="H36" s="14"/>
    </row>
    <row r="37" spans="1:8">
      <c r="A37" s="64" t="s">
        <v>279</v>
      </c>
      <c r="B37" s="64"/>
      <c r="C37" s="64"/>
      <c r="D37" s="64" t="s">
        <v>280</v>
      </c>
      <c r="E37" s="64"/>
      <c r="F37" s="65"/>
      <c r="G37" s="64"/>
      <c r="H37" s="66"/>
    </row>
    <row r="38" spans="1:8" s="142" customFormat="1" ht="15">
      <c r="A38" s="143" t="s">
        <v>285</v>
      </c>
      <c r="B38" s="144" t="s">
        <v>286</v>
      </c>
      <c r="C38" s="144" t="s">
        <v>247</v>
      </c>
      <c r="D38" s="145" t="s">
        <v>287</v>
      </c>
      <c r="E38" s="144" t="s">
        <v>288</v>
      </c>
      <c r="F38" s="146"/>
      <c r="G38" s="147"/>
      <c r="H38" s="148">
        <f>SUM(H39:H40)</f>
        <v>0.82000000000000006</v>
      </c>
    </row>
    <row r="39" spans="1:8">
      <c r="A39" s="149" t="str">
        <f ca="1">VLOOKUP(B39,'Insumos e Serviços'!$A:$F,3,0)</f>
        <v>Composição</v>
      </c>
      <c r="B39" s="150" t="s">
        <v>807</v>
      </c>
      <c r="C39" s="151" t="str">
        <f ca="1">VLOOKUP(B39,'Insumos e Serviços'!$A:$F,2,0)</f>
        <v>SINAPI</v>
      </c>
      <c r="D39" s="149" t="str">
        <f ca="1">VLOOKUP(B39,'Insumos e Serviços'!$A:$F,4,0)</f>
        <v>AUXILIAR DE ENCANADOR OU BOMBEIRO HIDRÁULICO COM ENCARGOS COMPLEMENTARES</v>
      </c>
      <c r="E39" s="151" t="str">
        <f ca="1">VLOOKUP(B39,'Insumos e Serviços'!$A:$F,5,0)</f>
        <v>H</v>
      </c>
      <c r="F39" s="152">
        <v>0.02</v>
      </c>
      <c r="G39" s="153">
        <f ca="1">VLOOKUP(B39,'Insumos e Serviços'!$A:$F,6,0)</f>
        <v>18.23</v>
      </c>
      <c r="H39" s="153">
        <f>TRUNC(F39*G39,2)</f>
        <v>0.36</v>
      </c>
    </row>
    <row r="40" spans="1:8" ht="15" thickBot="1">
      <c r="A40" s="149" t="str">
        <f ca="1">VLOOKUP(B40,'Insumos e Serviços'!$A:$F,3,0)</f>
        <v>Composição</v>
      </c>
      <c r="B40" s="150" t="s">
        <v>805</v>
      </c>
      <c r="C40" s="151" t="str">
        <f ca="1">VLOOKUP(B40,'Insumos e Serviços'!$A:$F,2,0)</f>
        <v>SINAPI</v>
      </c>
      <c r="D40" s="149" t="str">
        <f ca="1">VLOOKUP(B40,'Insumos e Serviços'!$A:$F,4,0)</f>
        <v>ENCANADOR OU BOMBEIRO HIDRÁULICO COM ENCARGOS COMPLEMENTARES</v>
      </c>
      <c r="E40" s="151" t="str">
        <f ca="1">VLOOKUP(B40,'Insumos e Serviços'!$A:$F,5,0)</f>
        <v>H</v>
      </c>
      <c r="F40" s="152">
        <v>0.02</v>
      </c>
      <c r="G40" s="153">
        <f ca="1">VLOOKUP(B40,'Insumos e Serviços'!$A:$F,6,0)</f>
        <v>23.41</v>
      </c>
      <c r="H40" s="153">
        <f>TRUNC(F40*G40,2)</f>
        <v>0.46</v>
      </c>
    </row>
    <row r="41" spans="1:8" ht="15" thickTop="1">
      <c r="A41" s="14"/>
      <c r="B41" s="14"/>
      <c r="C41" s="14"/>
      <c r="D41" s="14"/>
      <c r="E41" s="14"/>
      <c r="F41" s="14"/>
      <c r="G41" s="14"/>
      <c r="H41" s="14"/>
    </row>
    <row r="42" spans="1:8">
      <c r="A42" s="11" t="s">
        <v>289</v>
      </c>
      <c r="B42" s="11"/>
      <c r="C42" s="11"/>
      <c r="D42" s="11" t="s">
        <v>290</v>
      </c>
      <c r="E42" s="11"/>
      <c r="F42" s="12"/>
      <c r="G42" s="11"/>
      <c r="H42" s="13"/>
    </row>
    <row r="43" spans="1:8">
      <c r="A43" s="182" t="s">
        <v>291</v>
      </c>
      <c r="B43" s="182"/>
      <c r="C43" s="182"/>
      <c r="D43" s="183" t="s">
        <v>292</v>
      </c>
      <c r="E43" s="182"/>
      <c r="F43" s="184"/>
      <c r="G43" s="184"/>
      <c r="H43" s="184"/>
    </row>
    <row r="44" spans="1:8">
      <c r="A44" s="64" t="s">
        <v>293</v>
      </c>
      <c r="B44" s="64"/>
      <c r="C44" s="64"/>
      <c r="D44" s="64" t="s">
        <v>294</v>
      </c>
      <c r="E44" s="64"/>
      <c r="F44" s="65"/>
      <c r="G44" s="64"/>
      <c r="H44" s="66"/>
    </row>
    <row r="45" spans="1:8" s="142" customFormat="1" ht="22.5">
      <c r="A45" s="143" t="s">
        <v>314</v>
      </c>
      <c r="B45" s="144" t="s">
        <v>315</v>
      </c>
      <c r="C45" s="144" t="s">
        <v>247</v>
      </c>
      <c r="D45" s="145" t="s">
        <v>316</v>
      </c>
      <c r="E45" s="144" t="s">
        <v>317</v>
      </c>
      <c r="F45" s="146"/>
      <c r="G45" s="147"/>
      <c r="H45" s="148">
        <f>SUM(H46:H52)</f>
        <v>1624.4599999999998</v>
      </c>
    </row>
    <row r="46" spans="1:8" ht="22.5">
      <c r="A46" s="149" t="str">
        <f ca="1">VLOOKUP(B46,'Insumos e Serviços'!$A:$F,3,0)</f>
        <v>Composição</v>
      </c>
      <c r="B46" s="150" t="s">
        <v>809</v>
      </c>
      <c r="C46" s="151" t="str">
        <f ca="1">VLOOKUP(B46,'Insumos e Serviços'!$A:$F,2,0)</f>
        <v>SINAPI</v>
      </c>
      <c r="D46" s="149" t="str">
        <f ca="1">VLOOKUP(B46,'Insumos e Serviços'!$A:$F,4,0)</f>
        <v>MISTURADOR DE ARGAMASSA, EIXO HORIZONTAL, CAPACIDADE DE MISTURA 160 KG, MOTOR ELÉTRICO POTÊNCIA 3 CV - CHP DIURNO. AF_06/2014</v>
      </c>
      <c r="E46" s="151" t="str">
        <f ca="1">VLOOKUP(B46,'Insumos e Serviços'!$A:$F,5,0)</f>
        <v>CHP</v>
      </c>
      <c r="F46" s="152">
        <v>18</v>
      </c>
      <c r="G46" s="153">
        <f ca="1">VLOOKUP(B46,'Insumos e Serviços'!$A:$F,6,0)</f>
        <v>2.8</v>
      </c>
      <c r="H46" s="153">
        <f t="shared" ref="H46:H52" si="0">TRUNC(F46*G46,2)</f>
        <v>50.4</v>
      </c>
    </row>
    <row r="47" spans="1:8" ht="22.5">
      <c r="A47" s="149" t="str">
        <f ca="1">VLOOKUP(B47,'Insumos e Serviços'!$A:$F,3,0)</f>
        <v>Composição</v>
      </c>
      <c r="B47" s="150" t="s">
        <v>811</v>
      </c>
      <c r="C47" s="151" t="str">
        <f ca="1">VLOOKUP(B47,'Insumos e Serviços'!$A:$F,2,0)</f>
        <v>SINAPI</v>
      </c>
      <c r="D47" s="149" t="str">
        <f ca="1">VLOOKUP(B47,'Insumos e Serviços'!$A:$F,4,0)</f>
        <v>MISTURADOR DE ARGAMASSA, EIXO HORIZONTAL, CAPACIDADE DE MISTURA 160 KG, MOTOR ELÉTRICO POTÊNCIA 3 CV - CHI DIURNO. AF_06/2014</v>
      </c>
      <c r="E47" s="151" t="str">
        <f ca="1">VLOOKUP(B47,'Insumos e Serviços'!$A:$F,5,0)</f>
        <v>CHI</v>
      </c>
      <c r="F47" s="152">
        <v>9</v>
      </c>
      <c r="G47" s="153">
        <f ca="1">VLOOKUP(B47,'Insumos e Serviços'!$A:$F,6,0)</f>
        <v>0.74</v>
      </c>
      <c r="H47" s="153">
        <f t="shared" si="0"/>
        <v>6.66</v>
      </c>
    </row>
    <row r="48" spans="1:8">
      <c r="A48" s="149" t="str">
        <f ca="1">VLOOKUP(B48,'Insumos e Serviços'!$A:$F,3,0)</f>
        <v>Composição</v>
      </c>
      <c r="B48" s="150" t="s">
        <v>813</v>
      </c>
      <c r="C48" s="151" t="str">
        <f ca="1">VLOOKUP(B48,'Insumos e Serviços'!$A:$F,2,0)</f>
        <v>SINAPI</v>
      </c>
      <c r="D48" s="149" t="str">
        <f ca="1">VLOOKUP(B48,'Insumos e Serviços'!$A:$F,4,0)</f>
        <v>OPERADOR DE MÁQUINAS E EQUIPAMENTOS COM ENCARGOS COMPLEMENTARES</v>
      </c>
      <c r="E48" s="151" t="str">
        <f ca="1">VLOOKUP(B48,'Insumos e Serviços'!$A:$F,5,0)</f>
        <v>H</v>
      </c>
      <c r="F48" s="152">
        <v>9</v>
      </c>
      <c r="G48" s="153">
        <f ca="1">VLOOKUP(B48,'Insumos e Serviços'!$A:$F,6,0)</f>
        <v>18.64</v>
      </c>
      <c r="H48" s="153">
        <f t="shared" si="0"/>
        <v>167.76</v>
      </c>
    </row>
    <row r="49" spans="1:8">
      <c r="A49" s="149" t="str">
        <f ca="1">VLOOKUP(B49,'Insumos e Serviços'!$A:$F,3,0)</f>
        <v>Composição</v>
      </c>
      <c r="B49" s="150" t="s">
        <v>782</v>
      </c>
      <c r="C49" s="151" t="str">
        <f ca="1">VLOOKUP(B49,'Insumos e Serviços'!$A:$F,2,0)</f>
        <v>SINAPI</v>
      </c>
      <c r="D49" s="149" t="str">
        <f ca="1">VLOOKUP(B49,'Insumos e Serviços'!$A:$F,4,0)</f>
        <v>SERVENTE COM ENCARGOS COMPLEMENTARES</v>
      </c>
      <c r="E49" s="151" t="str">
        <f ca="1">VLOOKUP(B49,'Insumos e Serviços'!$A:$F,5,0)</f>
        <v>H</v>
      </c>
      <c r="F49" s="152">
        <v>9</v>
      </c>
      <c r="G49" s="153">
        <f ca="1">VLOOKUP(B49,'Insumos e Serviços'!$A:$F,6,0)</f>
        <v>17.61</v>
      </c>
      <c r="H49" s="153">
        <f t="shared" si="0"/>
        <v>158.49</v>
      </c>
    </row>
    <row r="50" spans="1:8">
      <c r="A50" s="149" t="str">
        <f ca="1">VLOOKUP(B50,'Insumos e Serviços'!$A:$F,3,0)</f>
        <v>Composição</v>
      </c>
      <c r="B50" s="150" t="s">
        <v>795</v>
      </c>
      <c r="C50" s="151" t="str">
        <f ca="1">VLOOKUP(B50,'Insumos e Serviços'!$A:$F,2,0)</f>
        <v>SINAPI</v>
      </c>
      <c r="D50" s="149" t="str">
        <f ca="1">VLOOKUP(B50,'Insumos e Serviços'!$A:$F,4,0)</f>
        <v>PEDREIRO COM ENCARGOS COMPLEMENTARES</v>
      </c>
      <c r="E50" s="151" t="str">
        <f ca="1">VLOOKUP(B50,'Insumos e Serviços'!$A:$F,5,0)</f>
        <v>H</v>
      </c>
      <c r="F50" s="152">
        <v>9</v>
      </c>
      <c r="G50" s="153">
        <f ca="1">VLOOKUP(B50,'Insumos e Serviços'!$A:$F,6,0)</f>
        <v>23.9</v>
      </c>
      <c r="H50" s="153">
        <f t="shared" si="0"/>
        <v>215.1</v>
      </c>
    </row>
    <row r="51" spans="1:8">
      <c r="A51" s="149" t="str">
        <f ca="1">VLOOKUP(B51,'Insumos e Serviços'!$A:$F,3,0)</f>
        <v>Insumo</v>
      </c>
      <c r="B51" s="150" t="s">
        <v>815</v>
      </c>
      <c r="C51" s="151" t="str">
        <f ca="1">VLOOKUP(B51,'Insumos e Serviços'!$A:$F,2,0)</f>
        <v>SINAPI</v>
      </c>
      <c r="D51" s="149" t="str">
        <f ca="1">VLOOKUP(B51,'Insumos e Serviços'!$A:$F,4,0)</f>
        <v>GRAUTE CIMENTICIO PARA USO GERAL</v>
      </c>
      <c r="E51" s="151" t="str">
        <f ca="1">VLOOKUP(B51,'Insumos e Serviços'!$A:$F,5,0)</f>
        <v>KG</v>
      </c>
      <c r="F51" s="152">
        <v>500</v>
      </c>
      <c r="G51" s="153">
        <f ca="1">VLOOKUP(B51,'Insumos e Serviços'!$A:$F,6,0)</f>
        <v>1.56</v>
      </c>
      <c r="H51" s="153">
        <f t="shared" si="0"/>
        <v>780</v>
      </c>
    </row>
    <row r="52" spans="1:8" ht="15" thickBot="1">
      <c r="A52" s="149" t="str">
        <f ca="1">VLOOKUP(B52,'Insumos e Serviços'!$A:$F,3,0)</f>
        <v>Insumo</v>
      </c>
      <c r="B52" s="150" t="s">
        <v>817</v>
      </c>
      <c r="C52" s="151" t="str">
        <f ca="1">VLOOKUP(B52,'Insumos e Serviços'!$A:$F,2,0)</f>
        <v>SINAPI</v>
      </c>
      <c r="D52" s="149" t="str">
        <f ca="1">VLOOKUP(B52,'Insumos e Serviços'!$A:$F,4,0)</f>
        <v>ADESIVO ESTRUTURAL A BASE DE RESINA EPOXI, BICOMPONENTE, FLUIDO</v>
      </c>
      <c r="E52" s="151" t="str">
        <f ca="1">VLOOKUP(B52,'Insumos e Serviços'!$A:$F,5,0)</f>
        <v>KG</v>
      </c>
      <c r="F52" s="152">
        <v>5</v>
      </c>
      <c r="G52" s="153">
        <f ca="1">VLOOKUP(B52,'Insumos e Serviços'!$A:$F,6,0)</f>
        <v>49.21</v>
      </c>
      <c r="H52" s="153">
        <f t="shared" si="0"/>
        <v>246.05</v>
      </c>
    </row>
    <row r="53" spans="1:8" ht="15" thickTop="1">
      <c r="A53" s="14"/>
      <c r="B53" s="14"/>
      <c r="C53" s="14"/>
      <c r="D53" s="14"/>
      <c r="E53" s="14"/>
      <c r="F53" s="14"/>
      <c r="G53" s="14"/>
      <c r="H53" s="14"/>
    </row>
    <row r="54" spans="1:8">
      <c r="A54" s="11" t="s">
        <v>820</v>
      </c>
      <c r="B54" s="11"/>
      <c r="C54" s="11"/>
      <c r="D54" s="11" t="s">
        <v>773</v>
      </c>
      <c r="E54" s="11"/>
      <c r="F54" s="12"/>
      <c r="G54" s="11"/>
      <c r="H54" s="13"/>
    </row>
    <row r="55" spans="1:8">
      <c r="A55" s="64" t="s">
        <v>821</v>
      </c>
      <c r="B55" s="64"/>
      <c r="C55" s="64"/>
      <c r="D55" s="64" t="s">
        <v>774</v>
      </c>
      <c r="E55" s="64"/>
      <c r="F55" s="65"/>
      <c r="G55" s="64"/>
      <c r="H55" s="66"/>
    </row>
    <row r="56" spans="1:8">
      <c r="A56" s="182" t="s">
        <v>329</v>
      </c>
      <c r="B56" s="182"/>
      <c r="C56" s="182"/>
      <c r="D56" s="183" t="s">
        <v>330</v>
      </c>
      <c r="E56" s="182"/>
      <c r="F56" s="184"/>
      <c r="G56" s="184"/>
      <c r="H56" s="184"/>
    </row>
    <row r="57" spans="1:8" s="142" customFormat="1" ht="45">
      <c r="A57" s="143" t="s">
        <v>331</v>
      </c>
      <c r="B57" s="144" t="s">
        <v>332</v>
      </c>
      <c r="C57" s="144" t="s">
        <v>247</v>
      </c>
      <c r="D57" s="145" t="s">
        <v>333</v>
      </c>
      <c r="E57" s="144" t="s">
        <v>334</v>
      </c>
      <c r="F57" s="146"/>
      <c r="G57" s="147"/>
      <c r="H57" s="148">
        <f>SUM(H58:H70)</f>
        <v>9141.48</v>
      </c>
    </row>
    <row r="58" spans="1:8" ht="33.75">
      <c r="A58" s="149" t="str">
        <f ca="1">VLOOKUP(B58,'Insumos e Serviços'!$A:$F,3,0)</f>
        <v>Composição</v>
      </c>
      <c r="B58" s="150" t="s">
        <v>373</v>
      </c>
      <c r="C58" s="151" t="str">
        <f ca="1">VLOOKUP(B58,'Insumos e Serviços'!$A:$F,2,0)</f>
        <v>SINAPI</v>
      </c>
      <c r="D58" s="149" t="str">
        <f ca="1">VLOOKUP(B58,'Insumos e Serviços'!$A:$F,4,0)</f>
        <v>PINTURA COM TINTA ALQUÍDICA DE ACABAMENTO (ESMALTE SINTÉTICO FOSCO) APLICADA A ROLO OU PINCEL SOBRE SUPERFÍCIES METÁLICAS (EXCETO PERFIL) EXECUTADO EM OBRA (02 DEMÃOS). AF_01/2020</v>
      </c>
      <c r="E58" s="151" t="str">
        <f ca="1">VLOOKUP(B58,'Insumos e Serviços'!$A:$F,5,0)</f>
        <v>m²</v>
      </c>
      <c r="F58" s="152">
        <v>24.3</v>
      </c>
      <c r="G58" s="153">
        <f ca="1">VLOOKUP(B58,'Insumos e Serviços'!$A:$F,6,0)</f>
        <v>41.35</v>
      </c>
      <c r="H58" s="153">
        <f t="shared" ref="H58:H70" si="1">TRUNC(F58*G58,2)</f>
        <v>1004.8</v>
      </c>
    </row>
    <row r="59" spans="1:8" ht="33.75">
      <c r="A59" s="149" t="str">
        <f ca="1">VLOOKUP(B59,'Insumos e Serviços'!$A:$F,3,0)</f>
        <v>Composição</v>
      </c>
      <c r="B59" s="150" t="s">
        <v>822</v>
      </c>
      <c r="C59" s="151" t="str">
        <f ca="1">VLOOKUP(B59,'Insumos e Serviços'!$A:$F,2,0)</f>
        <v>SINAPI</v>
      </c>
      <c r="D59" s="149" t="str">
        <f ca="1">VLOOKUP(B59,'Insumos e Serviços'!$A:$F,4,0)</f>
        <v>PINTURA COM TINTA ALQUÍDICA DE FUNDO (TIPO ZARCÃO) APLICADA A ROLO OU PINCEL SOBRE SUPERFÍCIES METÁLICAS (EXCETO PERFIL) EXECUTADO EM OBRA (POR DEMÃO). AF_01/2020</v>
      </c>
      <c r="E59" s="151" t="str">
        <f ca="1">VLOOKUP(B59,'Insumos e Serviços'!$A:$F,5,0)</f>
        <v>m²</v>
      </c>
      <c r="F59" s="152">
        <v>24.3</v>
      </c>
      <c r="G59" s="153">
        <f ca="1">VLOOKUP(B59,'Insumos e Serviços'!$A:$F,6,0)</f>
        <v>20.34</v>
      </c>
      <c r="H59" s="153">
        <f t="shared" si="1"/>
        <v>494.26</v>
      </c>
    </row>
    <row r="60" spans="1:8">
      <c r="A60" s="149" t="str">
        <f ca="1">VLOOKUP(B60,'Insumos e Serviços'!$A:$F,3,0)</f>
        <v>Composição</v>
      </c>
      <c r="B60" s="150" t="s">
        <v>824</v>
      </c>
      <c r="C60" s="151" t="str">
        <f ca="1">VLOOKUP(B60,'Insumos e Serviços'!$A:$F,2,0)</f>
        <v>SINAPI</v>
      </c>
      <c r="D60" s="149" t="str">
        <f ca="1">VLOOKUP(B60,'Insumos e Serviços'!$A:$F,4,0)</f>
        <v>AUXILIAR DE SERRALHEIRO COM ENCARGOS COMPLEMENTARES</v>
      </c>
      <c r="E60" s="151" t="str">
        <f ca="1">VLOOKUP(B60,'Insumos e Serviços'!$A:$F,5,0)</f>
        <v>H</v>
      </c>
      <c r="F60" s="152">
        <v>44.62</v>
      </c>
      <c r="G60" s="153">
        <f ca="1">VLOOKUP(B60,'Insumos e Serviços'!$A:$F,6,0)</f>
        <v>19.309999999999999</v>
      </c>
      <c r="H60" s="153">
        <f t="shared" si="1"/>
        <v>861.61</v>
      </c>
    </row>
    <row r="61" spans="1:8">
      <c r="A61" s="149" t="str">
        <f ca="1">VLOOKUP(B61,'Insumos e Serviços'!$A:$F,3,0)</f>
        <v>Composição</v>
      </c>
      <c r="B61" s="150" t="s">
        <v>826</v>
      </c>
      <c r="C61" s="151" t="str">
        <f ca="1">VLOOKUP(B61,'Insumos e Serviços'!$A:$F,2,0)</f>
        <v>SINAPI</v>
      </c>
      <c r="D61" s="149" t="str">
        <f ca="1">VLOOKUP(B61,'Insumos e Serviços'!$A:$F,4,0)</f>
        <v>SERRALHEIRO COM ENCARGOS COMPLEMENTARES</v>
      </c>
      <c r="E61" s="151" t="str">
        <f ca="1">VLOOKUP(B61,'Insumos e Serviços'!$A:$F,5,0)</f>
        <v>H</v>
      </c>
      <c r="F61" s="152">
        <v>44.62</v>
      </c>
      <c r="G61" s="153">
        <f ca="1">VLOOKUP(B61,'Insumos e Serviços'!$A:$F,6,0)</f>
        <v>23.78</v>
      </c>
      <c r="H61" s="153">
        <f t="shared" si="1"/>
        <v>1061.06</v>
      </c>
    </row>
    <row r="62" spans="1:8">
      <c r="A62" s="149" t="str">
        <f ca="1">VLOOKUP(B62,'Insumos e Serviços'!$A:$F,3,0)</f>
        <v>Composição</v>
      </c>
      <c r="B62" s="150" t="s">
        <v>828</v>
      </c>
      <c r="C62" s="151" t="str">
        <f ca="1">VLOOKUP(B62,'Insumos e Serviços'!$A:$F,2,0)</f>
        <v>SINAPI</v>
      </c>
      <c r="D62" s="149" t="str">
        <f ca="1">VLOOKUP(B62,'Insumos e Serviços'!$A:$F,4,0)</f>
        <v>SOLDADOR COM ENCARGOS COMPLEMENTARES</v>
      </c>
      <c r="E62" s="151" t="str">
        <f ca="1">VLOOKUP(B62,'Insumos e Serviços'!$A:$F,5,0)</f>
        <v>H</v>
      </c>
      <c r="F62" s="152">
        <v>44.62</v>
      </c>
      <c r="G62" s="153">
        <f ca="1">VLOOKUP(B62,'Insumos e Serviços'!$A:$F,6,0)</f>
        <v>24.44</v>
      </c>
      <c r="H62" s="153">
        <f t="shared" si="1"/>
        <v>1090.51</v>
      </c>
    </row>
    <row r="63" spans="1:8">
      <c r="A63" s="149" t="str">
        <f ca="1">VLOOKUP(B63,'Insumos e Serviços'!$A:$F,3,0)</f>
        <v>Composição</v>
      </c>
      <c r="B63" s="150" t="s">
        <v>830</v>
      </c>
      <c r="C63" s="151" t="str">
        <f ca="1">VLOOKUP(B63,'Insumos e Serviços'!$A:$F,2,0)</f>
        <v>SINAPI</v>
      </c>
      <c r="D63" s="149" t="str">
        <f ca="1">VLOOKUP(B63,'Insumos e Serviços'!$A:$F,4,0)</f>
        <v>AJUDANTE DE ESTRUTURA METÁLICA COM ENCARGOS COMPLEMENTARES</v>
      </c>
      <c r="E63" s="151" t="str">
        <f ca="1">VLOOKUP(B63,'Insumos e Serviços'!$A:$F,5,0)</f>
        <v>H</v>
      </c>
      <c r="F63" s="152">
        <v>44.62</v>
      </c>
      <c r="G63" s="153">
        <f ca="1">VLOOKUP(B63,'Insumos e Serviços'!$A:$F,6,0)</f>
        <v>14.53</v>
      </c>
      <c r="H63" s="153">
        <f t="shared" si="1"/>
        <v>648.32000000000005</v>
      </c>
    </row>
    <row r="64" spans="1:8">
      <c r="A64" s="149" t="str">
        <f ca="1">VLOOKUP(B64,'Insumos e Serviços'!$A:$F,3,0)</f>
        <v>Insumo</v>
      </c>
      <c r="B64" s="150" t="s">
        <v>832</v>
      </c>
      <c r="C64" s="151" t="str">
        <f ca="1">VLOOKUP(B64,'Insumos e Serviços'!$A:$F,2,0)</f>
        <v>SINAPI</v>
      </c>
      <c r="D64" s="149" t="str">
        <f ca="1">VLOOKUP(B64,'Insumos e Serviços'!$A:$F,4,0)</f>
        <v>CHAPA DE ACO FINA A QUENTE BITOLA MSG 13, E = 2,25 MM (18,00 KG/M2)</v>
      </c>
      <c r="E64" s="151" t="str">
        <f ca="1">VLOOKUP(B64,'Insumos e Serviços'!$A:$F,5,0)</f>
        <v>KG</v>
      </c>
      <c r="F64" s="152">
        <v>120</v>
      </c>
      <c r="G64" s="153">
        <f ca="1">VLOOKUP(B64,'Insumos e Serviços'!$A:$F,6,0)</f>
        <v>11.76</v>
      </c>
      <c r="H64" s="153">
        <f t="shared" si="1"/>
        <v>1411.2</v>
      </c>
    </row>
    <row r="65" spans="1:8" ht="22.5">
      <c r="A65" s="149" t="str">
        <f ca="1">VLOOKUP(B65,'Insumos e Serviços'!$A:$F,3,0)</f>
        <v>Insumo</v>
      </c>
      <c r="B65" s="150" t="s">
        <v>834</v>
      </c>
      <c r="C65" s="151" t="str">
        <f ca="1">VLOOKUP(B65,'Insumos e Serviços'!$A:$F,2,0)</f>
        <v>SINAPI</v>
      </c>
      <c r="D65" s="149" t="str">
        <f ca="1">VLOOKUP(B65,'Insumos e Serviços'!$A:$F,4,0)</f>
        <v>PORTA DE ABRIR EM ALUMINIO TIPO VENEZIANA, ACABAMENTO ANODIZADO NATURAL, SEM GUARNICAO/ALIZAR/VISTA</v>
      </c>
      <c r="E65" s="151" t="str">
        <f ca="1">VLOOKUP(B65,'Insumos e Serviços'!$A:$F,5,0)</f>
        <v>m²</v>
      </c>
      <c r="F65" s="152">
        <v>1.26</v>
      </c>
      <c r="G65" s="153">
        <f ca="1">VLOOKUP(B65,'Insumos e Serviços'!$A:$F,6,0)</f>
        <v>413.5</v>
      </c>
      <c r="H65" s="153">
        <f t="shared" si="1"/>
        <v>521.01</v>
      </c>
    </row>
    <row r="66" spans="1:8">
      <c r="A66" s="149" t="str">
        <f ca="1">VLOOKUP(B66,'Insumos e Serviços'!$A:$F,3,0)</f>
        <v>Insumo</v>
      </c>
      <c r="B66" s="150" t="s">
        <v>836</v>
      </c>
      <c r="C66" s="151" t="str">
        <f ca="1">VLOOKUP(B66,'Insumos e Serviços'!$A:$F,2,0)</f>
        <v>Próprio</v>
      </c>
      <c r="D66" s="149" t="str">
        <f ca="1">VLOOKUP(B66,'Insumos e Serviços'!$A:$F,4,0)</f>
        <v>Tela arame galvanizado mosqueteira contra insetos</v>
      </c>
      <c r="E66" s="151" t="str">
        <f ca="1">VLOOKUP(B66,'Insumos e Serviços'!$A:$F,5,0)</f>
        <v>m²</v>
      </c>
      <c r="F66" s="152">
        <v>1.26</v>
      </c>
      <c r="G66" s="153">
        <f ca="1">VLOOKUP(B66,'Insumos e Serviços'!$A:$F,6,0)</f>
        <v>396.41</v>
      </c>
      <c r="H66" s="153">
        <f t="shared" si="1"/>
        <v>499.47</v>
      </c>
    </row>
    <row r="67" spans="1:8">
      <c r="A67" s="149" t="str">
        <f ca="1">VLOOKUP(B67,'Insumos e Serviços'!$A:$F,3,0)</f>
        <v>Insumo</v>
      </c>
      <c r="B67" s="150" t="s">
        <v>838</v>
      </c>
      <c r="C67" s="151" t="str">
        <f ca="1">VLOOKUP(B67,'Insumos e Serviços'!$A:$F,2,0)</f>
        <v>Próprio</v>
      </c>
      <c r="D67" s="149" t="str">
        <f ca="1">VLOOKUP(B67,'Insumos e Serviços'!$A:$F,4,0)</f>
        <v>Tubo industrial / metalon, em aço, quadrado, dim 50 x 50 mm, e=2,00mm, 4,476 kg/m</v>
      </c>
      <c r="E67" s="151" t="str">
        <f ca="1">VLOOKUP(B67,'Insumos e Serviços'!$A:$F,5,0)</f>
        <v>m</v>
      </c>
      <c r="F67" s="152">
        <v>13.86</v>
      </c>
      <c r="G67" s="153">
        <f ca="1">VLOOKUP(B67,'Insumos e Serviços'!$A:$F,6,0)</f>
        <v>50.88</v>
      </c>
      <c r="H67" s="153">
        <f t="shared" si="1"/>
        <v>705.19</v>
      </c>
    </row>
    <row r="68" spans="1:8">
      <c r="A68" s="149" t="str">
        <f ca="1">VLOOKUP(B68,'Insumos e Serviços'!$A:$F,3,0)</f>
        <v>Insumo</v>
      </c>
      <c r="B68" s="150" t="s">
        <v>840</v>
      </c>
      <c r="C68" s="151" t="str">
        <f ca="1">VLOOKUP(B68,'Insumos e Serviços'!$A:$F,2,0)</f>
        <v>SINAPI</v>
      </c>
      <c r="D68" s="149" t="str">
        <f ca="1">VLOOKUP(B68,'Insumos e Serviços'!$A:$F,4,0)</f>
        <v>TUBO ACO INDUSTRIAL DN 2" (50,8 MM) E=1,50MM, PESO= 1,8237 KG/M</v>
      </c>
      <c r="E68" s="151" t="str">
        <f ca="1">VLOOKUP(B68,'Insumos e Serviços'!$A:$F,5,0)</f>
        <v>M</v>
      </c>
      <c r="F68" s="152">
        <v>20.16</v>
      </c>
      <c r="G68" s="153">
        <f ca="1">VLOOKUP(B68,'Insumos e Serviços'!$A:$F,6,0)</f>
        <v>28.86</v>
      </c>
      <c r="H68" s="153">
        <f t="shared" si="1"/>
        <v>581.80999999999995</v>
      </c>
    </row>
    <row r="69" spans="1:8" ht="22.5">
      <c r="A69" s="149" t="str">
        <f ca="1">VLOOKUP(B69,'Insumos e Serviços'!$A:$F,3,0)</f>
        <v>Insumo</v>
      </c>
      <c r="B69" s="150" t="s">
        <v>842</v>
      </c>
      <c r="C69" s="151" t="str">
        <f ca="1">VLOOKUP(B69,'Insumos e Serviços'!$A:$F,2,0)</f>
        <v>SINAPI</v>
      </c>
      <c r="D69" s="149" t="str">
        <f ca="1">VLOOKUP(B69,'Insumos e Serviços'!$A:$F,4,0)</f>
        <v>CANTONEIRA (ABAS IGUAIS) EM FERRO GALVANIZADO, 25,4 MM X 3,17 MM (L X E), 1,27KG/M</v>
      </c>
      <c r="E69" s="151" t="str">
        <f ca="1">VLOOKUP(B69,'Insumos e Serviços'!$A:$F,5,0)</f>
        <v>M</v>
      </c>
      <c r="F69" s="152">
        <v>5.04</v>
      </c>
      <c r="G69" s="153">
        <f ca="1">VLOOKUP(B69,'Insumos e Serviços'!$A:$F,6,0)</f>
        <v>15.97</v>
      </c>
      <c r="H69" s="153">
        <f t="shared" si="1"/>
        <v>80.48</v>
      </c>
    </row>
    <row r="70" spans="1:8" ht="15" thickBot="1">
      <c r="A70" s="149" t="str">
        <f ca="1">VLOOKUP(B70,'Insumos e Serviços'!$A:$F,3,0)</f>
        <v>Insumo</v>
      </c>
      <c r="B70" s="150" t="s">
        <v>844</v>
      </c>
      <c r="C70" s="151" t="str">
        <f ca="1">VLOOKUP(B70,'Insumos e Serviços'!$A:$F,2,0)</f>
        <v>SINAPI</v>
      </c>
      <c r="D70" s="149" t="str">
        <f ca="1">VLOOKUP(B70,'Insumos e Serviços'!$A:$F,4,0)</f>
        <v>PARAFUSO DE ACO TIPO CHUMBADOR PARABOLT, DIAMETRO 1/2", COMPRIMENTO 75 MM</v>
      </c>
      <c r="E70" s="151" t="str">
        <f ca="1">VLOOKUP(B70,'Insumos e Serviços'!$A:$F,5,0)</f>
        <v>UN</v>
      </c>
      <c r="F70" s="152">
        <v>32</v>
      </c>
      <c r="G70" s="153">
        <f ca="1">VLOOKUP(B70,'Insumos e Serviços'!$A:$F,6,0)</f>
        <v>5.68</v>
      </c>
      <c r="H70" s="153">
        <f t="shared" si="1"/>
        <v>181.76</v>
      </c>
    </row>
    <row r="71" spans="1:8" ht="15" thickTop="1">
      <c r="A71" s="14"/>
      <c r="B71" s="14"/>
      <c r="C71" s="14"/>
      <c r="D71" s="14"/>
      <c r="E71" s="14"/>
      <c r="F71" s="14"/>
      <c r="G71" s="14"/>
      <c r="H71" s="14"/>
    </row>
    <row r="72" spans="1:8">
      <c r="A72" s="182" t="s">
        <v>343</v>
      </c>
      <c r="B72" s="182"/>
      <c r="C72" s="182"/>
      <c r="D72" s="183" t="s">
        <v>344</v>
      </c>
      <c r="E72" s="182"/>
      <c r="F72" s="184"/>
      <c r="G72" s="184"/>
      <c r="H72" s="184"/>
    </row>
    <row r="73" spans="1:8" s="142" customFormat="1" ht="15">
      <c r="A73" s="143" t="s">
        <v>348</v>
      </c>
      <c r="B73" s="144" t="s">
        <v>349</v>
      </c>
      <c r="C73" s="144" t="s">
        <v>247</v>
      </c>
      <c r="D73" s="145" t="s">
        <v>350</v>
      </c>
      <c r="E73" s="144" t="s">
        <v>351</v>
      </c>
      <c r="F73" s="146"/>
      <c r="G73" s="147"/>
      <c r="H73" s="148">
        <f>H74</f>
        <v>15.78</v>
      </c>
    </row>
    <row r="74" spans="1:8" ht="15" thickBot="1">
      <c r="A74" s="149" t="str">
        <f ca="1">VLOOKUP(B74,'Insumos e Serviços'!$A:$F,3,0)</f>
        <v>Insumo</v>
      </c>
      <c r="B74" s="150" t="s">
        <v>846</v>
      </c>
      <c r="C74" s="151" t="str">
        <f ca="1">VLOOKUP(B74,'Insumos e Serviços'!$A:$F,2,0)</f>
        <v>Próprio</v>
      </c>
      <c r="D74" s="149" t="str">
        <f ca="1">VLOOKUP(B74,'Insumos e Serviços'!$A:$F,4,0)</f>
        <v>Fornecimento e instalação de tabica metálica pré pintada, para forro em gesso acartonado</v>
      </c>
      <c r="E74" s="151" t="str">
        <f ca="1">VLOOKUP(B74,'Insumos e Serviços'!$A:$F,5,0)</f>
        <v>m</v>
      </c>
      <c r="F74" s="152">
        <v>1</v>
      </c>
      <c r="G74" s="153">
        <f ca="1">VLOOKUP(B74,'Insumos e Serviços'!$A:$F,6,0)</f>
        <v>15.78</v>
      </c>
      <c r="H74" s="153">
        <f>TRUNC(F74*G74,2)</f>
        <v>15.78</v>
      </c>
    </row>
    <row r="75" spans="1:8" ht="15" thickTop="1">
      <c r="A75" s="14"/>
      <c r="B75" s="14"/>
      <c r="C75" s="14"/>
      <c r="D75" s="14"/>
      <c r="E75" s="14"/>
      <c r="F75" s="14"/>
      <c r="G75" s="14"/>
      <c r="H75" s="14"/>
    </row>
    <row r="76" spans="1:8">
      <c r="A76" s="182" t="s">
        <v>375</v>
      </c>
      <c r="B76" s="182"/>
      <c r="C76" s="182"/>
      <c r="D76" s="183" t="s">
        <v>376</v>
      </c>
      <c r="E76" s="182"/>
      <c r="F76" s="184"/>
      <c r="G76" s="184"/>
      <c r="H76" s="184"/>
    </row>
    <row r="77" spans="1:8" s="142" customFormat="1" ht="33.75">
      <c r="A77" s="143" t="s">
        <v>377</v>
      </c>
      <c r="B77" s="144" t="s">
        <v>378</v>
      </c>
      <c r="C77" s="144" t="s">
        <v>247</v>
      </c>
      <c r="D77" s="145" t="s">
        <v>379</v>
      </c>
      <c r="E77" s="144" t="s">
        <v>257</v>
      </c>
      <c r="F77" s="146"/>
      <c r="G77" s="147"/>
      <c r="H77" s="148">
        <f>SUM(H78:H83)</f>
        <v>119.67000000000002</v>
      </c>
    </row>
    <row r="78" spans="1:8">
      <c r="A78" s="149" t="str">
        <f ca="1">VLOOKUP(B78,'Insumos e Serviços'!$A:$F,3,0)</f>
        <v>Composição</v>
      </c>
      <c r="B78" s="150" t="s">
        <v>854</v>
      </c>
      <c r="C78" s="151" t="str">
        <f ca="1">VLOOKUP(B78,'Insumos e Serviços'!$A:$F,2,0)</f>
        <v>SINAPI</v>
      </c>
      <c r="D78" s="149" t="str">
        <f ca="1">VLOOKUP(B78,'Insumos e Serviços'!$A:$F,4,0)</f>
        <v>AJUDANTE ESPECIALIZADO COM ENCARGOS COMPLEMENTARES</v>
      </c>
      <c r="E78" s="151" t="str">
        <f ca="1">VLOOKUP(B78,'Insumos e Serviços'!$A:$F,5,0)</f>
        <v>H</v>
      </c>
      <c r="F78" s="152">
        <v>2.4E-2</v>
      </c>
      <c r="G78" s="153">
        <f ca="1">VLOOKUP(B78,'Insumos e Serviços'!$A:$F,6,0)</f>
        <v>20.96</v>
      </c>
      <c r="H78" s="153">
        <f t="shared" ref="H78:H83" si="2">TRUNC(F78*G78,2)</f>
        <v>0.5</v>
      </c>
    </row>
    <row r="79" spans="1:8">
      <c r="A79" s="149" t="str">
        <f ca="1">VLOOKUP(B79,'Insumos e Serviços'!$A:$F,3,0)</f>
        <v>Composição</v>
      </c>
      <c r="B79" s="150" t="s">
        <v>803</v>
      </c>
      <c r="C79" s="151" t="str">
        <f ca="1">VLOOKUP(B79,'Insumos e Serviços'!$A:$F,2,0)</f>
        <v>SINAPI</v>
      </c>
      <c r="D79" s="149" t="str">
        <f ca="1">VLOOKUP(B79,'Insumos e Serviços'!$A:$F,4,0)</f>
        <v>IMPERMEABILIZADOR COM ENCARGOS COMPLEMENTARES</v>
      </c>
      <c r="E79" s="151" t="str">
        <f ca="1">VLOOKUP(B79,'Insumos e Serviços'!$A:$F,5,0)</f>
        <v>H</v>
      </c>
      <c r="F79" s="152">
        <v>0.11799999999999999</v>
      </c>
      <c r="G79" s="153">
        <f ca="1">VLOOKUP(B79,'Insumos e Serviços'!$A:$F,6,0)</f>
        <v>23.9</v>
      </c>
      <c r="H79" s="153">
        <f t="shared" si="2"/>
        <v>2.82</v>
      </c>
    </row>
    <row r="80" spans="1:8">
      <c r="A80" s="149" t="str">
        <f ca="1">VLOOKUP(B80,'Insumos e Serviços'!$A:$F,3,0)</f>
        <v>Insumo</v>
      </c>
      <c r="B80" s="150" t="s">
        <v>856</v>
      </c>
      <c r="C80" s="151" t="str">
        <f ca="1">VLOOKUP(B80,'Insumos e Serviços'!$A:$F,2,0)</f>
        <v>SINAPI</v>
      </c>
      <c r="D80" s="149" t="str">
        <f ca="1">VLOOKUP(B80,'Insumos e Serviços'!$A:$F,4,0)</f>
        <v>GAS DE COZINHA - GLP</v>
      </c>
      <c r="E80" s="151" t="str">
        <f ca="1">VLOOKUP(B80,'Insumos e Serviços'!$A:$F,5,0)</f>
        <v>KG</v>
      </c>
      <c r="F80" s="152">
        <v>0.10100000000000001</v>
      </c>
      <c r="G80" s="153">
        <f ca="1">VLOOKUP(B80,'Insumos e Serviços'!$A:$F,6,0)</f>
        <v>6.33</v>
      </c>
      <c r="H80" s="153">
        <f t="shared" si="2"/>
        <v>0.63</v>
      </c>
    </row>
    <row r="81" spans="1:8" ht="22.5">
      <c r="A81" s="149" t="str">
        <f ca="1">VLOOKUP(B81,'Insumos e Serviços'!$A:$F,3,0)</f>
        <v>Insumo</v>
      </c>
      <c r="B81" s="150" t="s">
        <v>858</v>
      </c>
      <c r="C81" s="151" t="str">
        <f ca="1">VLOOKUP(B81,'Insumos e Serviços'!$A:$F,2,0)</f>
        <v>SINAPI</v>
      </c>
      <c r="D81" s="149" t="str">
        <f ca="1">VLOOKUP(B81,'Insumos e Serviços'!$A:$F,4,0)</f>
        <v>PRIMER PARA MANTA ASFALTICA A BASE DE ASFALTO MODIFICADO DILUIDO EM SOLVENTE, APLICACAO A FRIO</v>
      </c>
      <c r="E81" s="151" t="str">
        <f ca="1">VLOOKUP(B81,'Insumos e Serviços'!$A:$F,5,0)</f>
        <v>L</v>
      </c>
      <c r="F81" s="152">
        <v>0.61499999999999999</v>
      </c>
      <c r="G81" s="153">
        <f ca="1">VLOOKUP(B81,'Insumos e Serviços'!$A:$F,6,0)</f>
        <v>15.71</v>
      </c>
      <c r="H81" s="153">
        <f t="shared" si="2"/>
        <v>9.66</v>
      </c>
    </row>
    <row r="82" spans="1:8" ht="22.5">
      <c r="A82" s="149" t="str">
        <f ca="1">VLOOKUP(B82,'Insumos e Serviços'!$A:$F,3,0)</f>
        <v>Insumo</v>
      </c>
      <c r="B82" s="150" t="s">
        <v>860</v>
      </c>
      <c r="C82" s="151" t="str">
        <f ca="1">VLOOKUP(B82,'Insumos e Serviços'!$A:$F,2,0)</f>
        <v>SINAPI</v>
      </c>
      <c r="D82" s="149" t="str">
        <f ca="1">VLOOKUP(B82,'Insumos e Serviços'!$A:$F,4,0)</f>
        <v>ASFALTO MODIFICADO TIPO II - NBR 9910 (ASFALTO OXIDADO PARA IMPERMEABILIZACAO, COEFICIENTE DE PENETRACAO 20-35)</v>
      </c>
      <c r="E82" s="151" t="str">
        <f ca="1">VLOOKUP(B82,'Insumos e Serviços'!$A:$F,5,0)</f>
        <v>KG</v>
      </c>
      <c r="F82" s="152">
        <v>3</v>
      </c>
      <c r="G82" s="153">
        <f ca="1">VLOOKUP(B82,'Insumos e Serviços'!$A:$F,6,0)</f>
        <v>12.71</v>
      </c>
      <c r="H82" s="153">
        <f t="shared" si="2"/>
        <v>38.130000000000003</v>
      </c>
    </row>
    <row r="83" spans="1:8" ht="15" thickBot="1">
      <c r="A83" s="149" t="str">
        <f ca="1">VLOOKUP(B83,'Insumos e Serviços'!$A:$F,3,0)</f>
        <v>Insumo</v>
      </c>
      <c r="B83" s="150" t="s">
        <v>862</v>
      </c>
      <c r="C83" s="151" t="str">
        <f ca="1">VLOOKUP(B83,'Insumos e Serviços'!$A:$F,2,0)</f>
        <v>Próprio</v>
      </c>
      <c r="D83" s="149" t="str">
        <f ca="1">VLOOKUP(B83,'Insumos e Serviços'!$A:$F,4,0)</f>
        <v>Manta asfáltica elastomérica em poliéster 4mm, antirraiz</v>
      </c>
      <c r="E83" s="151" t="str">
        <f ca="1">VLOOKUP(B83,'Insumos e Serviços'!$A:$F,5,0)</f>
        <v>m²</v>
      </c>
      <c r="F83" s="152">
        <v>1.125</v>
      </c>
      <c r="G83" s="153">
        <f ca="1">VLOOKUP(B83,'Insumos e Serviços'!$A:$F,6,0)</f>
        <v>60.39</v>
      </c>
      <c r="H83" s="153">
        <f t="shared" si="2"/>
        <v>67.930000000000007</v>
      </c>
    </row>
    <row r="84" spans="1:8" ht="15" thickTop="1">
      <c r="A84" s="62"/>
      <c r="B84" s="62"/>
      <c r="C84" s="62"/>
      <c r="D84" s="62"/>
      <c r="E84" s="62"/>
      <c r="F84" s="62"/>
      <c r="G84" s="62"/>
      <c r="H84" s="62"/>
    </row>
    <row r="85" spans="1:8" s="142" customFormat="1" ht="22.5">
      <c r="A85" s="143" t="s">
        <v>380</v>
      </c>
      <c r="B85" s="144" t="s">
        <v>381</v>
      </c>
      <c r="C85" s="144" t="s">
        <v>247</v>
      </c>
      <c r="D85" s="145" t="s">
        <v>382</v>
      </c>
      <c r="E85" s="144" t="s">
        <v>257</v>
      </c>
      <c r="F85" s="146"/>
      <c r="G85" s="147"/>
      <c r="H85" s="148">
        <f>SUM(H86:H91)</f>
        <v>108.48000000000002</v>
      </c>
    </row>
    <row r="86" spans="1:8">
      <c r="A86" s="149" t="str">
        <f ca="1">VLOOKUP(B86,'Insumos e Serviços'!$A:$F,3,0)</f>
        <v>Composição</v>
      </c>
      <c r="B86" s="150" t="s">
        <v>854</v>
      </c>
      <c r="C86" s="151" t="str">
        <f ca="1">VLOOKUP(B86,'Insumos e Serviços'!$A:$F,2,0)</f>
        <v>SINAPI</v>
      </c>
      <c r="D86" s="149" t="str">
        <f ca="1">VLOOKUP(B86,'Insumos e Serviços'!$A:$F,4,0)</f>
        <v>AJUDANTE ESPECIALIZADO COM ENCARGOS COMPLEMENTARES</v>
      </c>
      <c r="E86" s="151" t="str">
        <f ca="1">VLOOKUP(B86,'Insumos e Serviços'!$A:$F,5,0)</f>
        <v>H</v>
      </c>
      <c r="F86" s="152">
        <v>2.4E-2</v>
      </c>
      <c r="G86" s="153">
        <f ca="1">VLOOKUP(B86,'Insumos e Serviços'!$A:$F,6,0)</f>
        <v>20.96</v>
      </c>
      <c r="H86" s="153">
        <f t="shared" ref="H86:H91" si="3">TRUNC(F86*G86,2)</f>
        <v>0.5</v>
      </c>
    </row>
    <row r="87" spans="1:8">
      <c r="A87" s="149" t="str">
        <f ca="1">VLOOKUP(B87,'Insumos e Serviços'!$A:$F,3,0)</f>
        <v>Composição</v>
      </c>
      <c r="B87" s="150" t="s">
        <v>803</v>
      </c>
      <c r="C87" s="151" t="str">
        <f ca="1">VLOOKUP(B87,'Insumos e Serviços'!$A:$F,2,0)</f>
        <v>SINAPI</v>
      </c>
      <c r="D87" s="149" t="str">
        <f ca="1">VLOOKUP(B87,'Insumos e Serviços'!$A:$F,4,0)</f>
        <v>IMPERMEABILIZADOR COM ENCARGOS COMPLEMENTARES</v>
      </c>
      <c r="E87" s="151" t="str">
        <f ca="1">VLOOKUP(B87,'Insumos e Serviços'!$A:$F,5,0)</f>
        <v>H</v>
      </c>
      <c r="F87" s="152">
        <v>0.11799999999999999</v>
      </c>
      <c r="G87" s="153">
        <f ca="1">VLOOKUP(B87,'Insumos e Serviços'!$A:$F,6,0)</f>
        <v>23.9</v>
      </c>
      <c r="H87" s="153">
        <f t="shared" si="3"/>
        <v>2.82</v>
      </c>
    </row>
    <row r="88" spans="1:8" ht="22.5">
      <c r="A88" s="149" t="str">
        <f ca="1">VLOOKUP(B88,'Insumos e Serviços'!$A:$F,3,0)</f>
        <v>Insumo</v>
      </c>
      <c r="B88" s="150" t="s">
        <v>864</v>
      </c>
      <c r="C88" s="151" t="str">
        <f ca="1">VLOOKUP(B88,'Insumos e Serviços'!$A:$F,2,0)</f>
        <v>SINAPI</v>
      </c>
      <c r="D88" s="149" t="str">
        <f ca="1">VLOOKUP(B88,'Insumos e Serviços'!$A:$F,4,0)</f>
        <v>MANTA ASFALTICA ELASTOMERICA EM POLIESTER 4 MM, TIPO III, CLASSE B, ACABAMENTO PP (NBR 9952)</v>
      </c>
      <c r="E88" s="151" t="str">
        <f ca="1">VLOOKUP(B88,'Insumos e Serviços'!$A:$F,5,0)</f>
        <v>m²</v>
      </c>
      <c r="F88" s="152">
        <v>1.125</v>
      </c>
      <c r="G88" s="153">
        <f ca="1">VLOOKUP(B88,'Insumos e Serviços'!$A:$F,6,0)</f>
        <v>50.44</v>
      </c>
      <c r="H88" s="153">
        <f t="shared" si="3"/>
        <v>56.74</v>
      </c>
    </row>
    <row r="89" spans="1:8">
      <c r="A89" s="149" t="str">
        <f ca="1">VLOOKUP(B89,'Insumos e Serviços'!$A:$F,3,0)</f>
        <v>Insumo</v>
      </c>
      <c r="B89" s="150" t="s">
        <v>856</v>
      </c>
      <c r="C89" s="151" t="str">
        <f ca="1">VLOOKUP(B89,'Insumos e Serviços'!$A:$F,2,0)</f>
        <v>SINAPI</v>
      </c>
      <c r="D89" s="149" t="str">
        <f ca="1">VLOOKUP(B89,'Insumos e Serviços'!$A:$F,4,0)</f>
        <v>GAS DE COZINHA - GLP</v>
      </c>
      <c r="E89" s="151" t="str">
        <f ca="1">VLOOKUP(B89,'Insumos e Serviços'!$A:$F,5,0)</f>
        <v>KG</v>
      </c>
      <c r="F89" s="152">
        <v>0.10100000000000001</v>
      </c>
      <c r="G89" s="153">
        <f ca="1">VLOOKUP(B89,'Insumos e Serviços'!$A:$F,6,0)</f>
        <v>6.33</v>
      </c>
      <c r="H89" s="153">
        <f t="shared" si="3"/>
        <v>0.63</v>
      </c>
    </row>
    <row r="90" spans="1:8" ht="22.5">
      <c r="A90" s="149" t="str">
        <f ca="1">VLOOKUP(B90,'Insumos e Serviços'!$A:$F,3,0)</f>
        <v>Insumo</v>
      </c>
      <c r="B90" s="150" t="s">
        <v>858</v>
      </c>
      <c r="C90" s="151" t="str">
        <f ca="1">VLOOKUP(B90,'Insumos e Serviços'!$A:$F,2,0)</f>
        <v>SINAPI</v>
      </c>
      <c r="D90" s="149" t="str">
        <f ca="1">VLOOKUP(B90,'Insumos e Serviços'!$A:$F,4,0)</f>
        <v>PRIMER PARA MANTA ASFALTICA A BASE DE ASFALTO MODIFICADO DILUIDO EM SOLVENTE, APLICACAO A FRIO</v>
      </c>
      <c r="E90" s="151" t="str">
        <f ca="1">VLOOKUP(B90,'Insumos e Serviços'!$A:$F,5,0)</f>
        <v>L</v>
      </c>
      <c r="F90" s="152">
        <v>0.61499999999999999</v>
      </c>
      <c r="G90" s="153">
        <f ca="1">VLOOKUP(B90,'Insumos e Serviços'!$A:$F,6,0)</f>
        <v>15.71</v>
      </c>
      <c r="H90" s="153">
        <f t="shared" si="3"/>
        <v>9.66</v>
      </c>
    </row>
    <row r="91" spans="1:8" ht="23.25" thickBot="1">
      <c r="A91" s="149" t="str">
        <f ca="1">VLOOKUP(B91,'Insumos e Serviços'!$A:$F,3,0)</f>
        <v>Insumo</v>
      </c>
      <c r="B91" s="150" t="s">
        <v>860</v>
      </c>
      <c r="C91" s="151" t="str">
        <f ca="1">VLOOKUP(B91,'Insumos e Serviços'!$A:$F,2,0)</f>
        <v>SINAPI</v>
      </c>
      <c r="D91" s="149" t="str">
        <f ca="1">VLOOKUP(B91,'Insumos e Serviços'!$A:$F,4,0)</f>
        <v>ASFALTO MODIFICADO TIPO II - NBR 9910 (ASFALTO OXIDADO PARA IMPERMEABILIZACAO, COEFICIENTE DE PENETRACAO 20-35)</v>
      </c>
      <c r="E91" s="151" t="str">
        <f ca="1">VLOOKUP(B91,'Insumos e Serviços'!$A:$F,5,0)</f>
        <v>KG</v>
      </c>
      <c r="F91" s="152">
        <v>3</v>
      </c>
      <c r="G91" s="153">
        <f ca="1">VLOOKUP(B91,'Insumos e Serviços'!$A:$F,6,0)</f>
        <v>12.71</v>
      </c>
      <c r="H91" s="153">
        <f t="shared" si="3"/>
        <v>38.130000000000003</v>
      </c>
    </row>
    <row r="92" spans="1:8" ht="15" thickTop="1">
      <c r="A92" s="62"/>
      <c r="B92" s="62"/>
      <c r="C92" s="62"/>
      <c r="D92" s="62"/>
      <c r="E92" s="62"/>
      <c r="F92" s="62"/>
      <c r="G92" s="62"/>
      <c r="H92" s="62"/>
    </row>
    <row r="93" spans="1:8" s="142" customFormat="1" ht="33.75">
      <c r="A93" s="143" t="s">
        <v>383</v>
      </c>
      <c r="B93" s="144" t="s">
        <v>384</v>
      </c>
      <c r="C93" s="144" t="s">
        <v>247</v>
      </c>
      <c r="D93" s="145" t="s">
        <v>385</v>
      </c>
      <c r="E93" s="144" t="s">
        <v>257</v>
      </c>
      <c r="F93" s="146"/>
      <c r="G93" s="147"/>
      <c r="H93" s="148">
        <f>SUM(H94:H98)</f>
        <v>63.33</v>
      </c>
    </row>
    <row r="94" spans="1:8">
      <c r="A94" s="149" t="str">
        <f ca="1">VLOOKUP(B94,'Insumos e Serviços'!$A:$F,3,0)</f>
        <v>Composição</v>
      </c>
      <c r="B94" s="150" t="s">
        <v>795</v>
      </c>
      <c r="C94" s="151" t="str">
        <f ca="1">VLOOKUP(B94,'Insumos e Serviços'!$A:$F,2,0)</f>
        <v>SINAPI</v>
      </c>
      <c r="D94" s="149" t="str">
        <f ca="1">VLOOKUP(B94,'Insumos e Serviços'!$A:$F,4,0)</f>
        <v>PEDREIRO COM ENCARGOS COMPLEMENTARES</v>
      </c>
      <c r="E94" s="151" t="str">
        <f ca="1">VLOOKUP(B94,'Insumos e Serviços'!$A:$F,5,0)</f>
        <v>H</v>
      </c>
      <c r="F94" s="152">
        <v>0.91300000000000003</v>
      </c>
      <c r="G94" s="153">
        <f ca="1">VLOOKUP(B94,'Insumos e Serviços'!$A:$F,6,0)</f>
        <v>23.9</v>
      </c>
      <c r="H94" s="153">
        <f>TRUNC(F94*G94,2)</f>
        <v>21.82</v>
      </c>
    </row>
    <row r="95" spans="1:8">
      <c r="A95" s="149" t="str">
        <f ca="1">VLOOKUP(B95,'Insumos e Serviços'!$A:$F,3,0)</f>
        <v>Composição</v>
      </c>
      <c r="B95" s="150" t="s">
        <v>782</v>
      </c>
      <c r="C95" s="151" t="str">
        <f ca="1">VLOOKUP(B95,'Insumos e Serviços'!$A:$F,2,0)</f>
        <v>SINAPI</v>
      </c>
      <c r="D95" s="149" t="str">
        <f ca="1">VLOOKUP(B95,'Insumos e Serviços'!$A:$F,4,0)</f>
        <v>SERVENTE COM ENCARGOS COMPLEMENTARES</v>
      </c>
      <c r="E95" s="151" t="str">
        <f ca="1">VLOOKUP(B95,'Insumos e Serviços'!$A:$F,5,0)</f>
        <v>H</v>
      </c>
      <c r="F95" s="152">
        <v>0.43030000000000002</v>
      </c>
      <c r="G95" s="153">
        <f ca="1">VLOOKUP(B95,'Insumos e Serviços'!$A:$F,6,0)</f>
        <v>17.61</v>
      </c>
      <c r="H95" s="153">
        <f>TRUNC(F95*G95,2)</f>
        <v>7.57</v>
      </c>
    </row>
    <row r="96" spans="1:8" ht="22.5">
      <c r="A96" s="149" t="str">
        <f ca="1">VLOOKUP(B96,'Insumos e Serviços'!$A:$F,3,0)</f>
        <v>Composição</v>
      </c>
      <c r="B96" s="150" t="s">
        <v>866</v>
      </c>
      <c r="C96" s="151" t="str">
        <f ca="1">VLOOKUP(B96,'Insumos e Serviços'!$A:$F,2,0)</f>
        <v>SINAPI</v>
      </c>
      <c r="D96" s="149" t="str">
        <f ca="1">VLOOKUP(B96,'Insumos e Serviços'!$A:$F,4,0)</f>
        <v>ARGAMASSA TRAÇO 1:4 (EM VOLUME DE CIMENTO E AREIA MÉDIA ÚMIDA) PARA CONTRAPISO, PREPARO MECÂNICO COM BETONEIRA 400 L. AF_08/2019</v>
      </c>
      <c r="E96" s="151" t="str">
        <f ca="1">VLOOKUP(B96,'Insumos e Serviços'!$A:$F,5,0)</f>
        <v>m³</v>
      </c>
      <c r="F96" s="152">
        <v>3.5000000000000003E-2</v>
      </c>
      <c r="G96" s="153">
        <f ca="1">VLOOKUP(B96,'Insumos e Serviços'!$A:$F,6,0)</f>
        <v>456.32</v>
      </c>
      <c r="H96" s="153">
        <f>TRUNC(F96*G96,2)</f>
        <v>15.97</v>
      </c>
    </row>
    <row r="97" spans="1:8" ht="22.5">
      <c r="A97" s="149" t="str">
        <f ca="1">VLOOKUP(B97,'Insumos e Serviços'!$A:$F,3,0)</f>
        <v>Insumo</v>
      </c>
      <c r="B97" s="150" t="s">
        <v>868</v>
      </c>
      <c r="C97" s="151" t="str">
        <f ca="1">VLOOKUP(B97,'Insumos e Serviços'!$A:$F,2,0)</f>
        <v>SINAPI</v>
      </c>
      <c r="D97" s="149" t="str">
        <f ca="1">VLOOKUP(B97,'Insumos e Serviços'!$A:$F,4,0)</f>
        <v>GEOTEXTIL NAO TECIDO AGULHADO DE FILAMENTOS CONTINUOS 100% POLIESTER, RESITENCIA A TRACAO = 14 KN/M</v>
      </c>
      <c r="E97" s="151" t="str">
        <f ca="1">VLOOKUP(B97,'Insumos e Serviços'!$A:$F,5,0)</f>
        <v>m²</v>
      </c>
      <c r="F97" s="152">
        <v>1.04</v>
      </c>
      <c r="G97" s="153">
        <f ca="1">VLOOKUP(B97,'Insumos e Serviços'!$A:$F,6,0)</f>
        <v>7.23</v>
      </c>
      <c r="H97" s="153">
        <f>TRUNC(F97*G97,2)</f>
        <v>7.51</v>
      </c>
    </row>
    <row r="98" spans="1:8" ht="23.25" thickBot="1">
      <c r="A98" s="149" t="str">
        <f ca="1">VLOOKUP(B98,'Insumos e Serviços'!$A:$F,3,0)</f>
        <v>Insumo</v>
      </c>
      <c r="B98" s="150" t="s">
        <v>870</v>
      </c>
      <c r="C98" s="151" t="str">
        <f ca="1">VLOOKUP(B98,'Insumos e Serviços'!$A:$F,2,0)</f>
        <v>SINAPI</v>
      </c>
      <c r="D98" s="149" t="str">
        <f ca="1">VLOOKUP(B98,'Insumos e Serviços'!$A:$F,4,0)</f>
        <v>ASFALTO MODIFICADO TIPO III - NBR 9910 (ASFALTO OXIDADO PARA IMPERMEABILIZACAO, COEFICIENTE DE PENETRACAO 15-25)</v>
      </c>
      <c r="E98" s="151" t="str">
        <f ca="1">VLOOKUP(B98,'Insumos e Serviços'!$A:$F,5,0)</f>
        <v>KG</v>
      </c>
      <c r="F98" s="152">
        <v>0.73329999999999995</v>
      </c>
      <c r="G98" s="153">
        <f ca="1">VLOOKUP(B98,'Insumos e Serviços'!$A:$F,6,0)</f>
        <v>14.27</v>
      </c>
      <c r="H98" s="153">
        <f>TRUNC(F98*G98,2)</f>
        <v>10.46</v>
      </c>
    </row>
    <row r="99" spans="1:8" ht="15" thickTop="1">
      <c r="A99" s="62"/>
      <c r="B99" s="62"/>
      <c r="C99" s="62"/>
      <c r="D99" s="62"/>
      <c r="E99" s="62"/>
      <c r="F99" s="62"/>
      <c r="G99" s="62"/>
      <c r="H99" s="62"/>
    </row>
    <row r="100" spans="1:8" s="142" customFormat="1" ht="22.5">
      <c r="A100" s="143" t="s">
        <v>386</v>
      </c>
      <c r="B100" s="144" t="s">
        <v>387</v>
      </c>
      <c r="C100" s="144" t="s">
        <v>247</v>
      </c>
      <c r="D100" s="145" t="s">
        <v>388</v>
      </c>
      <c r="E100" s="144" t="s">
        <v>257</v>
      </c>
      <c r="F100" s="146"/>
      <c r="G100" s="147"/>
      <c r="H100" s="148">
        <f>SUM(H101:H104)</f>
        <v>72.86</v>
      </c>
    </row>
    <row r="101" spans="1:8">
      <c r="A101" s="149" t="str">
        <f ca="1">VLOOKUP(B101,'Insumos e Serviços'!$A:$F,3,0)</f>
        <v>Composição</v>
      </c>
      <c r="B101" s="150" t="s">
        <v>854</v>
      </c>
      <c r="C101" s="151" t="str">
        <f ca="1">VLOOKUP(B101,'Insumos e Serviços'!$A:$F,2,0)</f>
        <v>SINAPI</v>
      </c>
      <c r="D101" s="149" t="str">
        <f ca="1">VLOOKUP(B101,'Insumos e Serviços'!$A:$F,4,0)</f>
        <v>AJUDANTE ESPECIALIZADO COM ENCARGOS COMPLEMENTARES</v>
      </c>
      <c r="E101" s="151" t="str">
        <f ca="1">VLOOKUP(B101,'Insumos e Serviços'!$A:$F,5,0)</f>
        <v>H</v>
      </c>
      <c r="F101" s="152">
        <v>0.17799999999999999</v>
      </c>
      <c r="G101" s="153">
        <f ca="1">VLOOKUP(B101,'Insumos e Serviços'!$A:$F,6,0)</f>
        <v>20.96</v>
      </c>
      <c r="H101" s="153">
        <f>TRUNC(F101*G101,2)</f>
        <v>3.73</v>
      </c>
    </row>
    <row r="102" spans="1:8">
      <c r="A102" s="149" t="str">
        <f ca="1">VLOOKUP(B102,'Insumos e Serviços'!$A:$F,3,0)</f>
        <v>Composição</v>
      </c>
      <c r="B102" s="150" t="s">
        <v>803</v>
      </c>
      <c r="C102" s="151" t="str">
        <f ca="1">VLOOKUP(B102,'Insumos e Serviços'!$A:$F,2,0)</f>
        <v>SINAPI</v>
      </c>
      <c r="D102" s="149" t="str">
        <f ca="1">VLOOKUP(B102,'Insumos e Serviços'!$A:$F,4,0)</f>
        <v>IMPERMEABILIZADOR COM ENCARGOS COMPLEMENTARES</v>
      </c>
      <c r="E102" s="151" t="str">
        <f ca="1">VLOOKUP(B102,'Insumos e Serviços'!$A:$F,5,0)</f>
        <v>H</v>
      </c>
      <c r="F102" s="152">
        <v>0.88100000000000001</v>
      </c>
      <c r="G102" s="153">
        <f ca="1">VLOOKUP(B102,'Insumos e Serviços'!$A:$F,6,0)</f>
        <v>23.9</v>
      </c>
      <c r="H102" s="153">
        <f>TRUNC(F102*G102,2)</f>
        <v>21.05</v>
      </c>
    </row>
    <row r="103" spans="1:8">
      <c r="A103" s="149" t="str">
        <f ca="1">VLOOKUP(B103,'Insumos e Serviços'!$A:$F,3,0)</f>
        <v>Insumo</v>
      </c>
      <c r="B103" s="150" t="s">
        <v>872</v>
      </c>
      <c r="C103" s="151" t="str">
        <f ca="1">VLOOKUP(B103,'Insumos e Serviços'!$A:$F,2,0)</f>
        <v>SINAPI</v>
      </c>
      <c r="D103" s="149" t="str">
        <f ca="1">VLOOKUP(B103,'Insumos e Serviços'!$A:$F,4,0)</f>
        <v>VEU POLIESTER</v>
      </c>
      <c r="E103" s="151" t="str">
        <f ca="1">VLOOKUP(B103,'Insumos e Serviços'!$A:$F,5,0)</f>
        <v>m²</v>
      </c>
      <c r="F103" s="152">
        <v>1.351</v>
      </c>
      <c r="G103" s="153">
        <f ca="1">VLOOKUP(B103,'Insumos e Serviços'!$A:$F,6,0)</f>
        <v>5.38</v>
      </c>
      <c r="H103" s="153">
        <f>TRUNC(F103*G103,2)</f>
        <v>7.26</v>
      </c>
    </row>
    <row r="104" spans="1:8" ht="23.25" thickBot="1">
      <c r="A104" s="149" t="str">
        <f ca="1">VLOOKUP(B104,'Insumos e Serviços'!$A:$F,3,0)</f>
        <v>Insumo</v>
      </c>
      <c r="B104" s="150" t="s">
        <v>874</v>
      </c>
      <c r="C104" s="151" t="str">
        <f ca="1">VLOOKUP(B104,'Insumos e Serviços'!$A:$F,2,0)</f>
        <v>Próprio</v>
      </c>
      <c r="D104" s="149" t="str">
        <f ca="1">VLOOKUP(B104,'Insumos e Serviços'!$A:$F,4,0)</f>
        <v>Revestimento impermeabilizante flexível, bicomponente, à base de resinas termoplásticas e cimentos com aditivos e incorporação de fibras sintéticas, Viaplus 7000</v>
      </c>
      <c r="E104" s="151" t="str">
        <f ca="1">VLOOKUP(B104,'Insumos e Serviços'!$A:$F,5,0)</f>
        <v>kg</v>
      </c>
      <c r="F104" s="152">
        <v>4.2</v>
      </c>
      <c r="G104" s="153">
        <f ca="1">VLOOKUP(B104,'Insumos e Serviços'!$A:$F,6,0)</f>
        <v>9.7200000000000006</v>
      </c>
      <c r="H104" s="153">
        <f>TRUNC(F104*G104,2)</f>
        <v>40.82</v>
      </c>
    </row>
    <row r="105" spans="1:8" ht="15" thickTop="1">
      <c r="A105" s="62"/>
      <c r="B105" s="62"/>
      <c r="C105" s="62"/>
      <c r="D105" s="62"/>
      <c r="E105" s="62"/>
      <c r="F105" s="62"/>
      <c r="G105" s="62"/>
      <c r="H105" s="62"/>
    </row>
    <row r="106" spans="1:8" s="142" customFormat="1" ht="22.5">
      <c r="A106" s="143" t="s">
        <v>389</v>
      </c>
      <c r="B106" s="144" t="s">
        <v>390</v>
      </c>
      <c r="C106" s="144" t="s">
        <v>247</v>
      </c>
      <c r="D106" s="145" t="s">
        <v>391</v>
      </c>
      <c r="E106" s="144" t="s">
        <v>257</v>
      </c>
      <c r="F106" s="146"/>
      <c r="G106" s="147"/>
      <c r="H106" s="148">
        <f>SUM(H107:H110)</f>
        <v>26.029999999999998</v>
      </c>
    </row>
    <row r="107" spans="1:8">
      <c r="A107" s="149" t="str">
        <f ca="1">VLOOKUP(B107,'Insumos e Serviços'!$A:$F,3,0)</f>
        <v>Composição</v>
      </c>
      <c r="B107" s="150" t="s">
        <v>854</v>
      </c>
      <c r="C107" s="151" t="str">
        <f ca="1">VLOOKUP(B107,'Insumos e Serviços'!$A:$F,2,0)</f>
        <v>SINAPI</v>
      </c>
      <c r="D107" s="149" t="str">
        <f ca="1">VLOOKUP(B107,'Insumos e Serviços'!$A:$F,4,0)</f>
        <v>AJUDANTE ESPECIALIZADO COM ENCARGOS COMPLEMENTARES</v>
      </c>
      <c r="E107" s="151" t="str">
        <f ca="1">VLOOKUP(B107,'Insumos e Serviços'!$A:$F,5,0)</f>
        <v>H</v>
      </c>
      <c r="F107" s="152">
        <v>0.09</v>
      </c>
      <c r="G107" s="153">
        <f ca="1">VLOOKUP(B107,'Insumos e Serviços'!$A:$F,6,0)</f>
        <v>20.96</v>
      </c>
      <c r="H107" s="153">
        <f>TRUNC(F107*G107,2)</f>
        <v>1.88</v>
      </c>
    </row>
    <row r="108" spans="1:8">
      <c r="A108" s="149" t="str">
        <f ca="1">VLOOKUP(B108,'Insumos e Serviços'!$A:$F,3,0)</f>
        <v>Composição</v>
      </c>
      <c r="B108" s="150" t="s">
        <v>803</v>
      </c>
      <c r="C108" s="151" t="str">
        <f ca="1">VLOOKUP(B108,'Insumos e Serviços'!$A:$F,2,0)</f>
        <v>SINAPI</v>
      </c>
      <c r="D108" s="149" t="str">
        <f ca="1">VLOOKUP(B108,'Insumos e Serviços'!$A:$F,4,0)</f>
        <v>IMPERMEABILIZADOR COM ENCARGOS COMPLEMENTARES</v>
      </c>
      <c r="E108" s="151" t="str">
        <f ca="1">VLOOKUP(B108,'Insumos e Serviços'!$A:$F,5,0)</f>
        <v>H</v>
      </c>
      <c r="F108" s="152">
        <v>0.44</v>
      </c>
      <c r="G108" s="153">
        <f ca="1">VLOOKUP(B108,'Insumos e Serviços'!$A:$F,6,0)</f>
        <v>23.9</v>
      </c>
      <c r="H108" s="153">
        <f>TRUNC(F108*G108,2)</f>
        <v>10.51</v>
      </c>
    </row>
    <row r="109" spans="1:8">
      <c r="A109" s="149" t="str">
        <f ca="1">VLOOKUP(B109,'Insumos e Serviços'!$A:$F,3,0)</f>
        <v>Insumo</v>
      </c>
      <c r="B109" s="150" t="s">
        <v>872</v>
      </c>
      <c r="C109" s="151" t="str">
        <f ca="1">VLOOKUP(B109,'Insumos e Serviços'!$A:$F,2,0)</f>
        <v>SINAPI</v>
      </c>
      <c r="D109" s="149" t="str">
        <f ca="1">VLOOKUP(B109,'Insumos e Serviços'!$A:$F,4,0)</f>
        <v>VEU POLIESTER</v>
      </c>
      <c r="E109" s="151" t="str">
        <f ca="1">VLOOKUP(B109,'Insumos e Serviços'!$A:$F,5,0)</f>
        <v>m²</v>
      </c>
      <c r="F109" s="152">
        <v>1.351</v>
      </c>
      <c r="G109" s="153">
        <f ca="1">VLOOKUP(B109,'Insumos e Serviços'!$A:$F,6,0)</f>
        <v>5.38</v>
      </c>
      <c r="H109" s="153">
        <f>TRUNC(F109*G109,2)</f>
        <v>7.26</v>
      </c>
    </row>
    <row r="110" spans="1:8" ht="23.25" thickBot="1">
      <c r="A110" s="149" t="str">
        <f ca="1">VLOOKUP(B110,'Insumos e Serviços'!$A:$F,3,0)</f>
        <v>Insumo</v>
      </c>
      <c r="B110" s="150" t="s">
        <v>877</v>
      </c>
      <c r="C110" s="151" t="str">
        <f ca="1">VLOOKUP(B110,'Insumos e Serviços'!$A:$F,2,0)</f>
        <v>SINAPI</v>
      </c>
      <c r="D110" s="149" t="str">
        <f ca="1">VLOOKUP(B110,'Insumos e Serviços'!$A:$F,4,0)</f>
        <v>ARGAMASSA POLIMERICA IMPERMEABILIZANTE SEMIFLEXIVEL, BICOMPONENTE (MEMBRANA IMPERMEABILIZANTE ACRILICA)</v>
      </c>
      <c r="E110" s="151" t="str">
        <f ca="1">VLOOKUP(B110,'Insumos e Serviços'!$A:$F,5,0)</f>
        <v>KG</v>
      </c>
      <c r="F110" s="152">
        <v>2.1</v>
      </c>
      <c r="G110" s="153">
        <f ca="1">VLOOKUP(B110,'Insumos e Serviços'!$A:$F,6,0)</f>
        <v>3.04</v>
      </c>
      <c r="H110" s="153">
        <f>TRUNC(F110*G110,2)</f>
        <v>6.38</v>
      </c>
    </row>
    <row r="111" spans="1:8" ht="15" thickTop="1">
      <c r="A111" s="62"/>
      <c r="B111" s="62"/>
      <c r="C111" s="62"/>
      <c r="D111" s="62"/>
      <c r="E111" s="62"/>
      <c r="F111" s="62"/>
      <c r="G111" s="62"/>
      <c r="H111" s="62"/>
    </row>
    <row r="112" spans="1:8" s="142" customFormat="1" ht="22.5">
      <c r="A112" s="143" t="s">
        <v>395</v>
      </c>
      <c r="B112" s="144" t="s">
        <v>396</v>
      </c>
      <c r="C112" s="144" t="s">
        <v>247</v>
      </c>
      <c r="D112" s="145" t="s">
        <v>397</v>
      </c>
      <c r="E112" s="144" t="s">
        <v>257</v>
      </c>
      <c r="F112" s="146"/>
      <c r="G112" s="147"/>
      <c r="H112" s="148">
        <f>SUM(H113:H114)</f>
        <v>7.9399999999999995</v>
      </c>
    </row>
    <row r="113" spans="1:8">
      <c r="A113" s="149" t="str">
        <f ca="1">VLOOKUP(B113,'Insumos e Serviços'!$A:$F,3,0)</f>
        <v>Composição</v>
      </c>
      <c r="B113" s="150" t="s">
        <v>782</v>
      </c>
      <c r="C113" s="151" t="str">
        <f ca="1">VLOOKUP(B113,'Insumos e Serviços'!$A:$F,2,0)</f>
        <v>SINAPI</v>
      </c>
      <c r="D113" s="149" t="str">
        <f ca="1">VLOOKUP(B113,'Insumos e Serviços'!$A:$F,4,0)</f>
        <v>SERVENTE COM ENCARGOS COMPLEMENTARES</v>
      </c>
      <c r="E113" s="151" t="str">
        <f ca="1">VLOOKUP(B113,'Insumos e Serviços'!$A:$F,5,0)</f>
        <v>H</v>
      </c>
      <c r="F113" s="152">
        <v>0.02</v>
      </c>
      <c r="G113" s="153">
        <f ca="1">VLOOKUP(B113,'Insumos e Serviços'!$A:$F,6,0)</f>
        <v>17.61</v>
      </c>
      <c r="H113" s="153">
        <f>TRUNC(F113*G113,2)</f>
        <v>0.35</v>
      </c>
    </row>
    <row r="114" spans="1:8" ht="23.25" thickBot="1">
      <c r="A114" s="149" t="str">
        <f ca="1">VLOOKUP(B114,'Insumos e Serviços'!$A:$F,3,0)</f>
        <v>Insumo</v>
      </c>
      <c r="B114" s="150" t="s">
        <v>868</v>
      </c>
      <c r="C114" s="151" t="str">
        <f ca="1">VLOOKUP(B114,'Insumos e Serviços'!$A:$F,2,0)</f>
        <v>SINAPI</v>
      </c>
      <c r="D114" s="149" t="str">
        <f ca="1">VLOOKUP(B114,'Insumos e Serviços'!$A:$F,4,0)</f>
        <v>GEOTEXTIL NAO TECIDO AGULHADO DE FILAMENTOS CONTINUOS 100% POLIESTER, RESITENCIA A TRACAO = 14 KN/M</v>
      </c>
      <c r="E114" s="151" t="str">
        <f ca="1">VLOOKUP(B114,'Insumos e Serviços'!$A:$F,5,0)</f>
        <v>m²</v>
      </c>
      <c r="F114" s="152">
        <v>1.05</v>
      </c>
      <c r="G114" s="153">
        <f ca="1">VLOOKUP(B114,'Insumos e Serviços'!$A:$F,6,0)</f>
        <v>7.23</v>
      </c>
      <c r="H114" s="153">
        <f>TRUNC(F114*G114,2)</f>
        <v>7.59</v>
      </c>
    </row>
    <row r="115" spans="1:8" ht="15" thickTop="1">
      <c r="A115" s="62"/>
      <c r="B115" s="62"/>
      <c r="C115" s="62"/>
      <c r="D115" s="62"/>
      <c r="E115" s="62"/>
      <c r="F115" s="62"/>
      <c r="G115" s="62"/>
      <c r="H115" s="62"/>
    </row>
    <row r="116" spans="1:8" s="142" customFormat="1" ht="15">
      <c r="A116" s="143" t="s">
        <v>398</v>
      </c>
      <c r="B116" s="144" t="s">
        <v>399</v>
      </c>
      <c r="C116" s="144" t="s">
        <v>247</v>
      </c>
      <c r="D116" s="145" t="s">
        <v>400</v>
      </c>
      <c r="E116" s="144" t="s">
        <v>351</v>
      </c>
      <c r="F116" s="146"/>
      <c r="G116" s="147"/>
      <c r="H116" s="148">
        <f>SUM(H117:H119)</f>
        <v>12.540000000000001</v>
      </c>
    </row>
    <row r="117" spans="1:8">
      <c r="A117" s="149" t="str">
        <f ca="1">VLOOKUP(B117,'Insumos e Serviços'!$A:$F,3,0)</f>
        <v>Composição</v>
      </c>
      <c r="B117" s="150" t="s">
        <v>879</v>
      </c>
      <c r="C117" s="151" t="str">
        <f ca="1">VLOOKUP(B117,'Insumos e Serviços'!$A:$F,2,0)</f>
        <v>SINAPI</v>
      </c>
      <c r="D117" s="149" t="str">
        <f ca="1">VLOOKUP(B117,'Insumos e Serviços'!$A:$F,4,0)</f>
        <v>VIDRACEIRO COM ENCARGOS COMPLEMENTARES</v>
      </c>
      <c r="E117" s="151" t="str">
        <f ca="1">VLOOKUP(B117,'Insumos e Serviços'!$A:$F,5,0)</f>
        <v>H</v>
      </c>
      <c r="F117" s="152">
        <v>0.37</v>
      </c>
      <c r="G117" s="153">
        <f ca="1">VLOOKUP(B117,'Insumos e Serviços'!$A:$F,6,0)</f>
        <v>22.19</v>
      </c>
      <c r="H117" s="153">
        <f>TRUNC(F117*G117,2)</f>
        <v>8.2100000000000009</v>
      </c>
    </row>
    <row r="118" spans="1:8">
      <c r="A118" s="149" t="str">
        <f ca="1">VLOOKUP(B118,'Insumos e Serviços'!$A:$F,3,0)</f>
        <v>Composição</v>
      </c>
      <c r="B118" s="150" t="s">
        <v>782</v>
      </c>
      <c r="C118" s="151" t="str">
        <f ca="1">VLOOKUP(B118,'Insumos e Serviços'!$A:$F,2,0)</f>
        <v>SINAPI</v>
      </c>
      <c r="D118" s="149" t="str">
        <f ca="1">VLOOKUP(B118,'Insumos e Serviços'!$A:$F,4,0)</f>
        <v>SERVENTE COM ENCARGOS COMPLEMENTARES</v>
      </c>
      <c r="E118" s="151" t="str">
        <f ca="1">VLOOKUP(B118,'Insumos e Serviços'!$A:$F,5,0)</f>
        <v>H</v>
      </c>
      <c r="F118" s="152">
        <v>0.1</v>
      </c>
      <c r="G118" s="153">
        <f ca="1">VLOOKUP(B118,'Insumos e Serviços'!$A:$F,6,0)</f>
        <v>17.61</v>
      </c>
      <c r="H118" s="153">
        <f>TRUNC(F118*G118,2)</f>
        <v>1.76</v>
      </c>
    </row>
    <row r="119" spans="1:8" ht="23.25" thickBot="1">
      <c r="A119" s="149" t="str">
        <f ca="1">VLOOKUP(B119,'Insumos e Serviços'!$A:$F,3,0)</f>
        <v>Insumo</v>
      </c>
      <c r="B119" s="150" t="s">
        <v>881</v>
      </c>
      <c r="C119" s="151" t="str">
        <f ca="1">VLOOKUP(B119,'Insumos e Serviços'!$A:$F,2,0)</f>
        <v>SINAPI</v>
      </c>
      <c r="D119" s="149" t="str">
        <f ca="1">VLOOKUP(B119,'Insumos e Serviços'!$A:$F,4,0)</f>
        <v>IMPERMEABILIZANTE INCOLOR PARA TRATAMENTO DE FACHADAS E TELHAS, BASE SILICONE</v>
      </c>
      <c r="E119" s="151" t="str">
        <f ca="1">VLOOKUP(B119,'Insumos e Serviços'!$A:$F,5,0)</f>
        <v>L</v>
      </c>
      <c r="F119" s="152">
        <v>0.1</v>
      </c>
      <c r="G119" s="153">
        <f ca="1">VLOOKUP(B119,'Insumos e Serviços'!$A:$F,6,0)</f>
        <v>25.76</v>
      </c>
      <c r="H119" s="153">
        <f>TRUNC(F119*G119,2)</f>
        <v>2.57</v>
      </c>
    </row>
    <row r="120" spans="1:8" ht="15" thickTop="1">
      <c r="A120" s="14"/>
      <c r="B120" s="14"/>
      <c r="C120" s="14"/>
      <c r="D120" s="14"/>
      <c r="E120" s="14"/>
      <c r="F120" s="14"/>
      <c r="G120" s="14"/>
      <c r="H120" s="14"/>
    </row>
    <row r="121" spans="1:8">
      <c r="A121" s="11" t="s">
        <v>401</v>
      </c>
      <c r="B121" s="11"/>
      <c r="C121" s="11"/>
      <c r="D121" s="11" t="s">
        <v>402</v>
      </c>
      <c r="E121" s="11"/>
      <c r="F121" s="12"/>
      <c r="G121" s="11"/>
      <c r="H121" s="13"/>
    </row>
    <row r="122" spans="1:8">
      <c r="A122" s="182" t="s">
        <v>403</v>
      </c>
      <c r="B122" s="182"/>
      <c r="C122" s="182"/>
      <c r="D122" s="183" t="s">
        <v>404</v>
      </c>
      <c r="E122" s="182"/>
      <c r="F122" s="184"/>
      <c r="G122" s="184"/>
      <c r="H122" s="184"/>
    </row>
    <row r="123" spans="1:8">
      <c r="A123" s="64" t="s">
        <v>405</v>
      </c>
      <c r="B123" s="64"/>
      <c r="C123" s="64"/>
      <c r="D123" s="64" t="s">
        <v>406</v>
      </c>
      <c r="E123" s="64"/>
      <c r="F123" s="65"/>
      <c r="G123" s="64"/>
      <c r="H123" s="66"/>
    </row>
    <row r="124" spans="1:8" s="142" customFormat="1" ht="22.5">
      <c r="A124" s="143" t="s">
        <v>439</v>
      </c>
      <c r="B124" s="144" t="s">
        <v>440</v>
      </c>
      <c r="C124" s="144" t="s">
        <v>247</v>
      </c>
      <c r="D124" s="145" t="s">
        <v>441</v>
      </c>
      <c r="E124" s="144" t="s">
        <v>288</v>
      </c>
      <c r="F124" s="146"/>
      <c r="G124" s="147"/>
      <c r="H124" s="148">
        <f>SUM(H125:H128)</f>
        <v>317.63</v>
      </c>
    </row>
    <row r="125" spans="1:8">
      <c r="A125" s="149" t="str">
        <f ca="1">VLOOKUP(B125,'Insumos e Serviços'!$A:$F,3,0)</f>
        <v>Composição</v>
      </c>
      <c r="B125" s="150" t="s">
        <v>807</v>
      </c>
      <c r="C125" s="151" t="str">
        <f ca="1">VLOOKUP(B125,'Insumos e Serviços'!$A:$F,2,0)</f>
        <v>SINAPI</v>
      </c>
      <c r="D125" s="149" t="str">
        <f ca="1">VLOOKUP(B125,'Insumos e Serviços'!$A:$F,4,0)</f>
        <v>AUXILIAR DE ENCANADOR OU BOMBEIRO HIDRÁULICO COM ENCARGOS COMPLEMENTARES</v>
      </c>
      <c r="E125" s="151" t="str">
        <f ca="1">VLOOKUP(B125,'Insumos e Serviços'!$A:$F,5,0)</f>
        <v>H</v>
      </c>
      <c r="F125" s="152">
        <v>0.81799999999999995</v>
      </c>
      <c r="G125" s="153">
        <f ca="1">VLOOKUP(B125,'Insumos e Serviços'!$A:$F,6,0)</f>
        <v>18.23</v>
      </c>
      <c r="H125" s="153">
        <f>TRUNC(F125*G125,2)</f>
        <v>14.91</v>
      </c>
    </row>
    <row r="126" spans="1:8">
      <c r="A126" s="149" t="str">
        <f ca="1">VLOOKUP(B126,'Insumos e Serviços'!$A:$F,3,0)</f>
        <v>Composição</v>
      </c>
      <c r="B126" s="150" t="s">
        <v>805</v>
      </c>
      <c r="C126" s="151" t="str">
        <f ca="1">VLOOKUP(B126,'Insumos e Serviços'!$A:$F,2,0)</f>
        <v>SINAPI</v>
      </c>
      <c r="D126" s="149" t="str">
        <f ca="1">VLOOKUP(B126,'Insumos e Serviços'!$A:$F,4,0)</f>
        <v>ENCANADOR OU BOMBEIRO HIDRÁULICO COM ENCARGOS COMPLEMENTARES</v>
      </c>
      <c r="E126" s="151" t="str">
        <f ca="1">VLOOKUP(B126,'Insumos e Serviços'!$A:$F,5,0)</f>
        <v>H</v>
      </c>
      <c r="F126" s="152">
        <v>0.81799999999999995</v>
      </c>
      <c r="G126" s="153">
        <f ca="1">VLOOKUP(B126,'Insumos e Serviços'!$A:$F,6,0)</f>
        <v>23.41</v>
      </c>
      <c r="H126" s="153">
        <f>TRUNC(F126*G126,2)</f>
        <v>19.14</v>
      </c>
    </row>
    <row r="127" spans="1:8">
      <c r="A127" s="149" t="str">
        <f ca="1">VLOOKUP(B127,'Insumos e Serviços'!$A:$F,3,0)</f>
        <v>Insumo</v>
      </c>
      <c r="B127" s="150" t="s">
        <v>885</v>
      </c>
      <c r="C127" s="151" t="str">
        <f ca="1">VLOOKUP(B127,'Insumos e Serviços'!$A:$F,2,0)</f>
        <v>SINAPI</v>
      </c>
      <c r="D127" s="149" t="str">
        <f ca="1">VLOOKUP(B127,'Insumos e Serviços'!$A:$F,4,0)</f>
        <v>FITA VEDA ROSCA EM ROLOS DE 18 MM X 50 M (L X C)</v>
      </c>
      <c r="E127" s="151" t="str">
        <f ca="1">VLOOKUP(B127,'Insumos e Serviços'!$A:$F,5,0)</f>
        <v>UN</v>
      </c>
      <c r="F127" s="152">
        <v>3.7999999999999999E-2</v>
      </c>
      <c r="G127" s="153">
        <f ca="1">VLOOKUP(B127,'Insumos e Serviços'!$A:$F,6,0)</f>
        <v>13.49</v>
      </c>
      <c r="H127" s="153">
        <f>TRUNC(F127*G127,2)</f>
        <v>0.51</v>
      </c>
    </row>
    <row r="128" spans="1:8" ht="15" thickBot="1">
      <c r="A128" s="149" t="str">
        <f ca="1">VLOOKUP(B128,'Insumos e Serviços'!$A:$F,3,0)</f>
        <v>Insumo</v>
      </c>
      <c r="B128" s="150" t="s">
        <v>887</v>
      </c>
      <c r="C128" s="151" t="str">
        <f ca="1">VLOOKUP(B128,'Insumos e Serviços'!$A:$F,2,0)</f>
        <v>Próprio</v>
      </c>
      <c r="D128" s="149" t="str">
        <f ca="1">VLOOKUP(B128,'Insumos e Serviços'!$A:$F,4,0)</f>
        <v>Válvula de esfera bruta, bronze, roscável, 2 1/2''</v>
      </c>
      <c r="E128" s="151" t="str">
        <f ca="1">VLOOKUP(B128,'Insumos e Serviços'!$A:$F,5,0)</f>
        <v>un</v>
      </c>
      <c r="F128" s="152">
        <v>1</v>
      </c>
      <c r="G128" s="153">
        <f ca="1">VLOOKUP(B128,'Insumos e Serviços'!$A:$F,6,0)</f>
        <v>283.07</v>
      </c>
      <c r="H128" s="153">
        <f>TRUNC(F128*G128,2)</f>
        <v>283.07</v>
      </c>
    </row>
    <row r="129" spans="1:8" ht="15" thickTop="1">
      <c r="A129" s="62"/>
      <c r="B129" s="62"/>
      <c r="C129" s="62"/>
      <c r="D129" s="62"/>
      <c r="E129" s="62"/>
      <c r="F129" s="62"/>
      <c r="G129" s="62"/>
      <c r="H129" s="62"/>
    </row>
    <row r="130" spans="1:8" s="142" customFormat="1" ht="33.75">
      <c r="A130" s="143" t="s">
        <v>448</v>
      </c>
      <c r="B130" s="144" t="s">
        <v>449</v>
      </c>
      <c r="C130" s="144" t="s">
        <v>247</v>
      </c>
      <c r="D130" s="145" t="s">
        <v>450</v>
      </c>
      <c r="E130" s="144" t="s">
        <v>288</v>
      </c>
      <c r="F130" s="146"/>
      <c r="G130" s="147"/>
      <c r="H130" s="148">
        <f>SUM(H131:H135)</f>
        <v>53.41</v>
      </c>
    </row>
    <row r="131" spans="1:8">
      <c r="A131" s="149" t="str">
        <f ca="1">VLOOKUP(B131,'Insumos e Serviços'!$A:$F,3,0)</f>
        <v>Composição</v>
      </c>
      <c r="B131" s="150" t="s">
        <v>807</v>
      </c>
      <c r="C131" s="151" t="str">
        <f ca="1">VLOOKUP(B131,'Insumos e Serviços'!$A:$F,2,0)</f>
        <v>SINAPI</v>
      </c>
      <c r="D131" s="149" t="str">
        <f ca="1">VLOOKUP(B131,'Insumos e Serviços'!$A:$F,4,0)</f>
        <v>AUXILIAR DE ENCANADOR OU BOMBEIRO HIDRÁULICO COM ENCARGOS COMPLEMENTARES</v>
      </c>
      <c r="E131" s="151" t="str">
        <f ca="1">VLOOKUP(B131,'Insumos e Serviços'!$A:$F,5,0)</f>
        <v>H</v>
      </c>
      <c r="F131" s="152">
        <v>0.26200000000000001</v>
      </c>
      <c r="G131" s="153">
        <f ca="1">VLOOKUP(B131,'Insumos e Serviços'!$A:$F,6,0)</f>
        <v>18.23</v>
      </c>
      <c r="H131" s="153">
        <f>TRUNC(F131*G131,2)</f>
        <v>4.7699999999999996</v>
      </c>
    </row>
    <row r="132" spans="1:8">
      <c r="A132" s="149" t="str">
        <f ca="1">VLOOKUP(B132,'Insumos e Serviços'!$A:$F,3,0)</f>
        <v>Composição</v>
      </c>
      <c r="B132" s="150" t="s">
        <v>805</v>
      </c>
      <c r="C132" s="151" t="str">
        <f ca="1">VLOOKUP(B132,'Insumos e Serviços'!$A:$F,2,0)</f>
        <v>SINAPI</v>
      </c>
      <c r="D132" s="149" t="str">
        <f ca="1">VLOOKUP(B132,'Insumos e Serviços'!$A:$F,4,0)</f>
        <v>ENCANADOR OU BOMBEIRO HIDRÁULICO COM ENCARGOS COMPLEMENTARES</v>
      </c>
      <c r="E132" s="151" t="str">
        <f ca="1">VLOOKUP(B132,'Insumos e Serviços'!$A:$F,5,0)</f>
        <v>H</v>
      </c>
      <c r="F132" s="152">
        <v>0.26200000000000001</v>
      </c>
      <c r="G132" s="153">
        <f ca="1">VLOOKUP(B132,'Insumos e Serviços'!$A:$F,6,0)</f>
        <v>23.41</v>
      </c>
      <c r="H132" s="153">
        <f>TRUNC(F132*G132,2)</f>
        <v>6.13</v>
      </c>
    </row>
    <row r="133" spans="1:8">
      <c r="A133" s="149" t="str">
        <f ca="1">VLOOKUP(B133,'Insumos e Serviços'!$A:$F,3,0)</f>
        <v>Insumo</v>
      </c>
      <c r="B133" s="150" t="s">
        <v>885</v>
      </c>
      <c r="C133" s="151" t="str">
        <f ca="1">VLOOKUP(B133,'Insumos e Serviços'!$A:$F,2,0)</f>
        <v>SINAPI</v>
      </c>
      <c r="D133" s="149" t="str">
        <f ca="1">VLOOKUP(B133,'Insumos e Serviços'!$A:$F,4,0)</f>
        <v>FITA VEDA ROSCA EM ROLOS DE 18 MM X 50 M (L X C)</v>
      </c>
      <c r="E133" s="151" t="str">
        <f ca="1">VLOOKUP(B133,'Insumos e Serviços'!$A:$F,5,0)</f>
        <v>UN</v>
      </c>
      <c r="F133" s="152">
        <v>1.2999999999999999E-2</v>
      </c>
      <c r="G133" s="153">
        <f ca="1">VLOOKUP(B133,'Insumos e Serviços'!$A:$F,6,0)</f>
        <v>13.49</v>
      </c>
      <c r="H133" s="153">
        <f>TRUNC(F133*G133,2)</f>
        <v>0.17</v>
      </c>
    </row>
    <row r="134" spans="1:8">
      <c r="A134" s="149" t="str">
        <f ca="1">VLOOKUP(B134,'Insumos e Serviços'!$A:$F,3,0)</f>
        <v>Insumo</v>
      </c>
      <c r="B134" s="150" t="s">
        <v>883</v>
      </c>
      <c r="C134" s="151" t="str">
        <f ca="1">VLOOKUP(B134,'Insumos e Serviços'!$A:$F,2,0)</f>
        <v>SINAPI</v>
      </c>
      <c r="D134" s="149" t="str">
        <f ca="1">VLOOKUP(B134,'Insumos e Serviços'!$A:$F,4,0)</f>
        <v>FUNDO ANTICORROSIVO PARA METAIS FERROSOS (ZARCAO)</v>
      </c>
      <c r="E134" s="151" t="str">
        <f ca="1">VLOOKUP(B134,'Insumos e Serviços'!$A:$F,5,0)</f>
        <v>L</v>
      </c>
      <c r="F134" s="152">
        <v>2E-3</v>
      </c>
      <c r="G134" s="153">
        <f ca="1">VLOOKUP(B134,'Insumos e Serviços'!$A:$F,6,0)</f>
        <v>30.54</v>
      </c>
      <c r="H134" s="153">
        <f>TRUNC(F134*G134,2)</f>
        <v>0.06</v>
      </c>
    </row>
    <row r="135" spans="1:8" ht="15" thickBot="1">
      <c r="A135" s="149" t="str">
        <f ca="1">VLOOKUP(B135,'Insumos e Serviços'!$A:$F,3,0)</f>
        <v>Insumo</v>
      </c>
      <c r="B135" s="150" t="s">
        <v>889</v>
      </c>
      <c r="C135" s="151" t="str">
        <f ca="1">VLOOKUP(B135,'Insumos e Serviços'!$A:$F,2,0)</f>
        <v>SINAPI</v>
      </c>
      <c r="D135" s="149" t="str">
        <f ca="1">VLOOKUP(B135,'Insumos e Serviços'!$A:$F,4,0)</f>
        <v>FLANGE SEXTAVADO DE FERRO GALVANIZADO, COM ROSCA BSP, DE 2"</v>
      </c>
      <c r="E135" s="151" t="str">
        <f ca="1">VLOOKUP(B135,'Insumos e Serviços'!$A:$F,5,0)</f>
        <v>UN</v>
      </c>
      <c r="F135" s="152">
        <v>1</v>
      </c>
      <c r="G135" s="153">
        <f ca="1">VLOOKUP(B135,'Insumos e Serviços'!$A:$F,6,0)</f>
        <v>42.28</v>
      </c>
      <c r="H135" s="153">
        <f>TRUNC(F135*G135,2)</f>
        <v>42.28</v>
      </c>
    </row>
    <row r="136" spans="1:8" ht="15" thickTop="1">
      <c r="A136" s="62"/>
      <c r="B136" s="62"/>
      <c r="C136" s="62"/>
      <c r="D136" s="62"/>
      <c r="E136" s="62"/>
      <c r="F136" s="62"/>
      <c r="G136" s="62"/>
      <c r="H136" s="62"/>
    </row>
    <row r="137" spans="1:8" s="142" customFormat="1" ht="33.75">
      <c r="A137" s="143" t="s">
        <v>451</v>
      </c>
      <c r="B137" s="144" t="s">
        <v>452</v>
      </c>
      <c r="C137" s="144" t="s">
        <v>247</v>
      </c>
      <c r="D137" s="145" t="s">
        <v>453</v>
      </c>
      <c r="E137" s="144" t="s">
        <v>288</v>
      </c>
      <c r="F137" s="146"/>
      <c r="G137" s="147"/>
      <c r="H137" s="148">
        <f>SUM(H138:H142)</f>
        <v>100.97999999999999</v>
      </c>
    </row>
    <row r="138" spans="1:8">
      <c r="A138" s="149" t="str">
        <f ca="1">VLOOKUP(B138,'Insumos e Serviços'!$A:$F,3,0)</f>
        <v>Composição</v>
      </c>
      <c r="B138" s="150" t="s">
        <v>807</v>
      </c>
      <c r="C138" s="151" t="str">
        <f ca="1">VLOOKUP(B138,'Insumos e Serviços'!$A:$F,2,0)</f>
        <v>SINAPI</v>
      </c>
      <c r="D138" s="149" t="str">
        <f ca="1">VLOOKUP(B138,'Insumos e Serviços'!$A:$F,4,0)</f>
        <v>AUXILIAR DE ENCANADOR OU BOMBEIRO HIDRÁULICO COM ENCARGOS COMPLEMENTARES</v>
      </c>
      <c r="E138" s="151" t="str">
        <f ca="1">VLOOKUP(B138,'Insumos e Serviços'!$A:$F,5,0)</f>
        <v>H</v>
      </c>
      <c r="F138" s="152">
        <v>0.26200000000000001</v>
      </c>
      <c r="G138" s="153">
        <f ca="1">VLOOKUP(B138,'Insumos e Serviços'!$A:$F,6,0)</f>
        <v>18.23</v>
      </c>
      <c r="H138" s="153">
        <f>TRUNC(F138*G138,2)</f>
        <v>4.7699999999999996</v>
      </c>
    </row>
    <row r="139" spans="1:8">
      <c r="A139" s="149" t="str">
        <f ca="1">VLOOKUP(B139,'Insumos e Serviços'!$A:$F,3,0)</f>
        <v>Composição</v>
      </c>
      <c r="B139" s="150" t="s">
        <v>805</v>
      </c>
      <c r="C139" s="151" t="str">
        <f ca="1">VLOOKUP(B139,'Insumos e Serviços'!$A:$F,2,0)</f>
        <v>SINAPI</v>
      </c>
      <c r="D139" s="149" t="str">
        <f ca="1">VLOOKUP(B139,'Insumos e Serviços'!$A:$F,4,0)</f>
        <v>ENCANADOR OU BOMBEIRO HIDRÁULICO COM ENCARGOS COMPLEMENTARES</v>
      </c>
      <c r="E139" s="151" t="str">
        <f ca="1">VLOOKUP(B139,'Insumos e Serviços'!$A:$F,5,0)</f>
        <v>H</v>
      </c>
      <c r="F139" s="152">
        <v>0.26200000000000001</v>
      </c>
      <c r="G139" s="153">
        <f ca="1">VLOOKUP(B139,'Insumos e Serviços'!$A:$F,6,0)</f>
        <v>23.41</v>
      </c>
      <c r="H139" s="153">
        <f>TRUNC(F139*G139,2)</f>
        <v>6.13</v>
      </c>
    </row>
    <row r="140" spans="1:8">
      <c r="A140" s="149" t="str">
        <f ca="1">VLOOKUP(B140,'Insumos e Serviços'!$A:$F,3,0)</f>
        <v>Insumo</v>
      </c>
      <c r="B140" s="150" t="s">
        <v>885</v>
      </c>
      <c r="C140" s="151" t="str">
        <f ca="1">VLOOKUP(B140,'Insumos e Serviços'!$A:$F,2,0)</f>
        <v>SINAPI</v>
      </c>
      <c r="D140" s="149" t="str">
        <f ca="1">VLOOKUP(B140,'Insumos e Serviços'!$A:$F,4,0)</f>
        <v>FITA VEDA ROSCA EM ROLOS DE 18 MM X 50 M (L X C)</v>
      </c>
      <c r="E140" s="151" t="str">
        <f ca="1">VLOOKUP(B140,'Insumos e Serviços'!$A:$F,5,0)</f>
        <v>UN</v>
      </c>
      <c r="F140" s="152">
        <v>1.2999999999999999E-2</v>
      </c>
      <c r="G140" s="153">
        <f ca="1">VLOOKUP(B140,'Insumos e Serviços'!$A:$F,6,0)</f>
        <v>13.49</v>
      </c>
      <c r="H140" s="153">
        <f>TRUNC(F140*G140,2)</f>
        <v>0.17</v>
      </c>
    </row>
    <row r="141" spans="1:8">
      <c r="A141" s="149" t="str">
        <f ca="1">VLOOKUP(B141,'Insumos e Serviços'!$A:$F,3,0)</f>
        <v>Insumo</v>
      </c>
      <c r="B141" s="150" t="s">
        <v>883</v>
      </c>
      <c r="C141" s="151" t="str">
        <f ca="1">VLOOKUP(B141,'Insumos e Serviços'!$A:$F,2,0)</f>
        <v>SINAPI</v>
      </c>
      <c r="D141" s="149" t="str">
        <f ca="1">VLOOKUP(B141,'Insumos e Serviços'!$A:$F,4,0)</f>
        <v>FUNDO ANTICORROSIVO PARA METAIS FERROSOS (ZARCAO)</v>
      </c>
      <c r="E141" s="151" t="str">
        <f ca="1">VLOOKUP(B141,'Insumos e Serviços'!$A:$F,5,0)</f>
        <v>L</v>
      </c>
      <c r="F141" s="152">
        <v>2E-3</v>
      </c>
      <c r="G141" s="153">
        <f ca="1">VLOOKUP(B141,'Insumos e Serviços'!$A:$F,6,0)</f>
        <v>30.54</v>
      </c>
      <c r="H141" s="153">
        <f>TRUNC(F141*G141,2)</f>
        <v>0.06</v>
      </c>
    </row>
    <row r="142" spans="1:8" ht="15" thickBot="1">
      <c r="A142" s="149" t="str">
        <f ca="1">VLOOKUP(B142,'Insumos e Serviços'!$A:$F,3,0)</f>
        <v>Insumo</v>
      </c>
      <c r="B142" s="150" t="s">
        <v>891</v>
      </c>
      <c r="C142" s="151" t="str">
        <f ca="1">VLOOKUP(B142,'Insumos e Serviços'!$A:$F,2,0)</f>
        <v>SINAPI</v>
      </c>
      <c r="D142" s="149" t="str">
        <f ca="1">VLOOKUP(B142,'Insumos e Serviços'!$A:$F,4,0)</f>
        <v>FLANGE SEXTAVADO DE FERRO GALVANIZADO, COM ROSCA BSP, DE 3"</v>
      </c>
      <c r="E142" s="151" t="str">
        <f ca="1">VLOOKUP(B142,'Insumos e Serviços'!$A:$F,5,0)</f>
        <v>UN</v>
      </c>
      <c r="F142" s="152">
        <v>1</v>
      </c>
      <c r="G142" s="153">
        <f ca="1">VLOOKUP(B142,'Insumos e Serviços'!$A:$F,6,0)</f>
        <v>89.85</v>
      </c>
      <c r="H142" s="153">
        <f>TRUNC(F142*G142,2)</f>
        <v>89.85</v>
      </c>
    </row>
    <row r="143" spans="1:8" ht="15" thickTop="1">
      <c r="A143" s="62"/>
      <c r="B143" s="62"/>
      <c r="C143" s="62"/>
      <c r="D143" s="62"/>
      <c r="E143" s="62"/>
      <c r="F143" s="62"/>
      <c r="G143" s="62"/>
      <c r="H143" s="62"/>
    </row>
    <row r="144" spans="1:8" s="142" customFormat="1" ht="15">
      <c r="A144" s="143" t="s">
        <v>454</v>
      </c>
      <c r="B144" s="144" t="s">
        <v>455</v>
      </c>
      <c r="C144" s="144" t="s">
        <v>247</v>
      </c>
      <c r="D144" s="145" t="s">
        <v>456</v>
      </c>
      <c r="E144" s="144" t="s">
        <v>288</v>
      </c>
      <c r="F144" s="146"/>
      <c r="G144" s="147"/>
      <c r="H144" s="148">
        <f>SUM(H145:H147)</f>
        <v>65.89</v>
      </c>
    </row>
    <row r="145" spans="1:8">
      <c r="A145" s="149" t="str">
        <f ca="1">VLOOKUP(B145,'Insumos e Serviços'!$A:$F,3,0)</f>
        <v>Composição</v>
      </c>
      <c r="B145" s="150" t="s">
        <v>807</v>
      </c>
      <c r="C145" s="151" t="str">
        <f ca="1">VLOOKUP(B145,'Insumos e Serviços'!$A:$F,2,0)</f>
        <v>SINAPI</v>
      </c>
      <c r="D145" s="149" t="str">
        <f ca="1">VLOOKUP(B145,'Insumos e Serviços'!$A:$F,4,0)</f>
        <v>AUXILIAR DE ENCANADOR OU BOMBEIRO HIDRÁULICO COM ENCARGOS COMPLEMENTARES</v>
      </c>
      <c r="E145" s="151" t="str">
        <f ca="1">VLOOKUP(B145,'Insumos e Serviços'!$A:$F,5,0)</f>
        <v>H</v>
      </c>
      <c r="F145" s="152">
        <v>0.43</v>
      </c>
      <c r="G145" s="153">
        <f ca="1">VLOOKUP(B145,'Insumos e Serviços'!$A:$F,6,0)</f>
        <v>18.23</v>
      </c>
      <c r="H145" s="153">
        <f>TRUNC(F145*G145,2)</f>
        <v>7.83</v>
      </c>
    </row>
    <row r="146" spans="1:8">
      <c r="A146" s="149" t="str">
        <f ca="1">VLOOKUP(B146,'Insumos e Serviços'!$A:$F,3,0)</f>
        <v>Composição</v>
      </c>
      <c r="B146" s="150" t="s">
        <v>805</v>
      </c>
      <c r="C146" s="151" t="str">
        <f ca="1">VLOOKUP(B146,'Insumos e Serviços'!$A:$F,2,0)</f>
        <v>SINAPI</v>
      </c>
      <c r="D146" s="149" t="str">
        <f ca="1">VLOOKUP(B146,'Insumos e Serviços'!$A:$F,4,0)</f>
        <v>ENCANADOR OU BOMBEIRO HIDRÁULICO COM ENCARGOS COMPLEMENTARES</v>
      </c>
      <c r="E146" s="151" t="str">
        <f ca="1">VLOOKUP(B146,'Insumos e Serviços'!$A:$F,5,0)</f>
        <v>H</v>
      </c>
      <c r="F146" s="152">
        <v>0.43</v>
      </c>
      <c r="G146" s="153">
        <f ca="1">VLOOKUP(B146,'Insumos e Serviços'!$A:$F,6,0)</f>
        <v>23.41</v>
      </c>
      <c r="H146" s="153">
        <f>TRUNC(F146*G146,2)</f>
        <v>10.06</v>
      </c>
    </row>
    <row r="147" spans="1:8" ht="15" thickBot="1">
      <c r="A147" s="149" t="str">
        <f ca="1">VLOOKUP(B147,'Insumos e Serviços'!$A:$F,3,0)</f>
        <v>Insumo</v>
      </c>
      <c r="B147" s="150" t="s">
        <v>893</v>
      </c>
      <c r="C147" s="151" t="str">
        <f ca="1">VLOOKUP(B147,'Insumos e Serviços'!$A:$F,2,0)</f>
        <v>SINAPI</v>
      </c>
      <c r="D147" s="149" t="str">
        <f ca="1">VLOOKUP(B147,'Insumos e Serviços'!$A:$F,4,0)</f>
        <v>CAP OU TAMPAO DE FERRO GALVANIZADO, COM ROSCA BSP, DE 3"</v>
      </c>
      <c r="E147" s="151" t="str">
        <f ca="1">VLOOKUP(B147,'Insumos e Serviços'!$A:$F,5,0)</f>
        <v>UN</v>
      </c>
      <c r="F147" s="152">
        <v>1</v>
      </c>
      <c r="G147" s="153">
        <f ca="1">VLOOKUP(B147,'Insumos e Serviços'!$A:$F,6,0)</f>
        <v>48</v>
      </c>
      <c r="H147" s="153">
        <f>TRUNC(F147*G147,2)</f>
        <v>48</v>
      </c>
    </row>
    <row r="148" spans="1:8" ht="15" thickTop="1">
      <c r="A148" s="14"/>
      <c r="B148" s="14"/>
      <c r="C148" s="14"/>
      <c r="D148" s="14"/>
      <c r="E148" s="14"/>
      <c r="F148" s="14"/>
      <c r="G148" s="14"/>
      <c r="H148" s="14"/>
    </row>
    <row r="149" spans="1:8">
      <c r="A149" s="64" t="s">
        <v>457</v>
      </c>
      <c r="B149" s="64"/>
      <c r="C149" s="64"/>
      <c r="D149" s="64" t="s">
        <v>458</v>
      </c>
      <c r="E149" s="64"/>
      <c r="F149" s="65"/>
      <c r="G149" s="64"/>
      <c r="H149" s="66"/>
    </row>
    <row r="150" spans="1:8" s="142" customFormat="1" ht="15">
      <c r="A150" s="143" t="s">
        <v>492</v>
      </c>
      <c r="B150" s="144" t="s">
        <v>493</v>
      </c>
      <c r="C150" s="144" t="s">
        <v>247</v>
      </c>
      <c r="D150" s="145" t="s">
        <v>494</v>
      </c>
      <c r="E150" s="144" t="s">
        <v>288</v>
      </c>
      <c r="F150" s="146"/>
      <c r="G150" s="147"/>
      <c r="H150" s="148">
        <f>SUM(H151:H156)</f>
        <v>4.93</v>
      </c>
    </row>
    <row r="151" spans="1:8">
      <c r="A151" s="149" t="str">
        <f ca="1">VLOOKUP(B151,'Insumos e Serviços'!$A:$F,3,0)</f>
        <v>Composição</v>
      </c>
      <c r="B151" s="150" t="s">
        <v>805</v>
      </c>
      <c r="C151" s="151" t="str">
        <f ca="1">VLOOKUP(B151,'Insumos e Serviços'!$A:$F,2,0)</f>
        <v>SINAPI</v>
      </c>
      <c r="D151" s="149" t="str">
        <f ca="1">VLOOKUP(B151,'Insumos e Serviços'!$A:$F,4,0)</f>
        <v>ENCANADOR OU BOMBEIRO HIDRÁULICO COM ENCARGOS COMPLEMENTARES</v>
      </c>
      <c r="E151" s="151" t="str">
        <f ca="1">VLOOKUP(B151,'Insumos e Serviços'!$A:$F,5,0)</f>
        <v>H</v>
      </c>
      <c r="F151" s="152">
        <v>4.4999999999999998E-2</v>
      </c>
      <c r="G151" s="153">
        <f ca="1">VLOOKUP(B151,'Insumos e Serviços'!$A:$F,6,0)</f>
        <v>23.41</v>
      </c>
      <c r="H151" s="153">
        <f t="shared" ref="H151:H156" si="4">TRUNC(F151*G151,2)</f>
        <v>1.05</v>
      </c>
    </row>
    <row r="152" spans="1:8">
      <c r="A152" s="149" t="str">
        <f ca="1">VLOOKUP(B152,'Insumos e Serviços'!$A:$F,3,0)</f>
        <v>Composição</v>
      </c>
      <c r="B152" s="150" t="s">
        <v>807</v>
      </c>
      <c r="C152" s="151" t="str">
        <f ca="1">VLOOKUP(B152,'Insumos e Serviços'!$A:$F,2,0)</f>
        <v>SINAPI</v>
      </c>
      <c r="D152" s="149" t="str">
        <f ca="1">VLOOKUP(B152,'Insumos e Serviços'!$A:$F,4,0)</f>
        <v>AUXILIAR DE ENCANADOR OU BOMBEIRO HIDRÁULICO COM ENCARGOS COMPLEMENTARES</v>
      </c>
      <c r="E152" s="151" t="str">
        <f ca="1">VLOOKUP(B152,'Insumos e Serviços'!$A:$F,5,0)</f>
        <v>H</v>
      </c>
      <c r="F152" s="152">
        <v>4.4999999999999998E-2</v>
      </c>
      <c r="G152" s="153">
        <f ca="1">VLOOKUP(B152,'Insumos e Serviços'!$A:$F,6,0)</f>
        <v>18.23</v>
      </c>
      <c r="H152" s="153">
        <f t="shared" si="4"/>
        <v>0.82</v>
      </c>
    </row>
    <row r="153" spans="1:8">
      <c r="A153" s="149" t="str">
        <f ca="1">VLOOKUP(B153,'Insumos e Serviços'!$A:$F,3,0)</f>
        <v>Insumo</v>
      </c>
      <c r="B153" s="150" t="s">
        <v>903</v>
      </c>
      <c r="C153" s="151" t="str">
        <f ca="1">VLOOKUP(B153,'Insumos e Serviços'!$A:$F,2,0)</f>
        <v>SINAPI</v>
      </c>
      <c r="D153" s="149" t="str">
        <f ca="1">VLOOKUP(B153,'Insumos e Serviços'!$A:$F,4,0)</f>
        <v>CAP PVC, SOLDAVEL, 32 MM, PARA AGUA FRIA PREDIAL</v>
      </c>
      <c r="E153" s="151" t="str">
        <f ca="1">VLOOKUP(B153,'Insumos e Serviços'!$A:$F,5,0)</f>
        <v>UN</v>
      </c>
      <c r="F153" s="152">
        <v>1</v>
      </c>
      <c r="G153" s="153">
        <f ca="1">VLOOKUP(B153,'Insumos e Serviços'!$A:$F,6,0)</f>
        <v>2.34</v>
      </c>
      <c r="H153" s="153">
        <f t="shared" si="4"/>
        <v>2.34</v>
      </c>
    </row>
    <row r="154" spans="1:8">
      <c r="A154" s="149" t="str">
        <f ca="1">VLOOKUP(B154,'Insumos e Serviços'!$A:$F,3,0)</f>
        <v>Insumo</v>
      </c>
      <c r="B154" s="150" t="s">
        <v>897</v>
      </c>
      <c r="C154" s="151" t="str">
        <f ca="1">VLOOKUP(B154,'Insumos e Serviços'!$A:$F,2,0)</f>
        <v>SINAPI</v>
      </c>
      <c r="D154" s="149" t="str">
        <f ca="1">VLOOKUP(B154,'Insumos e Serviços'!$A:$F,4,0)</f>
        <v>ADESIVO PLASTICO PARA PVC, FRASCO COM 850 GR</v>
      </c>
      <c r="E154" s="151" t="str">
        <f ca="1">VLOOKUP(B154,'Insumos e Serviços'!$A:$F,5,0)</f>
        <v>UN</v>
      </c>
      <c r="F154" s="152">
        <v>4.0000000000000001E-3</v>
      </c>
      <c r="G154" s="153">
        <f ca="1">VLOOKUP(B154,'Insumos e Serviços'!$A:$F,6,0)</f>
        <v>79.489999999999995</v>
      </c>
      <c r="H154" s="153">
        <f t="shared" si="4"/>
        <v>0.31</v>
      </c>
    </row>
    <row r="155" spans="1:8">
      <c r="A155" s="149" t="str">
        <f ca="1">VLOOKUP(B155,'Insumos e Serviços'!$A:$F,3,0)</f>
        <v>Insumo</v>
      </c>
      <c r="B155" s="150" t="s">
        <v>899</v>
      </c>
      <c r="C155" s="151" t="str">
        <f ca="1">VLOOKUP(B155,'Insumos e Serviços'!$A:$F,2,0)</f>
        <v>SINAPI</v>
      </c>
      <c r="D155" s="149" t="str">
        <f ca="1">VLOOKUP(B155,'Insumos e Serviços'!$A:$F,4,0)</f>
        <v>SOLUCAO LIMPADORA PARA PVC, FRASCO COM 1000 CM3</v>
      </c>
      <c r="E155" s="151" t="str">
        <f ca="1">VLOOKUP(B155,'Insumos e Serviços'!$A:$F,5,0)</f>
        <v>UN</v>
      </c>
      <c r="F155" s="152">
        <v>6.0000000000000001E-3</v>
      </c>
      <c r="G155" s="153">
        <f ca="1">VLOOKUP(B155,'Insumos e Serviços'!$A:$F,6,0)</f>
        <v>69.03</v>
      </c>
      <c r="H155" s="153">
        <f t="shared" si="4"/>
        <v>0.41</v>
      </c>
    </row>
    <row r="156" spans="1:8">
      <c r="A156" s="149" t="str">
        <f ca="1">VLOOKUP(B156,'Insumos e Serviços'!$A:$F,3,0)</f>
        <v>Insumo</v>
      </c>
      <c r="B156" s="150" t="s">
        <v>895</v>
      </c>
      <c r="C156" s="151" t="str">
        <f ca="1">VLOOKUP(B156,'Insumos e Serviços'!$A:$F,2,0)</f>
        <v>SINAPI</v>
      </c>
      <c r="D156" s="149" t="str">
        <f ca="1">VLOOKUP(B156,'Insumos e Serviços'!$A:$F,4,0)</f>
        <v>LIXA D'AGUA EM FOLHA, GRAO 100</v>
      </c>
      <c r="E156" s="151" t="str">
        <f ca="1">VLOOKUP(B156,'Insumos e Serviços'!$A:$F,5,0)</f>
        <v>UN</v>
      </c>
      <c r="F156" s="152">
        <v>3.0000000000000001E-3</v>
      </c>
      <c r="G156" s="153">
        <f ca="1">VLOOKUP(B156,'Insumos e Serviços'!$A:$F,6,0)</f>
        <v>2.19</v>
      </c>
      <c r="H156" s="153">
        <f t="shared" si="4"/>
        <v>0</v>
      </c>
    </row>
    <row r="157" spans="1:8">
      <c r="A157" s="57"/>
      <c r="B157" s="58"/>
      <c r="C157" s="57"/>
      <c r="D157" s="57"/>
      <c r="E157" s="59"/>
      <c r="F157" s="60"/>
      <c r="G157" s="61"/>
      <c r="H157" s="61"/>
    </row>
    <row r="158" spans="1:8" s="142" customFormat="1" ht="22.5">
      <c r="A158" s="143" t="s">
        <v>573</v>
      </c>
      <c r="B158" s="144" t="s">
        <v>574</v>
      </c>
      <c r="C158" s="144" t="s">
        <v>247</v>
      </c>
      <c r="D158" s="145" t="s">
        <v>575</v>
      </c>
      <c r="E158" s="144" t="s">
        <v>288</v>
      </c>
      <c r="F158" s="146"/>
      <c r="G158" s="147"/>
      <c r="H158" s="148">
        <f>SUM(H159:H164)</f>
        <v>544.16999999999996</v>
      </c>
    </row>
    <row r="159" spans="1:8">
      <c r="A159" s="149" t="str">
        <f ca="1">VLOOKUP(B159,'Insumos e Serviços'!$A:$F,3,0)</f>
        <v>Composição</v>
      </c>
      <c r="B159" s="150" t="s">
        <v>807</v>
      </c>
      <c r="C159" s="151" t="str">
        <f ca="1">VLOOKUP(B159,'Insumos e Serviços'!$A:$F,2,0)</f>
        <v>SINAPI</v>
      </c>
      <c r="D159" s="149" t="str">
        <f ca="1">VLOOKUP(B159,'Insumos e Serviços'!$A:$F,4,0)</f>
        <v>AUXILIAR DE ENCANADOR OU BOMBEIRO HIDRÁULICO COM ENCARGOS COMPLEMENTARES</v>
      </c>
      <c r="E159" s="151" t="str">
        <f ca="1">VLOOKUP(B159,'Insumos e Serviços'!$A:$F,5,0)</f>
        <v>H</v>
      </c>
      <c r="F159" s="152">
        <v>0.36799999999999999</v>
      </c>
      <c r="G159" s="153">
        <f ca="1">VLOOKUP(B159,'Insumos e Serviços'!$A:$F,6,0)</f>
        <v>18.23</v>
      </c>
      <c r="H159" s="153">
        <f t="shared" ref="H159:H164" si="5">TRUNC(F159*G159,2)</f>
        <v>6.7</v>
      </c>
    </row>
    <row r="160" spans="1:8">
      <c r="A160" s="149" t="str">
        <f ca="1">VLOOKUP(B160,'Insumos e Serviços'!$A:$F,3,0)</f>
        <v>Composição</v>
      </c>
      <c r="B160" s="150" t="s">
        <v>805</v>
      </c>
      <c r="C160" s="151" t="str">
        <f ca="1">VLOOKUP(B160,'Insumos e Serviços'!$A:$F,2,0)</f>
        <v>SINAPI</v>
      </c>
      <c r="D160" s="149" t="str">
        <f ca="1">VLOOKUP(B160,'Insumos e Serviços'!$A:$F,4,0)</f>
        <v>ENCANADOR OU BOMBEIRO HIDRÁULICO COM ENCARGOS COMPLEMENTARES</v>
      </c>
      <c r="E160" s="151" t="str">
        <f ca="1">VLOOKUP(B160,'Insumos e Serviços'!$A:$F,5,0)</f>
        <v>H</v>
      </c>
      <c r="F160" s="152">
        <v>0.36799999999999999</v>
      </c>
      <c r="G160" s="153">
        <f ca="1">VLOOKUP(B160,'Insumos e Serviços'!$A:$F,6,0)</f>
        <v>23.41</v>
      </c>
      <c r="H160" s="153">
        <f t="shared" si="5"/>
        <v>8.61</v>
      </c>
    </row>
    <row r="161" spans="1:8">
      <c r="A161" s="149" t="str">
        <f ca="1">VLOOKUP(B161,'Insumos e Serviços'!$A:$F,3,0)</f>
        <v>Insumo</v>
      </c>
      <c r="B161" s="150" t="s">
        <v>905</v>
      </c>
      <c r="C161" s="151" t="str">
        <f ca="1">VLOOKUP(B161,'Insumos e Serviços'!$A:$F,2,0)</f>
        <v>SINAPI</v>
      </c>
      <c r="D161" s="149" t="str">
        <f ca="1">VLOOKUP(B161,'Insumos e Serviços'!$A:$F,4,0)</f>
        <v>ADESIVO PLASTICO PARA PVC, FRASCO COM 175 GR</v>
      </c>
      <c r="E161" s="151" t="str">
        <f ca="1">VLOOKUP(B161,'Insumos e Serviços'!$A:$F,5,0)</f>
        <v>UN</v>
      </c>
      <c r="F161" s="152">
        <v>0.23100000000000001</v>
      </c>
      <c r="G161" s="153">
        <f ca="1">VLOOKUP(B161,'Insumos e Serviços'!$A:$F,6,0)</f>
        <v>25.23</v>
      </c>
      <c r="H161" s="153">
        <f t="shared" si="5"/>
        <v>5.82</v>
      </c>
    </row>
    <row r="162" spans="1:8">
      <c r="A162" s="149" t="str">
        <f ca="1">VLOOKUP(B162,'Insumos e Serviços'!$A:$F,3,0)</f>
        <v>Insumo</v>
      </c>
      <c r="B162" s="150" t="s">
        <v>899</v>
      </c>
      <c r="C162" s="151" t="str">
        <f ca="1">VLOOKUP(B162,'Insumos e Serviços'!$A:$F,2,0)</f>
        <v>SINAPI</v>
      </c>
      <c r="D162" s="149" t="str">
        <f ca="1">VLOOKUP(B162,'Insumos e Serviços'!$A:$F,4,0)</f>
        <v>SOLUCAO LIMPADORA PARA PVC, FRASCO COM 1000 CM3</v>
      </c>
      <c r="E162" s="151" t="str">
        <f ca="1">VLOOKUP(B162,'Insumos e Serviços'!$A:$F,5,0)</f>
        <v>UN</v>
      </c>
      <c r="F162" s="152">
        <v>6.2E-2</v>
      </c>
      <c r="G162" s="153">
        <f ca="1">VLOOKUP(B162,'Insumos e Serviços'!$A:$F,6,0)</f>
        <v>69.03</v>
      </c>
      <c r="H162" s="153">
        <f t="shared" si="5"/>
        <v>4.2699999999999996</v>
      </c>
    </row>
    <row r="163" spans="1:8">
      <c r="A163" s="149" t="str">
        <f ca="1">VLOOKUP(B163,'Insumos e Serviços'!$A:$F,3,0)</f>
        <v>Insumo</v>
      </c>
      <c r="B163" s="150" t="s">
        <v>895</v>
      </c>
      <c r="C163" s="151" t="str">
        <f ca="1">VLOOKUP(B163,'Insumos e Serviços'!$A:$F,2,0)</f>
        <v>SINAPI</v>
      </c>
      <c r="D163" s="149" t="str">
        <f ca="1">VLOOKUP(B163,'Insumos e Serviços'!$A:$F,4,0)</f>
        <v>LIXA D'AGUA EM FOLHA, GRAO 100</v>
      </c>
      <c r="E163" s="151" t="str">
        <f ca="1">VLOOKUP(B163,'Insumos e Serviços'!$A:$F,5,0)</f>
        <v>UN</v>
      </c>
      <c r="F163" s="152">
        <v>5.5E-2</v>
      </c>
      <c r="G163" s="153">
        <f ca="1">VLOOKUP(B163,'Insumos e Serviços'!$A:$F,6,0)</f>
        <v>2.19</v>
      </c>
      <c r="H163" s="153">
        <f t="shared" si="5"/>
        <v>0.12</v>
      </c>
    </row>
    <row r="164" spans="1:8" ht="15" thickBot="1">
      <c r="A164" s="149" t="str">
        <f ca="1">VLOOKUP(B164,'Insumos e Serviços'!$A:$F,3,0)</f>
        <v>Insumo</v>
      </c>
      <c r="B164" s="150" t="s">
        <v>907</v>
      </c>
      <c r="C164" s="151" t="str">
        <f ca="1">VLOOKUP(B164,'Insumos e Serviços'!$A:$F,2,0)</f>
        <v>Próprio</v>
      </c>
      <c r="D164" s="149" t="str">
        <f ca="1">VLOOKUP(B164,'Insumos e Serviços'!$A:$F,4,0)</f>
        <v>Registro de esfera VS PVC soldável marrom - 85mm</v>
      </c>
      <c r="E164" s="151" t="str">
        <f ca="1">VLOOKUP(B164,'Insumos e Serviços'!$A:$F,5,0)</f>
        <v>un</v>
      </c>
      <c r="F164" s="152">
        <v>1</v>
      </c>
      <c r="G164" s="153">
        <f ca="1">VLOOKUP(B164,'Insumos e Serviços'!$A:$F,6,0)</f>
        <v>518.65</v>
      </c>
      <c r="H164" s="153">
        <f t="shared" si="5"/>
        <v>518.65</v>
      </c>
    </row>
    <row r="165" spans="1:8" ht="15" thickTop="1">
      <c r="A165" s="62"/>
      <c r="B165" s="62"/>
      <c r="C165" s="62"/>
      <c r="D165" s="62"/>
      <c r="E165" s="62"/>
      <c r="F165" s="62"/>
      <c r="G165" s="62"/>
      <c r="H165" s="62"/>
    </row>
    <row r="166" spans="1:8" s="142" customFormat="1" ht="22.5">
      <c r="A166" s="143" t="s">
        <v>588</v>
      </c>
      <c r="B166" s="144" t="s">
        <v>589</v>
      </c>
      <c r="C166" s="144" t="s">
        <v>247</v>
      </c>
      <c r="D166" s="145" t="s">
        <v>590</v>
      </c>
      <c r="E166" s="144" t="s">
        <v>288</v>
      </c>
      <c r="F166" s="146"/>
      <c r="G166" s="147"/>
      <c r="H166" s="148">
        <f>SUM(H167:H172)</f>
        <v>68.790000000000006</v>
      </c>
    </row>
    <row r="167" spans="1:8">
      <c r="A167" s="149" t="str">
        <f ca="1">VLOOKUP(B167,'Insumos e Serviços'!$A:$F,3,0)</f>
        <v>Composição</v>
      </c>
      <c r="B167" s="150" t="s">
        <v>807</v>
      </c>
      <c r="C167" s="151" t="str">
        <f ca="1">VLOOKUP(B167,'Insumos e Serviços'!$A:$F,2,0)</f>
        <v>SINAPI</v>
      </c>
      <c r="D167" s="149" t="str">
        <f ca="1">VLOOKUP(B167,'Insumos e Serviços'!$A:$F,4,0)</f>
        <v>AUXILIAR DE ENCANADOR OU BOMBEIRO HIDRÁULICO COM ENCARGOS COMPLEMENTARES</v>
      </c>
      <c r="E167" s="151" t="str">
        <f ca="1">VLOOKUP(B167,'Insumos e Serviços'!$A:$F,5,0)</f>
        <v>H</v>
      </c>
      <c r="F167" s="152">
        <v>0.23</v>
      </c>
      <c r="G167" s="153">
        <f ca="1">VLOOKUP(B167,'Insumos e Serviços'!$A:$F,6,0)</f>
        <v>18.23</v>
      </c>
      <c r="H167" s="153">
        <f t="shared" ref="H167:H172" si="6">TRUNC(F167*G167,2)</f>
        <v>4.1900000000000004</v>
      </c>
    </row>
    <row r="168" spans="1:8">
      <c r="A168" s="149" t="str">
        <f ca="1">VLOOKUP(B168,'Insumos e Serviços'!$A:$F,3,0)</f>
        <v>Composição</v>
      </c>
      <c r="B168" s="150" t="s">
        <v>805</v>
      </c>
      <c r="C168" s="151" t="str">
        <f ca="1">VLOOKUP(B168,'Insumos e Serviços'!$A:$F,2,0)</f>
        <v>SINAPI</v>
      </c>
      <c r="D168" s="149" t="str">
        <f ca="1">VLOOKUP(B168,'Insumos e Serviços'!$A:$F,4,0)</f>
        <v>ENCANADOR OU BOMBEIRO HIDRÁULICO COM ENCARGOS COMPLEMENTARES</v>
      </c>
      <c r="E168" s="151" t="str">
        <f ca="1">VLOOKUP(B168,'Insumos e Serviços'!$A:$F,5,0)</f>
        <v>H</v>
      </c>
      <c r="F168" s="152">
        <v>0.23</v>
      </c>
      <c r="G168" s="153">
        <f ca="1">VLOOKUP(B168,'Insumos e Serviços'!$A:$F,6,0)</f>
        <v>23.41</v>
      </c>
      <c r="H168" s="153">
        <f t="shared" si="6"/>
        <v>5.38</v>
      </c>
    </row>
    <row r="169" spans="1:8">
      <c r="A169" s="149" t="str">
        <f ca="1">VLOOKUP(B169,'Insumos e Serviços'!$A:$F,3,0)</f>
        <v>Insumo</v>
      </c>
      <c r="B169" s="150" t="s">
        <v>897</v>
      </c>
      <c r="C169" s="151" t="str">
        <f ca="1">VLOOKUP(B169,'Insumos e Serviços'!$A:$F,2,0)</f>
        <v>SINAPI</v>
      </c>
      <c r="D169" s="149" t="str">
        <f ca="1">VLOOKUP(B169,'Insumos e Serviços'!$A:$F,4,0)</f>
        <v>ADESIVO PLASTICO PARA PVC, FRASCO COM 850 GR</v>
      </c>
      <c r="E169" s="151" t="str">
        <f ca="1">VLOOKUP(B169,'Insumos e Serviços'!$A:$F,5,0)</f>
        <v>UN</v>
      </c>
      <c r="F169" s="152">
        <v>4.7E-2</v>
      </c>
      <c r="G169" s="153">
        <f ca="1">VLOOKUP(B169,'Insumos e Serviços'!$A:$F,6,0)</f>
        <v>79.489999999999995</v>
      </c>
      <c r="H169" s="153">
        <f t="shared" si="6"/>
        <v>3.73</v>
      </c>
    </row>
    <row r="170" spans="1:8">
      <c r="A170" s="149" t="str">
        <f ca="1">VLOOKUP(B170,'Insumos e Serviços'!$A:$F,3,0)</f>
        <v>Insumo</v>
      </c>
      <c r="B170" s="150" t="s">
        <v>899</v>
      </c>
      <c r="C170" s="151" t="str">
        <f ca="1">VLOOKUP(B170,'Insumos e Serviços'!$A:$F,2,0)</f>
        <v>SINAPI</v>
      </c>
      <c r="D170" s="149" t="str">
        <f ca="1">VLOOKUP(B170,'Insumos e Serviços'!$A:$F,4,0)</f>
        <v>SOLUCAO LIMPADORA PARA PVC, FRASCO COM 1000 CM3</v>
      </c>
      <c r="E170" s="151" t="str">
        <f ca="1">VLOOKUP(B170,'Insumos e Serviços'!$A:$F,5,0)</f>
        <v>UN</v>
      </c>
      <c r="F170" s="152">
        <v>7.1999999999999995E-2</v>
      </c>
      <c r="G170" s="153">
        <f ca="1">VLOOKUP(B170,'Insumos e Serviços'!$A:$F,6,0)</f>
        <v>69.03</v>
      </c>
      <c r="H170" s="153">
        <f t="shared" si="6"/>
        <v>4.97</v>
      </c>
    </row>
    <row r="171" spans="1:8">
      <c r="A171" s="149" t="str">
        <f ca="1">VLOOKUP(B171,'Insumos e Serviços'!$A:$F,3,0)</f>
        <v>Insumo</v>
      </c>
      <c r="B171" s="150" t="s">
        <v>895</v>
      </c>
      <c r="C171" s="151" t="str">
        <f ca="1">VLOOKUP(B171,'Insumos e Serviços'!$A:$F,2,0)</f>
        <v>SINAPI</v>
      </c>
      <c r="D171" s="149" t="str">
        <f ca="1">VLOOKUP(B171,'Insumos e Serviços'!$A:$F,4,0)</f>
        <v>LIXA D'AGUA EM FOLHA, GRAO 100</v>
      </c>
      <c r="E171" s="151" t="str">
        <f ca="1">VLOOKUP(B171,'Insumos e Serviços'!$A:$F,5,0)</f>
        <v>UN</v>
      </c>
      <c r="F171" s="152">
        <v>4.8000000000000001E-2</v>
      </c>
      <c r="G171" s="153">
        <f ca="1">VLOOKUP(B171,'Insumos e Serviços'!$A:$F,6,0)</f>
        <v>2.19</v>
      </c>
      <c r="H171" s="153">
        <f t="shared" si="6"/>
        <v>0.1</v>
      </c>
    </row>
    <row r="172" spans="1:8" ht="15" thickBot="1">
      <c r="A172" s="149" t="str">
        <f ca="1">VLOOKUP(B172,'Insumos e Serviços'!$A:$F,3,0)</f>
        <v>Insumo</v>
      </c>
      <c r="B172" s="150" t="s">
        <v>909</v>
      </c>
      <c r="C172" s="151" t="str">
        <f ca="1">VLOOKUP(B172,'Insumos e Serviços'!$A:$F,2,0)</f>
        <v>Próprio</v>
      </c>
      <c r="D172" s="149" t="str">
        <f ca="1">VLOOKUP(B172,'Insumos e Serviços'!$A:$F,4,0)</f>
        <v>Luva redução PVC soldável de 110x75mm</v>
      </c>
      <c r="E172" s="151" t="str">
        <f ca="1">VLOOKUP(B172,'Insumos e Serviços'!$A:$F,5,0)</f>
        <v>un</v>
      </c>
      <c r="F172" s="152">
        <v>1</v>
      </c>
      <c r="G172" s="153">
        <f ca="1">VLOOKUP(B172,'Insumos e Serviços'!$A:$F,6,0)</f>
        <v>50.42</v>
      </c>
      <c r="H172" s="153">
        <f t="shared" si="6"/>
        <v>50.42</v>
      </c>
    </row>
    <row r="173" spans="1:8" ht="15" thickTop="1">
      <c r="A173" s="62"/>
      <c r="B173" s="62"/>
      <c r="C173" s="62"/>
      <c r="D173" s="62"/>
      <c r="E173" s="62"/>
      <c r="F173" s="62"/>
      <c r="G173" s="62"/>
      <c r="H173" s="62"/>
    </row>
    <row r="174" spans="1:8" s="142" customFormat="1" ht="22.5">
      <c r="A174" s="143" t="s">
        <v>591</v>
      </c>
      <c r="B174" s="144" t="s">
        <v>592</v>
      </c>
      <c r="C174" s="144" t="s">
        <v>247</v>
      </c>
      <c r="D174" s="145" t="s">
        <v>593</v>
      </c>
      <c r="E174" s="144" t="s">
        <v>288</v>
      </c>
      <c r="F174" s="146"/>
      <c r="G174" s="147"/>
      <c r="H174" s="148">
        <f>SUM(H175:H180)</f>
        <v>76.45</v>
      </c>
    </row>
    <row r="175" spans="1:8">
      <c r="A175" s="149" t="str">
        <f ca="1">VLOOKUP(B175,'Insumos e Serviços'!$A:$F,3,0)</f>
        <v>Composição</v>
      </c>
      <c r="B175" s="150" t="s">
        <v>807</v>
      </c>
      <c r="C175" s="151" t="str">
        <f ca="1">VLOOKUP(B175,'Insumos e Serviços'!$A:$F,2,0)</f>
        <v>SINAPI</v>
      </c>
      <c r="D175" s="149" t="str">
        <f ca="1">VLOOKUP(B175,'Insumos e Serviços'!$A:$F,4,0)</f>
        <v>AUXILIAR DE ENCANADOR OU BOMBEIRO HIDRÁULICO COM ENCARGOS COMPLEMENTARES</v>
      </c>
      <c r="E175" s="151" t="str">
        <f ca="1">VLOOKUP(B175,'Insumos e Serviços'!$A:$F,5,0)</f>
        <v>H</v>
      </c>
      <c r="F175" s="152">
        <v>0.20899999999999999</v>
      </c>
      <c r="G175" s="153">
        <f ca="1">VLOOKUP(B175,'Insumos e Serviços'!$A:$F,6,0)</f>
        <v>18.23</v>
      </c>
      <c r="H175" s="153">
        <f t="shared" ref="H175:H180" si="7">TRUNC(F175*G175,2)</f>
        <v>3.81</v>
      </c>
    </row>
    <row r="176" spans="1:8">
      <c r="A176" s="149" t="str">
        <f ca="1">VLOOKUP(B176,'Insumos e Serviços'!$A:$F,3,0)</f>
        <v>Composição</v>
      </c>
      <c r="B176" s="150" t="s">
        <v>805</v>
      </c>
      <c r="C176" s="151" t="str">
        <f ca="1">VLOOKUP(B176,'Insumos e Serviços'!$A:$F,2,0)</f>
        <v>SINAPI</v>
      </c>
      <c r="D176" s="149" t="str">
        <f ca="1">VLOOKUP(B176,'Insumos e Serviços'!$A:$F,4,0)</f>
        <v>ENCANADOR OU BOMBEIRO HIDRÁULICO COM ENCARGOS COMPLEMENTARES</v>
      </c>
      <c r="E176" s="151" t="str">
        <f ca="1">VLOOKUP(B176,'Insumos e Serviços'!$A:$F,5,0)</f>
        <v>H</v>
      </c>
      <c r="F176" s="152">
        <v>0.20899999999999999</v>
      </c>
      <c r="G176" s="153">
        <f ca="1">VLOOKUP(B176,'Insumos e Serviços'!$A:$F,6,0)</f>
        <v>23.41</v>
      </c>
      <c r="H176" s="153">
        <f t="shared" si="7"/>
        <v>4.8899999999999997</v>
      </c>
    </row>
    <row r="177" spans="1:8">
      <c r="A177" s="149" t="str">
        <f ca="1">VLOOKUP(B177,'Insumos e Serviços'!$A:$F,3,0)</f>
        <v>Insumo</v>
      </c>
      <c r="B177" s="150" t="s">
        <v>897</v>
      </c>
      <c r="C177" s="151" t="str">
        <f ca="1">VLOOKUP(B177,'Insumos e Serviços'!$A:$F,2,0)</f>
        <v>SINAPI</v>
      </c>
      <c r="D177" s="149" t="str">
        <f ca="1">VLOOKUP(B177,'Insumos e Serviços'!$A:$F,4,0)</f>
        <v>ADESIVO PLASTICO PARA PVC, FRASCO COM 850 GR</v>
      </c>
      <c r="E177" s="151" t="str">
        <f ca="1">VLOOKUP(B177,'Insumos e Serviços'!$A:$F,5,0)</f>
        <v>UN</v>
      </c>
      <c r="F177" s="152">
        <v>0.06</v>
      </c>
      <c r="G177" s="153">
        <f ca="1">VLOOKUP(B177,'Insumos e Serviços'!$A:$F,6,0)</f>
        <v>79.489999999999995</v>
      </c>
      <c r="H177" s="153">
        <f t="shared" si="7"/>
        <v>4.76</v>
      </c>
    </row>
    <row r="178" spans="1:8">
      <c r="A178" s="149" t="str">
        <f ca="1">VLOOKUP(B178,'Insumos e Serviços'!$A:$F,3,0)</f>
        <v>Insumo</v>
      </c>
      <c r="B178" s="150" t="s">
        <v>899</v>
      </c>
      <c r="C178" s="151" t="str">
        <f ca="1">VLOOKUP(B178,'Insumos e Serviços'!$A:$F,2,0)</f>
        <v>SINAPI</v>
      </c>
      <c r="D178" s="149" t="str">
        <f ca="1">VLOOKUP(B178,'Insumos e Serviços'!$A:$F,4,0)</f>
        <v>SOLUCAO LIMPADORA PARA PVC, FRASCO COM 1000 CM3</v>
      </c>
      <c r="E178" s="151" t="str">
        <f ca="1">VLOOKUP(B178,'Insumos e Serviços'!$A:$F,5,0)</f>
        <v>UN</v>
      </c>
      <c r="F178" s="152">
        <v>7.8E-2</v>
      </c>
      <c r="G178" s="153">
        <f ca="1">VLOOKUP(B178,'Insumos e Serviços'!$A:$F,6,0)</f>
        <v>69.03</v>
      </c>
      <c r="H178" s="153">
        <f t="shared" si="7"/>
        <v>5.38</v>
      </c>
    </row>
    <row r="179" spans="1:8">
      <c r="A179" s="149" t="str">
        <f ca="1">VLOOKUP(B179,'Insumos e Serviços'!$A:$F,3,0)</f>
        <v>Insumo</v>
      </c>
      <c r="B179" s="150" t="s">
        <v>895</v>
      </c>
      <c r="C179" s="151" t="str">
        <f ca="1">VLOOKUP(B179,'Insumos e Serviços'!$A:$F,2,0)</f>
        <v>SINAPI</v>
      </c>
      <c r="D179" s="149" t="str">
        <f ca="1">VLOOKUP(B179,'Insumos e Serviços'!$A:$F,4,0)</f>
        <v>LIXA D'AGUA EM FOLHA, GRAO 100</v>
      </c>
      <c r="E179" s="151" t="str">
        <f ca="1">VLOOKUP(B179,'Insumos e Serviços'!$A:$F,5,0)</f>
        <v>UN</v>
      </c>
      <c r="F179" s="152">
        <v>5.2999999999999999E-2</v>
      </c>
      <c r="G179" s="153">
        <f ca="1">VLOOKUP(B179,'Insumos e Serviços'!$A:$F,6,0)</f>
        <v>2.19</v>
      </c>
      <c r="H179" s="153">
        <f t="shared" si="7"/>
        <v>0.11</v>
      </c>
    </row>
    <row r="180" spans="1:8" ht="15" thickBot="1">
      <c r="A180" s="149" t="str">
        <f ca="1">VLOOKUP(B180,'Insumos e Serviços'!$A:$F,3,0)</f>
        <v>Insumo</v>
      </c>
      <c r="B180" s="150" t="s">
        <v>911</v>
      </c>
      <c r="C180" s="151" t="str">
        <f ca="1">VLOOKUP(B180,'Insumos e Serviços'!$A:$F,2,0)</f>
        <v>Próprio</v>
      </c>
      <c r="D180" s="149" t="str">
        <f ca="1">VLOOKUP(B180,'Insumos e Serviços'!$A:$F,4,0)</f>
        <v>Tê de redução, PVC, soldável, 60mm x 50mm</v>
      </c>
      <c r="E180" s="151" t="str">
        <f ca="1">VLOOKUP(B180,'Insumos e Serviços'!$A:$F,5,0)</f>
        <v>un</v>
      </c>
      <c r="F180" s="152">
        <v>1</v>
      </c>
      <c r="G180" s="153">
        <f ca="1">VLOOKUP(B180,'Insumos e Serviços'!$A:$F,6,0)</f>
        <v>57.5</v>
      </c>
      <c r="H180" s="153">
        <f t="shared" si="7"/>
        <v>57.5</v>
      </c>
    </row>
    <row r="181" spans="1:8" ht="15" thickTop="1">
      <c r="A181" s="62"/>
      <c r="B181" s="62"/>
      <c r="C181" s="62"/>
      <c r="D181" s="62"/>
      <c r="E181" s="62"/>
      <c r="F181" s="62"/>
      <c r="G181" s="62"/>
      <c r="H181" s="62"/>
    </row>
    <row r="182" spans="1:8" s="142" customFormat="1" ht="22.5">
      <c r="A182" s="143" t="s">
        <v>594</v>
      </c>
      <c r="B182" s="144" t="s">
        <v>595</v>
      </c>
      <c r="C182" s="144" t="s">
        <v>247</v>
      </c>
      <c r="D182" s="145" t="s">
        <v>596</v>
      </c>
      <c r="E182" s="144" t="s">
        <v>288</v>
      </c>
      <c r="F182" s="146"/>
      <c r="G182" s="147"/>
      <c r="H182" s="148">
        <f>SUM(H183:H188)</f>
        <v>69.31</v>
      </c>
    </row>
    <row r="183" spans="1:8">
      <c r="A183" s="149" t="str">
        <f ca="1">VLOOKUP(B183,'Insumos e Serviços'!$A:$F,3,0)</f>
        <v>Composição</v>
      </c>
      <c r="B183" s="150" t="s">
        <v>807</v>
      </c>
      <c r="C183" s="151" t="str">
        <f ca="1">VLOOKUP(B183,'Insumos e Serviços'!$A:$F,2,0)</f>
        <v>SINAPI</v>
      </c>
      <c r="D183" s="149" t="str">
        <f ca="1">VLOOKUP(B183,'Insumos e Serviços'!$A:$F,4,0)</f>
        <v>AUXILIAR DE ENCANADOR OU BOMBEIRO HIDRÁULICO COM ENCARGOS COMPLEMENTARES</v>
      </c>
      <c r="E183" s="151" t="str">
        <f ca="1">VLOOKUP(B183,'Insumos e Serviços'!$A:$F,5,0)</f>
        <v>H</v>
      </c>
      <c r="F183" s="152">
        <v>0.23</v>
      </c>
      <c r="G183" s="153">
        <f ca="1">VLOOKUP(B183,'Insumos e Serviços'!$A:$F,6,0)</f>
        <v>18.23</v>
      </c>
      <c r="H183" s="153">
        <f t="shared" ref="H183:H188" si="8">TRUNC(F183*G183,2)</f>
        <v>4.1900000000000004</v>
      </c>
    </row>
    <row r="184" spans="1:8">
      <c r="A184" s="149" t="str">
        <f ca="1">VLOOKUP(B184,'Insumos e Serviços'!$A:$F,3,0)</f>
        <v>Composição</v>
      </c>
      <c r="B184" s="150" t="s">
        <v>805</v>
      </c>
      <c r="C184" s="151" t="str">
        <f ca="1">VLOOKUP(B184,'Insumos e Serviços'!$A:$F,2,0)</f>
        <v>SINAPI</v>
      </c>
      <c r="D184" s="149" t="str">
        <f ca="1">VLOOKUP(B184,'Insumos e Serviços'!$A:$F,4,0)</f>
        <v>ENCANADOR OU BOMBEIRO HIDRÁULICO COM ENCARGOS COMPLEMENTARES</v>
      </c>
      <c r="E184" s="151" t="str">
        <f ca="1">VLOOKUP(B184,'Insumos e Serviços'!$A:$F,5,0)</f>
        <v>H</v>
      </c>
      <c r="F184" s="152">
        <v>0.23</v>
      </c>
      <c r="G184" s="153">
        <f ca="1">VLOOKUP(B184,'Insumos e Serviços'!$A:$F,6,0)</f>
        <v>23.41</v>
      </c>
      <c r="H184" s="153">
        <f t="shared" si="8"/>
        <v>5.38</v>
      </c>
    </row>
    <row r="185" spans="1:8">
      <c r="A185" s="149" t="str">
        <f ca="1">VLOOKUP(B185,'Insumos e Serviços'!$A:$F,3,0)</f>
        <v>Insumo</v>
      </c>
      <c r="B185" s="150" t="s">
        <v>897</v>
      </c>
      <c r="C185" s="151" t="str">
        <f ca="1">VLOOKUP(B185,'Insumos e Serviços'!$A:$F,2,0)</f>
        <v>SINAPI</v>
      </c>
      <c r="D185" s="149" t="str">
        <f ca="1">VLOOKUP(B185,'Insumos e Serviços'!$A:$F,4,0)</f>
        <v>ADESIVO PLASTICO PARA PVC, FRASCO COM 850 GR</v>
      </c>
      <c r="E185" s="151" t="str">
        <f ca="1">VLOOKUP(B185,'Insumos e Serviços'!$A:$F,5,0)</f>
        <v>UN</v>
      </c>
      <c r="F185" s="152">
        <v>0.05</v>
      </c>
      <c r="G185" s="153">
        <f ca="1">VLOOKUP(B185,'Insumos e Serviços'!$A:$F,6,0)</f>
        <v>79.489999999999995</v>
      </c>
      <c r="H185" s="153">
        <f t="shared" si="8"/>
        <v>3.97</v>
      </c>
    </row>
    <row r="186" spans="1:8">
      <c r="A186" s="149" t="str">
        <f ca="1">VLOOKUP(B186,'Insumos e Serviços'!$A:$F,3,0)</f>
        <v>Insumo</v>
      </c>
      <c r="B186" s="150" t="s">
        <v>899</v>
      </c>
      <c r="C186" s="151" t="str">
        <f ca="1">VLOOKUP(B186,'Insumos e Serviços'!$A:$F,2,0)</f>
        <v>SINAPI</v>
      </c>
      <c r="D186" s="149" t="str">
        <f ca="1">VLOOKUP(B186,'Insumos e Serviços'!$A:$F,4,0)</f>
        <v>SOLUCAO LIMPADORA PARA PVC, FRASCO COM 1000 CM3</v>
      </c>
      <c r="E186" s="151" t="str">
        <f ca="1">VLOOKUP(B186,'Insumos e Serviços'!$A:$F,5,0)</f>
        <v>UN</v>
      </c>
      <c r="F186" s="152">
        <v>7.5999999999999998E-2</v>
      </c>
      <c r="G186" s="153">
        <f ca="1">VLOOKUP(B186,'Insumos e Serviços'!$A:$F,6,0)</f>
        <v>69.03</v>
      </c>
      <c r="H186" s="153">
        <f t="shared" si="8"/>
        <v>5.24</v>
      </c>
    </row>
    <row r="187" spans="1:8">
      <c r="A187" s="149" t="str">
        <f ca="1">VLOOKUP(B187,'Insumos e Serviços'!$A:$F,3,0)</f>
        <v>Insumo</v>
      </c>
      <c r="B187" s="150" t="s">
        <v>895</v>
      </c>
      <c r="C187" s="151" t="str">
        <f ca="1">VLOOKUP(B187,'Insumos e Serviços'!$A:$F,2,0)</f>
        <v>SINAPI</v>
      </c>
      <c r="D187" s="149" t="str">
        <f ca="1">VLOOKUP(B187,'Insumos e Serviços'!$A:$F,4,0)</f>
        <v>LIXA D'AGUA EM FOLHA, GRAO 100</v>
      </c>
      <c r="E187" s="151" t="str">
        <f ca="1">VLOOKUP(B187,'Insumos e Serviços'!$A:$F,5,0)</f>
        <v>UN</v>
      </c>
      <c r="F187" s="152">
        <v>5.3999999999999999E-2</v>
      </c>
      <c r="G187" s="153">
        <f ca="1">VLOOKUP(B187,'Insumos e Serviços'!$A:$F,6,0)</f>
        <v>2.19</v>
      </c>
      <c r="H187" s="153">
        <f t="shared" si="8"/>
        <v>0.11</v>
      </c>
    </row>
    <row r="188" spans="1:8" ht="15" thickBot="1">
      <c r="A188" s="149" t="str">
        <f ca="1">VLOOKUP(B188,'Insumos e Serviços'!$A:$F,3,0)</f>
        <v>Insumo</v>
      </c>
      <c r="B188" s="150" t="s">
        <v>913</v>
      </c>
      <c r="C188" s="151" t="str">
        <f ca="1">VLOOKUP(B188,'Insumos e Serviços'!$A:$F,2,0)</f>
        <v>Próprio</v>
      </c>
      <c r="D188" s="149" t="str">
        <f ca="1">VLOOKUP(B188,'Insumos e Serviços'!$A:$F,4,0)</f>
        <v>Luva redução PVC soldável de 110x85mm</v>
      </c>
      <c r="E188" s="151" t="str">
        <f ca="1">VLOOKUP(B188,'Insumos e Serviços'!$A:$F,5,0)</f>
        <v>un</v>
      </c>
      <c r="F188" s="152">
        <v>1</v>
      </c>
      <c r="G188" s="153">
        <f ca="1">VLOOKUP(B188,'Insumos e Serviços'!$A:$F,6,0)</f>
        <v>50.42</v>
      </c>
      <c r="H188" s="153">
        <f t="shared" si="8"/>
        <v>50.42</v>
      </c>
    </row>
    <row r="189" spans="1:8" ht="15" thickTop="1">
      <c r="A189" s="62"/>
      <c r="B189" s="62"/>
      <c r="C189" s="62"/>
      <c r="D189" s="62"/>
      <c r="E189" s="62"/>
      <c r="F189" s="62"/>
      <c r="G189" s="62"/>
      <c r="H189" s="62"/>
    </row>
    <row r="190" spans="1:8" s="142" customFormat="1" ht="15">
      <c r="A190" s="143" t="s">
        <v>597</v>
      </c>
      <c r="B190" s="144" t="s">
        <v>598</v>
      </c>
      <c r="C190" s="144" t="s">
        <v>247</v>
      </c>
      <c r="D190" s="145" t="s">
        <v>599</v>
      </c>
      <c r="E190" s="144" t="s">
        <v>288</v>
      </c>
      <c r="F190" s="146"/>
      <c r="G190" s="147"/>
      <c r="H190" s="148">
        <f>SUM(H191:H194)</f>
        <v>32.65</v>
      </c>
    </row>
    <row r="191" spans="1:8">
      <c r="A191" s="149" t="str">
        <f ca="1">VLOOKUP(B191,'Insumos e Serviços'!$A:$F,3,0)</f>
        <v>Composição</v>
      </c>
      <c r="B191" s="150" t="s">
        <v>807</v>
      </c>
      <c r="C191" s="151" t="str">
        <f ca="1">VLOOKUP(B191,'Insumos e Serviços'!$A:$F,2,0)</f>
        <v>SINAPI</v>
      </c>
      <c r="D191" s="149" t="str">
        <f ca="1">VLOOKUP(B191,'Insumos e Serviços'!$A:$F,4,0)</f>
        <v>AUXILIAR DE ENCANADOR OU BOMBEIRO HIDRÁULICO COM ENCARGOS COMPLEMENTARES</v>
      </c>
      <c r="E191" s="151" t="str">
        <f ca="1">VLOOKUP(B191,'Insumos e Serviços'!$A:$F,5,0)</f>
        <v>H</v>
      </c>
      <c r="F191" s="152">
        <v>0.152</v>
      </c>
      <c r="G191" s="153">
        <f ca="1">VLOOKUP(B191,'Insumos e Serviços'!$A:$F,6,0)</f>
        <v>18.23</v>
      </c>
      <c r="H191" s="153">
        <f>TRUNC(F191*G191,2)</f>
        <v>2.77</v>
      </c>
    </row>
    <row r="192" spans="1:8">
      <c r="A192" s="149" t="str">
        <f ca="1">VLOOKUP(B192,'Insumos e Serviços'!$A:$F,3,0)</f>
        <v>Composição</v>
      </c>
      <c r="B192" s="150" t="s">
        <v>805</v>
      </c>
      <c r="C192" s="151" t="str">
        <f ca="1">VLOOKUP(B192,'Insumos e Serviços'!$A:$F,2,0)</f>
        <v>SINAPI</v>
      </c>
      <c r="D192" s="149" t="str">
        <f ca="1">VLOOKUP(B192,'Insumos e Serviços'!$A:$F,4,0)</f>
        <v>ENCANADOR OU BOMBEIRO HIDRÁULICO COM ENCARGOS COMPLEMENTARES</v>
      </c>
      <c r="E192" s="151" t="str">
        <f ca="1">VLOOKUP(B192,'Insumos e Serviços'!$A:$F,5,0)</f>
        <v>H</v>
      </c>
      <c r="F192" s="152">
        <v>0.152</v>
      </c>
      <c r="G192" s="153">
        <f ca="1">VLOOKUP(B192,'Insumos e Serviços'!$A:$F,6,0)</f>
        <v>23.41</v>
      </c>
      <c r="H192" s="153">
        <f>TRUNC(F192*G192,2)</f>
        <v>3.55</v>
      </c>
    </row>
    <row r="193" spans="1:8">
      <c r="A193" s="149" t="str">
        <f ca="1">VLOOKUP(B193,'Insumos e Serviços'!$A:$F,3,0)</f>
        <v>Insumo</v>
      </c>
      <c r="B193" s="150" t="s">
        <v>915</v>
      </c>
      <c r="C193" s="151" t="str">
        <f ca="1">VLOOKUP(B193,'Insumos e Serviços'!$A:$F,2,0)</f>
        <v>SINAPI</v>
      </c>
      <c r="D193" s="149" t="str">
        <f ca="1">VLOOKUP(B193,'Insumos e Serviços'!$A:$F,4,0)</f>
        <v>CAP PVC, ROSCAVEL, 2 1/2",  AGUA FRIA PREDIAL</v>
      </c>
      <c r="E193" s="151" t="str">
        <f ca="1">VLOOKUP(B193,'Insumos e Serviços'!$A:$F,5,0)</f>
        <v>UN</v>
      </c>
      <c r="F193" s="152">
        <v>1</v>
      </c>
      <c r="G193" s="153">
        <f ca="1">VLOOKUP(B193,'Insumos e Serviços'!$A:$F,6,0)</f>
        <v>25.9</v>
      </c>
      <c r="H193" s="153">
        <f>TRUNC(F193*G193,2)</f>
        <v>25.9</v>
      </c>
    </row>
    <row r="194" spans="1:8" ht="15" thickBot="1">
      <c r="A194" s="149" t="str">
        <f ca="1">VLOOKUP(B194,'Insumos e Serviços'!$A:$F,3,0)</f>
        <v>Insumo</v>
      </c>
      <c r="B194" s="150" t="s">
        <v>917</v>
      </c>
      <c r="C194" s="151" t="str">
        <f ca="1">VLOOKUP(B194,'Insumos e Serviços'!$A:$F,2,0)</f>
        <v>SINAPI</v>
      </c>
      <c r="D194" s="149" t="str">
        <f ca="1">VLOOKUP(B194,'Insumos e Serviços'!$A:$F,4,0)</f>
        <v>FITA VEDA ROSCA EM ROLOS DE 18 MM X 25 M (L X C)</v>
      </c>
      <c r="E194" s="151" t="str">
        <f ca="1">VLOOKUP(B194,'Insumos e Serviços'!$A:$F,5,0)</f>
        <v>UN</v>
      </c>
      <c r="F194" s="152">
        <v>5.1999999999999998E-2</v>
      </c>
      <c r="G194" s="153">
        <f ca="1">VLOOKUP(B194,'Insumos e Serviços'!$A:$F,6,0)</f>
        <v>8.32</v>
      </c>
      <c r="H194" s="153">
        <f>TRUNC(F194*G194,2)</f>
        <v>0.43</v>
      </c>
    </row>
    <row r="195" spans="1:8" ht="15" thickTop="1">
      <c r="A195" s="62"/>
      <c r="B195" s="62"/>
      <c r="C195" s="62"/>
      <c r="D195" s="62"/>
      <c r="E195" s="62"/>
      <c r="F195" s="62"/>
      <c r="G195" s="62"/>
      <c r="H195" s="62"/>
    </row>
    <row r="196" spans="1:8" s="142" customFormat="1" ht="15">
      <c r="A196" s="143" t="s">
        <v>600</v>
      </c>
      <c r="B196" s="144" t="s">
        <v>601</v>
      </c>
      <c r="C196" s="144" t="s">
        <v>247</v>
      </c>
      <c r="D196" s="145" t="s">
        <v>602</v>
      </c>
      <c r="E196" s="144" t="s">
        <v>334</v>
      </c>
      <c r="F196" s="146"/>
      <c r="G196" s="147"/>
      <c r="H196" s="148">
        <f>SUM(H197:H202)</f>
        <v>30.240000000000002</v>
      </c>
    </row>
    <row r="197" spans="1:8">
      <c r="A197" s="149" t="str">
        <f ca="1">VLOOKUP(B197,'Insumos e Serviços'!$A:$F,3,0)</f>
        <v>Composição</v>
      </c>
      <c r="B197" s="150" t="s">
        <v>807</v>
      </c>
      <c r="C197" s="151" t="str">
        <f ca="1">VLOOKUP(B197,'Insumos e Serviços'!$A:$F,2,0)</f>
        <v>SINAPI</v>
      </c>
      <c r="D197" s="149" t="str">
        <f ca="1">VLOOKUP(B197,'Insumos e Serviços'!$A:$F,4,0)</f>
        <v>AUXILIAR DE ENCANADOR OU BOMBEIRO HIDRÁULICO COM ENCARGOS COMPLEMENTARES</v>
      </c>
      <c r="E197" s="151" t="str">
        <f ca="1">VLOOKUP(B197,'Insumos e Serviços'!$A:$F,5,0)</f>
        <v>H</v>
      </c>
      <c r="F197" s="152">
        <v>0.09</v>
      </c>
      <c r="G197" s="153">
        <f ca="1">VLOOKUP(B197,'Insumos e Serviços'!$A:$F,6,0)</f>
        <v>18.23</v>
      </c>
      <c r="H197" s="153">
        <f t="shared" ref="H197:H202" si="9">TRUNC(F197*G197,2)</f>
        <v>1.64</v>
      </c>
    </row>
    <row r="198" spans="1:8">
      <c r="A198" s="149" t="str">
        <f ca="1">VLOOKUP(B198,'Insumos e Serviços'!$A:$F,3,0)</f>
        <v>Composição</v>
      </c>
      <c r="B198" s="150" t="s">
        <v>805</v>
      </c>
      <c r="C198" s="151" t="str">
        <f ca="1">VLOOKUP(B198,'Insumos e Serviços'!$A:$F,2,0)</f>
        <v>SINAPI</v>
      </c>
      <c r="D198" s="149" t="str">
        <f ca="1">VLOOKUP(B198,'Insumos e Serviços'!$A:$F,4,0)</f>
        <v>ENCANADOR OU BOMBEIRO HIDRÁULICO COM ENCARGOS COMPLEMENTARES</v>
      </c>
      <c r="E198" s="151" t="str">
        <f ca="1">VLOOKUP(B198,'Insumos e Serviços'!$A:$F,5,0)</f>
        <v>H</v>
      </c>
      <c r="F198" s="152">
        <v>0.09</v>
      </c>
      <c r="G198" s="153">
        <f ca="1">VLOOKUP(B198,'Insumos e Serviços'!$A:$F,6,0)</f>
        <v>23.41</v>
      </c>
      <c r="H198" s="153">
        <f t="shared" si="9"/>
        <v>2.1</v>
      </c>
    </row>
    <row r="199" spans="1:8">
      <c r="A199" s="149" t="str">
        <f ca="1">VLOOKUP(B199,'Insumos e Serviços'!$A:$F,3,0)</f>
        <v>Insumo</v>
      </c>
      <c r="B199" s="150" t="s">
        <v>919</v>
      </c>
      <c r="C199" s="151" t="str">
        <f ca="1">VLOOKUP(B199,'Insumos e Serviços'!$A:$F,2,0)</f>
        <v>SINAPI</v>
      </c>
      <c r="D199" s="149" t="str">
        <f ca="1">VLOOKUP(B199,'Insumos e Serviços'!$A:$F,4,0)</f>
        <v>CAP PVC, SOLDAVEL, 75 MM, PARA AGUA FRIA PREDIAL</v>
      </c>
      <c r="E199" s="151" t="str">
        <f ca="1">VLOOKUP(B199,'Insumos e Serviços'!$A:$F,5,0)</f>
        <v>UN</v>
      </c>
      <c r="F199" s="152">
        <v>1</v>
      </c>
      <c r="G199" s="153">
        <f ca="1">VLOOKUP(B199,'Insumos e Serviços'!$A:$F,6,0)</f>
        <v>23.33</v>
      </c>
      <c r="H199" s="153">
        <f t="shared" si="9"/>
        <v>23.33</v>
      </c>
    </row>
    <row r="200" spans="1:8">
      <c r="A200" s="149" t="str">
        <f ca="1">VLOOKUP(B200,'Insumos e Serviços'!$A:$F,3,0)</f>
        <v>Insumo</v>
      </c>
      <c r="B200" s="150" t="s">
        <v>897</v>
      </c>
      <c r="C200" s="151" t="str">
        <f ca="1">VLOOKUP(B200,'Insumos e Serviços'!$A:$F,2,0)</f>
        <v>SINAPI</v>
      </c>
      <c r="D200" s="149" t="str">
        <f ca="1">VLOOKUP(B200,'Insumos e Serviços'!$A:$F,4,0)</f>
        <v>ADESIVO PLASTICO PARA PVC, FRASCO COM 850 GR</v>
      </c>
      <c r="E200" s="151" t="str">
        <f ca="1">VLOOKUP(B200,'Insumos e Serviços'!$A:$F,5,0)</f>
        <v>UN</v>
      </c>
      <c r="F200" s="152">
        <v>1.7000000000000001E-2</v>
      </c>
      <c r="G200" s="153">
        <f ca="1">VLOOKUP(B200,'Insumos e Serviços'!$A:$F,6,0)</f>
        <v>79.489999999999995</v>
      </c>
      <c r="H200" s="153">
        <f t="shared" si="9"/>
        <v>1.35</v>
      </c>
    </row>
    <row r="201" spans="1:8">
      <c r="A201" s="149" t="str">
        <f ca="1">VLOOKUP(B201,'Insumos e Serviços'!$A:$F,3,0)</f>
        <v>Insumo</v>
      </c>
      <c r="B201" s="150" t="s">
        <v>899</v>
      </c>
      <c r="C201" s="151" t="str">
        <f ca="1">VLOOKUP(B201,'Insumos e Serviços'!$A:$F,2,0)</f>
        <v>SINAPI</v>
      </c>
      <c r="D201" s="149" t="str">
        <f ca="1">VLOOKUP(B201,'Insumos e Serviços'!$A:$F,4,0)</f>
        <v>SOLUCAO LIMPADORA PARA PVC, FRASCO COM 1000 CM3</v>
      </c>
      <c r="E201" s="151" t="str">
        <f ca="1">VLOOKUP(B201,'Insumos e Serviços'!$A:$F,5,0)</f>
        <v>UN</v>
      </c>
      <c r="F201" s="152">
        <v>2.5999999999999999E-2</v>
      </c>
      <c r="G201" s="153">
        <f ca="1">VLOOKUP(B201,'Insumos e Serviços'!$A:$F,6,0)</f>
        <v>69.03</v>
      </c>
      <c r="H201" s="153">
        <f t="shared" si="9"/>
        <v>1.79</v>
      </c>
    </row>
    <row r="202" spans="1:8" ht="15" thickBot="1">
      <c r="A202" s="149" t="str">
        <f ca="1">VLOOKUP(B202,'Insumos e Serviços'!$A:$F,3,0)</f>
        <v>Insumo</v>
      </c>
      <c r="B202" s="150" t="s">
        <v>895</v>
      </c>
      <c r="C202" s="151" t="str">
        <f ca="1">VLOOKUP(B202,'Insumos e Serviços'!$A:$F,2,0)</f>
        <v>SINAPI</v>
      </c>
      <c r="D202" s="149" t="str">
        <f ca="1">VLOOKUP(B202,'Insumos e Serviços'!$A:$F,4,0)</f>
        <v>LIXA D'AGUA EM FOLHA, GRAO 100</v>
      </c>
      <c r="E202" s="151" t="str">
        <f ca="1">VLOOKUP(B202,'Insumos e Serviços'!$A:$F,5,0)</f>
        <v>UN</v>
      </c>
      <c r="F202" s="152">
        <v>1.6E-2</v>
      </c>
      <c r="G202" s="153">
        <f ca="1">VLOOKUP(B202,'Insumos e Serviços'!$A:$F,6,0)</f>
        <v>2.19</v>
      </c>
      <c r="H202" s="153">
        <f t="shared" si="9"/>
        <v>0.03</v>
      </c>
    </row>
    <row r="203" spans="1:8" ht="15" thickTop="1">
      <c r="A203" s="62"/>
      <c r="B203" s="62"/>
      <c r="C203" s="62"/>
      <c r="D203" s="62"/>
      <c r="E203" s="62"/>
      <c r="F203" s="62"/>
      <c r="G203" s="62"/>
      <c r="H203" s="62"/>
    </row>
    <row r="204" spans="1:8">
      <c r="A204" s="64" t="s">
        <v>608</v>
      </c>
      <c r="B204" s="64"/>
      <c r="C204" s="64"/>
      <c r="D204" s="64" t="s">
        <v>609</v>
      </c>
      <c r="E204" s="64"/>
      <c r="F204" s="65"/>
      <c r="G204" s="64"/>
      <c r="H204" s="66"/>
    </row>
    <row r="205" spans="1:8" s="142" customFormat="1" ht="22.5">
      <c r="A205" s="143" t="s">
        <v>616</v>
      </c>
      <c r="B205" s="144" t="s">
        <v>617</v>
      </c>
      <c r="C205" s="144" t="s">
        <v>247</v>
      </c>
      <c r="D205" s="145" t="s">
        <v>618</v>
      </c>
      <c r="E205" s="144" t="s">
        <v>288</v>
      </c>
      <c r="F205" s="146"/>
      <c r="G205" s="147"/>
      <c r="H205" s="148">
        <f>SUM(H206:H209)</f>
        <v>555.53</v>
      </c>
    </row>
    <row r="206" spans="1:8">
      <c r="A206" s="149" t="str">
        <f ca="1">VLOOKUP(B206,'Insumos e Serviços'!$A:$F,3,0)</f>
        <v>Composição</v>
      </c>
      <c r="B206" s="150" t="s">
        <v>807</v>
      </c>
      <c r="C206" s="151" t="str">
        <f ca="1">VLOOKUP(B206,'Insumos e Serviços'!$A:$F,2,0)</f>
        <v>SINAPI</v>
      </c>
      <c r="D206" s="149" t="str">
        <f ca="1">VLOOKUP(B206,'Insumos e Serviços'!$A:$F,4,0)</f>
        <v>AUXILIAR DE ENCANADOR OU BOMBEIRO HIDRÁULICO COM ENCARGOS COMPLEMENTARES</v>
      </c>
      <c r="E206" s="151" t="str">
        <f ca="1">VLOOKUP(B206,'Insumos e Serviços'!$A:$F,5,0)</f>
        <v>H</v>
      </c>
      <c r="F206" s="152">
        <v>0.53866999999999998</v>
      </c>
      <c r="G206" s="153">
        <f ca="1">VLOOKUP(B206,'Insumos e Serviços'!$A:$F,6,0)</f>
        <v>18.23</v>
      </c>
      <c r="H206" s="153">
        <f>TRUNC(F206*G206,2)</f>
        <v>9.81</v>
      </c>
    </row>
    <row r="207" spans="1:8">
      <c r="A207" s="149" t="str">
        <f ca="1">VLOOKUP(B207,'Insumos e Serviços'!$A:$F,3,0)</f>
        <v>Composição</v>
      </c>
      <c r="B207" s="150" t="s">
        <v>805</v>
      </c>
      <c r="C207" s="151" t="str">
        <f ca="1">VLOOKUP(B207,'Insumos e Serviços'!$A:$F,2,0)</f>
        <v>SINAPI</v>
      </c>
      <c r="D207" s="149" t="str">
        <f ca="1">VLOOKUP(B207,'Insumos e Serviços'!$A:$F,4,0)</f>
        <v>ENCANADOR OU BOMBEIRO HIDRÁULICO COM ENCARGOS COMPLEMENTARES</v>
      </c>
      <c r="E207" s="151" t="str">
        <f ca="1">VLOOKUP(B207,'Insumos e Serviços'!$A:$F,5,0)</f>
        <v>H</v>
      </c>
      <c r="F207" s="152">
        <v>0.53866999999999998</v>
      </c>
      <c r="G207" s="153">
        <f ca="1">VLOOKUP(B207,'Insumos e Serviços'!$A:$F,6,0)</f>
        <v>23.41</v>
      </c>
      <c r="H207" s="153">
        <f>TRUNC(F207*G207,2)</f>
        <v>12.61</v>
      </c>
    </row>
    <row r="208" spans="1:8">
      <c r="A208" s="149" t="str">
        <f ca="1">VLOOKUP(B208,'Insumos e Serviços'!$A:$F,3,0)</f>
        <v>Insumo</v>
      </c>
      <c r="B208" s="150" t="s">
        <v>885</v>
      </c>
      <c r="C208" s="151" t="str">
        <f ca="1">VLOOKUP(B208,'Insumos e Serviços'!$A:$F,2,0)</f>
        <v>SINAPI</v>
      </c>
      <c r="D208" s="149" t="str">
        <f ca="1">VLOOKUP(B208,'Insumos e Serviços'!$A:$F,4,0)</f>
        <v>FITA VEDA ROSCA EM ROLOS DE 18 MM X 50 M (L X C)</v>
      </c>
      <c r="E208" s="151" t="str">
        <f ca="1">VLOOKUP(B208,'Insumos e Serviços'!$A:$F,5,0)</f>
        <v>UN</v>
      </c>
      <c r="F208" s="152">
        <v>1.8669999999999999E-2</v>
      </c>
      <c r="G208" s="153">
        <f ca="1">VLOOKUP(B208,'Insumos e Serviços'!$A:$F,6,0)</f>
        <v>13.49</v>
      </c>
      <c r="H208" s="153">
        <f>TRUNC(F208*G208,2)</f>
        <v>0.25</v>
      </c>
    </row>
    <row r="209" spans="1:8" ht="23.25" thickBot="1">
      <c r="A209" s="149" t="str">
        <f ca="1">VLOOKUP(B209,'Insumos e Serviços'!$A:$F,3,0)</f>
        <v>Insumo</v>
      </c>
      <c r="B209" s="150" t="s">
        <v>921</v>
      </c>
      <c r="C209" s="151" t="str">
        <f ca="1">VLOOKUP(B209,'Insumos e Serviços'!$A:$F,2,0)</f>
        <v>Próprio</v>
      </c>
      <c r="D209" s="149" t="str">
        <f ca="1">VLOOKUP(B209,'Insumos e Serviços'!$A:$F,4,0)</f>
        <v>Conjunto flutuador com bóia, mangueira de sucção (2,5m) com válvula de retenção, bóia e conexão 2", ref. Eco Sucção 2", fab. Ecoracional</v>
      </c>
      <c r="E209" s="151" t="str">
        <f ca="1">VLOOKUP(B209,'Insumos e Serviços'!$A:$F,5,0)</f>
        <v>un</v>
      </c>
      <c r="F209" s="152">
        <v>1</v>
      </c>
      <c r="G209" s="153">
        <f ca="1">VLOOKUP(B209,'Insumos e Serviços'!$A:$F,6,0)</f>
        <v>532.86</v>
      </c>
      <c r="H209" s="153">
        <f>TRUNC(F209*G209,2)</f>
        <v>532.86</v>
      </c>
    </row>
    <row r="210" spans="1:8" ht="15" thickTop="1">
      <c r="A210" s="62"/>
      <c r="B210" s="62"/>
      <c r="C210" s="62"/>
      <c r="D210" s="62"/>
      <c r="E210" s="62"/>
      <c r="F210" s="62"/>
      <c r="G210" s="62"/>
      <c r="H210" s="62"/>
    </row>
    <row r="211" spans="1:8" s="142" customFormat="1" ht="15">
      <c r="A211" s="143" t="s">
        <v>619</v>
      </c>
      <c r="B211" s="144" t="s">
        <v>620</v>
      </c>
      <c r="C211" s="144" t="s">
        <v>247</v>
      </c>
      <c r="D211" s="145" t="s">
        <v>621</v>
      </c>
      <c r="E211" s="144" t="s">
        <v>334</v>
      </c>
      <c r="F211" s="146"/>
      <c r="G211" s="147"/>
      <c r="H211" s="148">
        <f>SUM(H212:H213)</f>
        <v>1842.04</v>
      </c>
    </row>
    <row r="212" spans="1:8" ht="22.5">
      <c r="A212" s="149" t="str">
        <f ca="1">VLOOKUP(B212,'Insumos e Serviços'!$A:$F,3,0)</f>
        <v>Composição</v>
      </c>
      <c r="B212" s="150" t="s">
        <v>923</v>
      </c>
      <c r="C212" s="151" t="str">
        <f ca="1">VLOOKUP(B212,'Insumos e Serviços'!$A:$F,2,0)</f>
        <v>SINAPI</v>
      </c>
      <c r="D212" s="149" t="str">
        <f ca="1">VLOOKUP(B212,'Insumos e Serviços'!$A:$F,4,0)</f>
        <v>BOMBA CENTRÍFUGA, TRIFÁSICA, 3 CV OU 2,96 HP, HM 34 A 40 M, Q 8,6 A 14,8 M3/H (NÃO INCLUI O FORNECIMENTO DA BOMBA). AF_12/2020</v>
      </c>
      <c r="E212" s="151" t="str">
        <f ca="1">VLOOKUP(B212,'Insumos e Serviços'!$A:$F,5,0)</f>
        <v>UN</v>
      </c>
      <c r="F212" s="152">
        <v>1</v>
      </c>
      <c r="G212" s="153">
        <f ca="1">VLOOKUP(B212,'Insumos e Serviços'!$A:$F,6,0)</f>
        <v>127</v>
      </c>
      <c r="H212" s="153">
        <f>TRUNC(F212*G212,2)</f>
        <v>127</v>
      </c>
    </row>
    <row r="213" spans="1:8" ht="15" thickBot="1">
      <c r="A213" s="149" t="str">
        <f ca="1">VLOOKUP(B213,'Insumos e Serviços'!$A:$F,3,0)</f>
        <v>Insumo</v>
      </c>
      <c r="B213" s="150" t="s">
        <v>925</v>
      </c>
      <c r="C213" s="151" t="str">
        <f ca="1">VLOOKUP(B213,'Insumos e Serviços'!$A:$F,2,0)</f>
        <v>Próprio</v>
      </c>
      <c r="D213" s="149" t="str">
        <f ca="1">VLOOKUP(B213,'Insumos e Serviços'!$A:$F,4,0)</f>
        <v>Conjunto moto-bomba trifásico 220/380V, 3cv, ref. CAM W14 Dancor</v>
      </c>
      <c r="E213" s="151" t="str">
        <f ca="1">VLOOKUP(B213,'Insumos e Serviços'!$A:$F,5,0)</f>
        <v>un</v>
      </c>
      <c r="F213" s="152">
        <v>1</v>
      </c>
      <c r="G213" s="153">
        <f ca="1">VLOOKUP(B213,'Insumos e Serviços'!$A:$F,6,0)</f>
        <v>1715.04</v>
      </c>
      <c r="H213" s="153">
        <f>TRUNC(F213*G213,2)</f>
        <v>1715.04</v>
      </c>
    </row>
    <row r="214" spans="1:8" ht="15" thickTop="1">
      <c r="A214" s="62"/>
      <c r="B214" s="62"/>
      <c r="C214" s="62"/>
      <c r="D214" s="62"/>
      <c r="E214" s="62"/>
      <c r="F214" s="62"/>
      <c r="G214" s="62"/>
      <c r="H214" s="62"/>
    </row>
    <row r="215" spans="1:8">
      <c r="A215" s="64" t="s">
        <v>622</v>
      </c>
      <c r="B215" s="64"/>
      <c r="C215" s="64"/>
      <c r="D215" s="64" t="s">
        <v>623</v>
      </c>
      <c r="E215" s="64"/>
      <c r="F215" s="65"/>
      <c r="G215" s="64"/>
      <c r="H215" s="66"/>
    </row>
    <row r="216" spans="1:8" s="142" customFormat="1" ht="15">
      <c r="A216" s="143" t="s">
        <v>624</v>
      </c>
      <c r="B216" s="144" t="s">
        <v>625</v>
      </c>
      <c r="C216" s="144" t="s">
        <v>247</v>
      </c>
      <c r="D216" s="145" t="s">
        <v>626</v>
      </c>
      <c r="E216" s="144" t="s">
        <v>334</v>
      </c>
      <c r="F216" s="146"/>
      <c r="G216" s="147"/>
      <c r="H216" s="148">
        <f>SUM(H217:H221)</f>
        <v>362.28000000000003</v>
      </c>
    </row>
    <row r="217" spans="1:8">
      <c r="A217" s="149" t="str">
        <f ca="1">VLOOKUP(B217,'Insumos e Serviços'!$A:$F,3,0)</f>
        <v>Composição</v>
      </c>
      <c r="B217" s="150" t="s">
        <v>807</v>
      </c>
      <c r="C217" s="151" t="str">
        <f ca="1">VLOOKUP(B217,'Insumos e Serviços'!$A:$F,2,0)</f>
        <v>SINAPI</v>
      </c>
      <c r="D217" s="149" t="str">
        <f ca="1">VLOOKUP(B217,'Insumos e Serviços'!$A:$F,4,0)</f>
        <v>AUXILIAR DE ENCANADOR OU BOMBEIRO HIDRÁULICO COM ENCARGOS COMPLEMENTARES</v>
      </c>
      <c r="E217" s="151" t="str">
        <f ca="1">VLOOKUP(B217,'Insumos e Serviços'!$A:$F,5,0)</f>
        <v>H</v>
      </c>
      <c r="F217" s="152">
        <v>0.44</v>
      </c>
      <c r="G217" s="153">
        <f ca="1">VLOOKUP(B217,'Insumos e Serviços'!$A:$F,6,0)</f>
        <v>18.23</v>
      </c>
      <c r="H217" s="153">
        <f>TRUNC(F217*G217,2)</f>
        <v>8.02</v>
      </c>
    </row>
    <row r="218" spans="1:8">
      <c r="A218" s="149" t="str">
        <f ca="1">VLOOKUP(B218,'Insumos e Serviços'!$A:$F,3,0)</f>
        <v>Composição</v>
      </c>
      <c r="B218" s="150" t="s">
        <v>805</v>
      </c>
      <c r="C218" s="151" t="str">
        <f ca="1">VLOOKUP(B218,'Insumos e Serviços'!$A:$F,2,0)</f>
        <v>SINAPI</v>
      </c>
      <c r="D218" s="149" t="str">
        <f ca="1">VLOOKUP(B218,'Insumos e Serviços'!$A:$F,4,0)</f>
        <v>ENCANADOR OU BOMBEIRO HIDRÁULICO COM ENCARGOS COMPLEMENTARES</v>
      </c>
      <c r="E218" s="151" t="str">
        <f ca="1">VLOOKUP(B218,'Insumos e Serviços'!$A:$F,5,0)</f>
        <v>H</v>
      </c>
      <c r="F218" s="152">
        <v>0.44</v>
      </c>
      <c r="G218" s="153">
        <f ca="1">VLOOKUP(B218,'Insumos e Serviços'!$A:$F,6,0)</f>
        <v>23.41</v>
      </c>
      <c r="H218" s="153">
        <f>TRUNC(F218*G218,2)</f>
        <v>10.3</v>
      </c>
    </row>
    <row r="219" spans="1:8">
      <c r="A219" s="149" t="str">
        <f ca="1">VLOOKUP(B219,'Insumos e Serviços'!$A:$F,3,0)</f>
        <v>Insumo</v>
      </c>
      <c r="B219" s="150" t="s">
        <v>927</v>
      </c>
      <c r="C219" s="151" t="str">
        <f ca="1">VLOOKUP(B219,'Insumos e Serviços'!$A:$F,2,0)</f>
        <v>SINAPI</v>
      </c>
      <c r="D219" s="149" t="str">
        <f ca="1">VLOOKUP(B219,'Insumos e Serviços'!$A:$F,4,0)</f>
        <v>ANEL BORRACHA, PARA TUBO PVC, REDE COLETOR ESGOTO, DN 150 MM (NBR 7362)</v>
      </c>
      <c r="E219" s="151" t="str">
        <f ca="1">VLOOKUP(B219,'Insumos e Serviços'!$A:$F,5,0)</f>
        <v>UN</v>
      </c>
      <c r="F219" s="152">
        <v>1</v>
      </c>
      <c r="G219" s="153">
        <f ca="1">VLOOKUP(B219,'Insumos e Serviços'!$A:$F,6,0)</f>
        <v>10.23</v>
      </c>
      <c r="H219" s="153">
        <f>TRUNC(F219*G219,2)</f>
        <v>10.23</v>
      </c>
    </row>
    <row r="220" spans="1:8" ht="22.5">
      <c r="A220" s="149" t="str">
        <f ca="1">VLOOKUP(B220,'Insumos e Serviços'!$A:$F,3,0)</f>
        <v>Insumo</v>
      </c>
      <c r="B220" s="150" t="s">
        <v>901</v>
      </c>
      <c r="C220" s="151" t="str">
        <f ca="1">VLOOKUP(B220,'Insumos e Serviços'!$A:$F,2,0)</f>
        <v>SINAPI</v>
      </c>
      <c r="D220" s="149" t="str">
        <f ca="1">VLOOKUP(B220,'Insumos e Serviços'!$A:$F,4,0)</f>
        <v>PASTA LUBRIFICANTE PARA TUBOS E CONEXOES COM JUNTA ELASTICA (USO EM PVC, ACO, POLIETILENO E OUTROS) ( DE *400* G)</v>
      </c>
      <c r="E220" s="151" t="str">
        <f ca="1">VLOOKUP(B220,'Insumos e Serviços'!$A:$F,5,0)</f>
        <v>UN</v>
      </c>
      <c r="F220" s="152">
        <v>0.14000000000000001</v>
      </c>
      <c r="G220" s="153">
        <f ca="1">VLOOKUP(B220,'Insumos e Serviços'!$A:$F,6,0)</f>
        <v>29.1</v>
      </c>
      <c r="H220" s="153">
        <f>TRUNC(F220*G220,2)</f>
        <v>4.07</v>
      </c>
    </row>
    <row r="221" spans="1:8" ht="15" thickBot="1">
      <c r="A221" s="149" t="str">
        <f ca="1">VLOOKUP(B221,'Insumos e Serviços'!$A:$F,3,0)</f>
        <v>Insumo</v>
      </c>
      <c r="B221" s="150" t="s">
        <v>929</v>
      </c>
      <c r="C221" s="151" t="str">
        <f ca="1">VLOOKUP(B221,'Insumos e Serviços'!$A:$F,2,0)</f>
        <v>Próprio</v>
      </c>
      <c r="D221" s="149" t="str">
        <f ca="1">VLOOKUP(B221,'Insumos e Serviços'!$A:$F,4,0)</f>
        <v>Sifão ladrão Ø150mm em polietileno, Ciclo D'água</v>
      </c>
      <c r="E221" s="151" t="str">
        <f ca="1">VLOOKUP(B221,'Insumos e Serviços'!$A:$F,5,0)</f>
        <v>un</v>
      </c>
      <c r="F221" s="152">
        <v>1</v>
      </c>
      <c r="G221" s="153">
        <f ca="1">VLOOKUP(B221,'Insumos e Serviços'!$A:$F,6,0)</f>
        <v>329.66</v>
      </c>
      <c r="H221" s="153">
        <f>TRUNC(F221*G221,2)</f>
        <v>329.66</v>
      </c>
    </row>
    <row r="222" spans="1:8" ht="15" thickTop="1">
      <c r="A222" s="62"/>
      <c r="B222" s="62"/>
      <c r="C222" s="62"/>
      <c r="D222" s="62"/>
      <c r="E222" s="62"/>
      <c r="F222" s="62"/>
      <c r="G222" s="62"/>
      <c r="H222" s="62"/>
    </row>
    <row r="223" spans="1:8" s="142" customFormat="1" ht="22.5">
      <c r="A223" s="143" t="s">
        <v>627</v>
      </c>
      <c r="B223" s="144" t="s">
        <v>628</v>
      </c>
      <c r="C223" s="144" t="s">
        <v>247</v>
      </c>
      <c r="D223" s="145" t="s">
        <v>629</v>
      </c>
      <c r="E223" s="144" t="s">
        <v>334</v>
      </c>
      <c r="F223" s="146"/>
      <c r="G223" s="147"/>
      <c r="H223" s="148">
        <f>SUM(H224:H227)</f>
        <v>62.8</v>
      </c>
    </row>
    <row r="224" spans="1:8">
      <c r="A224" s="149" t="str">
        <f ca="1">VLOOKUP(B224,'Insumos e Serviços'!$A:$F,3,0)</f>
        <v>Composição</v>
      </c>
      <c r="B224" s="150" t="s">
        <v>805</v>
      </c>
      <c r="C224" s="151" t="str">
        <f ca="1">VLOOKUP(B224,'Insumos e Serviços'!$A:$F,2,0)</f>
        <v>SINAPI</v>
      </c>
      <c r="D224" s="149" t="str">
        <f ca="1">VLOOKUP(B224,'Insumos e Serviços'!$A:$F,4,0)</f>
        <v>ENCANADOR OU BOMBEIRO HIDRÁULICO COM ENCARGOS COMPLEMENTARES</v>
      </c>
      <c r="E224" s="151" t="str">
        <f ca="1">VLOOKUP(B224,'Insumos e Serviços'!$A:$F,5,0)</f>
        <v>H</v>
      </c>
      <c r="F224" s="152">
        <v>0.2</v>
      </c>
      <c r="G224" s="153">
        <f ca="1">VLOOKUP(B224,'Insumos e Serviços'!$A:$F,6,0)</f>
        <v>23.41</v>
      </c>
      <c r="H224" s="153">
        <f>TRUNC(F224*G224,2)</f>
        <v>4.68</v>
      </c>
    </row>
    <row r="225" spans="1:8">
      <c r="A225" s="149" t="str">
        <f ca="1">VLOOKUP(B225,'Insumos e Serviços'!$A:$F,3,0)</f>
        <v>Composição</v>
      </c>
      <c r="B225" s="150" t="s">
        <v>807</v>
      </c>
      <c r="C225" s="151" t="str">
        <f ca="1">VLOOKUP(B225,'Insumos e Serviços'!$A:$F,2,0)</f>
        <v>SINAPI</v>
      </c>
      <c r="D225" s="149" t="str">
        <f ca="1">VLOOKUP(B225,'Insumos e Serviços'!$A:$F,4,0)</f>
        <v>AUXILIAR DE ENCANADOR OU BOMBEIRO HIDRÁULICO COM ENCARGOS COMPLEMENTARES</v>
      </c>
      <c r="E225" s="151" t="str">
        <f ca="1">VLOOKUP(B225,'Insumos e Serviços'!$A:$F,5,0)</f>
        <v>H</v>
      </c>
      <c r="F225" s="152">
        <v>0.2</v>
      </c>
      <c r="G225" s="153">
        <f ca="1">VLOOKUP(B225,'Insumos e Serviços'!$A:$F,6,0)</f>
        <v>18.23</v>
      </c>
      <c r="H225" s="153">
        <f>TRUNC(F225*G225,2)</f>
        <v>3.64</v>
      </c>
    </row>
    <row r="226" spans="1:8">
      <c r="A226" s="149" t="str">
        <f ca="1">VLOOKUP(B226,'Insumos e Serviços'!$A:$F,3,0)</f>
        <v>Insumo</v>
      </c>
      <c r="B226" s="150" t="s">
        <v>931</v>
      </c>
      <c r="C226" s="151" t="str">
        <f ca="1">VLOOKUP(B226,'Insumos e Serviços'!$A:$F,2,0)</f>
        <v>Próprio</v>
      </c>
      <c r="D226" s="149" t="str">
        <f ca="1">VLOOKUP(B226,'Insumos e Serviços'!$A:$F,4,0)</f>
        <v>Sensor de nível de líquido LA16M-40 com adaptador PVC M16 X 25, fab. Icos</v>
      </c>
      <c r="E226" s="151" t="str">
        <f ca="1">VLOOKUP(B226,'Insumos e Serviços'!$A:$F,5,0)</f>
        <v>un</v>
      </c>
      <c r="F226" s="152">
        <v>1</v>
      </c>
      <c r="G226" s="153">
        <f ca="1">VLOOKUP(B226,'Insumos e Serviços'!$A:$F,6,0)</f>
        <v>54.44</v>
      </c>
      <c r="H226" s="153">
        <f>TRUNC(F226*G226,2)</f>
        <v>54.44</v>
      </c>
    </row>
    <row r="227" spans="1:8" ht="15" thickBot="1">
      <c r="A227" s="149" t="str">
        <f ca="1">VLOOKUP(B227,'Insumos e Serviços'!$A:$F,3,0)</f>
        <v>Insumo</v>
      </c>
      <c r="B227" s="150" t="s">
        <v>885</v>
      </c>
      <c r="C227" s="151" t="str">
        <f ca="1">VLOOKUP(B227,'Insumos e Serviços'!$A:$F,2,0)</f>
        <v>SINAPI</v>
      </c>
      <c r="D227" s="149" t="str">
        <f ca="1">VLOOKUP(B227,'Insumos e Serviços'!$A:$F,4,0)</f>
        <v>FITA VEDA ROSCA EM ROLOS DE 18 MM X 50 M (L X C)</v>
      </c>
      <c r="E227" s="151" t="str">
        <f ca="1">VLOOKUP(B227,'Insumos e Serviços'!$A:$F,5,0)</f>
        <v>UN</v>
      </c>
      <c r="F227" s="152">
        <v>3.3999999999999998E-3</v>
      </c>
      <c r="G227" s="153">
        <f ca="1">VLOOKUP(B227,'Insumos e Serviços'!$A:$F,6,0)</f>
        <v>13.49</v>
      </c>
      <c r="H227" s="153">
        <f>TRUNC(F227*G227,2)</f>
        <v>0.04</v>
      </c>
    </row>
    <row r="228" spans="1:8" ht="15" thickTop="1">
      <c r="A228" s="62"/>
      <c r="B228" s="62"/>
      <c r="C228" s="62"/>
      <c r="D228" s="62"/>
      <c r="E228" s="62"/>
      <c r="F228" s="62"/>
      <c r="G228" s="62"/>
      <c r="H228" s="62"/>
    </row>
    <row r="229" spans="1:8" s="142" customFormat="1" ht="22.5">
      <c r="A229" s="143" t="s">
        <v>630</v>
      </c>
      <c r="B229" s="144" t="s">
        <v>631</v>
      </c>
      <c r="C229" s="144" t="s">
        <v>247</v>
      </c>
      <c r="D229" s="145" t="s">
        <v>632</v>
      </c>
      <c r="E229" s="144" t="s">
        <v>334</v>
      </c>
      <c r="F229" s="146"/>
      <c r="G229" s="147"/>
      <c r="H229" s="148">
        <f>SUM(H230:H235)</f>
        <v>2839.3900000000003</v>
      </c>
    </row>
    <row r="230" spans="1:8">
      <c r="A230" s="149" t="str">
        <f ca="1">VLOOKUP(B230,'Insumos e Serviços'!$A:$F,3,0)</f>
        <v>Composição</v>
      </c>
      <c r="B230" s="150" t="s">
        <v>933</v>
      </c>
      <c r="C230" s="151" t="str">
        <f ca="1">VLOOKUP(B230,'Insumos e Serviços'!$A:$F,2,0)</f>
        <v>SINAPI</v>
      </c>
      <c r="D230" s="149" t="str">
        <f ca="1">VLOOKUP(B230,'Insumos e Serviços'!$A:$F,4,0)</f>
        <v>MONTADOR ELETROMECÃNICO COM ENCARGOS COMPLEMENTARES</v>
      </c>
      <c r="E230" s="151" t="str">
        <f ca="1">VLOOKUP(B230,'Insumos e Serviços'!$A:$F,5,0)</f>
        <v>H</v>
      </c>
      <c r="F230" s="152">
        <v>1</v>
      </c>
      <c r="G230" s="153">
        <f ca="1">VLOOKUP(B230,'Insumos e Serviços'!$A:$F,6,0)</f>
        <v>24.98</v>
      </c>
      <c r="H230" s="153">
        <f t="shared" ref="H230:H235" si="10">TRUNC(F230*G230,2)</f>
        <v>24.98</v>
      </c>
    </row>
    <row r="231" spans="1:8">
      <c r="A231" s="149" t="str">
        <f ca="1">VLOOKUP(B231,'Insumos e Serviços'!$A:$F,3,0)</f>
        <v>Composição</v>
      </c>
      <c r="B231" s="150" t="s">
        <v>854</v>
      </c>
      <c r="C231" s="151" t="str">
        <f ca="1">VLOOKUP(B231,'Insumos e Serviços'!$A:$F,2,0)</f>
        <v>SINAPI</v>
      </c>
      <c r="D231" s="149" t="str">
        <f ca="1">VLOOKUP(B231,'Insumos e Serviços'!$A:$F,4,0)</f>
        <v>AJUDANTE ESPECIALIZADO COM ENCARGOS COMPLEMENTARES</v>
      </c>
      <c r="E231" s="151" t="str">
        <f ca="1">VLOOKUP(B231,'Insumos e Serviços'!$A:$F,5,0)</f>
        <v>H</v>
      </c>
      <c r="F231" s="152">
        <v>1</v>
      </c>
      <c r="G231" s="153">
        <f ca="1">VLOOKUP(B231,'Insumos e Serviços'!$A:$F,6,0)</f>
        <v>20.96</v>
      </c>
      <c r="H231" s="153">
        <f t="shared" si="10"/>
        <v>20.96</v>
      </c>
    </row>
    <row r="232" spans="1:8">
      <c r="A232" s="149" t="str">
        <f ca="1">VLOOKUP(B232,'Insumos e Serviços'!$A:$F,3,0)</f>
        <v>Composição</v>
      </c>
      <c r="B232" s="150" t="s">
        <v>805</v>
      </c>
      <c r="C232" s="151" t="str">
        <f ca="1">VLOOKUP(B232,'Insumos e Serviços'!$A:$F,2,0)</f>
        <v>SINAPI</v>
      </c>
      <c r="D232" s="149" t="str">
        <f ca="1">VLOOKUP(B232,'Insumos e Serviços'!$A:$F,4,0)</f>
        <v>ENCANADOR OU BOMBEIRO HIDRÁULICO COM ENCARGOS COMPLEMENTARES</v>
      </c>
      <c r="E232" s="151" t="str">
        <f ca="1">VLOOKUP(B232,'Insumos e Serviços'!$A:$F,5,0)</f>
        <v>H</v>
      </c>
      <c r="F232" s="152">
        <v>0.52590000000000003</v>
      </c>
      <c r="G232" s="153">
        <f ca="1">VLOOKUP(B232,'Insumos e Serviços'!$A:$F,6,0)</f>
        <v>23.41</v>
      </c>
      <c r="H232" s="153">
        <f t="shared" si="10"/>
        <v>12.31</v>
      </c>
    </row>
    <row r="233" spans="1:8">
      <c r="A233" s="149" t="str">
        <f ca="1">VLOOKUP(B233,'Insumos e Serviços'!$A:$F,3,0)</f>
        <v>Composição</v>
      </c>
      <c r="B233" s="150" t="s">
        <v>807</v>
      </c>
      <c r="C233" s="151" t="str">
        <f ca="1">VLOOKUP(B233,'Insumos e Serviços'!$A:$F,2,0)</f>
        <v>SINAPI</v>
      </c>
      <c r="D233" s="149" t="str">
        <f ca="1">VLOOKUP(B233,'Insumos e Serviços'!$A:$F,4,0)</f>
        <v>AUXILIAR DE ENCANADOR OU BOMBEIRO HIDRÁULICO COM ENCARGOS COMPLEMENTARES</v>
      </c>
      <c r="E233" s="151" t="str">
        <f ca="1">VLOOKUP(B233,'Insumos e Serviços'!$A:$F,5,0)</f>
        <v>H</v>
      </c>
      <c r="F233" s="152">
        <v>0.52590000000000003</v>
      </c>
      <c r="G233" s="153">
        <f ca="1">VLOOKUP(B233,'Insumos e Serviços'!$A:$F,6,0)</f>
        <v>18.23</v>
      </c>
      <c r="H233" s="153">
        <f t="shared" si="10"/>
        <v>9.58</v>
      </c>
    </row>
    <row r="234" spans="1:8">
      <c r="A234" s="149" t="str">
        <f ca="1">VLOOKUP(B234,'Insumos e Serviços'!$A:$F,3,0)</f>
        <v>Insumo</v>
      </c>
      <c r="B234" s="150" t="s">
        <v>885</v>
      </c>
      <c r="C234" s="151" t="str">
        <f ca="1">VLOOKUP(B234,'Insumos e Serviços'!$A:$F,2,0)</f>
        <v>SINAPI</v>
      </c>
      <c r="D234" s="149" t="str">
        <f ca="1">VLOOKUP(B234,'Insumos e Serviços'!$A:$F,4,0)</f>
        <v>FITA VEDA ROSCA EM ROLOS DE 18 MM X 50 M (L X C)</v>
      </c>
      <c r="E234" s="151" t="str">
        <f ca="1">VLOOKUP(B234,'Insumos e Serviços'!$A:$F,5,0)</f>
        <v>UN</v>
      </c>
      <c r="F234" s="152">
        <v>1.9800000000000002E-2</v>
      </c>
      <c r="G234" s="153">
        <f ca="1">VLOOKUP(B234,'Insumos e Serviços'!$A:$F,6,0)</f>
        <v>13.49</v>
      </c>
      <c r="H234" s="153">
        <f t="shared" si="10"/>
        <v>0.26</v>
      </c>
    </row>
    <row r="235" spans="1:8" ht="15" thickBot="1">
      <c r="A235" s="149" t="str">
        <f ca="1">VLOOKUP(B235,'Insumos e Serviços'!$A:$F,3,0)</f>
        <v>Insumo</v>
      </c>
      <c r="B235" s="150" t="s">
        <v>935</v>
      </c>
      <c r="C235" s="151" t="str">
        <f ca="1">VLOOKUP(B235,'Insumos e Serviços'!$A:$F,2,0)</f>
        <v>Próprio</v>
      </c>
      <c r="D235" s="149" t="str">
        <f ca="1">VLOOKUP(B235,'Insumos e Serviços'!$A:$F,4,0)</f>
        <v>Hidrômetro ultrassônico DN 40mm, ref. Hydrus, fab. Diehl</v>
      </c>
      <c r="E235" s="151" t="str">
        <f ca="1">VLOOKUP(B235,'Insumos e Serviços'!$A:$F,5,0)</f>
        <v>un</v>
      </c>
      <c r="F235" s="152">
        <v>1</v>
      </c>
      <c r="G235" s="153">
        <f ca="1">VLOOKUP(B235,'Insumos e Serviços'!$A:$F,6,0)</f>
        <v>2771.3</v>
      </c>
      <c r="H235" s="153">
        <f t="shared" si="10"/>
        <v>2771.3</v>
      </c>
    </row>
    <row r="236" spans="1:8" ht="15" thickTop="1">
      <c r="A236" s="62"/>
      <c r="B236" s="62"/>
      <c r="C236" s="62"/>
      <c r="D236" s="62"/>
      <c r="E236" s="62"/>
      <c r="F236" s="62"/>
      <c r="G236" s="62"/>
      <c r="H236" s="62"/>
    </row>
    <row r="237" spans="1:8" s="142" customFormat="1" ht="22.5">
      <c r="A237" s="143" t="s">
        <v>633</v>
      </c>
      <c r="B237" s="144" t="s">
        <v>634</v>
      </c>
      <c r="C237" s="144" t="s">
        <v>247</v>
      </c>
      <c r="D237" s="145" t="s">
        <v>635</v>
      </c>
      <c r="E237" s="144" t="s">
        <v>334</v>
      </c>
      <c r="F237" s="146"/>
      <c r="G237" s="147"/>
      <c r="H237" s="148">
        <f>SUM(H238:H240)</f>
        <v>2168.37</v>
      </c>
    </row>
    <row r="238" spans="1:8">
      <c r="A238" s="149" t="str">
        <f ca="1">VLOOKUP(B238,'Insumos e Serviços'!$A:$F,3,0)</f>
        <v>Composição</v>
      </c>
      <c r="B238" s="150" t="s">
        <v>933</v>
      </c>
      <c r="C238" s="151" t="str">
        <f ca="1">VLOOKUP(B238,'Insumos e Serviços'!$A:$F,2,0)</f>
        <v>SINAPI</v>
      </c>
      <c r="D238" s="149" t="str">
        <f ca="1">VLOOKUP(B238,'Insumos e Serviços'!$A:$F,4,0)</f>
        <v>MONTADOR ELETROMECÃNICO COM ENCARGOS COMPLEMENTARES</v>
      </c>
      <c r="E238" s="151" t="str">
        <f ca="1">VLOOKUP(B238,'Insumos e Serviços'!$A:$F,5,0)</f>
        <v>H</v>
      </c>
      <c r="F238" s="152">
        <v>9</v>
      </c>
      <c r="G238" s="153">
        <f ca="1">VLOOKUP(B238,'Insumos e Serviços'!$A:$F,6,0)</f>
        <v>24.98</v>
      </c>
      <c r="H238" s="153">
        <f>TRUNC(F238*G238,2)</f>
        <v>224.82</v>
      </c>
    </row>
    <row r="239" spans="1:8">
      <c r="A239" s="149" t="str">
        <f ca="1">VLOOKUP(B239,'Insumos e Serviços'!$A:$F,3,0)</f>
        <v>Composição</v>
      </c>
      <c r="B239" s="150" t="s">
        <v>854</v>
      </c>
      <c r="C239" s="151" t="str">
        <f ca="1">VLOOKUP(B239,'Insumos e Serviços'!$A:$F,2,0)</f>
        <v>SINAPI</v>
      </c>
      <c r="D239" s="149" t="str">
        <f ca="1">VLOOKUP(B239,'Insumos e Serviços'!$A:$F,4,0)</f>
        <v>AJUDANTE ESPECIALIZADO COM ENCARGOS COMPLEMENTARES</v>
      </c>
      <c r="E239" s="151" t="str">
        <f ca="1">VLOOKUP(B239,'Insumos e Serviços'!$A:$F,5,0)</f>
        <v>H</v>
      </c>
      <c r="F239" s="152">
        <v>9</v>
      </c>
      <c r="G239" s="153">
        <f ca="1">VLOOKUP(B239,'Insumos e Serviços'!$A:$F,6,0)</f>
        <v>20.96</v>
      </c>
      <c r="H239" s="153">
        <f>TRUNC(F239*G239,2)</f>
        <v>188.64</v>
      </c>
    </row>
    <row r="240" spans="1:8" ht="23.25" thickBot="1">
      <c r="A240" s="149" t="str">
        <f ca="1">VLOOKUP(B240,'Insumos e Serviços'!$A:$F,3,0)</f>
        <v>Insumo</v>
      </c>
      <c r="B240" s="150" t="s">
        <v>937</v>
      </c>
      <c r="C240" s="151" t="str">
        <f ca="1">VLOOKUP(B240,'Insumos e Serviços'!$A:$F,2,0)</f>
        <v>Próprio</v>
      </c>
      <c r="D240" s="149" t="str">
        <f ca="1">VLOOKUP(B240,'Insumos e Serviços'!$A:$F,4,0)</f>
        <v>Filtro ultravioleta UVC Power, vazão 18 m³/h, DN 50mm (1.1/2"), referência comercial: SODRAMAR, modelo&gt; SUV 95 - ABS</v>
      </c>
      <c r="E240" s="151" t="str">
        <f ca="1">VLOOKUP(B240,'Insumos e Serviços'!$A:$F,5,0)</f>
        <v>un</v>
      </c>
      <c r="F240" s="152">
        <v>1</v>
      </c>
      <c r="G240" s="153">
        <f ca="1">VLOOKUP(B240,'Insumos e Serviços'!$A:$F,6,0)</f>
        <v>1754.91</v>
      </c>
      <c r="H240" s="153">
        <f>TRUNC(F240*G240,2)</f>
        <v>1754.91</v>
      </c>
    </row>
    <row r="241" spans="1:8" ht="15" thickTop="1">
      <c r="A241" s="62"/>
      <c r="B241" s="62"/>
      <c r="C241" s="62"/>
      <c r="D241" s="62"/>
      <c r="E241" s="62"/>
      <c r="F241" s="62"/>
      <c r="G241" s="62"/>
      <c r="H241" s="62"/>
    </row>
    <row r="242" spans="1:8" s="142" customFormat="1" ht="22.5">
      <c r="A242" s="143" t="s">
        <v>636</v>
      </c>
      <c r="B242" s="144" t="s">
        <v>637</v>
      </c>
      <c r="C242" s="144" t="s">
        <v>247</v>
      </c>
      <c r="D242" s="145" t="s">
        <v>638</v>
      </c>
      <c r="E242" s="144" t="s">
        <v>334</v>
      </c>
      <c r="F242" s="146"/>
      <c r="G242" s="147"/>
      <c r="H242" s="148">
        <f>SUM(H243:H248)</f>
        <v>1068.0899999999999</v>
      </c>
    </row>
    <row r="243" spans="1:8">
      <c r="A243" s="149" t="str">
        <f ca="1">VLOOKUP(B243,'Insumos e Serviços'!$A:$F,3,0)</f>
        <v>Composição</v>
      </c>
      <c r="B243" s="150" t="s">
        <v>933</v>
      </c>
      <c r="C243" s="151" t="str">
        <f ca="1">VLOOKUP(B243,'Insumos e Serviços'!$A:$F,2,0)</f>
        <v>SINAPI</v>
      </c>
      <c r="D243" s="149" t="str">
        <f ca="1">VLOOKUP(B243,'Insumos e Serviços'!$A:$F,4,0)</f>
        <v>MONTADOR ELETROMECÃNICO COM ENCARGOS COMPLEMENTARES</v>
      </c>
      <c r="E243" s="151" t="str">
        <f ca="1">VLOOKUP(B243,'Insumos e Serviços'!$A:$F,5,0)</f>
        <v>H</v>
      </c>
      <c r="F243" s="152">
        <v>1</v>
      </c>
      <c r="G243" s="153">
        <f ca="1">VLOOKUP(B243,'Insumos e Serviços'!$A:$F,6,0)</f>
        <v>24.98</v>
      </c>
      <c r="H243" s="153">
        <f t="shared" ref="H243:H248" si="11">TRUNC(F243*G243,2)</f>
        <v>24.98</v>
      </c>
    </row>
    <row r="244" spans="1:8">
      <c r="A244" s="149" t="str">
        <f ca="1">VLOOKUP(B244,'Insumos e Serviços'!$A:$F,3,0)</f>
        <v>Composição</v>
      </c>
      <c r="B244" s="150" t="s">
        <v>854</v>
      </c>
      <c r="C244" s="151" t="str">
        <f ca="1">VLOOKUP(B244,'Insumos e Serviços'!$A:$F,2,0)</f>
        <v>SINAPI</v>
      </c>
      <c r="D244" s="149" t="str">
        <f ca="1">VLOOKUP(B244,'Insumos e Serviços'!$A:$F,4,0)</f>
        <v>AJUDANTE ESPECIALIZADO COM ENCARGOS COMPLEMENTARES</v>
      </c>
      <c r="E244" s="151" t="str">
        <f ca="1">VLOOKUP(B244,'Insumos e Serviços'!$A:$F,5,0)</f>
        <v>H</v>
      </c>
      <c r="F244" s="152">
        <v>1</v>
      </c>
      <c r="G244" s="153">
        <f ca="1">VLOOKUP(B244,'Insumos e Serviços'!$A:$F,6,0)</f>
        <v>20.96</v>
      </c>
      <c r="H244" s="153">
        <f t="shared" si="11"/>
        <v>20.96</v>
      </c>
    </row>
    <row r="245" spans="1:8">
      <c r="A245" s="149" t="str">
        <f ca="1">VLOOKUP(B245,'Insumos e Serviços'!$A:$F,3,0)</f>
        <v>Composição</v>
      </c>
      <c r="B245" s="150" t="s">
        <v>805</v>
      </c>
      <c r="C245" s="151" t="str">
        <f ca="1">VLOOKUP(B245,'Insumos e Serviços'!$A:$F,2,0)</f>
        <v>SINAPI</v>
      </c>
      <c r="D245" s="149" t="str">
        <f ca="1">VLOOKUP(B245,'Insumos e Serviços'!$A:$F,4,0)</f>
        <v>ENCANADOR OU BOMBEIRO HIDRÁULICO COM ENCARGOS COMPLEMENTARES</v>
      </c>
      <c r="E245" s="151" t="str">
        <f ca="1">VLOOKUP(B245,'Insumos e Serviços'!$A:$F,5,0)</f>
        <v>H</v>
      </c>
      <c r="F245" s="152">
        <v>0.52590000000000003</v>
      </c>
      <c r="G245" s="153">
        <f ca="1">VLOOKUP(B245,'Insumos e Serviços'!$A:$F,6,0)</f>
        <v>23.41</v>
      </c>
      <c r="H245" s="153">
        <f t="shared" si="11"/>
        <v>12.31</v>
      </c>
    </row>
    <row r="246" spans="1:8">
      <c r="A246" s="149" t="str">
        <f ca="1">VLOOKUP(B246,'Insumos e Serviços'!$A:$F,3,0)</f>
        <v>Composição</v>
      </c>
      <c r="B246" s="150" t="s">
        <v>807</v>
      </c>
      <c r="C246" s="151" t="str">
        <f ca="1">VLOOKUP(B246,'Insumos e Serviços'!$A:$F,2,0)</f>
        <v>SINAPI</v>
      </c>
      <c r="D246" s="149" t="str">
        <f ca="1">VLOOKUP(B246,'Insumos e Serviços'!$A:$F,4,0)</f>
        <v>AUXILIAR DE ENCANADOR OU BOMBEIRO HIDRÁULICO COM ENCARGOS COMPLEMENTARES</v>
      </c>
      <c r="E246" s="151" t="str">
        <f ca="1">VLOOKUP(B246,'Insumos e Serviços'!$A:$F,5,0)</f>
        <v>H</v>
      </c>
      <c r="F246" s="152">
        <v>0.52590000000000003</v>
      </c>
      <c r="G246" s="153">
        <f ca="1">VLOOKUP(B246,'Insumos e Serviços'!$A:$F,6,0)</f>
        <v>18.23</v>
      </c>
      <c r="H246" s="153">
        <f t="shared" si="11"/>
        <v>9.58</v>
      </c>
    </row>
    <row r="247" spans="1:8">
      <c r="A247" s="149" t="str">
        <f ca="1">VLOOKUP(B247,'Insumos e Serviços'!$A:$F,3,0)</f>
        <v>Insumo</v>
      </c>
      <c r="B247" s="150" t="s">
        <v>885</v>
      </c>
      <c r="C247" s="151" t="str">
        <f ca="1">VLOOKUP(B247,'Insumos e Serviços'!$A:$F,2,0)</f>
        <v>SINAPI</v>
      </c>
      <c r="D247" s="149" t="str">
        <f ca="1">VLOOKUP(B247,'Insumos e Serviços'!$A:$F,4,0)</f>
        <v>FITA VEDA ROSCA EM ROLOS DE 18 MM X 50 M (L X C)</v>
      </c>
      <c r="E247" s="151" t="str">
        <f ca="1">VLOOKUP(B247,'Insumos e Serviços'!$A:$F,5,0)</f>
        <v>UN</v>
      </c>
      <c r="F247" s="152">
        <v>1.9800000000000002E-2</v>
      </c>
      <c r="G247" s="153">
        <f ca="1">VLOOKUP(B247,'Insumos e Serviços'!$A:$F,6,0)</f>
        <v>13.49</v>
      </c>
      <c r="H247" s="153">
        <f t="shared" si="11"/>
        <v>0.26</v>
      </c>
    </row>
    <row r="248" spans="1:8" ht="15" thickBot="1">
      <c r="A248" s="149" t="str">
        <f ca="1">VLOOKUP(B248,'Insumos e Serviços'!$A:$F,3,0)</f>
        <v>Insumo</v>
      </c>
      <c r="B248" s="150" t="s">
        <v>1</v>
      </c>
      <c r="C248" s="151" t="str">
        <f ca="1">VLOOKUP(B248,'Insumos e Serviços'!$A:$F,2,0)</f>
        <v>Próprio</v>
      </c>
      <c r="D248" s="149" t="str">
        <f ca="1">VLOOKUP(B248,'Insumos e Serviços'!$A:$F,4,0)</f>
        <v>Hidrômetro ultrassônico, modelo hydrus, marca DIEHL, DN 20</v>
      </c>
      <c r="E248" s="151" t="str">
        <f ca="1">VLOOKUP(B248,'Insumos e Serviços'!$A:$F,5,0)</f>
        <v>un</v>
      </c>
      <c r="F248" s="152">
        <v>1</v>
      </c>
      <c r="G248" s="153">
        <f ca="1">VLOOKUP(B248,'Insumos e Serviços'!$A:$F,6,0)</f>
        <v>1000</v>
      </c>
      <c r="H248" s="153">
        <f t="shared" si="11"/>
        <v>1000</v>
      </c>
    </row>
    <row r="249" spans="1:8" ht="15" thickTop="1">
      <c r="A249" s="62"/>
      <c r="B249" s="62"/>
      <c r="C249" s="62"/>
      <c r="D249" s="62"/>
      <c r="E249" s="62"/>
      <c r="F249" s="62"/>
      <c r="G249" s="62"/>
      <c r="H249" s="62"/>
    </row>
    <row r="250" spans="1:8" s="142" customFormat="1" ht="22.5">
      <c r="A250" s="143" t="s">
        <v>639</v>
      </c>
      <c r="B250" s="144" t="s">
        <v>640</v>
      </c>
      <c r="C250" s="144" t="s">
        <v>247</v>
      </c>
      <c r="D250" s="145" t="s">
        <v>641</v>
      </c>
      <c r="E250" s="144" t="s">
        <v>334</v>
      </c>
      <c r="F250" s="146"/>
      <c r="G250" s="147"/>
      <c r="H250" s="148">
        <f>SUM(H251:H253)</f>
        <v>1971.89</v>
      </c>
    </row>
    <row r="251" spans="1:8">
      <c r="A251" s="149" t="str">
        <f ca="1">VLOOKUP(B251,'Insumos e Serviços'!$A:$F,3,0)</f>
        <v>Composição</v>
      </c>
      <c r="B251" s="150" t="s">
        <v>805</v>
      </c>
      <c r="C251" s="151" t="str">
        <f ca="1">VLOOKUP(B251,'Insumos e Serviços'!$A:$F,2,0)</f>
        <v>SINAPI</v>
      </c>
      <c r="D251" s="149" t="str">
        <f ca="1">VLOOKUP(B251,'Insumos e Serviços'!$A:$F,4,0)</f>
        <v>ENCANADOR OU BOMBEIRO HIDRÁULICO COM ENCARGOS COMPLEMENTARES</v>
      </c>
      <c r="E251" s="151" t="str">
        <f ca="1">VLOOKUP(B251,'Insumos e Serviços'!$A:$F,5,0)</f>
        <v>H</v>
      </c>
      <c r="F251" s="152">
        <v>0.52590000000000003</v>
      </c>
      <c r="G251" s="153">
        <f ca="1">VLOOKUP(B251,'Insumos e Serviços'!$A:$F,6,0)</f>
        <v>23.41</v>
      </c>
      <c r="H251" s="153">
        <f>TRUNC(F251*G251,2)</f>
        <v>12.31</v>
      </c>
    </row>
    <row r="252" spans="1:8">
      <c r="A252" s="149" t="str">
        <f ca="1">VLOOKUP(B252,'Insumos e Serviços'!$A:$F,3,0)</f>
        <v>Composição</v>
      </c>
      <c r="B252" s="150" t="s">
        <v>807</v>
      </c>
      <c r="C252" s="151" t="str">
        <f ca="1">VLOOKUP(B252,'Insumos e Serviços'!$A:$F,2,0)</f>
        <v>SINAPI</v>
      </c>
      <c r="D252" s="149" t="str">
        <f ca="1">VLOOKUP(B252,'Insumos e Serviços'!$A:$F,4,0)</f>
        <v>AUXILIAR DE ENCANADOR OU BOMBEIRO HIDRÁULICO COM ENCARGOS COMPLEMENTARES</v>
      </c>
      <c r="E252" s="151" t="str">
        <f ca="1">VLOOKUP(B252,'Insumos e Serviços'!$A:$F,5,0)</f>
        <v>H</v>
      </c>
      <c r="F252" s="152">
        <v>0.52590000000000003</v>
      </c>
      <c r="G252" s="153">
        <f ca="1">VLOOKUP(B252,'Insumos e Serviços'!$A:$F,6,0)</f>
        <v>18.23</v>
      </c>
      <c r="H252" s="153">
        <f>TRUNC(F252*G252,2)</f>
        <v>9.58</v>
      </c>
    </row>
    <row r="253" spans="1:8" ht="23.25" thickBot="1">
      <c r="A253" s="149" t="str">
        <f ca="1">VLOOKUP(B253,'Insumos e Serviços'!$A:$F,3,0)</f>
        <v>Insumo</v>
      </c>
      <c r="B253" s="150" t="s">
        <v>3</v>
      </c>
      <c r="C253" s="151" t="str">
        <f ca="1">VLOOKUP(B253,'Insumos e Serviços'!$A:$F,2,0)</f>
        <v>Próprio</v>
      </c>
      <c r="D253" s="149" t="str">
        <f ca="1">VLOOKUP(B253,'Insumos e Serviços'!$A:$F,4,0)</f>
        <v>Hidrômetro tipo woltmann industrial - flangeado - DN 65 equipado com sensor reed-switch para saída pulsada</v>
      </c>
      <c r="E253" s="151" t="str">
        <f ca="1">VLOOKUP(B253,'Insumos e Serviços'!$A:$F,5,0)</f>
        <v>un</v>
      </c>
      <c r="F253" s="152">
        <v>1</v>
      </c>
      <c r="G253" s="153">
        <f ca="1">VLOOKUP(B253,'Insumos e Serviços'!$A:$F,6,0)</f>
        <v>1950</v>
      </c>
      <c r="H253" s="153">
        <f>TRUNC(F253*G253,2)</f>
        <v>1950</v>
      </c>
    </row>
    <row r="254" spans="1:8" ht="15" thickTop="1">
      <c r="A254" s="62"/>
      <c r="B254" s="62"/>
      <c r="C254" s="62"/>
      <c r="D254" s="62"/>
      <c r="E254" s="62"/>
      <c r="F254" s="62"/>
      <c r="G254" s="62"/>
      <c r="H254" s="62"/>
    </row>
    <row r="255" spans="1:8" s="142" customFormat="1" ht="22.5">
      <c r="A255" s="143" t="s">
        <v>642</v>
      </c>
      <c r="B255" s="144" t="s">
        <v>643</v>
      </c>
      <c r="C255" s="144" t="s">
        <v>247</v>
      </c>
      <c r="D255" s="145" t="s">
        <v>644</v>
      </c>
      <c r="E255" s="144" t="s">
        <v>334</v>
      </c>
      <c r="F255" s="146"/>
      <c r="G255" s="147"/>
      <c r="H255" s="148">
        <f>SUM(H256:H261)</f>
        <v>1836.65</v>
      </c>
    </row>
    <row r="256" spans="1:8">
      <c r="A256" s="149" t="str">
        <f ca="1">VLOOKUP(B256,'Insumos e Serviços'!$A:$F,3,0)</f>
        <v>Composição</v>
      </c>
      <c r="B256" s="150" t="s">
        <v>933</v>
      </c>
      <c r="C256" s="151" t="str">
        <f ca="1">VLOOKUP(B256,'Insumos e Serviços'!$A:$F,2,0)</f>
        <v>SINAPI</v>
      </c>
      <c r="D256" s="149" t="str">
        <f ca="1">VLOOKUP(B256,'Insumos e Serviços'!$A:$F,4,0)</f>
        <v>MONTADOR ELETROMECÃNICO COM ENCARGOS COMPLEMENTARES</v>
      </c>
      <c r="E256" s="151" t="str">
        <f ca="1">VLOOKUP(B256,'Insumos e Serviços'!$A:$F,5,0)</f>
        <v>H</v>
      </c>
      <c r="F256" s="152">
        <v>2.5</v>
      </c>
      <c r="G256" s="153">
        <f ca="1">VLOOKUP(B256,'Insumos e Serviços'!$A:$F,6,0)</f>
        <v>24.98</v>
      </c>
      <c r="H256" s="153">
        <f t="shared" ref="H256:H261" si="12">TRUNC(F256*G256,2)</f>
        <v>62.45</v>
      </c>
    </row>
    <row r="257" spans="1:8">
      <c r="A257" s="149" t="str">
        <f ca="1">VLOOKUP(B257,'Insumos e Serviços'!$A:$F,3,0)</f>
        <v>Composição</v>
      </c>
      <c r="B257" s="150" t="s">
        <v>805</v>
      </c>
      <c r="C257" s="151" t="str">
        <f ca="1">VLOOKUP(B257,'Insumos e Serviços'!$A:$F,2,0)</f>
        <v>SINAPI</v>
      </c>
      <c r="D257" s="149" t="str">
        <f ca="1">VLOOKUP(B257,'Insumos e Serviços'!$A:$F,4,0)</f>
        <v>ENCANADOR OU BOMBEIRO HIDRÁULICO COM ENCARGOS COMPLEMENTARES</v>
      </c>
      <c r="E257" s="151" t="str">
        <f ca="1">VLOOKUP(B257,'Insumos e Serviços'!$A:$F,5,0)</f>
        <v>H</v>
      </c>
      <c r="F257" s="152">
        <v>1</v>
      </c>
      <c r="G257" s="153">
        <f ca="1">VLOOKUP(B257,'Insumos e Serviços'!$A:$F,6,0)</f>
        <v>23.41</v>
      </c>
      <c r="H257" s="153">
        <f t="shared" si="12"/>
        <v>23.41</v>
      </c>
    </row>
    <row r="258" spans="1:8">
      <c r="A258" s="149" t="str">
        <f ca="1">VLOOKUP(B258,'Insumos e Serviços'!$A:$F,3,0)</f>
        <v>Composição</v>
      </c>
      <c r="B258" s="150" t="s">
        <v>807</v>
      </c>
      <c r="C258" s="151" t="str">
        <f ca="1">VLOOKUP(B258,'Insumos e Serviços'!$A:$F,2,0)</f>
        <v>SINAPI</v>
      </c>
      <c r="D258" s="149" t="str">
        <f ca="1">VLOOKUP(B258,'Insumos e Serviços'!$A:$F,4,0)</f>
        <v>AUXILIAR DE ENCANADOR OU BOMBEIRO HIDRÁULICO COM ENCARGOS COMPLEMENTARES</v>
      </c>
      <c r="E258" s="151" t="str">
        <f ca="1">VLOOKUP(B258,'Insumos e Serviços'!$A:$F,5,0)</f>
        <v>H</v>
      </c>
      <c r="F258" s="152">
        <v>1</v>
      </c>
      <c r="G258" s="153">
        <f ca="1">VLOOKUP(B258,'Insumos e Serviços'!$A:$F,6,0)</f>
        <v>18.23</v>
      </c>
      <c r="H258" s="153">
        <f t="shared" si="12"/>
        <v>18.23</v>
      </c>
    </row>
    <row r="259" spans="1:8">
      <c r="A259" s="149" t="str">
        <f ca="1">VLOOKUP(B259,'Insumos e Serviços'!$A:$F,3,0)</f>
        <v>Composição</v>
      </c>
      <c r="B259" s="150" t="s">
        <v>854</v>
      </c>
      <c r="C259" s="151" t="str">
        <f ca="1">VLOOKUP(B259,'Insumos e Serviços'!$A:$F,2,0)</f>
        <v>SINAPI</v>
      </c>
      <c r="D259" s="149" t="str">
        <f ca="1">VLOOKUP(B259,'Insumos e Serviços'!$A:$F,4,0)</f>
        <v>AJUDANTE ESPECIALIZADO COM ENCARGOS COMPLEMENTARES</v>
      </c>
      <c r="E259" s="151" t="str">
        <f ca="1">VLOOKUP(B259,'Insumos e Serviços'!$A:$F,5,0)</f>
        <v>H</v>
      </c>
      <c r="F259" s="152">
        <v>2.5</v>
      </c>
      <c r="G259" s="153">
        <f ca="1">VLOOKUP(B259,'Insumos e Serviços'!$A:$F,6,0)</f>
        <v>20.96</v>
      </c>
      <c r="H259" s="153">
        <f t="shared" si="12"/>
        <v>52.4</v>
      </c>
    </row>
    <row r="260" spans="1:8">
      <c r="A260" s="149" t="str">
        <f ca="1">VLOOKUP(B260,'Insumos e Serviços'!$A:$F,3,0)</f>
        <v>Insumo</v>
      </c>
      <c r="B260" s="150" t="s">
        <v>885</v>
      </c>
      <c r="C260" s="151" t="str">
        <f ca="1">VLOOKUP(B260,'Insumos e Serviços'!$A:$F,2,0)</f>
        <v>SINAPI</v>
      </c>
      <c r="D260" s="149" t="str">
        <f ca="1">VLOOKUP(B260,'Insumos e Serviços'!$A:$F,4,0)</f>
        <v>FITA VEDA ROSCA EM ROLOS DE 18 MM X 50 M (L X C)</v>
      </c>
      <c r="E260" s="151" t="str">
        <f ca="1">VLOOKUP(B260,'Insumos e Serviços'!$A:$F,5,0)</f>
        <v>UN</v>
      </c>
      <c r="F260" s="152">
        <v>1.9800000000000002E-2</v>
      </c>
      <c r="G260" s="153">
        <f ca="1">VLOOKUP(B260,'Insumos e Serviços'!$A:$F,6,0)</f>
        <v>13.49</v>
      </c>
      <c r="H260" s="153">
        <f t="shared" si="12"/>
        <v>0.26</v>
      </c>
    </row>
    <row r="261" spans="1:8" ht="23.25" thickBot="1">
      <c r="A261" s="149" t="str">
        <f ca="1">VLOOKUP(B261,'Insumos e Serviços'!$A:$F,3,0)</f>
        <v>Insumo</v>
      </c>
      <c r="B261" s="150" t="s">
        <v>5</v>
      </c>
      <c r="C261" s="151" t="str">
        <f ca="1">VLOOKUP(B261,'Insumos e Serviços'!$A:$F,2,0)</f>
        <v>Próprio</v>
      </c>
      <c r="D261" s="149" t="str">
        <f ca="1">VLOOKUP(B261,'Insumos e Serviços'!$A:$F,4,0)</f>
        <v>Hidrômetro Woltmann, flangeado, horizontal, classe B, equipado com sensor reed switch, marca SAGA, DN 80</v>
      </c>
      <c r="E261" s="151" t="str">
        <f ca="1">VLOOKUP(B261,'Insumos e Serviços'!$A:$F,5,0)</f>
        <v>un</v>
      </c>
      <c r="F261" s="152">
        <v>1</v>
      </c>
      <c r="G261" s="153">
        <f ca="1">VLOOKUP(B261,'Insumos e Serviços'!$A:$F,6,0)</f>
        <v>1679.9</v>
      </c>
      <c r="H261" s="153">
        <f t="shared" si="12"/>
        <v>1679.9</v>
      </c>
    </row>
    <row r="262" spans="1:8" ht="15" thickTop="1">
      <c r="A262" s="62"/>
      <c r="B262" s="62"/>
      <c r="C262" s="62"/>
      <c r="D262" s="62"/>
      <c r="E262" s="62"/>
      <c r="F262" s="62"/>
      <c r="G262" s="62"/>
      <c r="H262" s="62"/>
    </row>
    <row r="263" spans="1:8" s="142" customFormat="1" ht="22.5">
      <c r="A263" s="143" t="s">
        <v>645</v>
      </c>
      <c r="B263" s="144" t="s">
        <v>646</v>
      </c>
      <c r="C263" s="144" t="s">
        <v>247</v>
      </c>
      <c r="D263" s="145" t="s">
        <v>647</v>
      </c>
      <c r="E263" s="144" t="s">
        <v>334</v>
      </c>
      <c r="F263" s="146"/>
      <c r="G263" s="147"/>
      <c r="H263" s="148">
        <f>SUM(H264:H269)</f>
        <v>1983.3899999999999</v>
      </c>
    </row>
    <row r="264" spans="1:8">
      <c r="A264" s="149" t="str">
        <f ca="1">VLOOKUP(B264,'Insumos e Serviços'!$A:$F,3,0)</f>
        <v>Composição</v>
      </c>
      <c r="B264" s="150" t="s">
        <v>933</v>
      </c>
      <c r="C264" s="151" t="str">
        <f ca="1">VLOOKUP(B264,'Insumos e Serviços'!$A:$F,2,0)</f>
        <v>SINAPI</v>
      </c>
      <c r="D264" s="149" t="str">
        <f ca="1">VLOOKUP(B264,'Insumos e Serviços'!$A:$F,4,0)</f>
        <v>MONTADOR ELETROMECÃNICO COM ENCARGOS COMPLEMENTARES</v>
      </c>
      <c r="E264" s="151" t="str">
        <f ca="1">VLOOKUP(B264,'Insumos e Serviços'!$A:$F,5,0)</f>
        <v>H</v>
      </c>
      <c r="F264" s="152">
        <v>1</v>
      </c>
      <c r="G264" s="153">
        <f ca="1">VLOOKUP(B264,'Insumos e Serviços'!$A:$F,6,0)</f>
        <v>24.98</v>
      </c>
      <c r="H264" s="153">
        <f t="shared" ref="H264:H269" si="13">TRUNC(F264*G264,2)</f>
        <v>24.98</v>
      </c>
    </row>
    <row r="265" spans="1:8">
      <c r="A265" s="149" t="str">
        <f ca="1">VLOOKUP(B265,'Insumos e Serviços'!$A:$F,3,0)</f>
        <v>Composição</v>
      </c>
      <c r="B265" s="150" t="s">
        <v>854</v>
      </c>
      <c r="C265" s="151" t="str">
        <f ca="1">VLOOKUP(B265,'Insumos e Serviços'!$A:$F,2,0)</f>
        <v>SINAPI</v>
      </c>
      <c r="D265" s="149" t="str">
        <f ca="1">VLOOKUP(B265,'Insumos e Serviços'!$A:$F,4,0)</f>
        <v>AJUDANTE ESPECIALIZADO COM ENCARGOS COMPLEMENTARES</v>
      </c>
      <c r="E265" s="151" t="str">
        <f ca="1">VLOOKUP(B265,'Insumos e Serviços'!$A:$F,5,0)</f>
        <v>H</v>
      </c>
      <c r="F265" s="152">
        <v>1</v>
      </c>
      <c r="G265" s="153">
        <f ca="1">VLOOKUP(B265,'Insumos e Serviços'!$A:$F,6,0)</f>
        <v>20.96</v>
      </c>
      <c r="H265" s="153">
        <f t="shared" si="13"/>
        <v>20.96</v>
      </c>
    </row>
    <row r="266" spans="1:8">
      <c r="A266" s="149" t="str">
        <f ca="1">VLOOKUP(B266,'Insumos e Serviços'!$A:$F,3,0)</f>
        <v>Composição</v>
      </c>
      <c r="B266" s="150" t="s">
        <v>805</v>
      </c>
      <c r="C266" s="151" t="str">
        <f ca="1">VLOOKUP(B266,'Insumos e Serviços'!$A:$F,2,0)</f>
        <v>SINAPI</v>
      </c>
      <c r="D266" s="149" t="str">
        <f ca="1">VLOOKUP(B266,'Insumos e Serviços'!$A:$F,4,0)</f>
        <v>ENCANADOR OU BOMBEIRO HIDRÁULICO COM ENCARGOS COMPLEMENTARES</v>
      </c>
      <c r="E266" s="151" t="str">
        <f ca="1">VLOOKUP(B266,'Insumos e Serviços'!$A:$F,5,0)</f>
        <v>H</v>
      </c>
      <c r="F266" s="152">
        <v>0.52590000000000003</v>
      </c>
      <c r="G266" s="153">
        <f ca="1">VLOOKUP(B266,'Insumos e Serviços'!$A:$F,6,0)</f>
        <v>23.41</v>
      </c>
      <c r="H266" s="153">
        <f t="shared" si="13"/>
        <v>12.31</v>
      </c>
    </row>
    <row r="267" spans="1:8">
      <c r="A267" s="149" t="str">
        <f ca="1">VLOOKUP(B267,'Insumos e Serviços'!$A:$F,3,0)</f>
        <v>Composição</v>
      </c>
      <c r="B267" s="150" t="s">
        <v>807</v>
      </c>
      <c r="C267" s="151" t="str">
        <f ca="1">VLOOKUP(B267,'Insumos e Serviços'!$A:$F,2,0)</f>
        <v>SINAPI</v>
      </c>
      <c r="D267" s="149" t="str">
        <f ca="1">VLOOKUP(B267,'Insumos e Serviços'!$A:$F,4,0)</f>
        <v>AUXILIAR DE ENCANADOR OU BOMBEIRO HIDRÁULICO COM ENCARGOS COMPLEMENTARES</v>
      </c>
      <c r="E267" s="151" t="str">
        <f ca="1">VLOOKUP(B267,'Insumos e Serviços'!$A:$F,5,0)</f>
        <v>H</v>
      </c>
      <c r="F267" s="152">
        <v>0.52590000000000003</v>
      </c>
      <c r="G267" s="153">
        <f ca="1">VLOOKUP(B267,'Insumos e Serviços'!$A:$F,6,0)</f>
        <v>18.23</v>
      </c>
      <c r="H267" s="153">
        <f t="shared" si="13"/>
        <v>9.58</v>
      </c>
    </row>
    <row r="268" spans="1:8">
      <c r="A268" s="149" t="str">
        <f ca="1">VLOOKUP(B268,'Insumos e Serviços'!$A:$F,3,0)</f>
        <v>Insumo</v>
      </c>
      <c r="B268" s="150" t="s">
        <v>885</v>
      </c>
      <c r="C268" s="151" t="str">
        <f ca="1">VLOOKUP(B268,'Insumos e Serviços'!$A:$F,2,0)</f>
        <v>SINAPI</v>
      </c>
      <c r="D268" s="149" t="str">
        <f ca="1">VLOOKUP(B268,'Insumos e Serviços'!$A:$F,4,0)</f>
        <v>FITA VEDA ROSCA EM ROLOS DE 18 MM X 50 M (L X C)</v>
      </c>
      <c r="E268" s="151" t="str">
        <f ca="1">VLOOKUP(B268,'Insumos e Serviços'!$A:$F,5,0)</f>
        <v>UN</v>
      </c>
      <c r="F268" s="152">
        <v>1.9800000000000002E-2</v>
      </c>
      <c r="G268" s="153">
        <f ca="1">VLOOKUP(B268,'Insumos e Serviços'!$A:$F,6,0)</f>
        <v>13.49</v>
      </c>
      <c r="H268" s="153">
        <f t="shared" si="13"/>
        <v>0.26</v>
      </c>
    </row>
    <row r="269" spans="1:8" ht="15" thickBot="1">
      <c r="A269" s="149" t="str">
        <f ca="1">VLOOKUP(B269,'Insumos e Serviços'!$A:$F,3,0)</f>
        <v>Insumo</v>
      </c>
      <c r="B269" s="150" t="s">
        <v>7</v>
      </c>
      <c r="C269" s="151" t="str">
        <f ca="1">VLOOKUP(B269,'Insumos e Serviços'!$A:$F,2,0)</f>
        <v>Próprio</v>
      </c>
      <c r="D269" s="149" t="str">
        <f ca="1">VLOOKUP(B269,'Insumos e Serviços'!$A:$F,4,0)</f>
        <v>Hidrômetro ultrassônico DN 25mm, ref. Hydrus, fab. Diehl</v>
      </c>
      <c r="E269" s="151" t="str">
        <f ca="1">VLOOKUP(B269,'Insumos e Serviços'!$A:$F,5,0)</f>
        <v>un</v>
      </c>
      <c r="F269" s="152">
        <v>1</v>
      </c>
      <c r="G269" s="153">
        <f ca="1">VLOOKUP(B269,'Insumos e Serviços'!$A:$F,6,0)</f>
        <v>1915.3</v>
      </c>
      <c r="H269" s="153">
        <f t="shared" si="13"/>
        <v>1915.3</v>
      </c>
    </row>
    <row r="270" spans="1:8" ht="15" thickTop="1">
      <c r="A270" s="62"/>
      <c r="B270" s="62"/>
      <c r="C270" s="62"/>
      <c r="D270" s="62"/>
      <c r="E270" s="62"/>
      <c r="F270" s="62"/>
      <c r="G270" s="62"/>
      <c r="H270" s="62"/>
    </row>
    <row r="271" spans="1:8" s="142" customFormat="1" ht="15">
      <c r="A271" s="143" t="s">
        <v>648</v>
      </c>
      <c r="B271" s="144" t="s">
        <v>649</v>
      </c>
      <c r="C271" s="144" t="s">
        <v>247</v>
      </c>
      <c r="D271" s="145" t="s">
        <v>650</v>
      </c>
      <c r="E271" s="144" t="s">
        <v>334</v>
      </c>
      <c r="F271" s="146"/>
      <c r="G271" s="147"/>
      <c r="H271" s="148">
        <f>SUM(H272:H274)</f>
        <v>20.6</v>
      </c>
    </row>
    <row r="272" spans="1:8">
      <c r="A272" s="149" t="str">
        <f ca="1">VLOOKUP(B272,'Insumos e Serviços'!$A:$F,3,0)</f>
        <v>Composição</v>
      </c>
      <c r="B272" s="150" t="s">
        <v>807</v>
      </c>
      <c r="C272" s="151" t="str">
        <f ca="1">VLOOKUP(B272,'Insumos e Serviços'!$A:$F,2,0)</f>
        <v>SINAPI</v>
      </c>
      <c r="D272" s="149" t="str">
        <f ca="1">VLOOKUP(B272,'Insumos e Serviços'!$A:$F,4,0)</f>
        <v>AUXILIAR DE ENCANADOR OU BOMBEIRO HIDRÁULICO COM ENCARGOS COMPLEMENTARES</v>
      </c>
      <c r="E272" s="151" t="str">
        <f ca="1">VLOOKUP(B272,'Insumos e Serviços'!$A:$F,5,0)</f>
        <v>H</v>
      </c>
      <c r="F272" s="152">
        <v>3.5000000000000003E-2</v>
      </c>
      <c r="G272" s="153">
        <f ca="1">VLOOKUP(B272,'Insumos e Serviços'!$A:$F,6,0)</f>
        <v>18.23</v>
      </c>
      <c r="H272" s="153">
        <f>TRUNC(F272*G272,2)</f>
        <v>0.63</v>
      </c>
    </row>
    <row r="273" spans="1:8">
      <c r="A273" s="149" t="str">
        <f ca="1">VLOOKUP(B273,'Insumos e Serviços'!$A:$F,3,0)</f>
        <v>Composição</v>
      </c>
      <c r="B273" s="150" t="s">
        <v>805</v>
      </c>
      <c r="C273" s="151" t="str">
        <f ca="1">VLOOKUP(B273,'Insumos e Serviços'!$A:$F,2,0)</f>
        <v>SINAPI</v>
      </c>
      <c r="D273" s="149" t="str">
        <f ca="1">VLOOKUP(B273,'Insumos e Serviços'!$A:$F,4,0)</f>
        <v>ENCANADOR OU BOMBEIRO HIDRÁULICO COM ENCARGOS COMPLEMENTARES</v>
      </c>
      <c r="E273" s="151" t="str">
        <f ca="1">VLOOKUP(B273,'Insumos e Serviços'!$A:$F,5,0)</f>
        <v>H</v>
      </c>
      <c r="F273" s="152">
        <v>3.5000000000000003E-2</v>
      </c>
      <c r="G273" s="153">
        <f ca="1">VLOOKUP(B273,'Insumos e Serviços'!$A:$F,6,0)</f>
        <v>23.41</v>
      </c>
      <c r="H273" s="153">
        <f>TRUNC(F273*G273,2)</f>
        <v>0.81</v>
      </c>
    </row>
    <row r="274" spans="1:8" ht="15" thickBot="1">
      <c r="A274" s="149" t="str">
        <f ca="1">VLOOKUP(B274,'Insumos e Serviços'!$A:$F,3,0)</f>
        <v>Insumo</v>
      </c>
      <c r="B274" s="150" t="s">
        <v>9</v>
      </c>
      <c r="C274" s="151" t="str">
        <f ca="1">VLOOKUP(B274,'Insumos e Serviços'!$A:$F,2,0)</f>
        <v>SINAPI</v>
      </c>
      <c r="D274" s="149" t="str">
        <f ca="1">VLOOKUP(B274,'Insumos e Serviços'!$A:$F,4,0)</f>
        <v>RALO FOFO SEMIESFERICO, 75 MM, PARA LAJES/ CALHAS</v>
      </c>
      <c r="E274" s="151" t="str">
        <f ca="1">VLOOKUP(B274,'Insumos e Serviços'!$A:$F,5,0)</f>
        <v>UN</v>
      </c>
      <c r="F274" s="152">
        <v>1</v>
      </c>
      <c r="G274" s="153">
        <f ca="1">VLOOKUP(B274,'Insumos e Serviços'!$A:$F,6,0)</f>
        <v>19.16</v>
      </c>
      <c r="H274" s="153">
        <f>TRUNC(F274*G274,2)</f>
        <v>19.16</v>
      </c>
    </row>
    <row r="275" spans="1:8" ht="15" thickTop="1">
      <c r="A275" s="62"/>
      <c r="B275" s="62"/>
      <c r="C275" s="62"/>
      <c r="D275" s="62"/>
      <c r="E275" s="62"/>
      <c r="F275" s="62"/>
      <c r="G275" s="62"/>
      <c r="H275" s="62"/>
    </row>
    <row r="276" spans="1:8" s="142" customFormat="1" ht="15">
      <c r="A276" s="143" t="s">
        <v>651</v>
      </c>
      <c r="B276" s="144" t="s">
        <v>652</v>
      </c>
      <c r="C276" s="144" t="s">
        <v>247</v>
      </c>
      <c r="D276" s="145" t="s">
        <v>653</v>
      </c>
      <c r="E276" s="144" t="s">
        <v>334</v>
      </c>
      <c r="F276" s="146"/>
      <c r="G276" s="147"/>
      <c r="H276" s="148">
        <f>SUM(H277:H279)</f>
        <v>49.730000000000004</v>
      </c>
    </row>
    <row r="277" spans="1:8">
      <c r="A277" s="149" t="str">
        <f ca="1">VLOOKUP(B277,'Insumos e Serviços'!$A:$F,3,0)</f>
        <v>Composição</v>
      </c>
      <c r="B277" s="150" t="s">
        <v>807</v>
      </c>
      <c r="C277" s="151" t="str">
        <f ca="1">VLOOKUP(B277,'Insumos e Serviços'!$A:$F,2,0)</f>
        <v>SINAPI</v>
      </c>
      <c r="D277" s="149" t="str">
        <f ca="1">VLOOKUP(B277,'Insumos e Serviços'!$A:$F,4,0)</f>
        <v>AUXILIAR DE ENCANADOR OU BOMBEIRO HIDRÁULICO COM ENCARGOS COMPLEMENTARES</v>
      </c>
      <c r="E277" s="151" t="str">
        <f ca="1">VLOOKUP(B277,'Insumos e Serviços'!$A:$F,5,0)</f>
        <v>H</v>
      </c>
      <c r="F277" s="152">
        <v>0.5</v>
      </c>
      <c r="G277" s="153">
        <f ca="1">VLOOKUP(B277,'Insumos e Serviços'!$A:$F,6,0)</f>
        <v>18.23</v>
      </c>
      <c r="H277" s="153">
        <f>TRUNC(F277*G277,2)</f>
        <v>9.11</v>
      </c>
    </row>
    <row r="278" spans="1:8">
      <c r="A278" s="149" t="str">
        <f ca="1">VLOOKUP(B278,'Insumos e Serviços'!$A:$F,3,0)</f>
        <v>Composição</v>
      </c>
      <c r="B278" s="150" t="s">
        <v>805</v>
      </c>
      <c r="C278" s="151" t="str">
        <f ca="1">VLOOKUP(B278,'Insumos e Serviços'!$A:$F,2,0)</f>
        <v>SINAPI</v>
      </c>
      <c r="D278" s="149" t="str">
        <f ca="1">VLOOKUP(B278,'Insumos e Serviços'!$A:$F,4,0)</f>
        <v>ENCANADOR OU BOMBEIRO HIDRÁULICO COM ENCARGOS COMPLEMENTARES</v>
      </c>
      <c r="E278" s="151" t="str">
        <f ca="1">VLOOKUP(B278,'Insumos e Serviços'!$A:$F,5,0)</f>
        <v>H</v>
      </c>
      <c r="F278" s="152">
        <v>0.5</v>
      </c>
      <c r="G278" s="153">
        <f ca="1">VLOOKUP(B278,'Insumos e Serviços'!$A:$F,6,0)</f>
        <v>23.41</v>
      </c>
      <c r="H278" s="153">
        <f>TRUNC(F278*G278,2)</f>
        <v>11.7</v>
      </c>
    </row>
    <row r="279" spans="1:8" ht="15" thickBot="1">
      <c r="A279" s="149" t="str">
        <f ca="1">VLOOKUP(B279,'Insumos e Serviços'!$A:$F,3,0)</f>
        <v>Insumo</v>
      </c>
      <c r="B279" s="150" t="s">
        <v>11</v>
      </c>
      <c r="C279" s="151" t="str">
        <f ca="1">VLOOKUP(B279,'Insumos e Serviços'!$A:$F,2,0)</f>
        <v>Próprio</v>
      </c>
      <c r="D279" s="149" t="str">
        <f ca="1">VLOOKUP(B279,'Insumos e Serviços'!$A:$F,4,0)</f>
        <v>Filtro Y em bronze com tela inox, rosca BSP 3/4"</v>
      </c>
      <c r="E279" s="151" t="str">
        <f ca="1">VLOOKUP(B279,'Insumos e Serviços'!$A:$F,5,0)</f>
        <v>un</v>
      </c>
      <c r="F279" s="152">
        <v>1</v>
      </c>
      <c r="G279" s="153">
        <f ca="1">VLOOKUP(B279,'Insumos e Serviços'!$A:$F,6,0)</f>
        <v>28.92</v>
      </c>
      <c r="H279" s="153">
        <f>TRUNC(F279*G279,2)</f>
        <v>28.92</v>
      </c>
    </row>
    <row r="280" spans="1:8" ht="15" thickTop="1">
      <c r="A280" s="62"/>
      <c r="B280" s="62"/>
      <c r="C280" s="62"/>
      <c r="D280" s="62"/>
      <c r="E280" s="62"/>
      <c r="F280" s="62"/>
      <c r="G280" s="62"/>
      <c r="H280" s="62"/>
    </row>
    <row r="281" spans="1:8" s="142" customFormat="1" ht="22.5">
      <c r="A281" s="143" t="s">
        <v>654</v>
      </c>
      <c r="B281" s="144" t="s">
        <v>655</v>
      </c>
      <c r="C281" s="144" t="s">
        <v>247</v>
      </c>
      <c r="D281" s="145" t="s">
        <v>656</v>
      </c>
      <c r="E281" s="144" t="s">
        <v>334</v>
      </c>
      <c r="F281" s="146"/>
      <c r="G281" s="147"/>
      <c r="H281" s="148">
        <f>SUM(H282:H286)</f>
        <v>800.75</v>
      </c>
    </row>
    <row r="282" spans="1:8">
      <c r="A282" s="149" t="str">
        <f ca="1">VLOOKUP(B282,'Insumos e Serviços'!$A:$F,3,0)</f>
        <v>Composição</v>
      </c>
      <c r="B282" s="150" t="s">
        <v>795</v>
      </c>
      <c r="C282" s="151" t="str">
        <f ca="1">VLOOKUP(B282,'Insumos e Serviços'!$A:$F,2,0)</f>
        <v>SINAPI</v>
      </c>
      <c r="D282" s="149" t="str">
        <f ca="1">VLOOKUP(B282,'Insumos e Serviços'!$A:$F,4,0)</f>
        <v>PEDREIRO COM ENCARGOS COMPLEMENTARES</v>
      </c>
      <c r="E282" s="151" t="str">
        <f ca="1">VLOOKUP(B282,'Insumos e Serviços'!$A:$F,5,0)</f>
        <v>H</v>
      </c>
      <c r="F282" s="152">
        <v>1</v>
      </c>
      <c r="G282" s="153">
        <f ca="1">VLOOKUP(B282,'Insumos e Serviços'!$A:$F,6,0)</f>
        <v>23.9</v>
      </c>
      <c r="H282" s="153">
        <f>TRUNC(F282*G282,2)</f>
        <v>23.9</v>
      </c>
    </row>
    <row r="283" spans="1:8">
      <c r="A283" s="149" t="str">
        <f ca="1">VLOOKUP(B283,'Insumos e Serviços'!$A:$F,3,0)</f>
        <v>Composição</v>
      </c>
      <c r="B283" s="150" t="s">
        <v>782</v>
      </c>
      <c r="C283" s="151" t="str">
        <f ca="1">VLOOKUP(B283,'Insumos e Serviços'!$A:$F,2,0)</f>
        <v>SINAPI</v>
      </c>
      <c r="D283" s="149" t="str">
        <f ca="1">VLOOKUP(B283,'Insumos e Serviços'!$A:$F,4,0)</f>
        <v>SERVENTE COM ENCARGOS COMPLEMENTARES</v>
      </c>
      <c r="E283" s="151" t="str">
        <f ca="1">VLOOKUP(B283,'Insumos e Serviços'!$A:$F,5,0)</f>
        <v>H</v>
      </c>
      <c r="F283" s="152">
        <v>0.6</v>
      </c>
      <c r="G283" s="153">
        <f ca="1">VLOOKUP(B283,'Insumos e Serviços'!$A:$F,6,0)</f>
        <v>17.61</v>
      </c>
      <c r="H283" s="153">
        <f>TRUNC(F283*G283,2)</f>
        <v>10.56</v>
      </c>
    </row>
    <row r="284" spans="1:8" ht="22.5">
      <c r="A284" s="149" t="str">
        <f ca="1">VLOOKUP(B284,'Insumos e Serviços'!$A:$F,3,0)</f>
        <v>Composição</v>
      </c>
      <c r="B284" s="150" t="s">
        <v>12</v>
      </c>
      <c r="C284" s="151" t="str">
        <f ca="1">VLOOKUP(B284,'Insumos e Serviços'!$A:$F,2,0)</f>
        <v>SINAPI</v>
      </c>
      <c r="D284" s="149" t="str">
        <f ca="1">VLOOKUP(B284,'Insumos e Serviços'!$A:$F,4,0)</f>
        <v>ARGAMASSA TRAÇO 1:3 (EM VOLUME DE CIMENTO E AREIA MÉDIA ÚMIDA), PREPARO MECÂNICO COM BETONEIRA 400 L. AF_08/2019</v>
      </c>
      <c r="E284" s="151" t="str">
        <f ca="1">VLOOKUP(B284,'Insumos e Serviços'!$A:$F,5,0)</f>
        <v>m³</v>
      </c>
      <c r="F284" s="152">
        <v>1.8E-3</v>
      </c>
      <c r="G284" s="153">
        <f ca="1">VLOOKUP(B284,'Insumos e Serviços'!$A:$F,6,0)</f>
        <v>417.58</v>
      </c>
      <c r="H284" s="153">
        <f>TRUNC(F284*G284,2)</f>
        <v>0.75</v>
      </c>
    </row>
    <row r="285" spans="1:8" ht="33.75">
      <c r="A285" s="149" t="str">
        <f ca="1">VLOOKUP(B285,'Insumos e Serviços'!$A:$F,3,0)</f>
        <v>Insumo</v>
      </c>
      <c r="B285" s="150" t="s">
        <v>14</v>
      </c>
      <c r="C285" s="151" t="str">
        <f ca="1">VLOOKUP(B285,'Insumos e Serviços'!$A:$F,2,0)</f>
        <v>SINAPI</v>
      </c>
      <c r="D285" s="149" t="str">
        <f ca="1">VLOOKUP(B285,'Insumos e Serviços'!$A:$F,4,0)</f>
        <v>CADEADO SIMPLES, CORPO EM LATAO MACICO, COM LARGURA DE 35 MM E ALTURA DE APROX 30 MM, HASTE CEMENTADA (NAO LONGA), EM ACO TEMPERADO COM DIAMETRO DE APROX 6,0 MM, INCLUINDO 2 CHAVES</v>
      </c>
      <c r="E285" s="151" t="str">
        <f ca="1">VLOOKUP(B285,'Insumos e Serviços'!$A:$F,5,0)</f>
        <v>UN</v>
      </c>
      <c r="F285" s="152">
        <v>1</v>
      </c>
      <c r="G285" s="153">
        <f ca="1">VLOOKUP(B285,'Insumos e Serviços'!$A:$F,6,0)</f>
        <v>27.24</v>
      </c>
      <c r="H285" s="153">
        <f>TRUNC(F285*G285,2)</f>
        <v>27.24</v>
      </c>
    </row>
    <row r="286" spans="1:8" ht="23.25" thickBot="1">
      <c r="A286" s="149" t="str">
        <f ca="1">VLOOKUP(B286,'Insumos e Serviços'!$A:$F,3,0)</f>
        <v>Insumo</v>
      </c>
      <c r="B286" s="150" t="s">
        <v>16</v>
      </c>
      <c r="C286" s="151" t="str">
        <f ca="1">VLOOKUP(B286,'Insumos e Serviços'!$A:$F,2,0)</f>
        <v>Próprio</v>
      </c>
      <c r="D286" s="149" t="str">
        <f ca="1">VLOOKUP(B286,'Insumos e Serviços'!$A:$F,4,0)</f>
        <v>Tampão 60 x 60cm, articulado, reforçado, em alumínio naval xadrez, formato diamante, borrachas de vedação no encaixe da tampa</v>
      </c>
      <c r="E286" s="151" t="str">
        <f ca="1">VLOOKUP(B286,'Insumos e Serviços'!$A:$F,5,0)</f>
        <v>un</v>
      </c>
      <c r="F286" s="152">
        <v>1</v>
      </c>
      <c r="G286" s="153">
        <f ca="1">VLOOKUP(B286,'Insumos e Serviços'!$A:$F,6,0)</f>
        <v>738.3</v>
      </c>
      <c r="H286" s="153">
        <f>TRUNC(F286*G286,2)</f>
        <v>738.3</v>
      </c>
    </row>
    <row r="287" spans="1:8" ht="15" thickTop="1">
      <c r="A287" s="62"/>
      <c r="B287" s="62"/>
      <c r="C287" s="62"/>
      <c r="D287" s="62"/>
      <c r="E287" s="62"/>
      <c r="F287" s="62"/>
      <c r="G287" s="62"/>
      <c r="H287" s="62"/>
    </row>
    <row r="288" spans="1:8" s="142" customFormat="1" ht="15">
      <c r="A288" s="143" t="s">
        <v>657</v>
      </c>
      <c r="B288" s="144" t="s">
        <v>658</v>
      </c>
      <c r="C288" s="144" t="s">
        <v>247</v>
      </c>
      <c r="D288" s="145" t="s">
        <v>659</v>
      </c>
      <c r="E288" s="144" t="s">
        <v>288</v>
      </c>
      <c r="F288" s="146"/>
      <c r="G288" s="147"/>
      <c r="H288" s="148">
        <f>SUM(H289:H291)</f>
        <v>521.28</v>
      </c>
    </row>
    <row r="289" spans="1:8">
      <c r="A289" s="149" t="str">
        <f ca="1">VLOOKUP(B289,'Insumos e Serviços'!$A:$F,3,0)</f>
        <v>Composição</v>
      </c>
      <c r="B289" s="150" t="s">
        <v>807</v>
      </c>
      <c r="C289" s="151" t="str">
        <f ca="1">VLOOKUP(B289,'Insumos e Serviços'!$A:$F,2,0)</f>
        <v>SINAPI</v>
      </c>
      <c r="D289" s="149" t="str">
        <f ca="1">VLOOKUP(B289,'Insumos e Serviços'!$A:$F,4,0)</f>
        <v>AUXILIAR DE ENCANADOR OU BOMBEIRO HIDRÁULICO COM ENCARGOS COMPLEMENTARES</v>
      </c>
      <c r="E289" s="151" t="str">
        <f ca="1">VLOOKUP(B289,'Insumos e Serviços'!$A:$F,5,0)</f>
        <v>H</v>
      </c>
      <c r="F289" s="152">
        <v>2</v>
      </c>
      <c r="G289" s="153">
        <f ca="1">VLOOKUP(B289,'Insumos e Serviços'!$A:$F,6,0)</f>
        <v>18.23</v>
      </c>
      <c r="H289" s="153">
        <f>TRUNC(F289*G289,2)</f>
        <v>36.46</v>
      </c>
    </row>
    <row r="290" spans="1:8">
      <c r="A290" s="149" t="str">
        <f ca="1">VLOOKUP(B290,'Insumos e Serviços'!$A:$F,3,0)</f>
        <v>Composição</v>
      </c>
      <c r="B290" s="150" t="s">
        <v>805</v>
      </c>
      <c r="C290" s="151" t="str">
        <f ca="1">VLOOKUP(B290,'Insumos e Serviços'!$A:$F,2,0)</f>
        <v>SINAPI</v>
      </c>
      <c r="D290" s="149" t="str">
        <f ca="1">VLOOKUP(B290,'Insumos e Serviços'!$A:$F,4,0)</f>
        <v>ENCANADOR OU BOMBEIRO HIDRÁULICO COM ENCARGOS COMPLEMENTARES</v>
      </c>
      <c r="E290" s="151" t="str">
        <f ca="1">VLOOKUP(B290,'Insumos e Serviços'!$A:$F,5,0)</f>
        <v>H</v>
      </c>
      <c r="F290" s="152">
        <v>2</v>
      </c>
      <c r="G290" s="153">
        <f ca="1">VLOOKUP(B290,'Insumos e Serviços'!$A:$F,6,0)</f>
        <v>23.41</v>
      </c>
      <c r="H290" s="153">
        <f>TRUNC(F290*G290,2)</f>
        <v>46.82</v>
      </c>
    </row>
    <row r="291" spans="1:8" ht="15" thickBot="1">
      <c r="A291" s="149" t="str">
        <f ca="1">VLOOKUP(B291,'Insumos e Serviços'!$A:$F,3,0)</f>
        <v>Insumo</v>
      </c>
      <c r="B291" s="150" t="s">
        <v>17</v>
      </c>
      <c r="C291" s="151" t="str">
        <f ca="1">VLOOKUP(B291,'Insumos e Serviços'!$A:$F,2,0)</f>
        <v>SINAPI</v>
      </c>
      <c r="D291" s="149" t="str">
        <f ca="1">VLOOKUP(B291,'Insumos e Serviços'!$A:$F,4,0)</f>
        <v>CAIXA D'AGUA EM POLIETILENO 1000 LITROS, COM TAMPA</v>
      </c>
      <c r="E291" s="151" t="str">
        <f ca="1">VLOOKUP(B291,'Insumos e Serviços'!$A:$F,5,0)</f>
        <v>UN</v>
      </c>
      <c r="F291" s="152">
        <v>1</v>
      </c>
      <c r="G291" s="153">
        <f ca="1">VLOOKUP(B291,'Insumos e Serviços'!$A:$F,6,0)</f>
        <v>438</v>
      </c>
      <c r="H291" s="153">
        <f>TRUNC(F291*G291,2)</f>
        <v>438</v>
      </c>
    </row>
    <row r="292" spans="1:8" ht="15" thickTop="1">
      <c r="A292" s="62"/>
      <c r="B292" s="62"/>
      <c r="C292" s="62"/>
      <c r="D292" s="62"/>
      <c r="E292" s="62"/>
      <c r="F292" s="62"/>
      <c r="G292" s="62"/>
      <c r="H292" s="62"/>
    </row>
    <row r="293" spans="1:8" s="142" customFormat="1" ht="15">
      <c r="A293" s="143" t="s">
        <v>660</v>
      </c>
      <c r="B293" s="144" t="s">
        <v>661</v>
      </c>
      <c r="C293" s="144" t="s">
        <v>247</v>
      </c>
      <c r="D293" s="145" t="s">
        <v>662</v>
      </c>
      <c r="E293" s="144" t="s">
        <v>288</v>
      </c>
      <c r="F293" s="146"/>
      <c r="G293" s="147"/>
      <c r="H293" s="148">
        <f>SUM(H294:H298)</f>
        <v>18.310000000000002</v>
      </c>
    </row>
    <row r="294" spans="1:8">
      <c r="A294" s="149" t="str">
        <f ca="1">VLOOKUP(B294,'Insumos e Serviços'!$A:$F,3,0)</f>
        <v>Composição</v>
      </c>
      <c r="B294" s="150" t="s">
        <v>807</v>
      </c>
      <c r="C294" s="151" t="str">
        <f ca="1">VLOOKUP(B294,'Insumos e Serviços'!$A:$F,2,0)</f>
        <v>SINAPI</v>
      </c>
      <c r="D294" s="149" t="str">
        <f ca="1">VLOOKUP(B294,'Insumos e Serviços'!$A:$F,4,0)</f>
        <v>AUXILIAR DE ENCANADOR OU BOMBEIRO HIDRÁULICO COM ENCARGOS COMPLEMENTARES</v>
      </c>
      <c r="E294" s="151" t="str">
        <f ca="1">VLOOKUP(B294,'Insumos e Serviços'!$A:$F,5,0)</f>
        <v>H</v>
      </c>
      <c r="F294" s="152">
        <v>0.01</v>
      </c>
      <c r="G294" s="153">
        <f ca="1">VLOOKUP(B294,'Insumos e Serviços'!$A:$F,6,0)</f>
        <v>18.23</v>
      </c>
      <c r="H294" s="153">
        <f>TRUNC(F294*G294,2)</f>
        <v>0.18</v>
      </c>
    </row>
    <row r="295" spans="1:8">
      <c r="A295" s="149" t="str">
        <f ca="1">VLOOKUP(B295,'Insumos e Serviços'!$A:$F,3,0)</f>
        <v>Composição</v>
      </c>
      <c r="B295" s="150" t="s">
        <v>805</v>
      </c>
      <c r="C295" s="151" t="str">
        <f ca="1">VLOOKUP(B295,'Insumos e Serviços'!$A:$F,2,0)</f>
        <v>SINAPI</v>
      </c>
      <c r="D295" s="149" t="str">
        <f ca="1">VLOOKUP(B295,'Insumos e Serviços'!$A:$F,4,0)</f>
        <v>ENCANADOR OU BOMBEIRO HIDRÁULICO COM ENCARGOS COMPLEMENTARES</v>
      </c>
      <c r="E295" s="151" t="str">
        <f ca="1">VLOOKUP(B295,'Insumos e Serviços'!$A:$F,5,0)</f>
        <v>H</v>
      </c>
      <c r="F295" s="152">
        <v>0.01</v>
      </c>
      <c r="G295" s="153">
        <f ca="1">VLOOKUP(B295,'Insumos e Serviços'!$A:$F,6,0)</f>
        <v>23.41</v>
      </c>
      <c r="H295" s="153">
        <f>TRUNC(F295*G295,2)</f>
        <v>0.23</v>
      </c>
    </row>
    <row r="296" spans="1:8">
      <c r="A296" s="149" t="str">
        <f ca="1">VLOOKUP(B296,'Insumos e Serviços'!$A:$F,3,0)</f>
        <v>Insumo</v>
      </c>
      <c r="B296" s="150" t="s">
        <v>836</v>
      </c>
      <c r="C296" s="151" t="str">
        <f ca="1">VLOOKUP(B296,'Insumos e Serviços'!$A:$F,2,0)</f>
        <v>Próprio</v>
      </c>
      <c r="D296" s="149" t="str">
        <f ca="1">VLOOKUP(B296,'Insumos e Serviços'!$A:$F,4,0)</f>
        <v>Tela arame galvanizado mosqueteira contra insetos</v>
      </c>
      <c r="E296" s="151" t="str">
        <f ca="1">VLOOKUP(B296,'Insumos e Serviços'!$A:$F,5,0)</f>
        <v>m²</v>
      </c>
      <c r="F296" s="152">
        <v>0.02</v>
      </c>
      <c r="G296" s="153">
        <f ca="1">VLOOKUP(B296,'Insumos e Serviços'!$A:$F,6,0)</f>
        <v>396.41</v>
      </c>
      <c r="H296" s="153">
        <f>TRUNC(F296*G296,2)</f>
        <v>7.92</v>
      </c>
    </row>
    <row r="297" spans="1:8" ht="22.5">
      <c r="A297" s="149" t="str">
        <f ca="1">VLOOKUP(B297,'Insumos e Serviços'!$A:$F,3,0)</f>
        <v>Insumo</v>
      </c>
      <c r="B297" s="150" t="s">
        <v>19</v>
      </c>
      <c r="C297" s="151" t="str">
        <f ca="1">VLOOKUP(B297,'Insumos e Serviços'!$A:$F,2,0)</f>
        <v>SINAPI</v>
      </c>
      <c r="D297" s="149" t="str">
        <f ca="1">VLOOKUP(B297,'Insumos e Serviços'!$A:$F,4,0)</f>
        <v>ABRACADEIRA, GALVANIZADA/ZINCADA, ROSCA SEM FIM, PARAFUSO INOX, LARGURA  FITA *12,6 A *14 MM, D = 3" A 3 3/4"</v>
      </c>
      <c r="E297" s="151" t="str">
        <f ca="1">VLOOKUP(B297,'Insumos e Serviços'!$A:$F,5,0)</f>
        <v>UN</v>
      </c>
      <c r="F297" s="152">
        <v>1</v>
      </c>
      <c r="G297" s="153">
        <f ca="1">VLOOKUP(B297,'Insumos e Serviços'!$A:$F,6,0)</f>
        <v>5.33</v>
      </c>
      <c r="H297" s="153">
        <f>TRUNC(F297*G297,2)</f>
        <v>5.33</v>
      </c>
    </row>
    <row r="298" spans="1:8" ht="23.25" thickBot="1">
      <c r="A298" s="149" t="str">
        <f ca="1">VLOOKUP(B298,'Insumos e Serviços'!$A:$F,3,0)</f>
        <v>Insumo</v>
      </c>
      <c r="B298" s="150" t="s">
        <v>21</v>
      </c>
      <c r="C298" s="151" t="str">
        <f ca="1">VLOOKUP(B298,'Insumos e Serviços'!$A:$F,2,0)</f>
        <v>SINAPI</v>
      </c>
      <c r="D298" s="149" t="str">
        <f ca="1">VLOOKUP(B298,'Insumos e Serviços'!$A:$F,4,0)</f>
        <v>ABRACADEIRA, GALVANIZADA/ZINCADA, ROSCA SEM FIM, PARAFUSO INOX, LARGURA  FITA *12,6 A *14 MM, D = 2" A 2 1/2"</v>
      </c>
      <c r="E298" s="151" t="str">
        <f ca="1">VLOOKUP(B298,'Insumos e Serviços'!$A:$F,5,0)</f>
        <v>UN</v>
      </c>
      <c r="F298" s="152">
        <v>1</v>
      </c>
      <c r="G298" s="153">
        <f ca="1">VLOOKUP(B298,'Insumos e Serviços'!$A:$F,6,0)</f>
        <v>4.6500000000000004</v>
      </c>
      <c r="H298" s="153">
        <f>TRUNC(F298*G298,2)</f>
        <v>4.6500000000000004</v>
      </c>
    </row>
    <row r="299" spans="1:8" ht="15" thickTop="1">
      <c r="A299" s="14"/>
      <c r="B299" s="14"/>
      <c r="C299" s="14"/>
      <c r="D299" s="14"/>
      <c r="E299" s="14"/>
      <c r="F299" s="14"/>
      <c r="G299" s="14"/>
      <c r="H299" s="14"/>
    </row>
    <row r="300" spans="1:8">
      <c r="A300" s="182" t="s">
        <v>663</v>
      </c>
      <c r="B300" s="182"/>
      <c r="C300" s="182"/>
      <c r="D300" s="183" t="s">
        <v>664</v>
      </c>
      <c r="E300" s="182"/>
      <c r="F300" s="184"/>
      <c r="G300" s="184"/>
      <c r="H300" s="184"/>
    </row>
    <row r="301" spans="1:8">
      <c r="A301" s="64" t="s">
        <v>159</v>
      </c>
      <c r="B301" s="64"/>
      <c r="C301" s="64"/>
      <c r="D301" s="64"/>
      <c r="E301" s="64"/>
      <c r="F301" s="65"/>
      <c r="G301" s="64"/>
      <c r="H301" s="66"/>
    </row>
    <row r="302" spans="1:8" s="142" customFormat="1" ht="15">
      <c r="A302" s="143" t="s">
        <v>179</v>
      </c>
      <c r="B302" s="144" t="s">
        <v>669</v>
      </c>
      <c r="C302" s="144" t="s">
        <v>247</v>
      </c>
      <c r="D302" s="145" t="s">
        <v>670</v>
      </c>
      <c r="E302" s="144" t="s">
        <v>334</v>
      </c>
      <c r="F302" s="146"/>
      <c r="G302" s="147"/>
      <c r="H302" s="148">
        <f>SUM(H303:H305)</f>
        <v>22.79</v>
      </c>
    </row>
    <row r="303" spans="1:8">
      <c r="A303" s="149" t="str">
        <f ca="1">VLOOKUP(B303,'Insumos e Serviços'!$A:$F,3,0)</f>
        <v>Composição</v>
      </c>
      <c r="B303" s="150" t="s">
        <v>807</v>
      </c>
      <c r="C303" s="151" t="str">
        <f ca="1">VLOOKUP(B303,'Insumos e Serviços'!$A:$F,2,0)</f>
        <v>SINAPI</v>
      </c>
      <c r="D303" s="149" t="str">
        <f ca="1">VLOOKUP(B303,'Insumos e Serviços'!$A:$F,4,0)</f>
        <v>AUXILIAR DE ENCANADOR OU BOMBEIRO HIDRÁULICO COM ENCARGOS COMPLEMENTARES</v>
      </c>
      <c r="E303" s="151" t="str">
        <f ca="1">VLOOKUP(B303,'Insumos e Serviços'!$A:$F,5,0)</f>
        <v>H</v>
      </c>
      <c r="F303" s="152">
        <v>0.54</v>
      </c>
      <c r="G303" s="153">
        <f ca="1">VLOOKUP(B303,'Insumos e Serviços'!$A:$F,6,0)</f>
        <v>18.23</v>
      </c>
      <c r="H303" s="153">
        <f>TRUNC(F303*G303,2)</f>
        <v>9.84</v>
      </c>
    </row>
    <row r="304" spans="1:8">
      <c r="A304" s="149" t="str">
        <f ca="1">VLOOKUP(B304,'Insumos e Serviços'!$A:$F,3,0)</f>
        <v>Composição</v>
      </c>
      <c r="B304" s="150" t="s">
        <v>805</v>
      </c>
      <c r="C304" s="151" t="str">
        <f ca="1">VLOOKUP(B304,'Insumos e Serviços'!$A:$F,2,0)</f>
        <v>SINAPI</v>
      </c>
      <c r="D304" s="149" t="str">
        <f ca="1">VLOOKUP(B304,'Insumos e Serviços'!$A:$F,4,0)</f>
        <v>ENCANADOR OU BOMBEIRO HIDRÁULICO COM ENCARGOS COMPLEMENTARES</v>
      </c>
      <c r="E304" s="151" t="str">
        <f ca="1">VLOOKUP(B304,'Insumos e Serviços'!$A:$F,5,0)</f>
        <v>H</v>
      </c>
      <c r="F304" s="152">
        <v>0.54</v>
      </c>
      <c r="G304" s="153">
        <f ca="1">VLOOKUP(B304,'Insumos e Serviços'!$A:$F,6,0)</f>
        <v>23.41</v>
      </c>
      <c r="H304" s="153">
        <f>TRUNC(F304*G304,2)</f>
        <v>12.64</v>
      </c>
    </row>
    <row r="305" spans="1:8" ht="15" thickBot="1">
      <c r="A305" s="149" t="str">
        <f ca="1">VLOOKUP(B305,'Insumos e Serviços'!$A:$F,3,0)</f>
        <v>Insumo</v>
      </c>
      <c r="B305" s="150" t="s">
        <v>917</v>
      </c>
      <c r="C305" s="151" t="str">
        <f ca="1">VLOOKUP(B305,'Insumos e Serviços'!$A:$F,2,0)</f>
        <v>SINAPI</v>
      </c>
      <c r="D305" s="149" t="str">
        <f ca="1">VLOOKUP(B305,'Insumos e Serviços'!$A:$F,4,0)</f>
        <v>FITA VEDA ROSCA EM ROLOS DE 18 MM X 25 M (L X C)</v>
      </c>
      <c r="E305" s="151" t="str">
        <f ca="1">VLOOKUP(B305,'Insumos e Serviços'!$A:$F,5,0)</f>
        <v>UN</v>
      </c>
      <c r="F305" s="152">
        <v>3.7999999999999999E-2</v>
      </c>
      <c r="G305" s="153">
        <f ca="1">VLOOKUP(B305,'Insumos e Serviços'!$A:$F,6,0)</f>
        <v>8.32</v>
      </c>
      <c r="H305" s="153">
        <f>TRUNC(F305*G305,2)</f>
        <v>0.31</v>
      </c>
    </row>
    <row r="306" spans="1:8" ht="15" thickTop="1">
      <c r="A306" s="62"/>
      <c r="B306" s="62"/>
      <c r="C306" s="62"/>
      <c r="D306" s="62"/>
      <c r="E306" s="62"/>
      <c r="F306" s="62"/>
      <c r="G306" s="62"/>
      <c r="H306" s="62"/>
    </row>
    <row r="307" spans="1:8" s="142" customFormat="1" ht="15">
      <c r="A307" s="143" t="s">
        <v>180</v>
      </c>
      <c r="B307" s="144" t="s">
        <v>671</v>
      </c>
      <c r="C307" s="144" t="s">
        <v>247</v>
      </c>
      <c r="D307" s="145" t="s">
        <v>672</v>
      </c>
      <c r="E307" s="144" t="s">
        <v>266</v>
      </c>
      <c r="F307" s="146"/>
      <c r="G307" s="147"/>
      <c r="H307" s="148">
        <f>SUM(H308:H312)</f>
        <v>3750.12</v>
      </c>
    </row>
    <row r="308" spans="1:8">
      <c r="A308" s="149" t="str">
        <f ca="1">VLOOKUP(B308,'Insumos e Serviços'!$A:$F,3,0)</f>
        <v>Composição</v>
      </c>
      <c r="B308" s="150" t="s">
        <v>795</v>
      </c>
      <c r="C308" s="151" t="str">
        <f ca="1">VLOOKUP(B308,'Insumos e Serviços'!$A:$F,2,0)</f>
        <v>SINAPI</v>
      </c>
      <c r="D308" s="149" t="str">
        <f ca="1">VLOOKUP(B308,'Insumos e Serviços'!$A:$F,4,0)</f>
        <v>PEDREIRO COM ENCARGOS COMPLEMENTARES</v>
      </c>
      <c r="E308" s="151" t="str">
        <f ca="1">VLOOKUP(B308,'Insumos e Serviços'!$A:$F,5,0)</f>
        <v>H</v>
      </c>
      <c r="F308" s="152">
        <v>15</v>
      </c>
      <c r="G308" s="153">
        <f ca="1">VLOOKUP(B308,'Insumos e Serviços'!$A:$F,6,0)</f>
        <v>23.9</v>
      </c>
      <c r="H308" s="153">
        <f>TRUNC(F308*G308,2)</f>
        <v>358.5</v>
      </c>
    </row>
    <row r="309" spans="1:8">
      <c r="A309" s="149" t="str">
        <f ca="1">VLOOKUP(B309,'Insumos e Serviços'!$A:$F,3,0)</f>
        <v>Composição</v>
      </c>
      <c r="B309" s="150" t="s">
        <v>782</v>
      </c>
      <c r="C309" s="151" t="str">
        <f ca="1">VLOOKUP(B309,'Insumos e Serviços'!$A:$F,2,0)</f>
        <v>SINAPI</v>
      </c>
      <c r="D309" s="149" t="str">
        <f ca="1">VLOOKUP(B309,'Insumos e Serviços'!$A:$F,4,0)</f>
        <v>SERVENTE COM ENCARGOS COMPLEMENTARES</v>
      </c>
      <c r="E309" s="151" t="str">
        <f ca="1">VLOOKUP(B309,'Insumos e Serviços'!$A:$F,5,0)</f>
        <v>H</v>
      </c>
      <c r="F309" s="152">
        <v>15</v>
      </c>
      <c r="G309" s="153">
        <f ca="1">VLOOKUP(B309,'Insumos e Serviços'!$A:$F,6,0)</f>
        <v>17.61</v>
      </c>
      <c r="H309" s="153">
        <f>TRUNC(F309*G309,2)</f>
        <v>264.14999999999998</v>
      </c>
    </row>
    <row r="310" spans="1:8" ht="22.5">
      <c r="A310" s="149" t="str">
        <f ca="1">VLOOKUP(B310,'Insumos e Serviços'!$A:$F,3,0)</f>
        <v>Composição</v>
      </c>
      <c r="B310" s="150" t="s">
        <v>27</v>
      </c>
      <c r="C310" s="151" t="str">
        <f ca="1">VLOOKUP(B310,'Insumos e Serviços'!$A:$F,2,0)</f>
        <v>SINAPI</v>
      </c>
      <c r="D310" s="149" t="str">
        <f ca="1">VLOOKUP(B310,'Insumos e Serviços'!$A:$F,4,0)</f>
        <v>BETONEIRA CAPACIDADE NOMINAL DE 400 L, CAPACIDADE DE MISTURA 280 L, MOTOR ELÉTRICO TRIFÁSICO POTÊNCIA DE 2 CV, SEM CARREGADOR - CHI DIURNO. AF_10/2014</v>
      </c>
      <c r="E310" s="151" t="str">
        <f ca="1">VLOOKUP(B310,'Insumos e Serviços'!$A:$F,5,0)</f>
        <v>CHI</v>
      </c>
      <c r="F310" s="152">
        <v>2.5</v>
      </c>
      <c r="G310" s="153">
        <f ca="1">VLOOKUP(B310,'Insumos e Serviços'!$A:$F,6,0)</f>
        <v>0.28999999999999998</v>
      </c>
      <c r="H310" s="153">
        <f>TRUNC(F310*G310,2)</f>
        <v>0.72</v>
      </c>
    </row>
    <row r="311" spans="1:8" ht="22.5">
      <c r="A311" s="149" t="str">
        <f ca="1">VLOOKUP(B311,'Insumos e Serviços'!$A:$F,3,0)</f>
        <v>Composição</v>
      </c>
      <c r="B311" s="150" t="s">
        <v>29</v>
      </c>
      <c r="C311" s="151" t="str">
        <f ca="1">VLOOKUP(B311,'Insumos e Serviços'!$A:$F,2,0)</f>
        <v>SINAPI</v>
      </c>
      <c r="D311" s="149" t="str">
        <f ca="1">VLOOKUP(B311,'Insumos e Serviços'!$A:$F,4,0)</f>
        <v>BETONEIRA CAPACIDADE NOMINAL DE 400 L, CAPACIDADE DE MISTURA 280 L, MOTOR ELÉTRICO TRIFÁSICO POTÊNCIA DE 2 CV, SEM CARREGADOR - CHP DIURNO. AF_10/2014</v>
      </c>
      <c r="E311" s="151" t="str">
        <f ca="1">VLOOKUP(B311,'Insumos e Serviços'!$A:$F,5,0)</f>
        <v>CHP</v>
      </c>
      <c r="F311" s="152">
        <v>5</v>
      </c>
      <c r="G311" s="153">
        <f ca="1">VLOOKUP(B311,'Insumos e Serviços'!$A:$F,6,0)</f>
        <v>1.35</v>
      </c>
      <c r="H311" s="153">
        <f>TRUNC(F311*G311,2)</f>
        <v>6.75</v>
      </c>
    </row>
    <row r="312" spans="1:8" ht="15" thickBot="1">
      <c r="A312" s="149" t="str">
        <f ca="1">VLOOKUP(B312,'Insumos e Serviços'!$A:$F,3,0)</f>
        <v>Insumo</v>
      </c>
      <c r="B312" s="150" t="s">
        <v>815</v>
      </c>
      <c r="C312" s="151" t="str">
        <f ca="1">VLOOKUP(B312,'Insumos e Serviços'!$A:$F,2,0)</f>
        <v>SINAPI</v>
      </c>
      <c r="D312" s="149" t="str">
        <f ca="1">VLOOKUP(B312,'Insumos e Serviços'!$A:$F,4,0)</f>
        <v>GRAUTE CIMENTICIO PARA USO GERAL</v>
      </c>
      <c r="E312" s="151" t="str">
        <f ca="1">VLOOKUP(B312,'Insumos e Serviços'!$A:$F,5,0)</f>
        <v>KG</v>
      </c>
      <c r="F312" s="152">
        <v>2000</v>
      </c>
      <c r="G312" s="153">
        <f ca="1">VLOOKUP(B312,'Insumos e Serviços'!$A:$F,6,0)</f>
        <v>1.56</v>
      </c>
      <c r="H312" s="153">
        <f>TRUNC(F312*G312,2)</f>
        <v>3120</v>
      </c>
    </row>
    <row r="313" spans="1:8" ht="15" thickTop="1">
      <c r="A313" s="62"/>
      <c r="B313" s="62"/>
      <c r="C313" s="62"/>
      <c r="D313" s="62"/>
      <c r="E313" s="62"/>
      <c r="F313" s="62"/>
      <c r="G313" s="62"/>
      <c r="H313" s="62"/>
    </row>
    <row r="314" spans="1:8" s="142" customFormat="1" ht="22.5">
      <c r="A314" s="143" t="s">
        <v>181</v>
      </c>
      <c r="B314" s="144" t="s">
        <v>673</v>
      </c>
      <c r="C314" s="144" t="s">
        <v>247</v>
      </c>
      <c r="D314" s="145" t="s">
        <v>674</v>
      </c>
      <c r="E314" s="144" t="s">
        <v>351</v>
      </c>
      <c r="F314" s="146"/>
      <c r="G314" s="147"/>
      <c r="H314" s="148">
        <f>SUM(H315:H317)</f>
        <v>7.03</v>
      </c>
    </row>
    <row r="315" spans="1:8">
      <c r="A315" s="149" t="str">
        <f ca="1">VLOOKUP(B315,'Insumos e Serviços'!$A:$F,3,0)</f>
        <v>Composição</v>
      </c>
      <c r="B315" s="150" t="s">
        <v>848</v>
      </c>
      <c r="C315" s="151" t="str">
        <f ca="1">VLOOKUP(B315,'Insumos e Serviços'!$A:$F,2,0)</f>
        <v>SINAPI</v>
      </c>
      <c r="D315" s="149" t="str">
        <f ca="1">VLOOKUP(B315,'Insumos e Serviços'!$A:$F,4,0)</f>
        <v>PINTOR COM ENCARGOS COMPLEMENTARES</v>
      </c>
      <c r="E315" s="151" t="str">
        <f ca="1">VLOOKUP(B315,'Insumos e Serviços'!$A:$F,5,0)</f>
        <v>H</v>
      </c>
      <c r="F315" s="152">
        <v>0.23089999999999999</v>
      </c>
      <c r="G315" s="153">
        <f ca="1">VLOOKUP(B315,'Insumos e Serviços'!$A:$F,6,0)</f>
        <v>24.89</v>
      </c>
      <c r="H315" s="153">
        <f>TRUNC(F315*G315,2)</f>
        <v>5.74</v>
      </c>
    </row>
    <row r="316" spans="1:8">
      <c r="A316" s="149" t="str">
        <f ca="1">VLOOKUP(B316,'Insumos e Serviços'!$A:$F,3,0)</f>
        <v>Insumo</v>
      </c>
      <c r="B316" s="150" t="s">
        <v>850</v>
      </c>
      <c r="C316" s="151" t="str">
        <f ca="1">VLOOKUP(B316,'Insumos e Serviços'!$A:$F,2,0)</f>
        <v>SINAPI</v>
      </c>
      <c r="D316" s="149" t="str">
        <f ca="1">VLOOKUP(B316,'Insumos e Serviços'!$A:$F,4,0)</f>
        <v>SOLVENTE DILUENTE A BASE DE AGUARRAS</v>
      </c>
      <c r="E316" s="151" t="str">
        <f ca="1">VLOOKUP(B316,'Insumos e Serviços'!$A:$F,5,0)</f>
        <v>L</v>
      </c>
      <c r="F316" s="152">
        <v>4.4000000000000003E-3</v>
      </c>
      <c r="G316" s="153">
        <f ca="1">VLOOKUP(B316,'Insumos e Serviços'!$A:$F,6,0)</f>
        <v>11.8</v>
      </c>
      <c r="H316" s="153">
        <f>TRUNC(F316*G316,2)</f>
        <v>0.05</v>
      </c>
    </row>
    <row r="317" spans="1:8" ht="15" thickBot="1">
      <c r="A317" s="149" t="str">
        <f ca="1">VLOOKUP(B317,'Insumos e Serviços'!$A:$F,3,0)</f>
        <v>Insumo</v>
      </c>
      <c r="B317" s="150" t="s">
        <v>852</v>
      </c>
      <c r="C317" s="151" t="str">
        <f ca="1">VLOOKUP(B317,'Insumos e Serviços'!$A:$F,2,0)</f>
        <v>SINAPI</v>
      </c>
      <c r="D317" s="149" t="str">
        <f ca="1">VLOOKUP(B317,'Insumos e Serviços'!$A:$F,4,0)</f>
        <v>TINTA ESMALTE SINTETICO PREMIUM FOSCO</v>
      </c>
      <c r="E317" s="151" t="str">
        <f ca="1">VLOOKUP(B317,'Insumos e Serviços'!$A:$F,5,0)</f>
        <v>L</v>
      </c>
      <c r="F317" s="152">
        <v>4.3400000000000001E-2</v>
      </c>
      <c r="G317" s="153">
        <f ca="1">VLOOKUP(B317,'Insumos e Serviços'!$A:$F,6,0)</f>
        <v>28.71</v>
      </c>
      <c r="H317" s="153">
        <f>TRUNC(F317*G317,2)</f>
        <v>1.24</v>
      </c>
    </row>
    <row r="318" spans="1:8" ht="15" thickTop="1">
      <c r="A318" s="62"/>
      <c r="B318" s="62"/>
      <c r="C318" s="62"/>
      <c r="D318" s="62"/>
      <c r="E318" s="62"/>
      <c r="F318" s="62"/>
      <c r="G318" s="62"/>
      <c r="H318" s="62"/>
    </row>
    <row r="319" spans="1:8" s="142" customFormat="1" ht="15">
      <c r="A319" s="143" t="s">
        <v>183</v>
      </c>
      <c r="B319" s="144" t="s">
        <v>677</v>
      </c>
      <c r="C319" s="144" t="s">
        <v>247</v>
      </c>
      <c r="D319" s="145" t="s">
        <v>678</v>
      </c>
      <c r="E319" s="144" t="s">
        <v>334</v>
      </c>
      <c r="F319" s="146"/>
      <c r="G319" s="147"/>
      <c r="H319" s="148">
        <f>SUM(H320:H322)</f>
        <v>35.69</v>
      </c>
    </row>
    <row r="320" spans="1:8">
      <c r="A320" s="149" t="str">
        <f ca="1">VLOOKUP(B320,'Insumos e Serviços'!$A:$F,3,0)</f>
        <v>Composição</v>
      </c>
      <c r="B320" s="150" t="s">
        <v>31</v>
      </c>
      <c r="C320" s="151" t="str">
        <f ca="1">VLOOKUP(B320,'Insumos e Serviços'!$A:$F,2,0)</f>
        <v>SINAPI</v>
      </c>
      <c r="D320" s="149" t="str">
        <f ca="1">VLOOKUP(B320,'Insumos e Serviços'!$A:$F,4,0)</f>
        <v>OPERADOR DE MARTELETE OU MARTELETEIRO COM ENCARGOS COMPLEMENTARES</v>
      </c>
      <c r="E320" s="151" t="str">
        <f ca="1">VLOOKUP(B320,'Insumos e Serviços'!$A:$F,5,0)</f>
        <v>H</v>
      </c>
      <c r="F320" s="152">
        <v>0.81</v>
      </c>
      <c r="G320" s="153">
        <f ca="1">VLOOKUP(B320,'Insumos e Serviços'!$A:$F,6,0)</f>
        <v>18.98</v>
      </c>
      <c r="H320" s="153">
        <f>TRUNC(F320*G320,2)</f>
        <v>15.37</v>
      </c>
    </row>
    <row r="321" spans="1:8" ht="22.5">
      <c r="A321" s="149" t="str">
        <f ca="1">VLOOKUP(B321,'Insumos e Serviços'!$A:$F,3,0)</f>
        <v>Composição</v>
      </c>
      <c r="B321" s="150" t="s">
        <v>789</v>
      </c>
      <c r="C321" s="151" t="str">
        <f ca="1">VLOOKUP(B321,'Insumos e Serviços'!$A:$F,2,0)</f>
        <v>SINAPI</v>
      </c>
      <c r="D321" s="149" t="str">
        <f ca="1">VLOOKUP(B321,'Insumos e Serviços'!$A:$F,4,0)</f>
        <v>MARTELETE OU ROMPEDOR PNEUMÁTICO MANUAL, 28 KG, COM SILENCIADOR - CHI DIURNO. AF_07/2016</v>
      </c>
      <c r="E321" s="151" t="str">
        <f ca="1">VLOOKUP(B321,'Insumos e Serviços'!$A:$F,5,0)</f>
        <v>CHI</v>
      </c>
      <c r="F321" s="152">
        <v>0.12</v>
      </c>
      <c r="G321" s="153">
        <f ca="1">VLOOKUP(B321,'Insumos e Serviços'!$A:$F,6,0)</f>
        <v>20.440000000000001</v>
      </c>
      <c r="H321" s="153">
        <f>TRUNC(F321*G321,2)</f>
        <v>2.4500000000000002</v>
      </c>
    </row>
    <row r="322" spans="1:8" ht="23.25" thickBot="1">
      <c r="A322" s="149" t="str">
        <f ca="1">VLOOKUP(B322,'Insumos e Serviços'!$A:$F,3,0)</f>
        <v>Composição</v>
      </c>
      <c r="B322" s="150" t="s">
        <v>792</v>
      </c>
      <c r="C322" s="151" t="str">
        <f ca="1">VLOOKUP(B322,'Insumos e Serviços'!$A:$F,2,0)</f>
        <v>SINAPI</v>
      </c>
      <c r="D322" s="149" t="str">
        <f ca="1">VLOOKUP(B322,'Insumos e Serviços'!$A:$F,4,0)</f>
        <v>MARTELETE OU ROMPEDOR PNEUMÁTICO MANUAL, 28 KG, COM SILENCIADOR - CHP DIURNO. AF_07/2016</v>
      </c>
      <c r="E322" s="151" t="str">
        <f ca="1">VLOOKUP(B322,'Insumos e Serviços'!$A:$F,5,0)</f>
        <v>CHP</v>
      </c>
      <c r="F322" s="152">
        <v>0.81</v>
      </c>
      <c r="G322" s="153">
        <f ca="1">VLOOKUP(B322,'Insumos e Serviços'!$A:$F,6,0)</f>
        <v>22.07</v>
      </c>
      <c r="H322" s="153">
        <f>TRUNC(F322*G322,2)</f>
        <v>17.87</v>
      </c>
    </row>
    <row r="323" spans="1:8" ht="15" thickTop="1">
      <c r="A323" s="62"/>
      <c r="B323" s="62"/>
      <c r="C323" s="62"/>
      <c r="D323" s="62"/>
      <c r="E323" s="62"/>
      <c r="F323" s="62"/>
      <c r="G323" s="62"/>
      <c r="H323" s="62"/>
    </row>
    <row r="324" spans="1:8" s="142" customFormat="1" ht="33.75">
      <c r="A324" s="143" t="s">
        <v>184</v>
      </c>
      <c r="B324" s="144" t="s">
        <v>679</v>
      </c>
      <c r="C324" s="144" t="s">
        <v>247</v>
      </c>
      <c r="D324" s="145" t="s">
        <v>680</v>
      </c>
      <c r="E324" s="144" t="s">
        <v>334</v>
      </c>
      <c r="F324" s="146"/>
      <c r="G324" s="147"/>
      <c r="H324" s="148">
        <f>SUM(H325:H326)</f>
        <v>44.4</v>
      </c>
    </row>
    <row r="325" spans="1:8">
      <c r="A325" s="149" t="str">
        <f ca="1">VLOOKUP(B325,'Insumos e Serviços'!$A:$F,3,0)</f>
        <v>Composição</v>
      </c>
      <c r="B325" s="150" t="s">
        <v>795</v>
      </c>
      <c r="C325" s="151" t="str">
        <f ca="1">VLOOKUP(B325,'Insumos e Serviços'!$A:$F,2,0)</f>
        <v>SINAPI</v>
      </c>
      <c r="D325" s="149" t="str">
        <f ca="1">VLOOKUP(B325,'Insumos e Serviços'!$A:$F,4,0)</f>
        <v>PEDREIRO COM ENCARGOS COMPLEMENTARES</v>
      </c>
      <c r="E325" s="151" t="str">
        <f ca="1">VLOOKUP(B325,'Insumos e Serviços'!$A:$F,5,0)</f>
        <v>H</v>
      </c>
      <c r="F325" s="152">
        <v>0.15</v>
      </c>
      <c r="G325" s="153">
        <f ca="1">VLOOKUP(B325,'Insumos e Serviços'!$A:$F,6,0)</f>
        <v>23.9</v>
      </c>
      <c r="H325" s="153">
        <f>TRUNC(F325*G325,2)</f>
        <v>3.58</v>
      </c>
    </row>
    <row r="326" spans="1:8" ht="15" thickBot="1">
      <c r="A326" s="149" t="str">
        <f ca="1">VLOOKUP(B326,'Insumos e Serviços'!$A:$F,3,0)</f>
        <v>Insumo</v>
      </c>
      <c r="B326" s="150" t="s">
        <v>33</v>
      </c>
      <c r="C326" s="151" t="str">
        <f ca="1">VLOOKUP(B326,'Insumos e Serviços'!$A:$F,2,0)</f>
        <v>SINAPI</v>
      </c>
      <c r="D326" s="149" t="str">
        <f ca="1">VLOOKUP(B326,'Insumos e Serviços'!$A:$F,4,0)</f>
        <v>PLACA DE SINALIZACAO EM CHAPA DE ALUMINIO COM PINTURA REFLETIVA, E = 2 MM</v>
      </c>
      <c r="E326" s="151" t="str">
        <f ca="1">VLOOKUP(B326,'Insumos e Serviços'!$A:$F,5,0)</f>
        <v>m²</v>
      </c>
      <c r="F326" s="152">
        <v>6.3E-2</v>
      </c>
      <c r="G326" s="153">
        <f ca="1">VLOOKUP(B326,'Insumos e Serviços'!$A:$F,6,0)</f>
        <v>648</v>
      </c>
      <c r="H326" s="153">
        <f>TRUNC(F326*G326,2)</f>
        <v>40.82</v>
      </c>
    </row>
    <row r="327" spans="1:8" ht="15" thickTop="1">
      <c r="A327" s="62"/>
      <c r="B327" s="62"/>
      <c r="C327" s="62"/>
      <c r="D327" s="62"/>
      <c r="E327" s="62"/>
      <c r="F327" s="62"/>
      <c r="G327" s="62"/>
      <c r="H327" s="62"/>
    </row>
    <row r="328" spans="1:8">
      <c r="A328" s="11" t="s">
        <v>689</v>
      </c>
      <c r="B328" s="11"/>
      <c r="C328" s="11"/>
      <c r="D328" s="11" t="s">
        <v>690</v>
      </c>
      <c r="E328" s="11"/>
      <c r="F328" s="12"/>
      <c r="G328" s="11"/>
      <c r="H328" s="13"/>
    </row>
    <row r="329" spans="1:8">
      <c r="A329" s="182" t="s">
        <v>691</v>
      </c>
      <c r="B329" s="182"/>
      <c r="C329" s="182"/>
      <c r="D329" s="183" t="s">
        <v>692</v>
      </c>
      <c r="E329" s="182"/>
      <c r="F329" s="184"/>
      <c r="G329" s="184"/>
      <c r="H329" s="184"/>
    </row>
    <row r="330" spans="1:8">
      <c r="A330" s="64" t="s">
        <v>693</v>
      </c>
      <c r="B330" s="64"/>
      <c r="C330" s="64"/>
      <c r="D330" s="64" t="s">
        <v>694</v>
      </c>
      <c r="E330" s="64"/>
      <c r="F330" s="65"/>
      <c r="G330" s="64"/>
      <c r="H330" s="66"/>
    </row>
    <row r="331" spans="1:8" s="142" customFormat="1" ht="22.5">
      <c r="A331" s="143" t="s">
        <v>695</v>
      </c>
      <c r="B331" s="144" t="s">
        <v>696</v>
      </c>
      <c r="C331" s="144" t="s">
        <v>247</v>
      </c>
      <c r="D331" s="145" t="s">
        <v>697</v>
      </c>
      <c r="E331" s="144" t="s">
        <v>334</v>
      </c>
      <c r="F331" s="146"/>
      <c r="G331" s="147"/>
      <c r="H331" s="148">
        <f>SUM(H332:H334)</f>
        <v>9900.0400000000009</v>
      </c>
    </row>
    <row r="332" spans="1:8">
      <c r="A332" s="149" t="str">
        <f ca="1">VLOOKUP(B332,'Insumos e Serviços'!$A:$F,3,0)</f>
        <v>Composição</v>
      </c>
      <c r="B332" s="150" t="s">
        <v>25</v>
      </c>
      <c r="C332" s="151" t="str">
        <f ca="1">VLOOKUP(B332,'Insumos e Serviços'!$A:$F,2,0)</f>
        <v>SINAPI</v>
      </c>
      <c r="D332" s="149" t="str">
        <f ca="1">VLOOKUP(B332,'Insumos e Serviços'!$A:$F,4,0)</f>
        <v>AUXILIAR DE ELETRICISTA COM ENCARGOS COMPLEMENTARES</v>
      </c>
      <c r="E332" s="151" t="str">
        <f ca="1">VLOOKUP(B332,'Insumos e Serviços'!$A:$F,5,0)</f>
        <v>H</v>
      </c>
      <c r="F332" s="152">
        <v>16</v>
      </c>
      <c r="G332" s="153">
        <f ca="1">VLOOKUP(B332,'Insumos e Serviços'!$A:$F,6,0)</f>
        <v>18.739999999999998</v>
      </c>
      <c r="H332" s="153">
        <f>TRUNC(F332*G332,2)</f>
        <v>299.83999999999997</v>
      </c>
    </row>
    <row r="333" spans="1:8">
      <c r="A333" s="149" t="str">
        <f ca="1">VLOOKUP(B333,'Insumos e Serviços'!$A:$F,3,0)</f>
        <v>Composição</v>
      </c>
      <c r="B333" s="150" t="s">
        <v>23</v>
      </c>
      <c r="C333" s="151" t="str">
        <f ca="1">VLOOKUP(B333,'Insumos e Serviços'!$A:$F,2,0)</f>
        <v>SINAPI</v>
      </c>
      <c r="D333" s="149" t="str">
        <f ca="1">VLOOKUP(B333,'Insumos e Serviços'!$A:$F,4,0)</f>
        <v>ELETRICISTA COM ENCARGOS COMPLEMENTARES</v>
      </c>
      <c r="E333" s="151" t="str">
        <f ca="1">VLOOKUP(B333,'Insumos e Serviços'!$A:$F,5,0)</f>
        <v>H</v>
      </c>
      <c r="F333" s="152">
        <v>16</v>
      </c>
      <c r="G333" s="153">
        <f ca="1">VLOOKUP(B333,'Insumos e Serviços'!$A:$F,6,0)</f>
        <v>24.1</v>
      </c>
      <c r="H333" s="153">
        <f>TRUNC(F333*G333,2)</f>
        <v>385.6</v>
      </c>
    </row>
    <row r="334" spans="1:8" ht="15" thickBot="1">
      <c r="A334" s="149" t="str">
        <f ca="1">VLOOKUP(B334,'Insumos e Serviços'!$A:$F,3,0)</f>
        <v>Insumo</v>
      </c>
      <c r="B334" s="150" t="s">
        <v>35</v>
      </c>
      <c r="C334" s="151" t="str">
        <f ca="1">VLOOKUP(B334,'Insumos e Serviços'!$A:$F,2,0)</f>
        <v>Próprio</v>
      </c>
      <c r="D334" s="149" t="str">
        <f ca="1">VLOOKUP(B334,'Insumos e Serviços'!$A:$F,4,0)</f>
        <v>QFB-APR - Quadro elétrico para bomba de recalque de águas pluviais e água de reuso - PJCE</v>
      </c>
      <c r="E334" s="151" t="str">
        <f ca="1">VLOOKUP(B334,'Insumos e Serviços'!$A:$F,5,0)</f>
        <v>un</v>
      </c>
      <c r="F334" s="152">
        <v>1</v>
      </c>
      <c r="G334" s="153">
        <f ca="1">VLOOKUP(B334,'Insumos e Serviços'!$A:$F,6,0)</f>
        <v>9214.6</v>
      </c>
      <c r="H334" s="153">
        <f>TRUNC(F334*G334,2)</f>
        <v>9214.6</v>
      </c>
    </row>
    <row r="335" spans="1:8" ht="15" thickTop="1">
      <c r="A335" s="62"/>
      <c r="B335" s="62"/>
      <c r="C335" s="62"/>
      <c r="D335" s="62"/>
      <c r="E335" s="62"/>
      <c r="F335" s="62"/>
      <c r="G335" s="62"/>
      <c r="H335" s="62"/>
    </row>
    <row r="336" spans="1:8">
      <c r="A336" s="64" t="s">
        <v>698</v>
      </c>
      <c r="B336" s="64"/>
      <c r="C336" s="64"/>
      <c r="D336" s="64" t="s">
        <v>699</v>
      </c>
      <c r="E336" s="64"/>
      <c r="F336" s="65"/>
      <c r="G336" s="64"/>
      <c r="H336" s="66"/>
    </row>
    <row r="337" spans="1:8" s="142" customFormat="1" ht="22.5">
      <c r="A337" s="143" t="s">
        <v>706</v>
      </c>
      <c r="B337" s="144" t="s">
        <v>707</v>
      </c>
      <c r="C337" s="144" t="s">
        <v>247</v>
      </c>
      <c r="D337" s="145" t="s">
        <v>708</v>
      </c>
      <c r="E337" s="144" t="s">
        <v>284</v>
      </c>
      <c r="F337" s="146"/>
      <c r="G337" s="147"/>
      <c r="H337" s="148">
        <f>SUM(H338:H341)</f>
        <v>8.75</v>
      </c>
    </row>
    <row r="338" spans="1:8">
      <c r="A338" s="149" t="str">
        <f ca="1">VLOOKUP(B338,'Insumos e Serviços'!$A:$F,3,0)</f>
        <v>Composição</v>
      </c>
      <c r="B338" s="150" t="s">
        <v>25</v>
      </c>
      <c r="C338" s="151" t="str">
        <f ca="1">VLOOKUP(B338,'Insumos e Serviços'!$A:$F,2,0)</f>
        <v>SINAPI</v>
      </c>
      <c r="D338" s="149" t="str">
        <f ca="1">VLOOKUP(B338,'Insumos e Serviços'!$A:$F,4,0)</f>
        <v>AUXILIAR DE ELETRICISTA COM ENCARGOS COMPLEMENTARES</v>
      </c>
      <c r="E338" s="151" t="str">
        <f ca="1">VLOOKUP(B338,'Insumos e Serviços'!$A:$F,5,0)</f>
        <v>H</v>
      </c>
      <c r="F338" s="152">
        <v>0.03</v>
      </c>
      <c r="G338" s="153">
        <f ca="1">VLOOKUP(B338,'Insumos e Serviços'!$A:$F,6,0)</f>
        <v>18.739999999999998</v>
      </c>
      <c r="H338" s="153">
        <f>TRUNC(F338*G338,2)</f>
        <v>0.56000000000000005</v>
      </c>
    </row>
    <row r="339" spans="1:8">
      <c r="A339" s="149" t="str">
        <f ca="1">VLOOKUP(B339,'Insumos e Serviços'!$A:$F,3,0)</f>
        <v>Composição</v>
      </c>
      <c r="B339" s="150" t="s">
        <v>23</v>
      </c>
      <c r="C339" s="151" t="str">
        <f ca="1">VLOOKUP(B339,'Insumos e Serviços'!$A:$F,2,0)</f>
        <v>SINAPI</v>
      </c>
      <c r="D339" s="149" t="str">
        <f ca="1">VLOOKUP(B339,'Insumos e Serviços'!$A:$F,4,0)</f>
        <v>ELETRICISTA COM ENCARGOS COMPLEMENTARES</v>
      </c>
      <c r="E339" s="151" t="str">
        <f ca="1">VLOOKUP(B339,'Insumos e Serviços'!$A:$F,5,0)</f>
        <v>H</v>
      </c>
      <c r="F339" s="152">
        <v>0.03</v>
      </c>
      <c r="G339" s="153">
        <f ca="1">VLOOKUP(B339,'Insumos e Serviços'!$A:$F,6,0)</f>
        <v>24.1</v>
      </c>
      <c r="H339" s="153">
        <f>TRUNC(F339*G339,2)</f>
        <v>0.72</v>
      </c>
    </row>
    <row r="340" spans="1:8">
      <c r="A340" s="149" t="str">
        <f ca="1">VLOOKUP(B340,'Insumos e Serviços'!$A:$F,3,0)</f>
        <v>Insumo</v>
      </c>
      <c r="B340" s="150" t="s">
        <v>36</v>
      </c>
      <c r="C340" s="151" t="str">
        <f ca="1">VLOOKUP(B340,'Insumos e Serviços'!$A:$F,2,0)</f>
        <v>SINAPI</v>
      </c>
      <c r="D340" s="149" t="str">
        <f ca="1">VLOOKUP(B340,'Insumos e Serviços'!$A:$F,4,0)</f>
        <v>FITA ISOLANTE ADESIVA ANTICHAMA, USO ATE 750 V, EM ROLO DE 19 MM X 5 M</v>
      </c>
      <c r="E340" s="151" t="str">
        <f ca="1">VLOOKUP(B340,'Insumos e Serviços'!$A:$F,5,0)</f>
        <v>UN</v>
      </c>
      <c r="F340" s="152">
        <v>8.9999999999999993E-3</v>
      </c>
      <c r="G340" s="153">
        <f ca="1">VLOOKUP(B340,'Insumos e Serviços'!$A:$F,6,0)</f>
        <v>3.6</v>
      </c>
      <c r="H340" s="153">
        <f>TRUNC(F340*G340,2)</f>
        <v>0.03</v>
      </c>
    </row>
    <row r="341" spans="1:8" ht="23.25" thickBot="1">
      <c r="A341" s="149" t="str">
        <f ca="1">VLOOKUP(B341,'Insumos e Serviços'!$A:$F,3,0)</f>
        <v>Insumo</v>
      </c>
      <c r="B341" s="150" t="s">
        <v>38</v>
      </c>
      <c r="C341" s="151" t="str">
        <f ca="1">VLOOKUP(B341,'Insumos e Serviços'!$A:$F,2,0)</f>
        <v>Próprio</v>
      </c>
      <c r="D341" s="149" t="str">
        <f ca="1">VLOOKUP(B341,'Insumos e Serviços'!$A:$F,4,0)</f>
        <v>Cabo elétrico flexível tipo PP (2x2,5mm²) têmpera mole, encordoamento classe 5, isolação PVC em dupla camada 70°C, 450/750V, fabricante Prysmian modelo PP Cordplast</v>
      </c>
      <c r="E341" s="151" t="str">
        <f ca="1">VLOOKUP(B341,'Insumos e Serviços'!$A:$F,5,0)</f>
        <v>m</v>
      </c>
      <c r="F341" s="152">
        <v>1.19</v>
      </c>
      <c r="G341" s="153">
        <f ca="1">VLOOKUP(B341,'Insumos e Serviços'!$A:$F,6,0)</f>
        <v>6.26</v>
      </c>
      <c r="H341" s="153">
        <f>TRUNC(F341*G341,2)</f>
        <v>7.44</v>
      </c>
    </row>
    <row r="342" spans="1:8" ht="15" thickTop="1">
      <c r="A342" s="62"/>
      <c r="B342" s="62"/>
      <c r="C342" s="62"/>
      <c r="D342" s="62"/>
      <c r="E342" s="62"/>
      <c r="F342" s="62"/>
      <c r="G342" s="62"/>
      <c r="H342" s="62"/>
    </row>
    <row r="343" spans="1:8" s="142" customFormat="1" ht="22.5">
      <c r="A343" s="143" t="s">
        <v>709</v>
      </c>
      <c r="B343" s="144" t="s">
        <v>710</v>
      </c>
      <c r="C343" s="144" t="s">
        <v>247</v>
      </c>
      <c r="D343" s="145" t="s">
        <v>711</v>
      </c>
      <c r="E343" s="144" t="s">
        <v>284</v>
      </c>
      <c r="F343" s="146"/>
      <c r="G343" s="147"/>
      <c r="H343" s="148">
        <f>SUM(H344:H347)</f>
        <v>12.05</v>
      </c>
    </row>
    <row r="344" spans="1:8">
      <c r="A344" s="149" t="str">
        <f ca="1">VLOOKUP(B344,'Insumos e Serviços'!$A:$F,3,0)</f>
        <v>Composição</v>
      </c>
      <c r="B344" s="150" t="s">
        <v>25</v>
      </c>
      <c r="C344" s="151" t="str">
        <f ca="1">VLOOKUP(B344,'Insumos e Serviços'!$A:$F,2,0)</f>
        <v>SINAPI</v>
      </c>
      <c r="D344" s="149" t="str">
        <f ca="1">VLOOKUP(B344,'Insumos e Serviços'!$A:$F,4,0)</f>
        <v>AUXILIAR DE ELETRICISTA COM ENCARGOS COMPLEMENTARES</v>
      </c>
      <c r="E344" s="151" t="str">
        <f ca="1">VLOOKUP(B344,'Insumos e Serviços'!$A:$F,5,0)</f>
        <v>H</v>
      </c>
      <c r="F344" s="152">
        <v>0.03</v>
      </c>
      <c r="G344" s="153">
        <f ca="1">VLOOKUP(B344,'Insumos e Serviços'!$A:$F,6,0)</f>
        <v>18.739999999999998</v>
      </c>
      <c r="H344" s="153">
        <f>TRUNC(F344*G344,2)</f>
        <v>0.56000000000000005</v>
      </c>
    </row>
    <row r="345" spans="1:8">
      <c r="A345" s="149" t="str">
        <f ca="1">VLOOKUP(B345,'Insumos e Serviços'!$A:$F,3,0)</f>
        <v>Composição</v>
      </c>
      <c r="B345" s="150" t="s">
        <v>23</v>
      </c>
      <c r="C345" s="151" t="str">
        <f ca="1">VLOOKUP(B345,'Insumos e Serviços'!$A:$F,2,0)</f>
        <v>SINAPI</v>
      </c>
      <c r="D345" s="149" t="str">
        <f ca="1">VLOOKUP(B345,'Insumos e Serviços'!$A:$F,4,0)</f>
        <v>ELETRICISTA COM ENCARGOS COMPLEMENTARES</v>
      </c>
      <c r="E345" s="151" t="str">
        <f ca="1">VLOOKUP(B345,'Insumos e Serviços'!$A:$F,5,0)</f>
        <v>H</v>
      </c>
      <c r="F345" s="152">
        <v>0.03</v>
      </c>
      <c r="G345" s="153">
        <f ca="1">VLOOKUP(B345,'Insumos e Serviços'!$A:$F,6,0)</f>
        <v>24.1</v>
      </c>
      <c r="H345" s="153">
        <f>TRUNC(F345*G345,2)</f>
        <v>0.72</v>
      </c>
    </row>
    <row r="346" spans="1:8">
      <c r="A346" s="149" t="str">
        <f ca="1">VLOOKUP(B346,'Insumos e Serviços'!$A:$F,3,0)</f>
        <v>Insumo</v>
      </c>
      <c r="B346" s="150" t="s">
        <v>36</v>
      </c>
      <c r="C346" s="151" t="str">
        <f ca="1">VLOOKUP(B346,'Insumos e Serviços'!$A:$F,2,0)</f>
        <v>SINAPI</v>
      </c>
      <c r="D346" s="149" t="str">
        <f ca="1">VLOOKUP(B346,'Insumos e Serviços'!$A:$F,4,0)</f>
        <v>FITA ISOLANTE ADESIVA ANTICHAMA, USO ATE 750 V, EM ROLO DE 19 MM X 5 M</v>
      </c>
      <c r="E346" s="151" t="str">
        <f ca="1">VLOOKUP(B346,'Insumos e Serviços'!$A:$F,5,0)</f>
        <v>UN</v>
      </c>
      <c r="F346" s="152">
        <v>8.9999999999999993E-3</v>
      </c>
      <c r="G346" s="153">
        <f ca="1">VLOOKUP(B346,'Insumos e Serviços'!$A:$F,6,0)</f>
        <v>3.6</v>
      </c>
      <c r="H346" s="153">
        <f>TRUNC(F346*G346,2)</f>
        <v>0.03</v>
      </c>
    </row>
    <row r="347" spans="1:8" ht="23.25" thickBot="1">
      <c r="A347" s="149" t="str">
        <f ca="1">VLOOKUP(B347,'Insumos e Serviços'!$A:$F,3,0)</f>
        <v>Insumo</v>
      </c>
      <c r="B347" s="150" t="s">
        <v>40</v>
      </c>
      <c r="C347" s="151" t="str">
        <f ca="1">VLOOKUP(B347,'Insumos e Serviços'!$A:$F,2,0)</f>
        <v>Próprio</v>
      </c>
      <c r="D347" s="149" t="str">
        <f ca="1">VLOOKUP(B347,'Insumos e Serviços'!$A:$F,4,0)</f>
        <v>Cabo elétrico flexível tipo PP (3x2,5mm²) têmpera mole, encordoamento classe 5, isolação PVC em dupla camada 70°C, 450/750V, fabricante Prysmian modelo PP Cordplast</v>
      </c>
      <c r="E347" s="151" t="str">
        <f ca="1">VLOOKUP(B347,'Insumos e Serviços'!$A:$F,5,0)</f>
        <v>m</v>
      </c>
      <c r="F347" s="152">
        <v>1.19</v>
      </c>
      <c r="G347" s="153">
        <f ca="1">VLOOKUP(B347,'Insumos e Serviços'!$A:$F,6,0)</f>
        <v>9.0299999999999994</v>
      </c>
      <c r="H347" s="153">
        <f>TRUNC(F347*G347,2)</f>
        <v>10.74</v>
      </c>
    </row>
    <row r="348" spans="1:8" ht="15" thickTop="1">
      <c r="A348" s="62"/>
      <c r="B348" s="62"/>
      <c r="C348" s="62"/>
      <c r="D348" s="62"/>
      <c r="E348" s="62"/>
      <c r="F348" s="62"/>
      <c r="G348" s="62"/>
      <c r="H348" s="62"/>
    </row>
    <row r="349" spans="1:8" s="142" customFormat="1" ht="15">
      <c r="A349" s="143" t="s">
        <v>724</v>
      </c>
      <c r="B349" s="144" t="s">
        <v>725</v>
      </c>
      <c r="C349" s="144" t="s">
        <v>247</v>
      </c>
      <c r="D349" s="145" t="s">
        <v>726</v>
      </c>
      <c r="E349" s="144" t="s">
        <v>288</v>
      </c>
      <c r="F349" s="146"/>
      <c r="G349" s="147"/>
      <c r="H349" s="148">
        <f>SUM(H350:H351)</f>
        <v>52.67</v>
      </c>
    </row>
    <row r="350" spans="1:8" ht="22.5">
      <c r="A350" s="149" t="str">
        <f ca="1">VLOOKUP(B350,'Insumos e Serviços'!$A:$F,3,0)</f>
        <v>Composição</v>
      </c>
      <c r="B350" s="150" t="s">
        <v>42</v>
      </c>
      <c r="C350" s="151" t="str">
        <f ca="1">VLOOKUP(B350,'Insumos e Serviços'!$A:$F,2,0)</f>
        <v>SINAPI</v>
      </c>
      <c r="D350" s="149" t="str">
        <f ca="1">VLOOKUP(B350,'Insumos e Serviços'!$A:$F,4,0)</f>
        <v>TOMADA MÉDIA DE EMBUTIR (1 MÓDULO), 2P+T 10 A, INCLUINDO SUPORTE E PLACA - FORNECIMENTO E INSTALAÇÃO. AF_12/2015</v>
      </c>
      <c r="E350" s="151" t="str">
        <f ca="1">VLOOKUP(B350,'Insumos e Serviços'!$A:$F,5,0)</f>
        <v>UN</v>
      </c>
      <c r="F350" s="152">
        <v>1</v>
      </c>
      <c r="G350" s="153">
        <f ca="1">VLOOKUP(B350,'Insumos e Serviços'!$A:$F,6,0)</f>
        <v>27.53</v>
      </c>
      <c r="H350" s="153">
        <f>TRUNC(F350*G350,2)</f>
        <v>27.53</v>
      </c>
    </row>
    <row r="351" spans="1:8" ht="23.25" thickBot="1">
      <c r="A351" s="149" t="str">
        <f ca="1">VLOOKUP(B351,'Insumos e Serviços'!$A:$F,3,0)</f>
        <v>Composição</v>
      </c>
      <c r="B351" s="150" t="s">
        <v>722</v>
      </c>
      <c r="C351" s="151" t="str">
        <f ca="1">VLOOKUP(B351,'Insumos e Serviços'!$A:$F,2,0)</f>
        <v>SINAPI</v>
      </c>
      <c r="D351" s="149" t="str">
        <f ca="1">VLOOKUP(B351,'Insumos e Serviços'!$A:$F,4,0)</f>
        <v>CONDULETE DE PVC, TIPO LL, PARA ELETRODUTO DE PVC SOLDÁVEL DN 25 MM (3/4''), APARENTE - FORNECIMENTO E INSTALAÇÃO. AF_11/2016</v>
      </c>
      <c r="E351" s="151" t="str">
        <f ca="1">VLOOKUP(B351,'Insumos e Serviços'!$A:$F,5,0)</f>
        <v>UN</v>
      </c>
      <c r="F351" s="152">
        <v>1</v>
      </c>
      <c r="G351" s="153">
        <f ca="1">VLOOKUP(B351,'Insumos e Serviços'!$A:$F,6,0)</f>
        <v>25.14</v>
      </c>
      <c r="H351" s="153">
        <f>TRUNC(F351*G351,2)</f>
        <v>25.14</v>
      </c>
    </row>
    <row r="352" spans="1:8" ht="15" thickTop="1">
      <c r="A352" s="62"/>
      <c r="B352" s="62"/>
      <c r="C352" s="62"/>
      <c r="D352" s="62"/>
      <c r="E352" s="62"/>
      <c r="F352" s="62"/>
      <c r="G352" s="62"/>
      <c r="H352" s="62"/>
    </row>
    <row r="353" spans="1:8" s="142" customFormat="1" ht="15">
      <c r="A353" s="143" t="s">
        <v>727</v>
      </c>
      <c r="B353" s="144" t="s">
        <v>728</v>
      </c>
      <c r="C353" s="144" t="s">
        <v>247</v>
      </c>
      <c r="D353" s="145" t="s">
        <v>729</v>
      </c>
      <c r="E353" s="144" t="s">
        <v>288</v>
      </c>
      <c r="F353" s="146">
        <v>1</v>
      </c>
      <c r="G353" s="147">
        <v>60.72</v>
      </c>
      <c r="H353" s="148">
        <f>SUM(H354:H355)</f>
        <v>60.72</v>
      </c>
    </row>
    <row r="354" spans="1:8" ht="22.5">
      <c r="A354" s="149" t="str">
        <f ca="1">VLOOKUP(B354,'Insumos e Serviços'!$A:$F,3,0)</f>
        <v>Composição</v>
      </c>
      <c r="B354" s="150" t="s">
        <v>722</v>
      </c>
      <c r="C354" s="151" t="str">
        <f ca="1">VLOOKUP(B354,'Insumos e Serviços'!$A:$F,2,0)</f>
        <v>SINAPI</v>
      </c>
      <c r="D354" s="149" t="str">
        <f ca="1">VLOOKUP(B354,'Insumos e Serviços'!$A:$F,4,0)</f>
        <v>CONDULETE DE PVC, TIPO LL, PARA ELETRODUTO DE PVC SOLDÁVEL DN 25 MM (3/4''), APARENTE - FORNECIMENTO E INSTALAÇÃO. AF_11/2016</v>
      </c>
      <c r="E354" s="151" t="str">
        <f ca="1">VLOOKUP(B354,'Insumos e Serviços'!$A:$F,5,0)</f>
        <v>UN</v>
      </c>
      <c r="F354" s="152">
        <v>1</v>
      </c>
      <c r="G354" s="153">
        <f ca="1">VLOOKUP(B354,'Insumos e Serviços'!$A:$F,6,0)</f>
        <v>25.14</v>
      </c>
      <c r="H354" s="153">
        <f>TRUNC(F354*G354,2)</f>
        <v>25.14</v>
      </c>
    </row>
    <row r="355" spans="1:8" ht="23.25" thickBot="1">
      <c r="A355" s="149" t="str">
        <f ca="1">VLOOKUP(B355,'Insumos e Serviços'!$A:$F,3,0)</f>
        <v>Composição</v>
      </c>
      <c r="B355" s="150" t="s">
        <v>44</v>
      </c>
      <c r="C355" s="151" t="str">
        <f ca="1">VLOOKUP(B355,'Insumos e Serviços'!$A:$F,2,0)</f>
        <v>SINAPI</v>
      </c>
      <c r="D355" s="149" t="str">
        <f ca="1">VLOOKUP(B355,'Insumos e Serviços'!$A:$F,4,0)</f>
        <v>TOMADA ALTA DE EMBUTIR (1 MÓDULO), 2P+T 10 A, INCLUINDO SUPORTE E PLACA - FORNECIMENTO E INSTALAÇÃO. AF_12/2015</v>
      </c>
      <c r="E355" s="151" t="str">
        <f ca="1">VLOOKUP(B355,'Insumos e Serviços'!$A:$F,5,0)</f>
        <v>UN</v>
      </c>
      <c r="F355" s="152">
        <v>1</v>
      </c>
      <c r="G355" s="153">
        <f ca="1">VLOOKUP(B355,'Insumos e Serviços'!$A:$F,6,0)</f>
        <v>35.58</v>
      </c>
      <c r="H355" s="153">
        <f>TRUNC(F355*G355,2)</f>
        <v>35.58</v>
      </c>
    </row>
    <row r="356" spans="1:8" ht="15" thickTop="1">
      <c r="A356" s="14"/>
      <c r="B356" s="14"/>
      <c r="C356" s="14"/>
      <c r="D356" s="14"/>
      <c r="E356" s="14"/>
      <c r="F356" s="14"/>
      <c r="G356" s="14"/>
      <c r="H356" s="14"/>
    </row>
    <row r="357" spans="1:8">
      <c r="A357" s="11" t="s">
        <v>730</v>
      </c>
      <c r="B357" s="11"/>
      <c r="C357" s="11"/>
      <c r="D357" s="11" t="s">
        <v>731</v>
      </c>
      <c r="E357" s="11"/>
      <c r="F357" s="12"/>
      <c r="G357" s="11"/>
      <c r="H357" s="13"/>
    </row>
    <row r="358" spans="1:8">
      <c r="A358" s="182" t="s">
        <v>732</v>
      </c>
      <c r="B358" s="182"/>
      <c r="C358" s="182"/>
      <c r="D358" s="183" t="s">
        <v>733</v>
      </c>
      <c r="E358" s="182"/>
      <c r="F358" s="184"/>
      <c r="G358" s="184"/>
      <c r="H358" s="184"/>
    </row>
    <row r="359" spans="1:8" s="142" customFormat="1" ht="15">
      <c r="A359" s="143" t="s">
        <v>734</v>
      </c>
      <c r="B359" s="144" t="s">
        <v>735</v>
      </c>
      <c r="C359" s="144" t="s">
        <v>247</v>
      </c>
      <c r="D359" s="145" t="s">
        <v>736</v>
      </c>
      <c r="E359" s="144" t="s">
        <v>266</v>
      </c>
      <c r="F359" s="146"/>
      <c r="G359" s="147"/>
      <c r="H359" s="148">
        <f>SUM(H360:H361)</f>
        <v>38.370000000000005</v>
      </c>
    </row>
    <row r="360" spans="1:8" ht="22.5">
      <c r="A360" s="149" t="str">
        <f ca="1">VLOOKUP(B360,'Insumos e Serviços'!$A:$F,3,0)</f>
        <v>Composição</v>
      </c>
      <c r="B360" s="150" t="s">
        <v>46</v>
      </c>
      <c r="C360" s="151" t="str">
        <f ca="1">VLOOKUP(B360,'Insumos e Serviços'!$A:$F,2,0)</f>
        <v>SINAPI</v>
      </c>
      <c r="D360" s="149" t="str">
        <f ca="1">VLOOKUP(B360,'Insumos e Serviços'!$A:$F,4,0)</f>
        <v>TRANSPORTE COM CAMINHÃO BASCULANTE DE 6 M³, EM VIA URBANA PAVIMENTADA, ADICIONAL PARA DMT EXCEDENTE A 30 KM (UNIDADE: M3XKM). AF_07/2020</v>
      </c>
      <c r="E360" s="151" t="str">
        <f ca="1">VLOOKUP(B360,'Insumos e Serviços'!$A:$F,5,0)</f>
        <v>M3XKM</v>
      </c>
      <c r="F360" s="152">
        <v>20</v>
      </c>
      <c r="G360" s="153">
        <f ca="1">VLOOKUP(B360,'Insumos e Serviços'!$A:$F,6,0)</f>
        <v>0.81</v>
      </c>
      <c r="H360" s="153">
        <f>TRUNC(F360*G360,2)</f>
        <v>16.2</v>
      </c>
    </row>
    <row r="361" spans="1:8" ht="15" thickBot="1">
      <c r="A361" s="149" t="str">
        <f ca="1">VLOOKUP(B361,'Insumos e Serviços'!$A:$F,3,0)</f>
        <v>Composição</v>
      </c>
      <c r="B361" s="150" t="s">
        <v>48</v>
      </c>
      <c r="C361" s="151" t="str">
        <f ca="1">VLOOKUP(B361,'Insumos e Serviços'!$A:$F,2,0)</f>
        <v>SINAPI</v>
      </c>
      <c r="D361" s="149" t="str">
        <f ca="1">VLOOKUP(B361,'Insumos e Serviços'!$A:$F,4,0)</f>
        <v>CARGA MANUAL DE ENTULHO EM CAMINHAO BASCULANTE 6 M3</v>
      </c>
      <c r="E361" s="151" t="str">
        <f ca="1">VLOOKUP(B361,'Insumos e Serviços'!$A:$F,5,0)</f>
        <v>m³</v>
      </c>
      <c r="F361" s="152">
        <v>1</v>
      </c>
      <c r="G361" s="153">
        <f ca="1">VLOOKUP(B361,'Insumos e Serviços'!$A:$F,6,0)</f>
        <v>22.17</v>
      </c>
      <c r="H361" s="153">
        <f>TRUNC(F361*G361,2)</f>
        <v>22.17</v>
      </c>
    </row>
    <row r="362" spans="1:8" ht="15" thickTop="1">
      <c r="A362" s="62"/>
      <c r="B362" s="62"/>
      <c r="C362" s="62"/>
      <c r="D362" s="62"/>
      <c r="E362" s="62"/>
      <c r="F362" s="62"/>
      <c r="G362" s="62"/>
      <c r="H362" s="62"/>
    </row>
    <row r="363" spans="1:8" s="142" customFormat="1" ht="22.5">
      <c r="A363" s="143" t="s">
        <v>752</v>
      </c>
      <c r="B363" s="144" t="s">
        <v>753</v>
      </c>
      <c r="C363" s="144" t="s">
        <v>247</v>
      </c>
      <c r="D363" s="145" t="s">
        <v>754</v>
      </c>
      <c r="E363" s="144" t="s">
        <v>288</v>
      </c>
      <c r="F363" s="146"/>
      <c r="G363" s="147"/>
      <c r="H363" s="148">
        <f>SUM(H364:H367)</f>
        <v>669.52</v>
      </c>
    </row>
    <row r="364" spans="1:8">
      <c r="A364" s="149" t="str">
        <f ca="1">VLOOKUP(B364,'Insumos e Serviços'!$A:$F,3,0)</f>
        <v>Composição</v>
      </c>
      <c r="B364" s="150" t="s">
        <v>807</v>
      </c>
      <c r="C364" s="151" t="str">
        <f ca="1">VLOOKUP(B364,'Insumos e Serviços'!$A:$F,2,0)</f>
        <v>SINAPI</v>
      </c>
      <c r="D364" s="149" t="str">
        <f ca="1">VLOOKUP(B364,'Insumos e Serviços'!$A:$F,4,0)</f>
        <v>AUXILIAR DE ENCANADOR OU BOMBEIRO HIDRÁULICO COM ENCARGOS COMPLEMENTARES</v>
      </c>
      <c r="E364" s="151" t="str">
        <f ca="1">VLOOKUP(B364,'Insumos e Serviços'!$A:$F,5,0)</f>
        <v>H</v>
      </c>
      <c r="F364" s="152">
        <v>2.1999999999999999E-2</v>
      </c>
      <c r="G364" s="153">
        <f ca="1">VLOOKUP(B364,'Insumos e Serviços'!$A:$F,6,0)</f>
        <v>18.23</v>
      </c>
      <c r="H364" s="153">
        <f>TRUNC(F364*G364,2)</f>
        <v>0.4</v>
      </c>
    </row>
    <row r="365" spans="1:8">
      <c r="A365" s="149" t="str">
        <f ca="1">VLOOKUP(B365,'Insumos e Serviços'!$A:$F,3,0)</f>
        <v>Composição</v>
      </c>
      <c r="B365" s="150" t="s">
        <v>805</v>
      </c>
      <c r="C365" s="151" t="str">
        <f ca="1">VLOOKUP(B365,'Insumos e Serviços'!$A:$F,2,0)</f>
        <v>SINAPI</v>
      </c>
      <c r="D365" s="149" t="str">
        <f ca="1">VLOOKUP(B365,'Insumos e Serviços'!$A:$F,4,0)</f>
        <v>ENCANADOR OU BOMBEIRO HIDRÁULICO COM ENCARGOS COMPLEMENTARES</v>
      </c>
      <c r="E365" s="151" t="str">
        <f ca="1">VLOOKUP(B365,'Insumos e Serviços'!$A:$F,5,0)</f>
        <v>H</v>
      </c>
      <c r="F365" s="152">
        <v>0.155</v>
      </c>
      <c r="G365" s="153">
        <f ca="1">VLOOKUP(B365,'Insumos e Serviços'!$A:$F,6,0)</f>
        <v>23.41</v>
      </c>
      <c r="H365" s="153">
        <f>TRUNC(F365*G365,2)</f>
        <v>3.62</v>
      </c>
    </row>
    <row r="366" spans="1:8" ht="22.5">
      <c r="A366" s="149" t="str">
        <f ca="1">VLOOKUP(B366,'Insumos e Serviços'!$A:$F,3,0)</f>
        <v>Composição</v>
      </c>
      <c r="B366" s="150" t="s">
        <v>50</v>
      </c>
      <c r="C366" s="151" t="str">
        <f ca="1">VLOOKUP(B366,'Insumos e Serviços'!$A:$F,2,0)</f>
        <v>SINAPI</v>
      </c>
      <c r="D366" s="149" t="str">
        <f ca="1">VLOOKUP(B366,'Insumos e Serviços'!$A:$F,4,0)</f>
        <v>ARGAMASSA TRAÇO 1:3 (EM VOLUME DE CIMENTO E AREIA MÉDIA ÚMIDA), PREPARO MANUAL. AF_08/2019</v>
      </c>
      <c r="E366" s="151" t="str">
        <f ca="1">VLOOKUP(B366,'Insumos e Serviços'!$A:$F,5,0)</f>
        <v>m³</v>
      </c>
      <c r="F366" s="152">
        <v>1E-3</v>
      </c>
      <c r="G366" s="153">
        <f ca="1">VLOOKUP(B366,'Insumos e Serviços'!$A:$F,6,0)</f>
        <v>505.32</v>
      </c>
      <c r="H366" s="153">
        <f>TRUNC(F366*G366,2)</f>
        <v>0.5</v>
      </c>
    </row>
    <row r="367" spans="1:8">
      <c r="A367" s="149" t="str">
        <f ca="1">VLOOKUP(B367,'Insumos e Serviços'!$A:$F,3,0)</f>
        <v>Insumo</v>
      </c>
      <c r="B367" s="150" t="s">
        <v>52</v>
      </c>
      <c r="C367" s="151" t="str">
        <f ca="1">VLOOKUP(B367,'Insumos e Serviços'!$A:$F,2,0)</f>
        <v>Próprio</v>
      </c>
      <c r="D367" s="149" t="str">
        <f ca="1">VLOOKUP(B367,'Insumos e Serviços'!$A:$F,4,0)</f>
        <v>Olhal de ancoragem em aço inox, resistência de 1500 kgf</v>
      </c>
      <c r="E367" s="151" t="str">
        <f ca="1">VLOOKUP(B367,'Insumos e Serviços'!$A:$F,5,0)</f>
        <v>un</v>
      </c>
      <c r="F367" s="152">
        <v>1</v>
      </c>
      <c r="G367" s="153">
        <f ca="1">VLOOKUP(B367,'Insumos e Serviços'!$A:$F,6,0)</f>
        <v>665</v>
      </c>
      <c r="H367" s="153">
        <f>TRUNC(F367*G367,2)</f>
        <v>665</v>
      </c>
    </row>
    <row r="368" spans="1:8">
      <c r="A368" s="63"/>
      <c r="B368" s="63"/>
      <c r="C368" s="63"/>
      <c r="D368" s="63"/>
      <c r="E368" s="63"/>
      <c r="F368" s="63"/>
      <c r="G368" s="63"/>
      <c r="H368" s="63"/>
    </row>
  </sheetData>
  <sheetCalcPr fullCalcOnLoad="1"/>
  <mergeCells count="13">
    <mergeCell ref="G1:H1"/>
    <mergeCell ref="G2:H2"/>
    <mergeCell ref="G4:H4"/>
    <mergeCell ref="G6:H6"/>
    <mergeCell ref="A7:H7"/>
    <mergeCell ref="A2:B2"/>
    <mergeCell ref="E2:F2"/>
    <mergeCell ref="A4:B4"/>
    <mergeCell ref="C4:D4"/>
    <mergeCell ref="E4:F4"/>
    <mergeCell ref="A6:B6"/>
    <mergeCell ref="C6:D6"/>
    <mergeCell ref="E6:F6"/>
  </mergeCells>
  <phoneticPr fontId="7" type="noConversion"/>
  <printOptions horizontalCentered="1"/>
  <pageMargins left="0.59055118110236227" right="0.59055118110236227" top="0.59055118110236227" bottom="0.59055118110236227" header="0.19685039370078741" footer="0.19685039370078741"/>
  <pageSetup paperSize="9" scale="59" fitToHeight="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210"/>
  <sheetViews>
    <sheetView showGridLines="0" zoomScaleNormal="100" zoomScaleSheetLayoutView="85" workbookViewId="0"/>
  </sheetViews>
  <sheetFormatPr defaultRowHeight="14.25"/>
  <cols>
    <col min="1" max="1" width="9.625" style="2" customWidth="1"/>
    <col min="2" max="3" width="8.625" style="2" customWidth="1"/>
    <col min="4" max="4" width="45.625" style="2" customWidth="1"/>
    <col min="5" max="5" width="8.625" style="2" customWidth="1"/>
    <col min="6" max="6" width="12.625" style="53" customWidth="1"/>
    <col min="7" max="8" width="12.625" style="2" customWidth="1"/>
    <col min="9" max="16384" width="9" style="141"/>
  </cols>
  <sheetData>
    <row r="1" spans="1:8" s="140" customFormat="1">
      <c r="A1" s="77" t="str">
        <f ca="1">'Orçamento Sintético'!A1</f>
        <v>P. Execução:</v>
      </c>
      <c r="B1" s="81"/>
      <c r="C1" s="82" t="str">
        <f ca="1">'Orçamento Sintético'!C1</f>
        <v>Licitação:</v>
      </c>
      <c r="D1" s="83" t="str">
        <f ca="1">'Orçamento Sintético'!D1</f>
        <v>Objeto: Ampliação reuso edifício Ceilândia</v>
      </c>
      <c r="E1" s="77" t="str">
        <f ca="1">'Orçamento Sintético'!E1</f>
        <v>Data:</v>
      </c>
      <c r="F1" s="84"/>
      <c r="G1" s="220"/>
      <c r="H1" s="221"/>
    </row>
    <row r="2" spans="1:8" s="140" customFormat="1">
      <c r="A2" s="205" t="str">
        <f ca="1">'Orçamento Sintético'!A2:B2</f>
        <v>A</v>
      </c>
      <c r="B2" s="211"/>
      <c r="C2" s="79" t="str">
        <f ca="1">'Orçamento Sintético'!C2</f>
        <v>B</v>
      </c>
      <c r="D2" s="78" t="str">
        <f ca="1">'Orçamento Sintético'!D2</f>
        <v>Local: QNM 11, Lotes 1 e 2, Centro Urbano, Ceilândia-DF</v>
      </c>
      <c r="E2" s="212">
        <f ca="1">'Orçamento Sintético'!E2:F2</f>
        <v>1</v>
      </c>
      <c r="F2" s="213"/>
      <c r="G2" s="222"/>
      <c r="H2" s="223"/>
    </row>
    <row r="3" spans="1:8" s="140" customFormat="1">
      <c r="A3" s="214" t="str">
        <f ca="1">'Orçamento Sintético'!A3:B3</f>
        <v>P. Validade:</v>
      </c>
      <c r="B3" s="215"/>
      <c r="C3" s="214" t="str">
        <f ca="1">'Orçamento Sintético'!C3:D3</f>
        <v>Razão Social:</v>
      </c>
      <c r="D3" s="215"/>
      <c r="E3" s="77" t="str">
        <f ca="1">'Orçamento Sintético'!E3</f>
        <v>Telefone:</v>
      </c>
      <c r="F3" s="85"/>
      <c r="G3" s="222"/>
      <c r="H3" s="223"/>
    </row>
    <row r="4" spans="1:8" s="140" customFormat="1">
      <c r="A4" s="205" t="str">
        <f ca="1">'Orçamento Sintético'!A4:B4</f>
        <v>C</v>
      </c>
      <c r="B4" s="211"/>
      <c r="C4" s="205" t="str">
        <f ca="1">'Orçamento Sintético'!C4:D4</f>
        <v>D</v>
      </c>
      <c r="D4" s="211"/>
      <c r="E4" s="205" t="str">
        <f ca="1">'Orçamento Sintético'!E4:F4</f>
        <v>E</v>
      </c>
      <c r="F4" s="206"/>
      <c r="G4" s="222"/>
      <c r="H4" s="223"/>
    </row>
    <row r="5" spans="1:8" s="140" customFormat="1">
      <c r="A5" s="86" t="str">
        <f ca="1">'Orçamento Sintético'!A5</f>
        <v>P. Garantia:</v>
      </c>
      <c r="B5" s="87"/>
      <c r="C5" s="77" t="str">
        <f ca="1">'Orçamento Sintético'!C5</f>
        <v>CNPJ:</v>
      </c>
      <c r="D5" s="81"/>
      <c r="E5" s="77" t="str">
        <f ca="1">'Orçamento Sintético'!E5</f>
        <v>E-mail:</v>
      </c>
      <c r="F5" s="85"/>
      <c r="G5" s="222"/>
      <c r="H5" s="223"/>
    </row>
    <row r="6" spans="1:8" s="140" customFormat="1">
      <c r="A6" s="202" t="str">
        <f ca="1">'Orçamento Sintético'!A6:B6</f>
        <v>F</v>
      </c>
      <c r="B6" s="203"/>
      <c r="C6" s="205" t="str">
        <f ca="1">'Orçamento Sintético'!C6:D6</f>
        <v>G</v>
      </c>
      <c r="D6" s="211"/>
      <c r="E6" s="205" t="str">
        <f ca="1">'Orçamento Sintético'!E6:F6</f>
        <v>H</v>
      </c>
      <c r="F6" s="206"/>
      <c r="G6" s="224"/>
      <c r="H6" s="225"/>
    </row>
    <row r="7" spans="1:8" ht="15">
      <c r="A7" s="196" t="s">
        <v>155</v>
      </c>
      <c r="B7" s="197"/>
      <c r="C7" s="197"/>
      <c r="D7" s="197"/>
      <c r="E7" s="197"/>
      <c r="F7" s="197"/>
      <c r="G7" s="197"/>
      <c r="H7" s="197"/>
    </row>
    <row r="8" spans="1:8" s="140" customFormat="1" ht="25.5">
      <c r="A8" s="15" t="s">
        <v>233</v>
      </c>
      <c r="B8" s="15" t="s">
        <v>234</v>
      </c>
      <c r="C8" s="15" t="s">
        <v>231</v>
      </c>
      <c r="D8" s="15" t="s">
        <v>235</v>
      </c>
      <c r="E8" s="15" t="s">
        <v>236</v>
      </c>
      <c r="F8" s="15" t="s">
        <v>238</v>
      </c>
      <c r="G8" s="15" t="s">
        <v>185</v>
      </c>
      <c r="H8" s="15" t="s">
        <v>186</v>
      </c>
    </row>
    <row r="9" spans="1:8" s="140" customFormat="1">
      <c r="A9" s="49" t="s">
        <v>897</v>
      </c>
      <c r="B9" s="49" t="s">
        <v>264</v>
      </c>
      <c r="C9" s="49" t="s">
        <v>777</v>
      </c>
      <c r="D9" s="50" t="s">
        <v>898</v>
      </c>
      <c r="E9" s="49" t="s">
        <v>288</v>
      </c>
      <c r="F9" s="56">
        <v>79.489999999999995</v>
      </c>
      <c r="G9" s="108" t="s">
        <v>187</v>
      </c>
      <c r="H9" s="108" t="s">
        <v>187</v>
      </c>
    </row>
    <row r="10" spans="1:8" s="140" customFormat="1">
      <c r="A10" s="49" t="s">
        <v>815</v>
      </c>
      <c r="B10" s="49" t="s">
        <v>264</v>
      </c>
      <c r="C10" s="49" t="s">
        <v>777</v>
      </c>
      <c r="D10" s="50" t="s">
        <v>816</v>
      </c>
      <c r="E10" s="49" t="s">
        <v>298</v>
      </c>
      <c r="F10" s="56">
        <v>1.56</v>
      </c>
      <c r="G10" s="56"/>
      <c r="H10" s="56"/>
    </row>
    <row r="11" spans="1:8" s="140" customFormat="1" ht="22.5">
      <c r="A11" s="49" t="s">
        <v>877</v>
      </c>
      <c r="B11" s="49" t="s">
        <v>264</v>
      </c>
      <c r="C11" s="49" t="s">
        <v>777</v>
      </c>
      <c r="D11" s="50" t="s">
        <v>878</v>
      </c>
      <c r="E11" s="49" t="s">
        <v>298</v>
      </c>
      <c r="F11" s="56">
        <v>3.04</v>
      </c>
      <c r="G11" s="56"/>
      <c r="H11" s="56"/>
    </row>
    <row r="12" spans="1:8" s="140" customFormat="1" ht="22.5">
      <c r="A12" s="49" t="s">
        <v>881</v>
      </c>
      <c r="B12" s="49" t="s">
        <v>264</v>
      </c>
      <c r="C12" s="49" t="s">
        <v>777</v>
      </c>
      <c r="D12" s="50" t="s">
        <v>882</v>
      </c>
      <c r="E12" s="49" t="s">
        <v>819</v>
      </c>
      <c r="F12" s="56">
        <v>25.76</v>
      </c>
      <c r="G12" s="56"/>
      <c r="H12" s="56"/>
    </row>
    <row r="13" spans="1:8" s="140" customFormat="1" ht="22.5">
      <c r="A13" s="49" t="s">
        <v>817</v>
      </c>
      <c r="B13" s="49" t="s">
        <v>264</v>
      </c>
      <c r="C13" s="49" t="s">
        <v>777</v>
      </c>
      <c r="D13" s="50" t="s">
        <v>818</v>
      </c>
      <c r="E13" s="49" t="s">
        <v>298</v>
      </c>
      <c r="F13" s="56">
        <v>49.21</v>
      </c>
      <c r="G13" s="56"/>
      <c r="H13" s="56"/>
    </row>
    <row r="14" spans="1:8" s="140" customFormat="1" ht="22.5">
      <c r="A14" s="49" t="s">
        <v>927</v>
      </c>
      <c r="B14" s="49" t="s">
        <v>264</v>
      </c>
      <c r="C14" s="49" t="s">
        <v>777</v>
      </c>
      <c r="D14" s="50" t="s">
        <v>928</v>
      </c>
      <c r="E14" s="49" t="s">
        <v>288</v>
      </c>
      <c r="F14" s="56">
        <v>10.23</v>
      </c>
      <c r="G14" s="108" t="s">
        <v>187</v>
      </c>
      <c r="H14" s="108" t="s">
        <v>187</v>
      </c>
    </row>
    <row r="15" spans="1:8" s="140" customFormat="1">
      <c r="A15" s="49" t="s">
        <v>784</v>
      </c>
      <c r="B15" s="49" t="s">
        <v>264</v>
      </c>
      <c r="C15" s="49" t="s">
        <v>777</v>
      </c>
      <c r="D15" s="50" t="s">
        <v>785</v>
      </c>
      <c r="E15" s="49" t="s">
        <v>298</v>
      </c>
      <c r="F15" s="56">
        <v>29.1</v>
      </c>
      <c r="G15" s="108" t="s">
        <v>187</v>
      </c>
      <c r="H15" s="108" t="s">
        <v>187</v>
      </c>
    </row>
    <row r="16" spans="1:8" s="140" customFormat="1" ht="22.5">
      <c r="A16" s="49" t="s">
        <v>870</v>
      </c>
      <c r="B16" s="49" t="s">
        <v>264</v>
      </c>
      <c r="C16" s="49" t="s">
        <v>777</v>
      </c>
      <c r="D16" s="50" t="s">
        <v>871</v>
      </c>
      <c r="E16" s="49" t="s">
        <v>298</v>
      </c>
      <c r="F16" s="56">
        <v>14.27</v>
      </c>
      <c r="G16" s="56"/>
      <c r="H16" s="56"/>
    </row>
    <row r="17" spans="1:8" s="140" customFormat="1" ht="22.5">
      <c r="A17" s="49" t="s">
        <v>858</v>
      </c>
      <c r="B17" s="49" t="s">
        <v>264</v>
      </c>
      <c r="C17" s="49" t="s">
        <v>777</v>
      </c>
      <c r="D17" s="50" t="s">
        <v>859</v>
      </c>
      <c r="E17" s="49" t="s">
        <v>819</v>
      </c>
      <c r="F17" s="56">
        <v>15.71</v>
      </c>
      <c r="G17" s="56"/>
      <c r="H17" s="56"/>
    </row>
    <row r="18" spans="1:8" s="140" customFormat="1" ht="22.5">
      <c r="A18" s="49" t="s">
        <v>860</v>
      </c>
      <c r="B18" s="49" t="s">
        <v>264</v>
      </c>
      <c r="C18" s="49" t="s">
        <v>777</v>
      </c>
      <c r="D18" s="50" t="s">
        <v>861</v>
      </c>
      <c r="E18" s="49" t="s">
        <v>298</v>
      </c>
      <c r="F18" s="56">
        <v>12.71</v>
      </c>
      <c r="G18" s="56"/>
      <c r="H18" s="56"/>
    </row>
    <row r="19" spans="1:8" s="140" customFormat="1" ht="22.5">
      <c r="A19" s="49" t="s">
        <v>842</v>
      </c>
      <c r="B19" s="49" t="s">
        <v>264</v>
      </c>
      <c r="C19" s="49" t="s">
        <v>777</v>
      </c>
      <c r="D19" s="50" t="s">
        <v>843</v>
      </c>
      <c r="E19" s="49" t="s">
        <v>284</v>
      </c>
      <c r="F19" s="56">
        <v>15.97</v>
      </c>
      <c r="G19" s="108" t="s">
        <v>187</v>
      </c>
      <c r="H19" s="108" t="s">
        <v>187</v>
      </c>
    </row>
    <row r="20" spans="1:8" s="140" customFormat="1">
      <c r="A20" s="49" t="s">
        <v>893</v>
      </c>
      <c r="B20" s="49" t="s">
        <v>264</v>
      </c>
      <c r="C20" s="49" t="s">
        <v>777</v>
      </c>
      <c r="D20" s="50" t="s">
        <v>894</v>
      </c>
      <c r="E20" s="49" t="s">
        <v>288</v>
      </c>
      <c r="F20" s="56">
        <v>48</v>
      </c>
      <c r="G20" s="108" t="s">
        <v>187</v>
      </c>
      <c r="H20" s="108" t="s">
        <v>187</v>
      </c>
    </row>
    <row r="21" spans="1:8" s="140" customFormat="1">
      <c r="A21" s="49" t="s">
        <v>915</v>
      </c>
      <c r="B21" s="49" t="s">
        <v>264</v>
      </c>
      <c r="C21" s="49" t="s">
        <v>777</v>
      </c>
      <c r="D21" s="50" t="s">
        <v>916</v>
      </c>
      <c r="E21" s="49" t="s">
        <v>288</v>
      </c>
      <c r="F21" s="56">
        <v>25.9</v>
      </c>
      <c r="G21" s="108"/>
      <c r="H21" s="108"/>
    </row>
    <row r="22" spans="1:8" s="140" customFormat="1">
      <c r="A22" s="49" t="s">
        <v>903</v>
      </c>
      <c r="B22" s="49" t="s">
        <v>264</v>
      </c>
      <c r="C22" s="49" t="s">
        <v>777</v>
      </c>
      <c r="D22" s="50" t="s">
        <v>904</v>
      </c>
      <c r="E22" s="49" t="s">
        <v>288</v>
      </c>
      <c r="F22" s="56">
        <v>2.34</v>
      </c>
      <c r="G22" s="108"/>
      <c r="H22" s="108"/>
    </row>
    <row r="23" spans="1:8" s="140" customFormat="1">
      <c r="A23" s="49" t="s">
        <v>919</v>
      </c>
      <c r="B23" s="49" t="s">
        <v>264</v>
      </c>
      <c r="C23" s="49" t="s">
        <v>777</v>
      </c>
      <c r="D23" s="50" t="s">
        <v>920</v>
      </c>
      <c r="E23" s="49" t="s">
        <v>288</v>
      </c>
      <c r="F23" s="56">
        <v>23.33</v>
      </c>
      <c r="G23" s="108"/>
      <c r="H23" s="108"/>
    </row>
    <row r="24" spans="1:8" s="140" customFormat="1" ht="22.5">
      <c r="A24" s="49" t="s">
        <v>832</v>
      </c>
      <c r="B24" s="49" t="s">
        <v>264</v>
      </c>
      <c r="C24" s="49" t="s">
        <v>777</v>
      </c>
      <c r="D24" s="50" t="s">
        <v>833</v>
      </c>
      <c r="E24" s="49" t="s">
        <v>298</v>
      </c>
      <c r="F24" s="56">
        <v>11.76</v>
      </c>
      <c r="G24" s="108" t="s">
        <v>187</v>
      </c>
      <c r="H24" s="108" t="s">
        <v>187</v>
      </c>
    </row>
    <row r="25" spans="1:8" s="140" customFormat="1">
      <c r="A25" s="49" t="s">
        <v>917</v>
      </c>
      <c r="B25" s="49" t="s">
        <v>264</v>
      </c>
      <c r="C25" s="49" t="s">
        <v>777</v>
      </c>
      <c r="D25" s="50" t="s">
        <v>918</v>
      </c>
      <c r="E25" s="49" t="s">
        <v>288</v>
      </c>
      <c r="F25" s="56">
        <v>8.32</v>
      </c>
      <c r="G25" s="108" t="s">
        <v>187</v>
      </c>
      <c r="H25" s="108" t="s">
        <v>187</v>
      </c>
    </row>
    <row r="26" spans="1:8" s="140" customFormat="1">
      <c r="A26" s="49" t="s">
        <v>885</v>
      </c>
      <c r="B26" s="49" t="s">
        <v>264</v>
      </c>
      <c r="C26" s="49" t="s">
        <v>777</v>
      </c>
      <c r="D26" s="50" t="s">
        <v>886</v>
      </c>
      <c r="E26" s="49" t="s">
        <v>288</v>
      </c>
      <c r="F26" s="56">
        <v>13.49</v>
      </c>
      <c r="G26" s="56"/>
      <c r="H26" s="56"/>
    </row>
    <row r="27" spans="1:8" s="140" customFormat="1" ht="22.5">
      <c r="A27" s="49" t="s">
        <v>889</v>
      </c>
      <c r="B27" s="49" t="s">
        <v>264</v>
      </c>
      <c r="C27" s="49" t="s">
        <v>777</v>
      </c>
      <c r="D27" s="50" t="s">
        <v>890</v>
      </c>
      <c r="E27" s="49" t="s">
        <v>288</v>
      </c>
      <c r="F27" s="56">
        <v>42.28</v>
      </c>
      <c r="G27" s="56"/>
      <c r="H27" s="56"/>
    </row>
    <row r="28" spans="1:8" s="140" customFormat="1" ht="22.5">
      <c r="A28" s="49" t="s">
        <v>891</v>
      </c>
      <c r="B28" s="49" t="s">
        <v>264</v>
      </c>
      <c r="C28" s="49" t="s">
        <v>777</v>
      </c>
      <c r="D28" s="50" t="s">
        <v>892</v>
      </c>
      <c r="E28" s="49" t="s">
        <v>288</v>
      </c>
      <c r="F28" s="56">
        <v>89.85</v>
      </c>
      <c r="G28" s="56"/>
      <c r="H28" s="56"/>
    </row>
    <row r="29" spans="1:8" s="140" customFormat="1" ht="22.5">
      <c r="A29" s="49" t="s">
        <v>864</v>
      </c>
      <c r="B29" s="49" t="s">
        <v>264</v>
      </c>
      <c r="C29" s="49" t="s">
        <v>777</v>
      </c>
      <c r="D29" s="50" t="s">
        <v>865</v>
      </c>
      <c r="E29" s="49" t="s">
        <v>257</v>
      </c>
      <c r="F29" s="56">
        <v>50.44</v>
      </c>
      <c r="G29" s="56"/>
      <c r="H29" s="56"/>
    </row>
    <row r="30" spans="1:8" s="140" customFormat="1" ht="22.5">
      <c r="A30" s="49" t="s">
        <v>868</v>
      </c>
      <c r="B30" s="49" t="s">
        <v>264</v>
      </c>
      <c r="C30" s="49" t="s">
        <v>777</v>
      </c>
      <c r="D30" s="50" t="s">
        <v>869</v>
      </c>
      <c r="E30" s="49" t="s">
        <v>257</v>
      </c>
      <c r="F30" s="56">
        <v>7.23</v>
      </c>
      <c r="G30" s="56"/>
      <c r="H30" s="56"/>
    </row>
    <row r="31" spans="1:8" s="140" customFormat="1">
      <c r="A31" s="49" t="s">
        <v>872</v>
      </c>
      <c r="B31" s="49" t="s">
        <v>264</v>
      </c>
      <c r="C31" s="49" t="s">
        <v>777</v>
      </c>
      <c r="D31" s="50" t="s">
        <v>873</v>
      </c>
      <c r="E31" s="49" t="s">
        <v>257</v>
      </c>
      <c r="F31" s="56">
        <v>5.38</v>
      </c>
      <c r="G31" s="56"/>
      <c r="H31" s="56"/>
    </row>
    <row r="32" spans="1:8" s="140" customFormat="1">
      <c r="A32" s="49" t="s">
        <v>856</v>
      </c>
      <c r="B32" s="49" t="s">
        <v>264</v>
      </c>
      <c r="C32" s="49" t="s">
        <v>777</v>
      </c>
      <c r="D32" s="50" t="s">
        <v>857</v>
      </c>
      <c r="E32" s="49" t="s">
        <v>298</v>
      </c>
      <c r="F32" s="56">
        <v>6.33</v>
      </c>
      <c r="G32" s="108" t="s">
        <v>187</v>
      </c>
      <c r="H32" s="108" t="s">
        <v>187</v>
      </c>
    </row>
    <row r="33" spans="1:8" s="140" customFormat="1" ht="22.5">
      <c r="A33" s="49" t="s">
        <v>834</v>
      </c>
      <c r="B33" s="49" t="s">
        <v>264</v>
      </c>
      <c r="C33" s="49" t="s">
        <v>777</v>
      </c>
      <c r="D33" s="50" t="s">
        <v>835</v>
      </c>
      <c r="E33" s="49" t="s">
        <v>257</v>
      </c>
      <c r="F33" s="56">
        <v>413.5</v>
      </c>
      <c r="G33" s="56"/>
      <c r="H33" s="56"/>
    </row>
    <row r="34" spans="1:8" s="140" customFormat="1" ht="45">
      <c r="A34" s="49" t="s">
        <v>14</v>
      </c>
      <c r="B34" s="49" t="s">
        <v>264</v>
      </c>
      <c r="C34" s="49" t="s">
        <v>777</v>
      </c>
      <c r="D34" s="50" t="s">
        <v>15</v>
      </c>
      <c r="E34" s="49" t="s">
        <v>288</v>
      </c>
      <c r="F34" s="56">
        <v>27.24</v>
      </c>
      <c r="G34" s="108" t="s">
        <v>187</v>
      </c>
      <c r="H34" s="108" t="s">
        <v>187</v>
      </c>
    </row>
    <row r="35" spans="1:8" s="140" customFormat="1">
      <c r="A35" s="49" t="s">
        <v>850</v>
      </c>
      <c r="B35" s="49" t="s">
        <v>264</v>
      </c>
      <c r="C35" s="49" t="s">
        <v>777</v>
      </c>
      <c r="D35" s="50" t="s">
        <v>851</v>
      </c>
      <c r="E35" s="49" t="s">
        <v>819</v>
      </c>
      <c r="F35" s="56">
        <v>11.8</v>
      </c>
      <c r="G35" s="108" t="s">
        <v>187</v>
      </c>
      <c r="H35" s="108" t="s">
        <v>187</v>
      </c>
    </row>
    <row r="36" spans="1:8" s="140" customFormat="1" ht="22.5">
      <c r="A36" s="49" t="s">
        <v>787</v>
      </c>
      <c r="B36" s="49" t="s">
        <v>264</v>
      </c>
      <c r="C36" s="49" t="s">
        <v>777</v>
      </c>
      <c r="D36" s="50" t="s">
        <v>788</v>
      </c>
      <c r="E36" s="49" t="s">
        <v>257</v>
      </c>
      <c r="F36" s="56">
        <v>2.08</v>
      </c>
      <c r="G36" s="108" t="s">
        <v>187</v>
      </c>
      <c r="H36" s="108" t="s">
        <v>187</v>
      </c>
    </row>
    <row r="37" spans="1:8" s="140" customFormat="1">
      <c r="A37" s="49" t="s">
        <v>852</v>
      </c>
      <c r="B37" s="49" t="s">
        <v>264</v>
      </c>
      <c r="C37" s="49" t="s">
        <v>777</v>
      </c>
      <c r="D37" s="50" t="s">
        <v>853</v>
      </c>
      <c r="E37" s="49" t="s">
        <v>819</v>
      </c>
      <c r="F37" s="56">
        <v>28.71</v>
      </c>
      <c r="G37" s="56"/>
      <c r="H37" s="56"/>
    </row>
    <row r="38" spans="1:8" s="140" customFormat="1">
      <c r="A38" s="49" t="s">
        <v>883</v>
      </c>
      <c r="B38" s="49" t="s">
        <v>264</v>
      </c>
      <c r="C38" s="49" t="s">
        <v>777</v>
      </c>
      <c r="D38" s="50" t="s">
        <v>884</v>
      </c>
      <c r="E38" s="49" t="s">
        <v>819</v>
      </c>
      <c r="F38" s="56">
        <v>30.54</v>
      </c>
      <c r="G38" s="56"/>
      <c r="H38" s="56"/>
    </row>
    <row r="39" spans="1:8" s="140" customFormat="1">
      <c r="A39" s="49" t="s">
        <v>9</v>
      </c>
      <c r="B39" s="49" t="s">
        <v>264</v>
      </c>
      <c r="C39" s="49" t="s">
        <v>777</v>
      </c>
      <c r="D39" s="50" t="s">
        <v>10</v>
      </c>
      <c r="E39" s="49" t="s">
        <v>288</v>
      </c>
      <c r="F39" s="56">
        <v>19.16</v>
      </c>
      <c r="G39" s="108" t="s">
        <v>187</v>
      </c>
      <c r="H39" s="108" t="s">
        <v>187</v>
      </c>
    </row>
    <row r="40" spans="1:8" s="140" customFormat="1" ht="22.5">
      <c r="A40" s="49" t="s">
        <v>21</v>
      </c>
      <c r="B40" s="49" t="s">
        <v>264</v>
      </c>
      <c r="C40" s="49" t="s">
        <v>777</v>
      </c>
      <c r="D40" s="50" t="s">
        <v>22</v>
      </c>
      <c r="E40" s="49" t="s">
        <v>288</v>
      </c>
      <c r="F40" s="56">
        <v>4.6500000000000004</v>
      </c>
      <c r="G40" s="108" t="s">
        <v>187</v>
      </c>
      <c r="H40" s="108" t="s">
        <v>187</v>
      </c>
    </row>
    <row r="41" spans="1:8" s="140" customFormat="1" ht="22.5">
      <c r="A41" s="49" t="s">
        <v>19</v>
      </c>
      <c r="B41" s="49" t="s">
        <v>264</v>
      </c>
      <c r="C41" s="49" t="s">
        <v>777</v>
      </c>
      <c r="D41" s="50" t="s">
        <v>20</v>
      </c>
      <c r="E41" s="49" t="s">
        <v>288</v>
      </c>
      <c r="F41" s="56">
        <v>5.33</v>
      </c>
      <c r="G41" s="108" t="s">
        <v>187</v>
      </c>
      <c r="H41" s="108" t="s">
        <v>187</v>
      </c>
    </row>
    <row r="42" spans="1:8" s="140" customFormat="1" ht="22.5">
      <c r="A42" s="49" t="s">
        <v>844</v>
      </c>
      <c r="B42" s="49" t="s">
        <v>264</v>
      </c>
      <c r="C42" s="49" t="s">
        <v>777</v>
      </c>
      <c r="D42" s="50" t="s">
        <v>845</v>
      </c>
      <c r="E42" s="49" t="s">
        <v>288</v>
      </c>
      <c r="F42" s="56">
        <v>5.68</v>
      </c>
      <c r="G42" s="108" t="s">
        <v>187</v>
      </c>
      <c r="H42" s="108" t="s">
        <v>187</v>
      </c>
    </row>
    <row r="43" spans="1:8" s="140" customFormat="1" ht="22.5">
      <c r="A43" s="49" t="s">
        <v>840</v>
      </c>
      <c r="B43" s="49" t="s">
        <v>264</v>
      </c>
      <c r="C43" s="49" t="s">
        <v>777</v>
      </c>
      <c r="D43" s="50" t="s">
        <v>841</v>
      </c>
      <c r="E43" s="49" t="s">
        <v>284</v>
      </c>
      <c r="F43" s="56">
        <v>28.86</v>
      </c>
      <c r="G43" s="56"/>
      <c r="H43" s="56"/>
    </row>
    <row r="44" spans="1:8" s="140" customFormat="1" ht="22.5">
      <c r="A44" s="49" t="s">
        <v>901</v>
      </c>
      <c r="B44" s="49" t="s">
        <v>264</v>
      </c>
      <c r="C44" s="49" t="s">
        <v>777</v>
      </c>
      <c r="D44" s="50" t="s">
        <v>902</v>
      </c>
      <c r="E44" s="49" t="s">
        <v>288</v>
      </c>
      <c r="F44" s="56">
        <v>29.1</v>
      </c>
      <c r="G44" s="108" t="s">
        <v>187</v>
      </c>
      <c r="H44" s="108" t="s">
        <v>187</v>
      </c>
    </row>
    <row r="45" spans="1:8" s="140" customFormat="1">
      <c r="A45" s="49" t="s">
        <v>905</v>
      </c>
      <c r="B45" s="49" t="s">
        <v>264</v>
      </c>
      <c r="C45" s="49" t="s">
        <v>777</v>
      </c>
      <c r="D45" s="50" t="s">
        <v>906</v>
      </c>
      <c r="E45" s="49" t="s">
        <v>288</v>
      </c>
      <c r="F45" s="56">
        <v>25.23</v>
      </c>
      <c r="G45" s="108" t="s">
        <v>187</v>
      </c>
      <c r="H45" s="108" t="s">
        <v>187</v>
      </c>
    </row>
    <row r="46" spans="1:8" s="140" customFormat="1">
      <c r="A46" s="49" t="s">
        <v>899</v>
      </c>
      <c r="B46" s="49" t="s">
        <v>264</v>
      </c>
      <c r="C46" s="49" t="s">
        <v>777</v>
      </c>
      <c r="D46" s="50" t="s">
        <v>900</v>
      </c>
      <c r="E46" s="49" t="s">
        <v>288</v>
      </c>
      <c r="F46" s="56">
        <v>69.03</v>
      </c>
      <c r="G46" s="108" t="s">
        <v>187</v>
      </c>
      <c r="H46" s="108" t="s">
        <v>187</v>
      </c>
    </row>
    <row r="47" spans="1:8" s="140" customFormat="1" ht="22.5">
      <c r="A47" s="49" t="s">
        <v>36</v>
      </c>
      <c r="B47" s="49" t="s">
        <v>264</v>
      </c>
      <c r="C47" s="49" t="s">
        <v>777</v>
      </c>
      <c r="D47" s="50" t="s">
        <v>37</v>
      </c>
      <c r="E47" s="49" t="s">
        <v>288</v>
      </c>
      <c r="F47" s="56">
        <v>3.6</v>
      </c>
      <c r="G47" s="108" t="s">
        <v>187</v>
      </c>
      <c r="H47" s="108" t="s">
        <v>187</v>
      </c>
    </row>
    <row r="48" spans="1:8" s="140" customFormat="1">
      <c r="A48" s="49" t="s">
        <v>17</v>
      </c>
      <c r="B48" s="49" t="s">
        <v>264</v>
      </c>
      <c r="C48" s="49" t="s">
        <v>777</v>
      </c>
      <c r="D48" s="50" t="s">
        <v>18</v>
      </c>
      <c r="E48" s="49" t="s">
        <v>288</v>
      </c>
      <c r="F48" s="56">
        <v>438</v>
      </c>
      <c r="G48" s="56"/>
      <c r="H48" s="56"/>
    </row>
    <row r="49" spans="1:8" s="140" customFormat="1" ht="22.5">
      <c r="A49" s="49" t="s">
        <v>33</v>
      </c>
      <c r="B49" s="49" t="s">
        <v>264</v>
      </c>
      <c r="C49" s="49" t="s">
        <v>777</v>
      </c>
      <c r="D49" s="50" t="s">
        <v>34</v>
      </c>
      <c r="E49" s="49" t="s">
        <v>257</v>
      </c>
      <c r="F49" s="56">
        <v>648</v>
      </c>
      <c r="G49" s="108" t="s">
        <v>187</v>
      </c>
      <c r="H49" s="108" t="s">
        <v>187</v>
      </c>
    </row>
    <row r="50" spans="1:8" s="140" customFormat="1">
      <c r="A50" s="49" t="s">
        <v>895</v>
      </c>
      <c r="B50" s="49" t="s">
        <v>264</v>
      </c>
      <c r="C50" s="49" t="s">
        <v>777</v>
      </c>
      <c r="D50" s="50" t="s">
        <v>896</v>
      </c>
      <c r="E50" s="49" t="s">
        <v>288</v>
      </c>
      <c r="F50" s="56">
        <v>2.19</v>
      </c>
      <c r="G50" s="108" t="s">
        <v>187</v>
      </c>
      <c r="H50" s="108" t="s">
        <v>187</v>
      </c>
    </row>
    <row r="51" spans="1:8" s="140" customFormat="1" ht="22.5">
      <c r="A51" s="49" t="s">
        <v>792</v>
      </c>
      <c r="B51" s="49" t="s">
        <v>264</v>
      </c>
      <c r="C51" s="49" t="s">
        <v>776</v>
      </c>
      <c r="D51" s="50" t="s">
        <v>793</v>
      </c>
      <c r="E51" s="49" t="s">
        <v>794</v>
      </c>
      <c r="F51" s="56">
        <v>22.07</v>
      </c>
      <c r="G51" s="108" t="s">
        <v>187</v>
      </c>
      <c r="H51" s="108" t="s">
        <v>187</v>
      </c>
    </row>
    <row r="52" spans="1:8" s="140" customFormat="1" ht="22.5">
      <c r="A52" s="49" t="s">
        <v>789</v>
      </c>
      <c r="B52" s="49" t="s">
        <v>264</v>
      </c>
      <c r="C52" s="49" t="s">
        <v>776</v>
      </c>
      <c r="D52" s="50" t="s">
        <v>790</v>
      </c>
      <c r="E52" s="49" t="s">
        <v>791</v>
      </c>
      <c r="F52" s="56">
        <v>20.440000000000001</v>
      </c>
      <c r="G52" s="108" t="s">
        <v>187</v>
      </c>
      <c r="H52" s="108" t="s">
        <v>187</v>
      </c>
    </row>
    <row r="53" spans="1:8" s="140" customFormat="1">
      <c r="A53" s="49" t="s">
        <v>48</v>
      </c>
      <c r="B53" s="49" t="s">
        <v>264</v>
      </c>
      <c r="C53" s="49" t="s">
        <v>776</v>
      </c>
      <c r="D53" s="50" t="s">
        <v>49</v>
      </c>
      <c r="E53" s="49" t="s">
        <v>266</v>
      </c>
      <c r="F53" s="56">
        <v>22.17</v>
      </c>
      <c r="G53" s="108" t="s">
        <v>187</v>
      </c>
      <c r="H53" s="108" t="s">
        <v>187</v>
      </c>
    </row>
    <row r="54" spans="1:8" s="140" customFormat="1" ht="33.75">
      <c r="A54" s="49" t="s">
        <v>866</v>
      </c>
      <c r="B54" s="49" t="s">
        <v>264</v>
      </c>
      <c r="C54" s="49" t="s">
        <v>776</v>
      </c>
      <c r="D54" s="50" t="s">
        <v>867</v>
      </c>
      <c r="E54" s="49" t="s">
        <v>266</v>
      </c>
      <c r="F54" s="56">
        <v>456.32</v>
      </c>
      <c r="G54" s="56"/>
      <c r="H54" s="56"/>
    </row>
    <row r="55" spans="1:8" s="140" customFormat="1" ht="45">
      <c r="A55" s="49" t="s">
        <v>327</v>
      </c>
      <c r="B55" s="49" t="s">
        <v>264</v>
      </c>
      <c r="C55" s="49" t="s">
        <v>776</v>
      </c>
      <c r="D55" s="50" t="s">
        <v>328</v>
      </c>
      <c r="E55" s="49" t="s">
        <v>257</v>
      </c>
      <c r="F55" s="56">
        <v>98.06</v>
      </c>
      <c r="G55" s="108" t="s">
        <v>187</v>
      </c>
      <c r="H55" s="108" t="s">
        <v>187</v>
      </c>
    </row>
    <row r="56" spans="1:8" s="140" customFormat="1" ht="45">
      <c r="A56" s="49" t="s">
        <v>338</v>
      </c>
      <c r="B56" s="49" t="s">
        <v>264</v>
      </c>
      <c r="C56" s="49" t="s">
        <v>776</v>
      </c>
      <c r="D56" s="50" t="s">
        <v>339</v>
      </c>
      <c r="E56" s="49" t="s">
        <v>257</v>
      </c>
      <c r="F56" s="56">
        <v>7.81</v>
      </c>
      <c r="G56" s="108" t="s">
        <v>187</v>
      </c>
      <c r="H56" s="108" t="s">
        <v>187</v>
      </c>
    </row>
    <row r="57" spans="1:8" s="140" customFormat="1" ht="22.5">
      <c r="A57" s="49" t="s">
        <v>830</v>
      </c>
      <c r="B57" s="49" t="s">
        <v>264</v>
      </c>
      <c r="C57" s="49" t="s">
        <v>776</v>
      </c>
      <c r="D57" s="50" t="s">
        <v>831</v>
      </c>
      <c r="E57" s="49" t="s">
        <v>766</v>
      </c>
      <c r="F57" s="56">
        <v>14.53</v>
      </c>
      <c r="G57" s="108" t="s">
        <v>187</v>
      </c>
      <c r="H57" s="108" t="s">
        <v>187</v>
      </c>
    </row>
    <row r="58" spans="1:8" s="140" customFormat="1">
      <c r="A58" s="49" t="s">
        <v>854</v>
      </c>
      <c r="B58" s="49" t="s">
        <v>264</v>
      </c>
      <c r="C58" s="49" t="s">
        <v>776</v>
      </c>
      <c r="D58" s="50" t="s">
        <v>855</v>
      </c>
      <c r="E58" s="49" t="s">
        <v>766</v>
      </c>
      <c r="F58" s="56">
        <v>20.96</v>
      </c>
      <c r="G58" s="108" t="s">
        <v>187</v>
      </c>
      <c r="H58" s="108" t="s">
        <v>187</v>
      </c>
    </row>
    <row r="59" spans="1:8" s="140" customFormat="1">
      <c r="A59" s="49" t="s">
        <v>25</v>
      </c>
      <c r="B59" s="49" t="s">
        <v>264</v>
      </c>
      <c r="C59" s="49" t="s">
        <v>776</v>
      </c>
      <c r="D59" s="50" t="s">
        <v>26</v>
      </c>
      <c r="E59" s="49" t="s">
        <v>766</v>
      </c>
      <c r="F59" s="56">
        <v>18.739999999999998</v>
      </c>
      <c r="G59" s="108" t="s">
        <v>187</v>
      </c>
      <c r="H59" s="108" t="s">
        <v>187</v>
      </c>
    </row>
    <row r="60" spans="1:8" s="140" customFormat="1" ht="22.5">
      <c r="A60" s="49" t="s">
        <v>807</v>
      </c>
      <c r="B60" s="49" t="s">
        <v>264</v>
      </c>
      <c r="C60" s="49" t="s">
        <v>776</v>
      </c>
      <c r="D60" s="50" t="s">
        <v>808</v>
      </c>
      <c r="E60" s="49" t="s">
        <v>766</v>
      </c>
      <c r="F60" s="56">
        <v>18.23</v>
      </c>
      <c r="G60" s="108" t="s">
        <v>187</v>
      </c>
      <c r="H60" s="108" t="s">
        <v>187</v>
      </c>
    </row>
    <row r="61" spans="1:8" s="140" customFormat="1">
      <c r="A61" s="49" t="s">
        <v>824</v>
      </c>
      <c r="B61" s="49" t="s">
        <v>264</v>
      </c>
      <c r="C61" s="49" t="s">
        <v>776</v>
      </c>
      <c r="D61" s="50" t="s">
        <v>825</v>
      </c>
      <c r="E61" s="49" t="s">
        <v>766</v>
      </c>
      <c r="F61" s="56">
        <v>19.309999999999999</v>
      </c>
      <c r="G61" s="108" t="s">
        <v>187</v>
      </c>
      <c r="H61" s="108" t="s">
        <v>187</v>
      </c>
    </row>
    <row r="62" spans="1:8" s="140" customFormat="1">
      <c r="A62" s="49" t="s">
        <v>780</v>
      </c>
      <c r="B62" s="49" t="s">
        <v>264</v>
      </c>
      <c r="C62" s="49" t="s">
        <v>776</v>
      </c>
      <c r="D62" s="50" t="s">
        <v>781</v>
      </c>
      <c r="E62" s="49" t="s">
        <v>766</v>
      </c>
      <c r="F62" s="56">
        <v>23.68</v>
      </c>
      <c r="G62" s="108" t="s">
        <v>187</v>
      </c>
      <c r="H62" s="108" t="s">
        <v>187</v>
      </c>
    </row>
    <row r="63" spans="1:8" s="140" customFormat="1">
      <c r="A63" s="49" t="s">
        <v>23</v>
      </c>
      <c r="B63" s="49" t="s">
        <v>264</v>
      </c>
      <c r="C63" s="49" t="s">
        <v>776</v>
      </c>
      <c r="D63" s="50" t="s">
        <v>24</v>
      </c>
      <c r="E63" s="49" t="s">
        <v>766</v>
      </c>
      <c r="F63" s="56">
        <v>24.1</v>
      </c>
      <c r="G63" s="108" t="s">
        <v>187</v>
      </c>
      <c r="H63" s="108" t="s">
        <v>187</v>
      </c>
    </row>
    <row r="64" spans="1:8" s="140" customFormat="1" ht="22.5">
      <c r="A64" s="49" t="s">
        <v>805</v>
      </c>
      <c r="B64" s="49" t="s">
        <v>264</v>
      </c>
      <c r="C64" s="49" t="s">
        <v>776</v>
      </c>
      <c r="D64" s="50" t="s">
        <v>806</v>
      </c>
      <c r="E64" s="49" t="s">
        <v>766</v>
      </c>
      <c r="F64" s="56">
        <v>23.41</v>
      </c>
      <c r="G64" s="108" t="s">
        <v>187</v>
      </c>
      <c r="H64" s="108" t="s">
        <v>187</v>
      </c>
    </row>
    <row r="65" spans="1:8" s="140" customFormat="1">
      <c r="A65" s="49" t="s">
        <v>803</v>
      </c>
      <c r="B65" s="49" t="s">
        <v>264</v>
      </c>
      <c r="C65" s="49" t="s">
        <v>776</v>
      </c>
      <c r="D65" s="50" t="s">
        <v>804</v>
      </c>
      <c r="E65" s="49" t="s">
        <v>766</v>
      </c>
      <c r="F65" s="56">
        <v>23.9</v>
      </c>
      <c r="G65" s="108" t="s">
        <v>187</v>
      </c>
      <c r="H65" s="108" t="s">
        <v>187</v>
      </c>
    </row>
    <row r="66" spans="1:8" s="140" customFormat="1">
      <c r="A66" s="49" t="s">
        <v>933</v>
      </c>
      <c r="B66" s="49" t="s">
        <v>264</v>
      </c>
      <c r="C66" s="49" t="s">
        <v>776</v>
      </c>
      <c r="D66" s="50" t="s">
        <v>934</v>
      </c>
      <c r="E66" s="49" t="s">
        <v>766</v>
      </c>
      <c r="F66" s="56">
        <v>24.98</v>
      </c>
      <c r="G66" s="108" t="s">
        <v>187</v>
      </c>
      <c r="H66" s="108" t="s">
        <v>187</v>
      </c>
    </row>
    <row r="67" spans="1:8" s="140" customFormat="1" ht="22.5">
      <c r="A67" s="49" t="s">
        <v>813</v>
      </c>
      <c r="B67" s="49" t="s">
        <v>264</v>
      </c>
      <c r="C67" s="49" t="s">
        <v>776</v>
      </c>
      <c r="D67" s="50" t="s">
        <v>814</v>
      </c>
      <c r="E67" s="49" t="s">
        <v>766</v>
      </c>
      <c r="F67" s="56">
        <v>18.64</v>
      </c>
      <c r="G67" s="108" t="s">
        <v>187</v>
      </c>
      <c r="H67" s="108" t="s">
        <v>187</v>
      </c>
    </row>
    <row r="68" spans="1:8" s="140" customFormat="1" ht="22.5">
      <c r="A68" s="49" t="s">
        <v>31</v>
      </c>
      <c r="B68" s="49" t="s">
        <v>264</v>
      </c>
      <c r="C68" s="49" t="s">
        <v>776</v>
      </c>
      <c r="D68" s="50" t="s">
        <v>32</v>
      </c>
      <c r="E68" s="49" t="s">
        <v>766</v>
      </c>
      <c r="F68" s="56">
        <v>18.98</v>
      </c>
      <c r="G68" s="108" t="s">
        <v>187</v>
      </c>
      <c r="H68" s="108" t="s">
        <v>187</v>
      </c>
    </row>
    <row r="69" spans="1:8" s="140" customFormat="1">
      <c r="A69" s="49" t="s">
        <v>795</v>
      </c>
      <c r="B69" s="49" t="s">
        <v>264</v>
      </c>
      <c r="C69" s="49" t="s">
        <v>776</v>
      </c>
      <c r="D69" s="50" t="s">
        <v>796</v>
      </c>
      <c r="E69" s="49" t="s">
        <v>766</v>
      </c>
      <c r="F69" s="56">
        <v>23.9</v>
      </c>
      <c r="G69" s="108" t="s">
        <v>187</v>
      </c>
      <c r="H69" s="108" t="s">
        <v>187</v>
      </c>
    </row>
    <row r="70" spans="1:8" s="140" customFormat="1">
      <c r="A70" s="49" t="s">
        <v>848</v>
      </c>
      <c r="B70" s="49" t="s">
        <v>264</v>
      </c>
      <c r="C70" s="49" t="s">
        <v>776</v>
      </c>
      <c r="D70" s="50" t="s">
        <v>849</v>
      </c>
      <c r="E70" s="49" t="s">
        <v>766</v>
      </c>
      <c r="F70" s="56">
        <v>24.89</v>
      </c>
      <c r="G70" s="108" t="s">
        <v>187</v>
      </c>
      <c r="H70" s="108" t="s">
        <v>187</v>
      </c>
    </row>
    <row r="71" spans="1:8" s="140" customFormat="1">
      <c r="A71" s="49" t="s">
        <v>826</v>
      </c>
      <c r="B71" s="49" t="s">
        <v>264</v>
      </c>
      <c r="C71" s="49" t="s">
        <v>776</v>
      </c>
      <c r="D71" s="50" t="s">
        <v>827</v>
      </c>
      <c r="E71" s="49" t="s">
        <v>766</v>
      </c>
      <c r="F71" s="56">
        <v>23.78</v>
      </c>
      <c r="G71" s="108" t="s">
        <v>187</v>
      </c>
      <c r="H71" s="108" t="s">
        <v>187</v>
      </c>
    </row>
    <row r="72" spans="1:8" s="140" customFormat="1">
      <c r="A72" s="49" t="s">
        <v>782</v>
      </c>
      <c r="B72" s="49" t="s">
        <v>264</v>
      </c>
      <c r="C72" s="49" t="s">
        <v>776</v>
      </c>
      <c r="D72" s="50" t="s">
        <v>783</v>
      </c>
      <c r="E72" s="49" t="s">
        <v>766</v>
      </c>
      <c r="F72" s="56">
        <v>17.61</v>
      </c>
      <c r="G72" s="108" t="s">
        <v>187</v>
      </c>
      <c r="H72" s="108" t="s">
        <v>187</v>
      </c>
    </row>
    <row r="73" spans="1:8" s="140" customFormat="1">
      <c r="A73" s="49" t="s">
        <v>828</v>
      </c>
      <c r="B73" s="49" t="s">
        <v>264</v>
      </c>
      <c r="C73" s="49" t="s">
        <v>776</v>
      </c>
      <c r="D73" s="50" t="s">
        <v>829</v>
      </c>
      <c r="E73" s="49" t="s">
        <v>766</v>
      </c>
      <c r="F73" s="56">
        <v>24.44</v>
      </c>
      <c r="G73" s="108" t="s">
        <v>187</v>
      </c>
      <c r="H73" s="108" t="s">
        <v>187</v>
      </c>
    </row>
    <row r="74" spans="1:8" s="140" customFormat="1">
      <c r="A74" s="49" t="s">
        <v>879</v>
      </c>
      <c r="B74" s="49" t="s">
        <v>264</v>
      </c>
      <c r="C74" s="49" t="s">
        <v>776</v>
      </c>
      <c r="D74" s="50" t="s">
        <v>880</v>
      </c>
      <c r="E74" s="49" t="s">
        <v>766</v>
      </c>
      <c r="F74" s="56">
        <v>22.19</v>
      </c>
      <c r="G74" s="108" t="s">
        <v>187</v>
      </c>
      <c r="H74" s="108" t="s">
        <v>187</v>
      </c>
    </row>
    <row r="75" spans="1:8" s="140" customFormat="1" ht="33.75">
      <c r="A75" s="49" t="s">
        <v>809</v>
      </c>
      <c r="B75" s="49" t="s">
        <v>264</v>
      </c>
      <c r="C75" s="49" t="s">
        <v>776</v>
      </c>
      <c r="D75" s="50" t="s">
        <v>810</v>
      </c>
      <c r="E75" s="49" t="s">
        <v>794</v>
      </c>
      <c r="F75" s="56">
        <v>2.8</v>
      </c>
      <c r="G75" s="108" t="s">
        <v>187</v>
      </c>
      <c r="H75" s="108" t="s">
        <v>187</v>
      </c>
    </row>
    <row r="76" spans="1:8" s="140" customFormat="1" ht="33.75">
      <c r="A76" s="49" t="s">
        <v>811</v>
      </c>
      <c r="B76" s="49" t="s">
        <v>264</v>
      </c>
      <c r="C76" s="49" t="s">
        <v>776</v>
      </c>
      <c r="D76" s="50" t="s">
        <v>812</v>
      </c>
      <c r="E76" s="49" t="s">
        <v>791</v>
      </c>
      <c r="F76" s="56">
        <v>0.74</v>
      </c>
      <c r="G76" s="108" t="s">
        <v>187</v>
      </c>
      <c r="H76" s="108" t="s">
        <v>187</v>
      </c>
    </row>
    <row r="77" spans="1:8" s="140" customFormat="1" ht="33.75">
      <c r="A77" s="49" t="s">
        <v>355</v>
      </c>
      <c r="B77" s="49" t="s">
        <v>264</v>
      </c>
      <c r="C77" s="49" t="s">
        <v>776</v>
      </c>
      <c r="D77" s="50" t="s">
        <v>356</v>
      </c>
      <c r="E77" s="49" t="s">
        <v>257</v>
      </c>
      <c r="F77" s="56">
        <v>17.45</v>
      </c>
      <c r="G77" s="108"/>
      <c r="H77" s="108"/>
    </row>
    <row r="78" spans="1:8" s="140" customFormat="1" ht="22.5">
      <c r="A78" s="49" t="s">
        <v>367</v>
      </c>
      <c r="B78" s="49" t="s">
        <v>264</v>
      </c>
      <c r="C78" s="49" t="s">
        <v>776</v>
      </c>
      <c r="D78" s="50" t="s">
        <v>368</v>
      </c>
      <c r="E78" s="49" t="s">
        <v>257</v>
      </c>
      <c r="F78" s="56">
        <v>14.83</v>
      </c>
      <c r="G78" s="56"/>
      <c r="H78" s="56"/>
    </row>
    <row r="79" spans="1:8" s="140" customFormat="1" ht="22.5">
      <c r="A79" s="49" t="s">
        <v>361</v>
      </c>
      <c r="B79" s="49" t="s">
        <v>264</v>
      </c>
      <c r="C79" s="49" t="s">
        <v>776</v>
      </c>
      <c r="D79" s="50" t="s">
        <v>362</v>
      </c>
      <c r="E79" s="49" t="s">
        <v>257</v>
      </c>
      <c r="F79" s="56">
        <v>13.06</v>
      </c>
      <c r="G79" s="56"/>
      <c r="H79" s="56"/>
    </row>
    <row r="80" spans="1:8" s="140" customFormat="1" ht="22.5">
      <c r="A80" s="49" t="s">
        <v>370</v>
      </c>
      <c r="B80" s="49" t="s">
        <v>264</v>
      </c>
      <c r="C80" s="49" t="s">
        <v>776</v>
      </c>
      <c r="D80" s="50" t="s">
        <v>371</v>
      </c>
      <c r="E80" s="49" t="s">
        <v>257</v>
      </c>
      <c r="F80" s="56">
        <v>25.03</v>
      </c>
      <c r="G80" s="56"/>
      <c r="H80" s="56"/>
    </row>
    <row r="81" spans="1:8" s="140" customFormat="1" ht="22.5">
      <c r="A81" s="49" t="s">
        <v>12</v>
      </c>
      <c r="B81" s="49" t="s">
        <v>264</v>
      </c>
      <c r="C81" s="49" t="s">
        <v>776</v>
      </c>
      <c r="D81" s="50" t="s">
        <v>13</v>
      </c>
      <c r="E81" s="49" t="s">
        <v>266</v>
      </c>
      <c r="F81" s="56">
        <v>417.58</v>
      </c>
      <c r="G81" s="108" t="s">
        <v>187</v>
      </c>
      <c r="H81" s="108" t="s">
        <v>187</v>
      </c>
    </row>
    <row r="82" spans="1:8" s="140" customFormat="1" ht="22.5">
      <c r="A82" s="49" t="s">
        <v>50</v>
      </c>
      <c r="B82" s="49" t="s">
        <v>264</v>
      </c>
      <c r="C82" s="49" t="s">
        <v>776</v>
      </c>
      <c r="D82" s="50" t="s">
        <v>51</v>
      </c>
      <c r="E82" s="49" t="s">
        <v>266</v>
      </c>
      <c r="F82" s="56">
        <v>505.32</v>
      </c>
      <c r="G82" s="108" t="s">
        <v>187</v>
      </c>
      <c r="H82" s="108" t="s">
        <v>187</v>
      </c>
    </row>
    <row r="83" spans="1:8" s="140" customFormat="1" ht="33.75">
      <c r="A83" s="49" t="s">
        <v>29</v>
      </c>
      <c r="B83" s="49" t="s">
        <v>264</v>
      </c>
      <c r="C83" s="49" t="s">
        <v>776</v>
      </c>
      <c r="D83" s="50" t="s">
        <v>30</v>
      </c>
      <c r="E83" s="49" t="s">
        <v>794</v>
      </c>
      <c r="F83" s="56">
        <v>1.35</v>
      </c>
      <c r="G83" s="108" t="s">
        <v>187</v>
      </c>
      <c r="H83" s="108" t="s">
        <v>187</v>
      </c>
    </row>
    <row r="84" spans="1:8" s="140" customFormat="1" ht="33.75">
      <c r="A84" s="49" t="s">
        <v>27</v>
      </c>
      <c r="B84" s="49" t="s">
        <v>264</v>
      </c>
      <c r="C84" s="49" t="s">
        <v>776</v>
      </c>
      <c r="D84" s="50" t="s">
        <v>28</v>
      </c>
      <c r="E84" s="49" t="s">
        <v>791</v>
      </c>
      <c r="F84" s="56">
        <v>0.28999999999999998</v>
      </c>
      <c r="G84" s="108" t="s">
        <v>187</v>
      </c>
      <c r="H84" s="108" t="s">
        <v>187</v>
      </c>
    </row>
    <row r="85" spans="1:8" s="140" customFormat="1" ht="56.25">
      <c r="A85" s="49" t="s">
        <v>341</v>
      </c>
      <c r="B85" s="49" t="s">
        <v>264</v>
      </c>
      <c r="C85" s="49" t="s">
        <v>776</v>
      </c>
      <c r="D85" s="50" t="s">
        <v>342</v>
      </c>
      <c r="E85" s="49" t="s">
        <v>257</v>
      </c>
      <c r="F85" s="56">
        <v>31.52</v>
      </c>
      <c r="G85" s="108" t="s">
        <v>187</v>
      </c>
      <c r="H85" s="108" t="s">
        <v>187</v>
      </c>
    </row>
    <row r="86" spans="1:8" s="140" customFormat="1" ht="33.75">
      <c r="A86" s="49" t="s">
        <v>460</v>
      </c>
      <c r="B86" s="49" t="s">
        <v>264</v>
      </c>
      <c r="C86" s="49" t="s">
        <v>776</v>
      </c>
      <c r="D86" s="50" t="s">
        <v>461</v>
      </c>
      <c r="E86" s="49" t="s">
        <v>284</v>
      </c>
      <c r="F86" s="56">
        <v>9.06</v>
      </c>
      <c r="G86" s="56"/>
      <c r="H86" s="56"/>
    </row>
    <row r="87" spans="1:8" s="140" customFormat="1" ht="33.75">
      <c r="A87" s="49" t="s">
        <v>520</v>
      </c>
      <c r="B87" s="49" t="s">
        <v>264</v>
      </c>
      <c r="C87" s="49" t="s">
        <v>776</v>
      </c>
      <c r="D87" s="50" t="s">
        <v>521</v>
      </c>
      <c r="E87" s="49" t="s">
        <v>288</v>
      </c>
      <c r="F87" s="56">
        <v>5.7</v>
      </c>
      <c r="G87" s="56"/>
      <c r="H87" s="56"/>
    </row>
    <row r="88" spans="1:8" s="140" customFormat="1" ht="33.75">
      <c r="A88" s="49" t="s">
        <v>526</v>
      </c>
      <c r="B88" s="49" t="s">
        <v>264</v>
      </c>
      <c r="C88" s="49" t="s">
        <v>776</v>
      </c>
      <c r="D88" s="50" t="s">
        <v>527</v>
      </c>
      <c r="E88" s="49" t="s">
        <v>288</v>
      </c>
      <c r="F88" s="56">
        <v>4.6100000000000003</v>
      </c>
      <c r="G88" s="56"/>
      <c r="H88" s="56"/>
    </row>
    <row r="89" spans="1:8" s="140" customFormat="1" ht="33.75">
      <c r="A89" s="49" t="s">
        <v>523</v>
      </c>
      <c r="B89" s="49" t="s">
        <v>264</v>
      </c>
      <c r="C89" s="49" t="s">
        <v>776</v>
      </c>
      <c r="D89" s="50" t="s">
        <v>524</v>
      </c>
      <c r="E89" s="49" t="s">
        <v>288</v>
      </c>
      <c r="F89" s="56">
        <v>8.11</v>
      </c>
      <c r="G89" s="56"/>
      <c r="H89" s="56"/>
    </row>
    <row r="90" spans="1:8" s="140" customFormat="1" ht="33.75">
      <c r="A90" s="49" t="s">
        <v>496</v>
      </c>
      <c r="B90" s="49" t="s">
        <v>264</v>
      </c>
      <c r="C90" s="49" t="s">
        <v>776</v>
      </c>
      <c r="D90" s="50" t="s">
        <v>497</v>
      </c>
      <c r="E90" s="49" t="s">
        <v>288</v>
      </c>
      <c r="F90" s="56">
        <v>12.84</v>
      </c>
      <c r="G90" s="56"/>
      <c r="H90" s="56"/>
    </row>
    <row r="91" spans="1:8" s="140" customFormat="1" ht="22.5">
      <c r="A91" s="49" t="s">
        <v>463</v>
      </c>
      <c r="B91" s="49" t="s">
        <v>264</v>
      </c>
      <c r="C91" s="49" t="s">
        <v>776</v>
      </c>
      <c r="D91" s="50" t="s">
        <v>464</v>
      </c>
      <c r="E91" s="49" t="s">
        <v>284</v>
      </c>
      <c r="F91" s="56">
        <v>10.46</v>
      </c>
      <c r="G91" s="56"/>
      <c r="H91" s="56"/>
    </row>
    <row r="92" spans="1:8" s="140" customFormat="1" ht="22.5">
      <c r="A92" s="49" t="s">
        <v>466</v>
      </c>
      <c r="B92" s="49" t="s">
        <v>264</v>
      </c>
      <c r="C92" s="49" t="s">
        <v>776</v>
      </c>
      <c r="D92" s="50" t="s">
        <v>467</v>
      </c>
      <c r="E92" s="49" t="s">
        <v>284</v>
      </c>
      <c r="F92" s="56">
        <v>15.04</v>
      </c>
      <c r="G92" s="56"/>
      <c r="H92" s="56"/>
    </row>
    <row r="93" spans="1:8" s="140" customFormat="1" ht="22.5">
      <c r="A93" s="49" t="s">
        <v>469</v>
      </c>
      <c r="B93" s="49" t="s">
        <v>264</v>
      </c>
      <c r="C93" s="49" t="s">
        <v>776</v>
      </c>
      <c r="D93" s="50" t="s">
        <v>470</v>
      </c>
      <c r="E93" s="49" t="s">
        <v>284</v>
      </c>
      <c r="F93" s="56">
        <v>17.3</v>
      </c>
      <c r="G93" s="56"/>
      <c r="H93" s="56"/>
    </row>
    <row r="94" spans="1:8" s="140" customFormat="1" ht="22.5">
      <c r="A94" s="49" t="s">
        <v>475</v>
      </c>
      <c r="B94" s="49" t="s">
        <v>264</v>
      </c>
      <c r="C94" s="49" t="s">
        <v>776</v>
      </c>
      <c r="D94" s="50" t="s">
        <v>476</v>
      </c>
      <c r="E94" s="49" t="s">
        <v>284</v>
      </c>
      <c r="F94" s="56">
        <v>28.57</v>
      </c>
      <c r="G94" s="56"/>
      <c r="H94" s="56"/>
    </row>
    <row r="95" spans="1:8" s="140" customFormat="1" ht="22.5">
      <c r="A95" s="49" t="s">
        <v>484</v>
      </c>
      <c r="B95" s="49" t="s">
        <v>264</v>
      </c>
      <c r="C95" s="49" t="s">
        <v>776</v>
      </c>
      <c r="D95" s="50" t="s">
        <v>485</v>
      </c>
      <c r="E95" s="49" t="s">
        <v>284</v>
      </c>
      <c r="F95" s="56">
        <v>58.8</v>
      </c>
      <c r="G95" s="56"/>
      <c r="H95" s="56"/>
    </row>
    <row r="96" spans="1:8" s="140" customFormat="1" ht="22.5">
      <c r="A96" s="49" t="s">
        <v>547</v>
      </c>
      <c r="B96" s="49" t="s">
        <v>264</v>
      </c>
      <c r="C96" s="49" t="s">
        <v>776</v>
      </c>
      <c r="D96" s="50" t="s">
        <v>548</v>
      </c>
      <c r="E96" s="49" t="s">
        <v>288</v>
      </c>
      <c r="F96" s="56">
        <v>11.3</v>
      </c>
      <c r="G96" s="56"/>
      <c r="H96" s="56"/>
    </row>
    <row r="97" spans="1:8" s="140" customFormat="1" ht="22.5">
      <c r="A97" s="49" t="s">
        <v>511</v>
      </c>
      <c r="B97" s="49" t="s">
        <v>264</v>
      </c>
      <c r="C97" s="49" t="s">
        <v>776</v>
      </c>
      <c r="D97" s="50" t="s">
        <v>512</v>
      </c>
      <c r="E97" s="49" t="s">
        <v>288</v>
      </c>
      <c r="F97" s="56">
        <v>13.59</v>
      </c>
      <c r="G97" s="56"/>
      <c r="H97" s="56"/>
    </row>
    <row r="98" spans="1:8" s="140" customFormat="1" ht="22.5">
      <c r="A98" s="49" t="s">
        <v>559</v>
      </c>
      <c r="B98" s="49" t="s">
        <v>264</v>
      </c>
      <c r="C98" s="49" t="s">
        <v>776</v>
      </c>
      <c r="D98" s="50" t="s">
        <v>560</v>
      </c>
      <c r="E98" s="49" t="s">
        <v>288</v>
      </c>
      <c r="F98" s="56">
        <v>15.52</v>
      </c>
      <c r="G98" s="56"/>
      <c r="H98" s="56"/>
    </row>
    <row r="99" spans="1:8" s="140" customFormat="1" ht="22.5">
      <c r="A99" s="49" t="s">
        <v>499</v>
      </c>
      <c r="B99" s="49" t="s">
        <v>264</v>
      </c>
      <c r="C99" s="49" t="s">
        <v>776</v>
      </c>
      <c r="D99" s="50" t="s">
        <v>500</v>
      </c>
      <c r="E99" s="49" t="s">
        <v>288</v>
      </c>
      <c r="F99" s="56">
        <v>35.909999999999997</v>
      </c>
      <c r="G99" s="56"/>
      <c r="H99" s="56"/>
    </row>
    <row r="100" spans="1:8" s="140" customFormat="1" ht="22.5">
      <c r="A100" s="49" t="s">
        <v>472</v>
      </c>
      <c r="B100" s="49" t="s">
        <v>264</v>
      </c>
      <c r="C100" s="49" t="s">
        <v>776</v>
      </c>
      <c r="D100" s="50" t="s">
        <v>473</v>
      </c>
      <c r="E100" s="49" t="s">
        <v>284</v>
      </c>
      <c r="F100" s="56">
        <v>27.32</v>
      </c>
      <c r="G100" s="56"/>
      <c r="H100" s="56"/>
    </row>
    <row r="101" spans="1:8" s="140" customFormat="1" ht="22.5">
      <c r="A101" s="49" t="s">
        <v>538</v>
      </c>
      <c r="B101" s="49" t="s">
        <v>264</v>
      </c>
      <c r="C101" s="49" t="s">
        <v>776</v>
      </c>
      <c r="D101" s="50" t="s">
        <v>539</v>
      </c>
      <c r="E101" s="49" t="s">
        <v>288</v>
      </c>
      <c r="F101" s="56">
        <v>113.06</v>
      </c>
      <c r="G101" s="56"/>
      <c r="H101" s="56"/>
    </row>
    <row r="102" spans="1:8" s="140" customFormat="1" ht="22.5">
      <c r="A102" s="49" t="s">
        <v>532</v>
      </c>
      <c r="B102" s="49" t="s">
        <v>264</v>
      </c>
      <c r="C102" s="49" t="s">
        <v>776</v>
      </c>
      <c r="D102" s="50" t="s">
        <v>533</v>
      </c>
      <c r="E102" s="49" t="s">
        <v>288</v>
      </c>
      <c r="F102" s="56">
        <v>133.32</v>
      </c>
      <c r="G102" s="56"/>
      <c r="H102" s="56"/>
    </row>
    <row r="103" spans="1:8" s="140" customFormat="1" ht="33.75">
      <c r="A103" s="49" t="s">
        <v>529</v>
      </c>
      <c r="B103" s="49" t="s">
        <v>264</v>
      </c>
      <c r="C103" s="49" t="s">
        <v>776</v>
      </c>
      <c r="D103" s="50" t="s">
        <v>530</v>
      </c>
      <c r="E103" s="49" t="s">
        <v>288</v>
      </c>
      <c r="F103" s="56">
        <v>4.54</v>
      </c>
      <c r="G103" s="56"/>
      <c r="H103" s="56"/>
    </row>
    <row r="104" spans="1:8" s="140" customFormat="1" ht="33.75">
      <c r="A104" s="49" t="s">
        <v>553</v>
      </c>
      <c r="B104" s="49" t="s">
        <v>264</v>
      </c>
      <c r="C104" s="49" t="s">
        <v>776</v>
      </c>
      <c r="D104" s="50" t="s">
        <v>554</v>
      </c>
      <c r="E104" s="49" t="s">
        <v>288</v>
      </c>
      <c r="F104" s="56">
        <v>10.54</v>
      </c>
      <c r="G104" s="56"/>
      <c r="H104" s="56"/>
    </row>
    <row r="105" spans="1:8" s="140" customFormat="1" ht="22.5">
      <c r="A105" s="49" t="s">
        <v>508</v>
      </c>
      <c r="B105" s="49" t="s">
        <v>264</v>
      </c>
      <c r="C105" s="49" t="s">
        <v>776</v>
      </c>
      <c r="D105" s="50" t="s">
        <v>509</v>
      </c>
      <c r="E105" s="49" t="s">
        <v>288</v>
      </c>
      <c r="F105" s="56">
        <v>32.729999999999997</v>
      </c>
      <c r="G105" s="56"/>
      <c r="H105" s="56"/>
    </row>
    <row r="106" spans="1:8" s="140" customFormat="1" ht="33.75">
      <c r="A106" s="49" t="s">
        <v>517</v>
      </c>
      <c r="B106" s="49" t="s">
        <v>264</v>
      </c>
      <c r="C106" s="49" t="s">
        <v>776</v>
      </c>
      <c r="D106" s="50" t="s">
        <v>518</v>
      </c>
      <c r="E106" s="49" t="s">
        <v>288</v>
      </c>
      <c r="F106" s="56">
        <v>10.8</v>
      </c>
      <c r="G106" s="56"/>
      <c r="H106" s="56"/>
    </row>
    <row r="107" spans="1:8" s="140" customFormat="1" ht="22.5">
      <c r="A107" s="49" t="s">
        <v>550</v>
      </c>
      <c r="B107" s="49" t="s">
        <v>264</v>
      </c>
      <c r="C107" s="49" t="s">
        <v>776</v>
      </c>
      <c r="D107" s="50" t="s">
        <v>551</v>
      </c>
      <c r="E107" s="49" t="s">
        <v>288</v>
      </c>
      <c r="F107" s="56">
        <v>20.11</v>
      </c>
      <c r="G107" s="56"/>
      <c r="H107" s="56"/>
    </row>
    <row r="108" spans="1:8" s="140" customFormat="1" ht="33.75">
      <c r="A108" s="49" t="s">
        <v>505</v>
      </c>
      <c r="B108" s="49" t="s">
        <v>264</v>
      </c>
      <c r="C108" s="49" t="s">
        <v>776</v>
      </c>
      <c r="D108" s="50" t="s">
        <v>506</v>
      </c>
      <c r="E108" s="49" t="s">
        <v>288</v>
      </c>
      <c r="F108" s="56">
        <v>20.63</v>
      </c>
      <c r="G108" s="56"/>
      <c r="H108" s="56"/>
    </row>
    <row r="109" spans="1:8" s="140" customFormat="1" ht="33.75">
      <c r="A109" s="49" t="s">
        <v>535</v>
      </c>
      <c r="B109" s="49" t="s">
        <v>264</v>
      </c>
      <c r="C109" s="49" t="s">
        <v>776</v>
      </c>
      <c r="D109" s="50" t="s">
        <v>536</v>
      </c>
      <c r="E109" s="49" t="s">
        <v>288</v>
      </c>
      <c r="F109" s="56">
        <v>30.16</v>
      </c>
      <c r="G109" s="56"/>
      <c r="H109" s="56"/>
    </row>
    <row r="110" spans="1:8" s="140" customFormat="1" ht="33.75">
      <c r="A110" s="49" t="s">
        <v>556</v>
      </c>
      <c r="B110" s="49" t="s">
        <v>264</v>
      </c>
      <c r="C110" s="49" t="s">
        <v>776</v>
      </c>
      <c r="D110" s="50" t="s">
        <v>557</v>
      </c>
      <c r="E110" s="49" t="s">
        <v>288</v>
      </c>
      <c r="F110" s="56">
        <v>44.04</v>
      </c>
      <c r="G110" s="56"/>
      <c r="H110" s="56"/>
    </row>
    <row r="111" spans="1:8" s="140" customFormat="1" ht="22.5">
      <c r="A111" s="49" t="s">
        <v>514</v>
      </c>
      <c r="B111" s="49" t="s">
        <v>264</v>
      </c>
      <c r="C111" s="49" t="s">
        <v>776</v>
      </c>
      <c r="D111" s="50" t="s">
        <v>515</v>
      </c>
      <c r="E111" s="49" t="s">
        <v>288</v>
      </c>
      <c r="F111" s="56">
        <v>21.41</v>
      </c>
      <c r="G111" s="56"/>
      <c r="H111" s="56"/>
    </row>
    <row r="112" spans="1:8" s="140" customFormat="1" ht="22.5">
      <c r="A112" s="49" t="s">
        <v>502</v>
      </c>
      <c r="B112" s="49" t="s">
        <v>264</v>
      </c>
      <c r="C112" s="49" t="s">
        <v>776</v>
      </c>
      <c r="D112" s="50" t="s">
        <v>503</v>
      </c>
      <c r="E112" s="49" t="s">
        <v>288</v>
      </c>
      <c r="F112" s="56">
        <v>45.87</v>
      </c>
      <c r="G112" s="56"/>
      <c r="H112" s="56"/>
    </row>
    <row r="113" spans="1:8" s="140" customFormat="1" ht="22.5">
      <c r="A113" s="49" t="s">
        <v>583</v>
      </c>
      <c r="B113" s="49" t="s">
        <v>264</v>
      </c>
      <c r="C113" s="49" t="s">
        <v>776</v>
      </c>
      <c r="D113" s="50" t="s">
        <v>584</v>
      </c>
      <c r="E113" s="49" t="s">
        <v>288</v>
      </c>
      <c r="F113" s="56">
        <v>129.47999999999999</v>
      </c>
      <c r="G113" s="56"/>
      <c r="H113" s="56"/>
    </row>
    <row r="114" spans="1:8" s="140" customFormat="1" ht="22.5">
      <c r="A114" s="49" t="s">
        <v>586</v>
      </c>
      <c r="B114" s="49" t="s">
        <v>264</v>
      </c>
      <c r="C114" s="49" t="s">
        <v>776</v>
      </c>
      <c r="D114" s="50" t="s">
        <v>587</v>
      </c>
      <c r="E114" s="49" t="s">
        <v>288</v>
      </c>
      <c r="F114" s="56">
        <v>105.84</v>
      </c>
      <c r="G114" s="56"/>
      <c r="H114" s="56"/>
    </row>
    <row r="115" spans="1:8" s="140" customFormat="1" ht="33.75">
      <c r="A115" s="49" t="s">
        <v>490</v>
      </c>
      <c r="B115" s="49" t="s">
        <v>264</v>
      </c>
      <c r="C115" s="49" t="s">
        <v>776</v>
      </c>
      <c r="D115" s="50" t="s">
        <v>491</v>
      </c>
      <c r="E115" s="49" t="s">
        <v>288</v>
      </c>
      <c r="F115" s="56">
        <v>61.36</v>
      </c>
      <c r="G115" s="56"/>
      <c r="H115" s="56"/>
    </row>
    <row r="116" spans="1:8" s="140" customFormat="1" ht="22.5">
      <c r="A116" s="49" t="s">
        <v>675</v>
      </c>
      <c r="B116" s="49" t="s">
        <v>264</v>
      </c>
      <c r="C116" s="49" t="s">
        <v>776</v>
      </c>
      <c r="D116" s="50" t="s">
        <v>676</v>
      </c>
      <c r="E116" s="49" t="s">
        <v>288</v>
      </c>
      <c r="F116" s="56">
        <v>88.59</v>
      </c>
      <c r="G116" s="108" t="s">
        <v>187</v>
      </c>
      <c r="H116" s="108" t="s">
        <v>187</v>
      </c>
    </row>
    <row r="117" spans="1:8" s="140" customFormat="1" ht="22.5">
      <c r="A117" s="49" t="s">
        <v>665</v>
      </c>
      <c r="B117" s="49" t="s">
        <v>264</v>
      </c>
      <c r="C117" s="49" t="s">
        <v>776</v>
      </c>
      <c r="D117" s="50" t="s">
        <v>666</v>
      </c>
      <c r="E117" s="49" t="s">
        <v>288</v>
      </c>
      <c r="F117" s="56">
        <v>113.15</v>
      </c>
      <c r="G117" s="108" t="s">
        <v>187</v>
      </c>
      <c r="H117" s="108" t="s">
        <v>187</v>
      </c>
    </row>
    <row r="118" spans="1:8" s="140" customFormat="1" ht="22.5">
      <c r="A118" s="49" t="s">
        <v>764</v>
      </c>
      <c r="B118" s="49" t="s">
        <v>264</v>
      </c>
      <c r="C118" s="49" t="s">
        <v>776</v>
      </c>
      <c r="D118" s="50" t="s">
        <v>765</v>
      </c>
      <c r="E118" s="49" t="s">
        <v>766</v>
      </c>
      <c r="F118" s="56">
        <v>105.61</v>
      </c>
      <c r="G118" s="108" t="s">
        <v>187</v>
      </c>
      <c r="H118" s="108" t="s">
        <v>187</v>
      </c>
    </row>
    <row r="119" spans="1:8" s="140" customFormat="1" ht="45">
      <c r="A119" s="49" t="s">
        <v>606</v>
      </c>
      <c r="B119" s="49" t="s">
        <v>264</v>
      </c>
      <c r="C119" s="49" t="s">
        <v>776</v>
      </c>
      <c r="D119" s="50" t="s">
        <v>607</v>
      </c>
      <c r="E119" s="49" t="s">
        <v>284</v>
      </c>
      <c r="F119" s="56">
        <v>40.67</v>
      </c>
      <c r="G119" s="56"/>
      <c r="H119" s="56"/>
    </row>
    <row r="120" spans="1:8" s="140" customFormat="1" ht="56.25">
      <c r="A120" s="49" t="s">
        <v>478</v>
      </c>
      <c r="B120" s="49" t="s">
        <v>264</v>
      </c>
      <c r="C120" s="49" t="s">
        <v>776</v>
      </c>
      <c r="D120" s="50" t="s">
        <v>479</v>
      </c>
      <c r="E120" s="49" t="s">
        <v>284</v>
      </c>
      <c r="F120" s="56">
        <v>43.78</v>
      </c>
      <c r="G120" s="56"/>
      <c r="H120" s="56"/>
    </row>
    <row r="121" spans="1:8" s="140" customFormat="1" ht="56.25">
      <c r="A121" s="49" t="s">
        <v>481</v>
      </c>
      <c r="B121" s="49" t="s">
        <v>264</v>
      </c>
      <c r="C121" s="49" t="s">
        <v>776</v>
      </c>
      <c r="D121" s="50" t="s">
        <v>482</v>
      </c>
      <c r="E121" s="49" t="s">
        <v>284</v>
      </c>
      <c r="F121" s="56">
        <v>38.57</v>
      </c>
      <c r="G121" s="56"/>
      <c r="H121" s="56"/>
    </row>
    <row r="122" spans="1:8" s="140" customFormat="1" ht="33.75">
      <c r="A122" s="49" t="s">
        <v>719</v>
      </c>
      <c r="B122" s="49" t="s">
        <v>264</v>
      </c>
      <c r="C122" s="49" t="s">
        <v>776</v>
      </c>
      <c r="D122" s="50" t="s">
        <v>720</v>
      </c>
      <c r="E122" s="49" t="s">
        <v>288</v>
      </c>
      <c r="F122" s="56">
        <v>12.57</v>
      </c>
      <c r="G122" s="56"/>
      <c r="H122" s="56"/>
    </row>
    <row r="123" spans="1:8" s="140" customFormat="1" ht="33.75">
      <c r="A123" s="49" t="s">
        <v>701</v>
      </c>
      <c r="B123" s="49" t="s">
        <v>264</v>
      </c>
      <c r="C123" s="49" t="s">
        <v>776</v>
      </c>
      <c r="D123" s="50" t="s">
        <v>702</v>
      </c>
      <c r="E123" s="49" t="s">
        <v>284</v>
      </c>
      <c r="F123" s="56">
        <v>4.0999999999999996</v>
      </c>
      <c r="G123" s="56"/>
      <c r="H123" s="56"/>
    </row>
    <row r="124" spans="1:8" s="140" customFormat="1" ht="33.75">
      <c r="A124" s="49" t="s">
        <v>704</v>
      </c>
      <c r="B124" s="49" t="s">
        <v>264</v>
      </c>
      <c r="C124" s="49" t="s">
        <v>776</v>
      </c>
      <c r="D124" s="50" t="s">
        <v>705</v>
      </c>
      <c r="E124" s="49" t="s">
        <v>284</v>
      </c>
      <c r="F124" s="56">
        <v>6.73</v>
      </c>
      <c r="G124" s="56"/>
      <c r="H124" s="56"/>
    </row>
    <row r="125" spans="1:8" s="140" customFormat="1" ht="22.5">
      <c r="A125" s="49" t="s">
        <v>44</v>
      </c>
      <c r="B125" s="49" t="s">
        <v>264</v>
      </c>
      <c r="C125" s="49" t="s">
        <v>776</v>
      </c>
      <c r="D125" s="50" t="s">
        <v>45</v>
      </c>
      <c r="E125" s="49" t="s">
        <v>288</v>
      </c>
      <c r="F125" s="56">
        <v>35.58</v>
      </c>
      <c r="G125" s="56"/>
      <c r="H125" s="56"/>
    </row>
    <row r="126" spans="1:8" s="140" customFormat="1" ht="22.5">
      <c r="A126" s="49" t="s">
        <v>42</v>
      </c>
      <c r="B126" s="49" t="s">
        <v>264</v>
      </c>
      <c r="C126" s="49" t="s">
        <v>776</v>
      </c>
      <c r="D126" s="50" t="s">
        <v>43</v>
      </c>
      <c r="E126" s="49" t="s">
        <v>288</v>
      </c>
      <c r="F126" s="56">
        <v>27.53</v>
      </c>
      <c r="G126" s="56"/>
      <c r="H126" s="56"/>
    </row>
    <row r="127" spans="1:8" s="140" customFormat="1" ht="33.75">
      <c r="A127" s="49" t="s">
        <v>408</v>
      </c>
      <c r="B127" s="49" t="s">
        <v>264</v>
      </c>
      <c r="C127" s="49" t="s">
        <v>776</v>
      </c>
      <c r="D127" s="50" t="s">
        <v>409</v>
      </c>
      <c r="E127" s="49" t="s">
        <v>288</v>
      </c>
      <c r="F127" s="56">
        <v>51.02</v>
      </c>
      <c r="G127" s="56"/>
      <c r="H127" s="56"/>
    </row>
    <row r="128" spans="1:8" s="140" customFormat="1" ht="33.75">
      <c r="A128" s="49" t="s">
        <v>446</v>
      </c>
      <c r="B128" s="49" t="s">
        <v>264</v>
      </c>
      <c r="C128" s="49" t="s">
        <v>776</v>
      </c>
      <c r="D128" s="50" t="s">
        <v>447</v>
      </c>
      <c r="E128" s="49" t="s">
        <v>288</v>
      </c>
      <c r="F128" s="56">
        <v>66.069999999999993</v>
      </c>
      <c r="G128" s="56"/>
      <c r="H128" s="56"/>
    </row>
    <row r="129" spans="1:8" s="140" customFormat="1" ht="33.75">
      <c r="A129" s="49" t="s">
        <v>422</v>
      </c>
      <c r="B129" s="49" t="s">
        <v>264</v>
      </c>
      <c r="C129" s="49" t="s">
        <v>776</v>
      </c>
      <c r="D129" s="50" t="s">
        <v>423</v>
      </c>
      <c r="E129" s="49" t="s">
        <v>288</v>
      </c>
      <c r="F129" s="56">
        <v>39.840000000000003</v>
      </c>
      <c r="G129" s="56"/>
      <c r="H129" s="56"/>
    </row>
    <row r="130" spans="1:8" s="140" customFormat="1" ht="45">
      <c r="A130" s="49" t="s">
        <v>322</v>
      </c>
      <c r="B130" s="49" t="s">
        <v>264</v>
      </c>
      <c r="C130" s="49" t="s">
        <v>776</v>
      </c>
      <c r="D130" s="50" t="s">
        <v>323</v>
      </c>
      <c r="E130" s="49" t="s">
        <v>257</v>
      </c>
      <c r="F130" s="56">
        <v>69.78</v>
      </c>
      <c r="G130" s="108" t="s">
        <v>187</v>
      </c>
      <c r="H130" s="108" t="s">
        <v>187</v>
      </c>
    </row>
    <row r="131" spans="1:8" s="140" customFormat="1" ht="33.75">
      <c r="A131" s="49" t="s">
        <v>431</v>
      </c>
      <c r="B131" s="49" t="s">
        <v>264</v>
      </c>
      <c r="C131" s="49" t="s">
        <v>776</v>
      </c>
      <c r="D131" s="50" t="s">
        <v>432</v>
      </c>
      <c r="E131" s="49" t="s">
        <v>288</v>
      </c>
      <c r="F131" s="56">
        <v>17.86</v>
      </c>
      <c r="G131" s="56"/>
      <c r="H131" s="56"/>
    </row>
    <row r="132" spans="1:8" s="140" customFormat="1" ht="33.75">
      <c r="A132" s="49" t="s">
        <v>296</v>
      </c>
      <c r="B132" s="49" t="s">
        <v>264</v>
      </c>
      <c r="C132" s="49" t="s">
        <v>776</v>
      </c>
      <c r="D132" s="50" t="s">
        <v>297</v>
      </c>
      <c r="E132" s="49" t="s">
        <v>298</v>
      </c>
      <c r="F132" s="56">
        <v>17.399999999999999</v>
      </c>
      <c r="G132" s="56"/>
      <c r="H132" s="56"/>
    </row>
    <row r="133" spans="1:8" s="140" customFormat="1" ht="33.75">
      <c r="A133" s="49" t="s">
        <v>300</v>
      </c>
      <c r="B133" s="49" t="s">
        <v>264</v>
      </c>
      <c r="C133" s="49" t="s">
        <v>776</v>
      </c>
      <c r="D133" s="50" t="s">
        <v>301</v>
      </c>
      <c r="E133" s="49" t="s">
        <v>298</v>
      </c>
      <c r="F133" s="56">
        <v>16.14</v>
      </c>
      <c r="G133" s="56"/>
      <c r="H133" s="56"/>
    </row>
    <row r="134" spans="1:8" s="140" customFormat="1" ht="33.75">
      <c r="A134" s="49" t="s">
        <v>303</v>
      </c>
      <c r="B134" s="49" t="s">
        <v>264</v>
      </c>
      <c r="C134" s="49" t="s">
        <v>776</v>
      </c>
      <c r="D134" s="50" t="s">
        <v>304</v>
      </c>
      <c r="E134" s="49" t="s">
        <v>298</v>
      </c>
      <c r="F134" s="56">
        <v>14.33</v>
      </c>
      <c r="G134" s="56"/>
      <c r="H134" s="56"/>
    </row>
    <row r="135" spans="1:8" s="140" customFormat="1" ht="33.75">
      <c r="A135" s="49" t="s">
        <v>306</v>
      </c>
      <c r="B135" s="49" t="s">
        <v>264</v>
      </c>
      <c r="C135" s="49" t="s">
        <v>776</v>
      </c>
      <c r="D135" s="50" t="s">
        <v>307</v>
      </c>
      <c r="E135" s="49" t="s">
        <v>298</v>
      </c>
      <c r="F135" s="56">
        <v>11.28</v>
      </c>
      <c r="G135" s="56"/>
      <c r="H135" s="56"/>
    </row>
    <row r="136" spans="1:8" s="140" customFormat="1" ht="22.5">
      <c r="A136" s="49" t="s">
        <v>312</v>
      </c>
      <c r="B136" s="49" t="s">
        <v>264</v>
      </c>
      <c r="C136" s="49" t="s">
        <v>776</v>
      </c>
      <c r="D136" s="50" t="s">
        <v>313</v>
      </c>
      <c r="E136" s="49" t="s">
        <v>266</v>
      </c>
      <c r="F136" s="56">
        <v>186.89</v>
      </c>
      <c r="G136" s="108" t="s">
        <v>187</v>
      </c>
      <c r="H136" s="108" t="s">
        <v>187</v>
      </c>
    </row>
    <row r="137" spans="1:8" s="140" customFormat="1" ht="33.75">
      <c r="A137" s="49" t="s">
        <v>411</v>
      </c>
      <c r="B137" s="49" t="s">
        <v>264</v>
      </c>
      <c r="C137" s="49" t="s">
        <v>776</v>
      </c>
      <c r="D137" s="50" t="s">
        <v>412</v>
      </c>
      <c r="E137" s="49" t="s">
        <v>288</v>
      </c>
      <c r="F137" s="56">
        <v>95.95</v>
      </c>
      <c r="G137" s="108" t="s">
        <v>187</v>
      </c>
      <c r="H137" s="108" t="s">
        <v>187</v>
      </c>
    </row>
    <row r="138" spans="1:8" s="140" customFormat="1" ht="33.75">
      <c r="A138" s="49" t="s">
        <v>443</v>
      </c>
      <c r="B138" s="49" t="s">
        <v>264</v>
      </c>
      <c r="C138" s="49" t="s">
        <v>776</v>
      </c>
      <c r="D138" s="50" t="s">
        <v>444</v>
      </c>
      <c r="E138" s="49" t="s">
        <v>288</v>
      </c>
      <c r="F138" s="56">
        <v>143.34</v>
      </c>
      <c r="G138" s="108" t="s">
        <v>187</v>
      </c>
      <c r="H138" s="108" t="s">
        <v>187</v>
      </c>
    </row>
    <row r="139" spans="1:8" s="140" customFormat="1" ht="33.75">
      <c r="A139" s="49" t="s">
        <v>419</v>
      </c>
      <c r="B139" s="49" t="s">
        <v>264</v>
      </c>
      <c r="C139" s="49" t="s">
        <v>776</v>
      </c>
      <c r="D139" s="50" t="s">
        <v>420</v>
      </c>
      <c r="E139" s="49" t="s">
        <v>288</v>
      </c>
      <c r="F139" s="56">
        <v>71.28</v>
      </c>
      <c r="G139" s="108" t="s">
        <v>187</v>
      </c>
      <c r="H139" s="108" t="s">
        <v>187</v>
      </c>
    </row>
    <row r="140" spans="1:8" s="140" customFormat="1" ht="33.75">
      <c r="A140" s="49" t="s">
        <v>434</v>
      </c>
      <c r="B140" s="49" t="s">
        <v>264</v>
      </c>
      <c r="C140" s="49" t="s">
        <v>776</v>
      </c>
      <c r="D140" s="50" t="s">
        <v>435</v>
      </c>
      <c r="E140" s="49" t="s">
        <v>288</v>
      </c>
      <c r="F140" s="56">
        <v>34.25</v>
      </c>
      <c r="G140" s="108" t="s">
        <v>187</v>
      </c>
      <c r="H140" s="108" t="s">
        <v>187</v>
      </c>
    </row>
    <row r="141" spans="1:8" s="140" customFormat="1" ht="33.75">
      <c r="A141" s="49" t="s">
        <v>425</v>
      </c>
      <c r="B141" s="49" t="s">
        <v>264</v>
      </c>
      <c r="C141" s="49" t="s">
        <v>776</v>
      </c>
      <c r="D141" s="50" t="s">
        <v>426</v>
      </c>
      <c r="E141" s="49" t="s">
        <v>288</v>
      </c>
      <c r="F141" s="56">
        <v>53.61</v>
      </c>
      <c r="G141" s="56"/>
      <c r="H141" s="56"/>
    </row>
    <row r="142" spans="1:8" s="140" customFormat="1" ht="33.75">
      <c r="A142" s="49" t="s">
        <v>428</v>
      </c>
      <c r="B142" s="49" t="s">
        <v>264</v>
      </c>
      <c r="C142" s="49" t="s">
        <v>776</v>
      </c>
      <c r="D142" s="50" t="s">
        <v>429</v>
      </c>
      <c r="E142" s="49" t="s">
        <v>288</v>
      </c>
      <c r="F142" s="56">
        <v>41.03</v>
      </c>
      <c r="G142" s="56"/>
      <c r="H142" s="56"/>
    </row>
    <row r="143" spans="1:8" s="140" customFormat="1" ht="22.5">
      <c r="A143" s="49" t="s">
        <v>684</v>
      </c>
      <c r="B143" s="49" t="s">
        <v>264</v>
      </c>
      <c r="C143" s="49" t="s">
        <v>776</v>
      </c>
      <c r="D143" s="50" t="s">
        <v>685</v>
      </c>
      <c r="E143" s="49" t="s">
        <v>266</v>
      </c>
      <c r="F143" s="56">
        <v>69.66</v>
      </c>
      <c r="G143" s="108" t="s">
        <v>187</v>
      </c>
      <c r="H143" s="108" t="s">
        <v>187</v>
      </c>
    </row>
    <row r="144" spans="1:8" s="140" customFormat="1" ht="22.5">
      <c r="A144" s="49" t="s">
        <v>760</v>
      </c>
      <c r="B144" s="49" t="s">
        <v>264</v>
      </c>
      <c r="C144" s="49" t="s">
        <v>776</v>
      </c>
      <c r="D144" s="50" t="s">
        <v>761</v>
      </c>
      <c r="E144" s="49" t="s">
        <v>762</v>
      </c>
      <c r="F144" s="56">
        <v>3465.25</v>
      </c>
      <c r="G144" s="108" t="s">
        <v>187</v>
      </c>
      <c r="H144" s="108" t="s">
        <v>187</v>
      </c>
    </row>
    <row r="145" spans="1:8" s="140" customFormat="1" ht="45">
      <c r="A145" s="49" t="s">
        <v>568</v>
      </c>
      <c r="B145" s="49" t="s">
        <v>264</v>
      </c>
      <c r="C145" s="49" t="s">
        <v>776</v>
      </c>
      <c r="D145" s="50" t="s">
        <v>569</v>
      </c>
      <c r="E145" s="49" t="s">
        <v>288</v>
      </c>
      <c r="F145" s="56">
        <v>55.01</v>
      </c>
      <c r="G145" s="56"/>
      <c r="H145" s="56"/>
    </row>
    <row r="146" spans="1:8" s="140" customFormat="1" ht="45">
      <c r="A146" s="49" t="s">
        <v>571</v>
      </c>
      <c r="B146" s="49" t="s">
        <v>264</v>
      </c>
      <c r="C146" s="49" t="s">
        <v>776</v>
      </c>
      <c r="D146" s="50" t="s">
        <v>572</v>
      </c>
      <c r="E146" s="49" t="s">
        <v>288</v>
      </c>
      <c r="F146" s="56">
        <v>77.430000000000007</v>
      </c>
      <c r="G146" s="56"/>
      <c r="H146" s="56"/>
    </row>
    <row r="147" spans="1:8" s="140" customFormat="1" ht="33.75">
      <c r="A147" s="49" t="s">
        <v>487</v>
      </c>
      <c r="B147" s="49" t="s">
        <v>264</v>
      </c>
      <c r="C147" s="49" t="s">
        <v>776</v>
      </c>
      <c r="D147" s="50" t="s">
        <v>488</v>
      </c>
      <c r="E147" s="49" t="s">
        <v>284</v>
      </c>
      <c r="F147" s="56">
        <v>103.38</v>
      </c>
      <c r="G147" s="56"/>
      <c r="H147" s="56"/>
    </row>
    <row r="148" spans="1:8" s="140" customFormat="1" ht="45">
      <c r="A148" s="49" t="s">
        <v>544</v>
      </c>
      <c r="B148" s="49" t="s">
        <v>264</v>
      </c>
      <c r="C148" s="49" t="s">
        <v>776</v>
      </c>
      <c r="D148" s="50" t="s">
        <v>545</v>
      </c>
      <c r="E148" s="49" t="s">
        <v>288</v>
      </c>
      <c r="F148" s="56">
        <v>281.85000000000002</v>
      </c>
      <c r="G148" s="56"/>
      <c r="H148" s="56"/>
    </row>
    <row r="149" spans="1:8" s="140" customFormat="1" ht="33.75">
      <c r="A149" s="49" t="s">
        <v>541</v>
      </c>
      <c r="B149" s="49" t="s">
        <v>264</v>
      </c>
      <c r="C149" s="49" t="s">
        <v>776</v>
      </c>
      <c r="D149" s="50" t="s">
        <v>542</v>
      </c>
      <c r="E149" s="49" t="s">
        <v>288</v>
      </c>
      <c r="F149" s="56">
        <v>228.58</v>
      </c>
      <c r="G149" s="56"/>
      <c r="H149" s="56"/>
    </row>
    <row r="150" spans="1:8" s="140" customFormat="1" ht="45">
      <c r="A150" s="49" t="s">
        <v>577</v>
      </c>
      <c r="B150" s="49" t="s">
        <v>264</v>
      </c>
      <c r="C150" s="49" t="s">
        <v>776</v>
      </c>
      <c r="D150" s="50" t="s">
        <v>578</v>
      </c>
      <c r="E150" s="49" t="s">
        <v>288</v>
      </c>
      <c r="F150" s="56">
        <v>23.38</v>
      </c>
      <c r="G150" s="56"/>
      <c r="H150" s="56"/>
    </row>
    <row r="151" spans="1:8" s="140" customFormat="1" ht="45">
      <c r="A151" s="49" t="s">
        <v>580</v>
      </c>
      <c r="B151" s="49" t="s">
        <v>264</v>
      </c>
      <c r="C151" s="49" t="s">
        <v>776</v>
      </c>
      <c r="D151" s="50" t="s">
        <v>581</v>
      </c>
      <c r="E151" s="49" t="s">
        <v>288</v>
      </c>
      <c r="F151" s="56">
        <v>287.2</v>
      </c>
      <c r="G151" s="56"/>
      <c r="H151" s="56"/>
    </row>
    <row r="152" spans="1:8" s="140" customFormat="1" ht="45">
      <c r="A152" s="49" t="s">
        <v>562</v>
      </c>
      <c r="B152" s="49" t="s">
        <v>264</v>
      </c>
      <c r="C152" s="49" t="s">
        <v>776</v>
      </c>
      <c r="D152" s="50" t="s">
        <v>563</v>
      </c>
      <c r="E152" s="49" t="s">
        <v>288</v>
      </c>
      <c r="F152" s="56">
        <v>262.32</v>
      </c>
      <c r="G152" s="56"/>
      <c r="H152" s="56"/>
    </row>
    <row r="153" spans="1:8" s="140" customFormat="1" ht="45">
      <c r="A153" s="49" t="s">
        <v>565</v>
      </c>
      <c r="B153" s="49" t="s">
        <v>264</v>
      </c>
      <c r="C153" s="49" t="s">
        <v>776</v>
      </c>
      <c r="D153" s="50" t="s">
        <v>566</v>
      </c>
      <c r="E153" s="49" t="s">
        <v>288</v>
      </c>
      <c r="F153" s="56">
        <v>425.21</v>
      </c>
      <c r="G153" s="56"/>
      <c r="H153" s="56"/>
    </row>
    <row r="154" spans="1:8" s="140" customFormat="1" ht="22.5">
      <c r="A154" s="49" t="s">
        <v>614</v>
      </c>
      <c r="B154" s="49" t="s">
        <v>264</v>
      </c>
      <c r="C154" s="49" t="s">
        <v>776</v>
      </c>
      <c r="D154" s="50" t="s">
        <v>615</v>
      </c>
      <c r="E154" s="49" t="s">
        <v>288</v>
      </c>
      <c r="F154" s="56">
        <v>92.9</v>
      </c>
      <c r="G154" s="56"/>
      <c r="H154" s="56"/>
    </row>
    <row r="155" spans="1:8" s="140" customFormat="1" ht="22.5">
      <c r="A155" s="49" t="s">
        <v>309</v>
      </c>
      <c r="B155" s="49" t="s">
        <v>264</v>
      </c>
      <c r="C155" s="49" t="s">
        <v>776</v>
      </c>
      <c r="D155" s="50" t="s">
        <v>310</v>
      </c>
      <c r="E155" s="49" t="s">
        <v>266</v>
      </c>
      <c r="F155" s="56">
        <v>458.11</v>
      </c>
      <c r="G155" s="56"/>
      <c r="H155" s="56"/>
    </row>
    <row r="156" spans="1:8" s="140" customFormat="1" ht="45">
      <c r="A156" s="49" t="s">
        <v>437</v>
      </c>
      <c r="B156" s="49" t="s">
        <v>264</v>
      </c>
      <c r="C156" s="49" t="s">
        <v>776</v>
      </c>
      <c r="D156" s="50" t="s">
        <v>438</v>
      </c>
      <c r="E156" s="49" t="s">
        <v>288</v>
      </c>
      <c r="F156" s="56">
        <v>86.15</v>
      </c>
      <c r="G156" s="56"/>
      <c r="H156" s="56"/>
    </row>
    <row r="157" spans="1:8" s="140" customFormat="1" ht="45">
      <c r="A157" s="49" t="s">
        <v>416</v>
      </c>
      <c r="B157" s="49" t="s">
        <v>264</v>
      </c>
      <c r="C157" s="49" t="s">
        <v>776</v>
      </c>
      <c r="D157" s="50" t="s">
        <v>417</v>
      </c>
      <c r="E157" s="49" t="s">
        <v>288</v>
      </c>
      <c r="F157" s="56">
        <v>163.53</v>
      </c>
      <c r="G157" s="56"/>
      <c r="H157" s="56"/>
    </row>
    <row r="158" spans="1:8" s="140" customFormat="1" ht="45">
      <c r="A158" s="49" t="s">
        <v>414</v>
      </c>
      <c r="B158" s="49" t="s">
        <v>264</v>
      </c>
      <c r="C158" s="49" t="s">
        <v>776</v>
      </c>
      <c r="D158" s="50" t="s">
        <v>415</v>
      </c>
      <c r="E158" s="49" t="s">
        <v>288</v>
      </c>
      <c r="F158" s="56">
        <v>235.68</v>
      </c>
      <c r="G158" s="56"/>
      <c r="H158" s="56"/>
    </row>
    <row r="159" spans="1:8" s="140" customFormat="1" ht="22.5">
      <c r="A159" s="49" t="s">
        <v>713</v>
      </c>
      <c r="B159" s="49" t="s">
        <v>264</v>
      </c>
      <c r="C159" s="49" t="s">
        <v>776</v>
      </c>
      <c r="D159" s="50" t="s">
        <v>714</v>
      </c>
      <c r="E159" s="49" t="s">
        <v>284</v>
      </c>
      <c r="F159" s="56">
        <v>6.91</v>
      </c>
      <c r="G159" s="56"/>
      <c r="H159" s="56"/>
    </row>
    <row r="160" spans="1:8" s="140" customFormat="1" ht="33.75">
      <c r="A160" s="49" t="s">
        <v>716</v>
      </c>
      <c r="B160" s="49" t="s">
        <v>264</v>
      </c>
      <c r="C160" s="49" t="s">
        <v>776</v>
      </c>
      <c r="D160" s="50" t="s">
        <v>717</v>
      </c>
      <c r="E160" s="49" t="s">
        <v>284</v>
      </c>
      <c r="F160" s="56">
        <v>8.7200000000000006</v>
      </c>
      <c r="G160" s="56"/>
      <c r="H160" s="56"/>
    </row>
    <row r="161" spans="1:8" s="140" customFormat="1" ht="33.75">
      <c r="A161" s="49" t="s">
        <v>722</v>
      </c>
      <c r="B161" s="49" t="s">
        <v>264</v>
      </c>
      <c r="C161" s="49" t="s">
        <v>776</v>
      </c>
      <c r="D161" s="50" t="s">
        <v>723</v>
      </c>
      <c r="E161" s="49" t="s">
        <v>288</v>
      </c>
      <c r="F161" s="56">
        <v>25.14</v>
      </c>
      <c r="G161" s="56"/>
      <c r="H161" s="56"/>
    </row>
    <row r="162" spans="1:8" s="140" customFormat="1" ht="22.5">
      <c r="A162" s="49" t="s">
        <v>346</v>
      </c>
      <c r="B162" s="49" t="s">
        <v>264</v>
      </c>
      <c r="C162" s="49" t="s">
        <v>776</v>
      </c>
      <c r="D162" s="50" t="s">
        <v>347</v>
      </c>
      <c r="E162" s="49" t="s">
        <v>257</v>
      </c>
      <c r="F162" s="56">
        <v>59.26</v>
      </c>
      <c r="G162" s="56"/>
      <c r="H162" s="56"/>
    </row>
    <row r="163" spans="1:8" s="140" customFormat="1" ht="33.75">
      <c r="A163" s="49" t="s">
        <v>364</v>
      </c>
      <c r="B163" s="49" t="s">
        <v>264</v>
      </c>
      <c r="C163" s="49" t="s">
        <v>776</v>
      </c>
      <c r="D163" s="50" t="s">
        <v>365</v>
      </c>
      <c r="E163" s="49" t="s">
        <v>257</v>
      </c>
      <c r="F163" s="56">
        <v>22.92</v>
      </c>
      <c r="G163" s="56"/>
      <c r="H163" s="56"/>
    </row>
    <row r="164" spans="1:8" s="140" customFormat="1">
      <c r="A164" s="49" t="s">
        <v>687</v>
      </c>
      <c r="B164" s="49" t="s">
        <v>264</v>
      </c>
      <c r="C164" s="49" t="s">
        <v>776</v>
      </c>
      <c r="D164" s="50" t="s">
        <v>688</v>
      </c>
      <c r="E164" s="49" t="s">
        <v>266</v>
      </c>
      <c r="F164" s="56">
        <v>42.23</v>
      </c>
      <c r="G164" s="108" t="s">
        <v>187</v>
      </c>
      <c r="H164" s="108" t="s">
        <v>187</v>
      </c>
    </row>
    <row r="165" spans="1:8" s="140" customFormat="1" ht="22.5">
      <c r="A165" s="49" t="s">
        <v>271</v>
      </c>
      <c r="B165" s="49" t="s">
        <v>264</v>
      </c>
      <c r="C165" s="49" t="s">
        <v>776</v>
      </c>
      <c r="D165" s="50" t="s">
        <v>272</v>
      </c>
      <c r="E165" s="49" t="s">
        <v>266</v>
      </c>
      <c r="F165" s="56">
        <v>41.02</v>
      </c>
      <c r="G165" s="108" t="s">
        <v>187</v>
      </c>
      <c r="H165" s="108" t="s">
        <v>187</v>
      </c>
    </row>
    <row r="166" spans="1:8" s="140" customFormat="1" ht="33.75">
      <c r="A166" s="49" t="s">
        <v>797</v>
      </c>
      <c r="B166" s="49" t="s">
        <v>264</v>
      </c>
      <c r="C166" s="49" t="s">
        <v>776</v>
      </c>
      <c r="D166" s="50" t="s">
        <v>798</v>
      </c>
      <c r="E166" s="49" t="s">
        <v>266</v>
      </c>
      <c r="F166" s="56">
        <v>239.79</v>
      </c>
      <c r="G166" s="108" t="s">
        <v>187</v>
      </c>
      <c r="H166" s="108" t="s">
        <v>187</v>
      </c>
    </row>
    <row r="167" spans="1:8" s="140" customFormat="1" ht="22.5">
      <c r="A167" s="49" t="s">
        <v>263</v>
      </c>
      <c r="B167" s="49" t="s">
        <v>264</v>
      </c>
      <c r="C167" s="49" t="s">
        <v>776</v>
      </c>
      <c r="D167" s="50" t="s">
        <v>265</v>
      </c>
      <c r="E167" s="49" t="s">
        <v>266</v>
      </c>
      <c r="F167" s="56">
        <v>106.16</v>
      </c>
      <c r="G167" s="108" t="s">
        <v>187</v>
      </c>
      <c r="H167" s="108" t="s">
        <v>187</v>
      </c>
    </row>
    <row r="168" spans="1:8" s="140" customFormat="1" ht="22.5">
      <c r="A168" s="49" t="s">
        <v>801</v>
      </c>
      <c r="B168" s="49" t="s">
        <v>264</v>
      </c>
      <c r="C168" s="49" t="s">
        <v>776</v>
      </c>
      <c r="D168" s="50" t="s">
        <v>802</v>
      </c>
      <c r="E168" s="49" t="s">
        <v>257</v>
      </c>
      <c r="F168" s="56">
        <v>2.74</v>
      </c>
      <c r="G168" s="108" t="s">
        <v>187</v>
      </c>
      <c r="H168" s="108" t="s">
        <v>187</v>
      </c>
    </row>
    <row r="169" spans="1:8" s="140" customFormat="1" ht="22.5">
      <c r="A169" s="49" t="s">
        <v>799</v>
      </c>
      <c r="B169" s="49" t="s">
        <v>264</v>
      </c>
      <c r="C169" s="49" t="s">
        <v>776</v>
      </c>
      <c r="D169" s="50" t="s">
        <v>800</v>
      </c>
      <c r="E169" s="49" t="s">
        <v>257</v>
      </c>
      <c r="F169" s="56">
        <v>10.26</v>
      </c>
      <c r="G169" s="108" t="s">
        <v>187</v>
      </c>
      <c r="H169" s="108" t="s">
        <v>187</v>
      </c>
    </row>
    <row r="170" spans="1:8" s="140" customFormat="1" ht="22.5">
      <c r="A170" s="49" t="s">
        <v>282</v>
      </c>
      <c r="B170" s="49" t="s">
        <v>264</v>
      </c>
      <c r="C170" s="49" t="s">
        <v>776</v>
      </c>
      <c r="D170" s="50" t="s">
        <v>283</v>
      </c>
      <c r="E170" s="49" t="s">
        <v>284</v>
      </c>
      <c r="F170" s="56">
        <v>0.4</v>
      </c>
      <c r="G170" s="108" t="s">
        <v>187</v>
      </c>
      <c r="H170" s="108" t="s">
        <v>187</v>
      </c>
    </row>
    <row r="171" spans="1:8" s="140" customFormat="1" ht="33.75">
      <c r="A171" s="49" t="s">
        <v>46</v>
      </c>
      <c r="B171" s="49" t="s">
        <v>264</v>
      </c>
      <c r="C171" s="49" t="s">
        <v>776</v>
      </c>
      <c r="D171" s="50" t="s">
        <v>47</v>
      </c>
      <c r="E171" s="49" t="s">
        <v>740</v>
      </c>
      <c r="F171" s="56">
        <v>0.81</v>
      </c>
      <c r="G171" s="108" t="s">
        <v>187</v>
      </c>
      <c r="H171" s="108" t="s">
        <v>187</v>
      </c>
    </row>
    <row r="172" spans="1:8" s="140" customFormat="1" ht="22.5">
      <c r="A172" s="49" t="s">
        <v>611</v>
      </c>
      <c r="B172" s="49" t="s">
        <v>264</v>
      </c>
      <c r="C172" s="49" t="s">
        <v>776</v>
      </c>
      <c r="D172" s="50" t="s">
        <v>612</v>
      </c>
      <c r="E172" s="49" t="s">
        <v>288</v>
      </c>
      <c r="F172" s="56">
        <v>131.87</v>
      </c>
      <c r="G172" s="56"/>
      <c r="H172" s="56"/>
    </row>
    <row r="173" spans="1:8" s="140" customFormat="1">
      <c r="A173" s="49" t="s">
        <v>393</v>
      </c>
      <c r="B173" s="49" t="s">
        <v>264</v>
      </c>
      <c r="C173" s="49" t="s">
        <v>776</v>
      </c>
      <c r="D173" s="50" t="s">
        <v>394</v>
      </c>
      <c r="E173" s="49" t="s">
        <v>257</v>
      </c>
      <c r="F173" s="56">
        <v>1.57</v>
      </c>
      <c r="G173" s="108" t="s">
        <v>187</v>
      </c>
      <c r="H173" s="108" t="s">
        <v>187</v>
      </c>
    </row>
    <row r="174" spans="1:8" s="140" customFormat="1" ht="22.5">
      <c r="A174" s="49" t="s">
        <v>738</v>
      </c>
      <c r="B174" s="49" t="s">
        <v>264</v>
      </c>
      <c r="C174" s="49" t="s">
        <v>776</v>
      </c>
      <c r="D174" s="50" t="s">
        <v>739</v>
      </c>
      <c r="E174" s="49" t="s">
        <v>740</v>
      </c>
      <c r="F174" s="56">
        <v>869.47</v>
      </c>
      <c r="G174" s="108" t="s">
        <v>187</v>
      </c>
      <c r="H174" s="108" t="s">
        <v>187</v>
      </c>
    </row>
    <row r="175" spans="1:8" s="140" customFormat="1" ht="22.5">
      <c r="A175" s="49" t="s">
        <v>742</v>
      </c>
      <c r="B175" s="49" t="s">
        <v>264</v>
      </c>
      <c r="C175" s="49" t="s">
        <v>776</v>
      </c>
      <c r="D175" s="50" t="s">
        <v>743</v>
      </c>
      <c r="E175" s="49" t="s">
        <v>744</v>
      </c>
      <c r="F175" s="56">
        <v>1.79</v>
      </c>
      <c r="G175" s="108" t="s">
        <v>187</v>
      </c>
      <c r="H175" s="108" t="s">
        <v>187</v>
      </c>
    </row>
    <row r="176" spans="1:8" s="140" customFormat="1" ht="33.75">
      <c r="A176" s="49" t="s">
        <v>746</v>
      </c>
      <c r="B176" s="49" t="s">
        <v>264</v>
      </c>
      <c r="C176" s="49" t="s">
        <v>776</v>
      </c>
      <c r="D176" s="50" t="s">
        <v>747</v>
      </c>
      <c r="E176" s="49" t="s">
        <v>748</v>
      </c>
      <c r="F176" s="56">
        <v>2.2799999999999998</v>
      </c>
      <c r="G176" s="108" t="s">
        <v>187</v>
      </c>
      <c r="H176" s="108" t="s">
        <v>187</v>
      </c>
    </row>
    <row r="177" spans="1:8" s="140" customFormat="1" ht="33.75">
      <c r="A177" s="49" t="s">
        <v>750</v>
      </c>
      <c r="B177" s="49" t="s">
        <v>264</v>
      </c>
      <c r="C177" s="49" t="s">
        <v>776</v>
      </c>
      <c r="D177" s="50" t="s">
        <v>751</v>
      </c>
      <c r="E177" s="49" t="s">
        <v>748</v>
      </c>
      <c r="F177" s="56">
        <v>2.73</v>
      </c>
      <c r="G177" s="108" t="s">
        <v>187</v>
      </c>
      <c r="H177" s="108" t="s">
        <v>187</v>
      </c>
    </row>
    <row r="178" spans="1:8" s="140" customFormat="1" ht="33.75">
      <c r="A178" s="49" t="s">
        <v>822</v>
      </c>
      <c r="B178" s="49" t="s">
        <v>264</v>
      </c>
      <c r="C178" s="49" t="s">
        <v>776</v>
      </c>
      <c r="D178" s="50" t="s">
        <v>823</v>
      </c>
      <c r="E178" s="49" t="s">
        <v>257</v>
      </c>
      <c r="F178" s="56">
        <v>20.34</v>
      </c>
      <c r="G178" s="56"/>
      <c r="H178" s="56"/>
    </row>
    <row r="179" spans="1:8" s="140" customFormat="1" ht="45">
      <c r="A179" s="49" t="s">
        <v>373</v>
      </c>
      <c r="B179" s="49" t="s">
        <v>264</v>
      </c>
      <c r="C179" s="49" t="s">
        <v>776</v>
      </c>
      <c r="D179" s="50" t="s">
        <v>374</v>
      </c>
      <c r="E179" s="49" t="s">
        <v>257</v>
      </c>
      <c r="F179" s="56">
        <v>41.35</v>
      </c>
      <c r="G179" s="56"/>
      <c r="H179" s="56"/>
    </row>
    <row r="180" spans="1:8" s="140" customFormat="1" ht="33.75">
      <c r="A180" s="49" t="s">
        <v>319</v>
      </c>
      <c r="B180" s="49" t="s">
        <v>264</v>
      </c>
      <c r="C180" s="49" t="s">
        <v>776</v>
      </c>
      <c r="D180" s="50" t="s">
        <v>320</v>
      </c>
      <c r="E180" s="49" t="s">
        <v>266</v>
      </c>
      <c r="F180" s="56">
        <v>14.16</v>
      </c>
      <c r="G180" s="108" t="s">
        <v>187</v>
      </c>
      <c r="H180" s="108" t="s">
        <v>187</v>
      </c>
    </row>
    <row r="181" spans="1:8" s="140" customFormat="1" ht="22.5">
      <c r="A181" s="49" t="s">
        <v>667</v>
      </c>
      <c r="B181" s="49" t="s">
        <v>264</v>
      </c>
      <c r="C181" s="49" t="s">
        <v>776</v>
      </c>
      <c r="D181" s="50" t="s">
        <v>668</v>
      </c>
      <c r="E181" s="49" t="s">
        <v>288</v>
      </c>
      <c r="F181" s="56">
        <v>123.86</v>
      </c>
      <c r="G181" s="56"/>
      <c r="H181" s="56"/>
    </row>
    <row r="182" spans="1:8" s="140" customFormat="1" ht="33.75">
      <c r="A182" s="49" t="s">
        <v>923</v>
      </c>
      <c r="B182" s="49" t="s">
        <v>264</v>
      </c>
      <c r="C182" s="49" t="s">
        <v>776</v>
      </c>
      <c r="D182" s="50" t="s">
        <v>924</v>
      </c>
      <c r="E182" s="49" t="s">
        <v>288</v>
      </c>
      <c r="F182" s="56">
        <v>127</v>
      </c>
      <c r="G182" s="56"/>
      <c r="H182" s="56"/>
    </row>
    <row r="183" spans="1:8" s="140" customFormat="1" ht="22.5">
      <c r="A183" s="49" t="s">
        <v>358</v>
      </c>
      <c r="B183" s="49" t="s">
        <v>264</v>
      </c>
      <c r="C183" s="49" t="s">
        <v>776</v>
      </c>
      <c r="D183" s="50" t="s">
        <v>359</v>
      </c>
      <c r="E183" s="49" t="s">
        <v>257</v>
      </c>
      <c r="F183" s="56">
        <v>16.440000000000001</v>
      </c>
      <c r="G183" s="56"/>
      <c r="H183" s="56"/>
    </row>
    <row r="184" spans="1:8" s="140" customFormat="1" ht="22.5">
      <c r="A184" s="49" t="s">
        <v>846</v>
      </c>
      <c r="B184" s="49" t="s">
        <v>247</v>
      </c>
      <c r="C184" s="49" t="s">
        <v>777</v>
      </c>
      <c r="D184" s="50" t="s">
        <v>847</v>
      </c>
      <c r="E184" s="49" t="s">
        <v>351</v>
      </c>
      <c r="F184" s="56">
        <v>15.78</v>
      </c>
      <c r="G184" s="108" t="s">
        <v>187</v>
      </c>
      <c r="H184" s="108" t="s">
        <v>187</v>
      </c>
    </row>
    <row r="185" spans="1:8" s="140" customFormat="1">
      <c r="A185" s="49" t="s">
        <v>778</v>
      </c>
      <c r="B185" s="49" t="s">
        <v>247</v>
      </c>
      <c r="C185" s="49" t="s">
        <v>777</v>
      </c>
      <c r="D185" s="50" t="s">
        <v>779</v>
      </c>
      <c r="E185" s="49" t="s">
        <v>249</v>
      </c>
      <c r="F185" s="56">
        <v>233.94</v>
      </c>
      <c r="G185" s="108" t="s">
        <v>187</v>
      </c>
      <c r="H185" s="108" t="s">
        <v>187</v>
      </c>
    </row>
    <row r="186" spans="1:8" s="140" customFormat="1" ht="33.75">
      <c r="A186" s="49" t="s">
        <v>40</v>
      </c>
      <c r="B186" s="49" t="s">
        <v>247</v>
      </c>
      <c r="C186" s="49" t="s">
        <v>777</v>
      </c>
      <c r="D186" s="50" t="s">
        <v>41</v>
      </c>
      <c r="E186" s="49" t="s">
        <v>351</v>
      </c>
      <c r="F186" s="56">
        <v>9.0299999999999994</v>
      </c>
      <c r="G186" s="56"/>
      <c r="H186" s="56"/>
    </row>
    <row r="187" spans="1:8" s="140" customFormat="1" ht="33.75">
      <c r="A187" s="49" t="s">
        <v>874</v>
      </c>
      <c r="B187" s="49" t="s">
        <v>247</v>
      </c>
      <c r="C187" s="49" t="s">
        <v>777</v>
      </c>
      <c r="D187" s="50" t="s">
        <v>875</v>
      </c>
      <c r="E187" s="49" t="s">
        <v>876</v>
      </c>
      <c r="F187" s="56">
        <v>9.7200000000000006</v>
      </c>
      <c r="G187" s="56"/>
      <c r="H187" s="56"/>
    </row>
    <row r="188" spans="1:8" s="140" customFormat="1" ht="22.5">
      <c r="A188" s="49" t="s">
        <v>931</v>
      </c>
      <c r="B188" s="49" t="s">
        <v>247</v>
      </c>
      <c r="C188" s="49" t="s">
        <v>777</v>
      </c>
      <c r="D188" s="50" t="s">
        <v>932</v>
      </c>
      <c r="E188" s="49" t="s">
        <v>334</v>
      </c>
      <c r="F188" s="56">
        <v>54.44</v>
      </c>
      <c r="G188" s="56"/>
      <c r="H188" s="56"/>
    </row>
    <row r="189" spans="1:8" s="140" customFormat="1" ht="22.5">
      <c r="A189" s="49" t="s">
        <v>921</v>
      </c>
      <c r="B189" s="49" t="s">
        <v>247</v>
      </c>
      <c r="C189" s="49" t="s">
        <v>777</v>
      </c>
      <c r="D189" s="50" t="s">
        <v>922</v>
      </c>
      <c r="E189" s="49" t="s">
        <v>334</v>
      </c>
      <c r="F189" s="56">
        <v>532.86</v>
      </c>
      <c r="G189" s="56"/>
      <c r="H189" s="56"/>
    </row>
    <row r="190" spans="1:8" s="140" customFormat="1">
      <c r="A190" s="49" t="s">
        <v>935</v>
      </c>
      <c r="B190" s="49" t="s">
        <v>247</v>
      </c>
      <c r="C190" s="49" t="s">
        <v>777</v>
      </c>
      <c r="D190" s="50" t="s">
        <v>936</v>
      </c>
      <c r="E190" s="49" t="s">
        <v>334</v>
      </c>
      <c r="F190" s="56">
        <v>2771.3</v>
      </c>
      <c r="G190" s="56"/>
      <c r="H190" s="56"/>
    </row>
    <row r="191" spans="1:8" s="140" customFormat="1">
      <c r="A191" s="49" t="s">
        <v>7</v>
      </c>
      <c r="B191" s="49" t="s">
        <v>247</v>
      </c>
      <c r="C191" s="49" t="s">
        <v>777</v>
      </c>
      <c r="D191" s="50" t="s">
        <v>8</v>
      </c>
      <c r="E191" s="49" t="s">
        <v>334</v>
      </c>
      <c r="F191" s="56">
        <v>1915.3</v>
      </c>
      <c r="G191" s="56"/>
      <c r="H191" s="56"/>
    </row>
    <row r="192" spans="1:8" s="140" customFormat="1">
      <c r="A192" s="49" t="s">
        <v>836</v>
      </c>
      <c r="B192" s="49" t="s">
        <v>247</v>
      </c>
      <c r="C192" s="49" t="s">
        <v>777</v>
      </c>
      <c r="D192" s="50" t="s">
        <v>837</v>
      </c>
      <c r="E192" s="49" t="s">
        <v>257</v>
      </c>
      <c r="F192" s="56">
        <v>396.41</v>
      </c>
      <c r="G192" s="108" t="s">
        <v>187</v>
      </c>
      <c r="H192" s="108" t="s">
        <v>187</v>
      </c>
    </row>
    <row r="193" spans="1:8" s="140" customFormat="1">
      <c r="A193" s="49" t="s">
        <v>862</v>
      </c>
      <c r="B193" s="49" t="s">
        <v>247</v>
      </c>
      <c r="C193" s="49" t="s">
        <v>777</v>
      </c>
      <c r="D193" s="50" t="s">
        <v>863</v>
      </c>
      <c r="E193" s="49" t="s">
        <v>257</v>
      </c>
      <c r="F193" s="56">
        <v>60.39</v>
      </c>
      <c r="G193" s="56"/>
      <c r="H193" s="56"/>
    </row>
    <row r="194" spans="1:8" s="140" customFormat="1">
      <c r="A194" s="49" t="s">
        <v>887</v>
      </c>
      <c r="B194" s="49" t="s">
        <v>247</v>
      </c>
      <c r="C194" s="49" t="s">
        <v>777</v>
      </c>
      <c r="D194" s="50" t="s">
        <v>888</v>
      </c>
      <c r="E194" s="49" t="s">
        <v>334</v>
      </c>
      <c r="F194" s="56">
        <v>283.07</v>
      </c>
      <c r="G194" s="56"/>
      <c r="H194" s="56"/>
    </row>
    <row r="195" spans="1:8" s="140" customFormat="1">
      <c r="A195" s="49" t="s">
        <v>929</v>
      </c>
      <c r="B195" s="49" t="s">
        <v>247</v>
      </c>
      <c r="C195" s="49" t="s">
        <v>777</v>
      </c>
      <c r="D195" s="50" t="s">
        <v>930</v>
      </c>
      <c r="E195" s="49" t="s">
        <v>334</v>
      </c>
      <c r="F195" s="56">
        <v>329.66</v>
      </c>
      <c r="G195" s="56"/>
      <c r="H195" s="56"/>
    </row>
    <row r="196" spans="1:8" s="140" customFormat="1">
      <c r="A196" s="49" t="s">
        <v>1</v>
      </c>
      <c r="B196" s="49" t="s">
        <v>247</v>
      </c>
      <c r="C196" s="49" t="s">
        <v>777</v>
      </c>
      <c r="D196" s="50" t="s">
        <v>2</v>
      </c>
      <c r="E196" s="49" t="s">
        <v>334</v>
      </c>
      <c r="F196" s="56">
        <v>1000</v>
      </c>
      <c r="G196" s="56"/>
      <c r="H196" s="56"/>
    </row>
    <row r="197" spans="1:8" s="140" customFormat="1" ht="22.5">
      <c r="A197" s="49" t="s">
        <v>5</v>
      </c>
      <c r="B197" s="49" t="s">
        <v>247</v>
      </c>
      <c r="C197" s="49" t="s">
        <v>777</v>
      </c>
      <c r="D197" s="50" t="s">
        <v>6</v>
      </c>
      <c r="E197" s="49" t="s">
        <v>334</v>
      </c>
      <c r="F197" s="56">
        <v>1679.9</v>
      </c>
      <c r="G197" s="56"/>
      <c r="H197" s="56"/>
    </row>
    <row r="198" spans="1:8" s="140" customFormat="1">
      <c r="A198" s="49" t="s">
        <v>907</v>
      </c>
      <c r="B198" s="49" t="s">
        <v>247</v>
      </c>
      <c r="C198" s="49" t="s">
        <v>777</v>
      </c>
      <c r="D198" s="50" t="s">
        <v>908</v>
      </c>
      <c r="E198" s="49" t="s">
        <v>334</v>
      </c>
      <c r="F198" s="56">
        <v>518.65</v>
      </c>
      <c r="G198" s="56"/>
      <c r="H198" s="56"/>
    </row>
    <row r="199" spans="1:8" s="140" customFormat="1" ht="22.5">
      <c r="A199" s="49" t="s">
        <v>3</v>
      </c>
      <c r="B199" s="49" t="s">
        <v>247</v>
      </c>
      <c r="C199" s="49" t="s">
        <v>777</v>
      </c>
      <c r="D199" s="50" t="s">
        <v>4</v>
      </c>
      <c r="E199" s="49" t="s">
        <v>334</v>
      </c>
      <c r="F199" s="56">
        <v>1950</v>
      </c>
      <c r="G199" s="56"/>
      <c r="H199" s="56"/>
    </row>
    <row r="200" spans="1:8" s="140" customFormat="1" ht="22.5">
      <c r="A200" s="49" t="s">
        <v>937</v>
      </c>
      <c r="B200" s="49" t="s">
        <v>247</v>
      </c>
      <c r="C200" s="49" t="s">
        <v>777</v>
      </c>
      <c r="D200" s="50" t="s">
        <v>0</v>
      </c>
      <c r="E200" s="49" t="s">
        <v>334</v>
      </c>
      <c r="F200" s="56">
        <v>1754.91</v>
      </c>
      <c r="G200" s="56"/>
      <c r="H200" s="56"/>
    </row>
    <row r="201" spans="1:8" s="140" customFormat="1">
      <c r="A201" s="49" t="s">
        <v>11</v>
      </c>
      <c r="B201" s="49" t="s">
        <v>247</v>
      </c>
      <c r="C201" s="49" t="s">
        <v>777</v>
      </c>
      <c r="D201" s="50" t="s">
        <v>653</v>
      </c>
      <c r="E201" s="49" t="s">
        <v>334</v>
      </c>
      <c r="F201" s="56">
        <v>28.92</v>
      </c>
      <c r="G201" s="56"/>
      <c r="H201" s="56"/>
    </row>
    <row r="202" spans="1:8" s="140" customFormat="1">
      <c r="A202" s="49" t="s">
        <v>925</v>
      </c>
      <c r="B202" s="49" t="s">
        <v>247</v>
      </c>
      <c r="C202" s="49" t="s">
        <v>777</v>
      </c>
      <c r="D202" s="50" t="s">
        <v>926</v>
      </c>
      <c r="E202" s="49" t="s">
        <v>334</v>
      </c>
      <c r="F202" s="56">
        <v>1715.04</v>
      </c>
      <c r="G202" s="56"/>
      <c r="H202" s="56"/>
    </row>
    <row r="203" spans="1:8" s="140" customFormat="1">
      <c r="A203" s="49" t="s">
        <v>909</v>
      </c>
      <c r="B203" s="49" t="s">
        <v>247</v>
      </c>
      <c r="C203" s="49" t="s">
        <v>777</v>
      </c>
      <c r="D203" s="50" t="s">
        <v>910</v>
      </c>
      <c r="E203" s="49" t="s">
        <v>334</v>
      </c>
      <c r="F203" s="56">
        <v>50.42</v>
      </c>
      <c r="G203" s="56"/>
      <c r="H203" s="56"/>
    </row>
    <row r="204" spans="1:8" s="140" customFormat="1">
      <c r="A204" s="49" t="s">
        <v>911</v>
      </c>
      <c r="B204" s="49" t="s">
        <v>247</v>
      </c>
      <c r="C204" s="49" t="s">
        <v>777</v>
      </c>
      <c r="D204" s="50" t="s">
        <v>912</v>
      </c>
      <c r="E204" s="49" t="s">
        <v>334</v>
      </c>
      <c r="F204" s="56">
        <v>57.5</v>
      </c>
      <c r="G204" s="56"/>
      <c r="H204" s="56"/>
    </row>
    <row r="205" spans="1:8" s="140" customFormat="1">
      <c r="A205" s="49" t="s">
        <v>913</v>
      </c>
      <c r="B205" s="49" t="s">
        <v>247</v>
      </c>
      <c r="C205" s="49" t="s">
        <v>777</v>
      </c>
      <c r="D205" s="50" t="s">
        <v>914</v>
      </c>
      <c r="E205" s="49" t="s">
        <v>334</v>
      </c>
      <c r="F205" s="56">
        <v>50.42</v>
      </c>
      <c r="G205" s="56"/>
      <c r="H205" s="56"/>
    </row>
    <row r="206" spans="1:8" s="140" customFormat="1" ht="22.5">
      <c r="A206" s="49" t="s">
        <v>16</v>
      </c>
      <c r="B206" s="49" t="s">
        <v>247</v>
      </c>
      <c r="C206" s="49" t="s">
        <v>777</v>
      </c>
      <c r="D206" s="50" t="s">
        <v>656</v>
      </c>
      <c r="E206" s="49" t="s">
        <v>334</v>
      </c>
      <c r="F206" s="56">
        <v>738.3</v>
      </c>
      <c r="G206" s="56"/>
      <c r="H206" s="56"/>
    </row>
    <row r="207" spans="1:8" s="140" customFormat="1" ht="33.75">
      <c r="A207" s="49" t="s">
        <v>38</v>
      </c>
      <c r="B207" s="49" t="s">
        <v>247</v>
      </c>
      <c r="C207" s="49" t="s">
        <v>777</v>
      </c>
      <c r="D207" s="50" t="s">
        <v>39</v>
      </c>
      <c r="E207" s="49" t="s">
        <v>351</v>
      </c>
      <c r="F207" s="56">
        <v>6.26</v>
      </c>
      <c r="G207" s="56"/>
      <c r="H207" s="56"/>
    </row>
    <row r="208" spans="1:8" s="140" customFormat="1" ht="22.5">
      <c r="A208" s="49" t="s">
        <v>35</v>
      </c>
      <c r="B208" s="49" t="s">
        <v>247</v>
      </c>
      <c r="C208" s="49" t="s">
        <v>777</v>
      </c>
      <c r="D208" s="50" t="s">
        <v>697</v>
      </c>
      <c r="E208" s="49" t="s">
        <v>334</v>
      </c>
      <c r="F208" s="56">
        <v>9214.6</v>
      </c>
      <c r="G208" s="56"/>
      <c r="H208" s="56"/>
    </row>
    <row r="209" spans="1:8" s="140" customFormat="1" ht="22.5">
      <c r="A209" s="49" t="s">
        <v>838</v>
      </c>
      <c r="B209" s="49" t="s">
        <v>247</v>
      </c>
      <c r="C209" s="49" t="s">
        <v>777</v>
      </c>
      <c r="D209" s="50" t="s">
        <v>839</v>
      </c>
      <c r="E209" s="49" t="s">
        <v>351</v>
      </c>
      <c r="F209" s="56">
        <v>50.88</v>
      </c>
      <c r="G209" s="108" t="s">
        <v>187</v>
      </c>
      <c r="H209" s="108" t="s">
        <v>187</v>
      </c>
    </row>
    <row r="210" spans="1:8" s="140" customFormat="1">
      <c r="A210" s="49" t="s">
        <v>52</v>
      </c>
      <c r="B210" s="49" t="s">
        <v>247</v>
      </c>
      <c r="C210" s="49" t="s">
        <v>777</v>
      </c>
      <c r="D210" s="50" t="s">
        <v>53</v>
      </c>
      <c r="E210" s="49" t="s">
        <v>334</v>
      </c>
      <c r="F210" s="56">
        <v>665</v>
      </c>
      <c r="G210" s="108" t="s">
        <v>187</v>
      </c>
      <c r="H210" s="108" t="s">
        <v>187</v>
      </c>
    </row>
  </sheetData>
  <mergeCells count="12">
    <mergeCell ref="E4:F4"/>
    <mergeCell ref="A6:B6"/>
    <mergeCell ref="C6:D6"/>
    <mergeCell ref="E6:F6"/>
    <mergeCell ref="A7:H7"/>
    <mergeCell ref="G1:H6"/>
    <mergeCell ref="A2:B2"/>
    <mergeCell ref="E2:F2"/>
    <mergeCell ref="A3:B3"/>
    <mergeCell ref="C3:D3"/>
    <mergeCell ref="A4:B4"/>
    <mergeCell ref="C4:D4"/>
  </mergeCells>
  <phoneticPr fontId="7" type="noConversion"/>
  <printOptions horizontalCentered="1"/>
  <pageMargins left="0.59055118110236227" right="0.59055118110236227" top="0.59055118110236227" bottom="0.59055118110236227" header="0.19685039370078741" footer="0.19685039370078741"/>
  <pageSetup paperSize="9" scale="69" fitToHeight="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D24"/>
  <sheetViews>
    <sheetView showGridLines="0" zoomScaleNormal="100" zoomScaleSheetLayoutView="100" workbookViewId="0"/>
  </sheetViews>
  <sheetFormatPr defaultRowHeight="14.25"/>
  <cols>
    <col min="1" max="2" width="10.625" customWidth="1"/>
    <col min="3" max="3" width="58.625" customWidth="1"/>
    <col min="4" max="4" width="18.625" customWidth="1"/>
  </cols>
  <sheetData>
    <row r="1" spans="1:4" s="1" customFormat="1" ht="15" customHeight="1">
      <c r="A1" s="77" t="str">
        <f ca="1">'Orçamento Sintético'!A1</f>
        <v>P. Execução:</v>
      </c>
      <c r="B1" s="81"/>
      <c r="C1" s="83" t="str">
        <f ca="1">'Orçamento Sintético'!D1</f>
        <v>Objeto: Ampliação reuso edifício Ceilândia</v>
      </c>
      <c r="D1" s="82" t="str">
        <f ca="1">'Orçamento Sintético'!C1</f>
        <v>Licitação:</v>
      </c>
    </row>
    <row r="2" spans="1:4" s="1" customFormat="1" ht="15" customHeight="1">
      <c r="A2" s="205" t="str">
        <f ca="1">'Orçamento Sintético'!A2:B2</f>
        <v>A</v>
      </c>
      <c r="B2" s="211"/>
      <c r="C2" s="78" t="str">
        <f ca="1">'Orçamento Sintético'!D2</f>
        <v>Local: QNM 11, Lotes 1 e 2, Centro Urbano, Ceilândia-DF</v>
      </c>
      <c r="D2" s="79" t="str">
        <f ca="1">'Orçamento Sintético'!C2</f>
        <v>B</v>
      </c>
    </row>
    <row r="3" spans="1:4" s="1" customFormat="1" ht="15" customHeight="1">
      <c r="A3" s="130" t="str">
        <f ca="1">'Orçamento Sintético'!A3</f>
        <v>P. Validade:</v>
      </c>
      <c r="B3" s="81"/>
      <c r="C3" s="130" t="str">
        <f ca="1">'Orçamento Sintético'!C3</f>
        <v>Razão Social:</v>
      </c>
      <c r="D3" s="82" t="str">
        <f ca="1">'Orçamento Sintético'!E1</f>
        <v>Data:</v>
      </c>
    </row>
    <row r="4" spans="1:4" s="1" customFormat="1" ht="15" customHeight="1">
      <c r="A4" s="205" t="str">
        <f ca="1">'Orçamento Sintético'!A4:B4</f>
        <v>C</v>
      </c>
      <c r="B4" s="211"/>
      <c r="C4" s="129" t="str">
        <f ca="1">'Orçamento Sintético'!C4</f>
        <v>D</v>
      </c>
      <c r="D4" s="133">
        <f ca="1">'Orçamento Sintético'!E2</f>
        <v>1</v>
      </c>
    </row>
    <row r="5" spans="1:4" s="1" customFormat="1" ht="15" customHeight="1">
      <c r="A5" s="77" t="str">
        <f ca="1">'Orçamento Sintético'!A5</f>
        <v>P. Garantia:</v>
      </c>
      <c r="B5" s="81"/>
      <c r="C5" s="130" t="str">
        <f ca="1">'Orçamento Sintético'!C5</f>
        <v>CNPJ:</v>
      </c>
      <c r="D5" s="82" t="str">
        <f ca="1">'Orçamento Sintético'!E3</f>
        <v>Telefone:</v>
      </c>
    </row>
    <row r="6" spans="1:4" s="1" customFormat="1" ht="15" customHeight="1">
      <c r="A6" s="205" t="str">
        <f ca="1">'Orçamento Sintético'!A6:B6</f>
        <v>F</v>
      </c>
      <c r="B6" s="211"/>
      <c r="C6" s="129" t="str">
        <f ca="1">'Orçamento Sintético'!C6</f>
        <v>G</v>
      </c>
      <c r="D6" s="133" t="str">
        <f ca="1">'Orçamento Sintético'!E4</f>
        <v>E</v>
      </c>
    </row>
    <row r="7" spans="1:4" s="1" customFormat="1" ht="15" customHeight="1">
      <c r="A7" s="229" t="s">
        <v>56</v>
      </c>
      <c r="B7" s="229"/>
      <c r="C7" s="229"/>
      <c r="D7" s="229"/>
    </row>
    <row r="8" spans="1:4">
      <c r="A8" s="15" t="s">
        <v>57</v>
      </c>
      <c r="B8" s="230" t="s">
        <v>58</v>
      </c>
      <c r="C8" s="231"/>
      <c r="D8" s="15" t="s">
        <v>59</v>
      </c>
    </row>
    <row r="9" spans="1:4">
      <c r="A9" s="134" t="s">
        <v>60</v>
      </c>
      <c r="B9" s="226" t="s">
        <v>61</v>
      </c>
      <c r="C9" s="226"/>
      <c r="D9" s="135"/>
    </row>
    <row r="10" spans="1:4">
      <c r="A10" s="136" t="s">
        <v>62</v>
      </c>
      <c r="B10" s="227" t="s">
        <v>63</v>
      </c>
      <c r="C10" s="227"/>
      <c r="D10" s="137">
        <f>ROUND(SUM(D11:D15),4)</f>
        <v>0.15740000000000001</v>
      </c>
    </row>
    <row r="11" spans="1:4">
      <c r="A11" s="16" t="s">
        <v>64</v>
      </c>
      <c r="B11" s="17" t="s">
        <v>65</v>
      </c>
      <c r="C11" s="18"/>
      <c r="D11" s="19">
        <v>0.04</v>
      </c>
    </row>
    <row r="12" spans="1:4">
      <c r="A12" s="16" t="s">
        <v>66</v>
      </c>
      <c r="B12" s="17" t="s">
        <v>67</v>
      </c>
      <c r="C12" s="18"/>
      <c r="D12" s="19">
        <v>8.0000000000000002E-3</v>
      </c>
    </row>
    <row r="13" spans="1:4">
      <c r="A13" s="16" t="s">
        <v>68</v>
      </c>
      <c r="B13" s="17" t="s">
        <v>69</v>
      </c>
      <c r="C13" s="18"/>
      <c r="D13" s="19">
        <v>1.2699999999999999E-2</v>
      </c>
    </row>
    <row r="14" spans="1:4">
      <c r="A14" s="16" t="s">
        <v>70</v>
      </c>
      <c r="B14" s="17" t="s">
        <v>71</v>
      </c>
      <c r="C14" s="18"/>
      <c r="D14" s="19">
        <v>1.23E-2</v>
      </c>
    </row>
    <row r="15" spans="1:4">
      <c r="A15" s="16" t="s">
        <v>72</v>
      </c>
      <c r="B15" s="17" t="s">
        <v>73</v>
      </c>
      <c r="C15" s="18"/>
      <c r="D15" s="19">
        <v>8.4400000000000003E-2</v>
      </c>
    </row>
    <row r="16" spans="1:4">
      <c r="A16" s="20"/>
      <c r="B16" s="17"/>
      <c r="C16" s="18"/>
      <c r="D16" s="19"/>
    </row>
    <row r="17" spans="1:4">
      <c r="A17" s="134" t="s">
        <v>74</v>
      </c>
      <c r="B17" s="226" t="s">
        <v>75</v>
      </c>
      <c r="C17" s="226"/>
      <c r="D17" s="135"/>
    </row>
    <row r="18" spans="1:4">
      <c r="A18" s="136" t="s">
        <v>76</v>
      </c>
      <c r="B18" s="227" t="s">
        <v>77</v>
      </c>
      <c r="C18" s="227"/>
      <c r="D18" s="137">
        <f>D19+D20+D21</f>
        <v>4.65E-2</v>
      </c>
    </row>
    <row r="19" spans="1:4">
      <c r="A19" s="16"/>
      <c r="B19" s="17" t="s">
        <v>78</v>
      </c>
      <c r="C19" s="18"/>
      <c r="D19" s="19">
        <v>6.5000000000000006E-3</v>
      </c>
    </row>
    <row r="20" spans="1:4">
      <c r="A20" s="16"/>
      <c r="B20" s="17" t="s">
        <v>79</v>
      </c>
      <c r="C20" s="18"/>
      <c r="D20" s="19">
        <v>0.03</v>
      </c>
    </row>
    <row r="21" spans="1:4">
      <c r="A21" s="16"/>
      <c r="B21" s="17" t="s">
        <v>229</v>
      </c>
      <c r="C21" s="18"/>
      <c r="D21" s="19">
        <f ca="1">TRUNC(2%*'Orçamento Sintético'!B199,4)</f>
        <v>0.01</v>
      </c>
    </row>
    <row r="22" spans="1:4">
      <c r="A22" s="16"/>
      <c r="B22" s="17"/>
      <c r="C22" s="18"/>
      <c r="D22" s="19"/>
    </row>
    <row r="23" spans="1:4">
      <c r="A23" s="138" t="s">
        <v>80</v>
      </c>
      <c r="B23" s="228" t="s">
        <v>81</v>
      </c>
      <c r="C23" s="228"/>
      <c r="D23" s="139">
        <f>ROUND((((1+(D11+D12+D13))*(1+D14)*(1+D15))/(1-D18)-1),4)</f>
        <v>0.22120000000000001</v>
      </c>
    </row>
    <row r="24" spans="1:4">
      <c r="A24" s="20"/>
      <c r="B24" s="17"/>
      <c r="C24" s="18"/>
      <c r="D24" s="19"/>
    </row>
  </sheetData>
  <mergeCells count="10">
    <mergeCell ref="B17:C17"/>
    <mergeCell ref="B18:C18"/>
    <mergeCell ref="B23:C23"/>
    <mergeCell ref="A2:B2"/>
    <mergeCell ref="A4:B4"/>
    <mergeCell ref="A6:B6"/>
    <mergeCell ref="B9:C9"/>
    <mergeCell ref="B10:C10"/>
    <mergeCell ref="A7:D7"/>
    <mergeCell ref="B8:C8"/>
  </mergeCells>
  <phoneticPr fontId="7" type="noConversion"/>
  <printOptions horizontalCentered="1"/>
  <pageMargins left="0.59055118110236227" right="0.59055118110236227" top="0.59055118110236227" bottom="0.59055118110236227" header="0.19685039370078741" footer="0.19685039370078741"/>
  <pageSetup paperSize="9" scale="84" fitToHeight="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D44"/>
  <sheetViews>
    <sheetView showGridLines="0" zoomScaleNormal="100" zoomScaleSheetLayoutView="115" workbookViewId="0"/>
  </sheetViews>
  <sheetFormatPr defaultRowHeight="14.25"/>
  <cols>
    <col min="1" max="1" width="10.625" style="38" customWidth="1"/>
    <col min="2" max="2" width="10.625" style="39" customWidth="1"/>
    <col min="3" max="3" width="58.625" style="39" customWidth="1"/>
    <col min="4" max="4" width="18.625" style="40" customWidth="1"/>
    <col min="5" max="16384" width="9" style="41"/>
  </cols>
  <sheetData>
    <row r="1" spans="1:4" s="189" customFormat="1" ht="15" customHeight="1">
      <c r="A1" s="77" t="str">
        <f ca="1">'Orçamento Sintético'!A1</f>
        <v>P. Execução:</v>
      </c>
      <c r="B1" s="81"/>
      <c r="C1" s="83" t="str">
        <f ca="1">'Orçamento Sintético'!D1</f>
        <v>Objeto: Ampliação reuso edifício Ceilândia</v>
      </c>
      <c r="D1" s="82" t="str">
        <f ca="1">'Orçamento Sintético'!C1</f>
        <v>Licitação:</v>
      </c>
    </row>
    <row r="2" spans="1:4" s="189" customFormat="1" ht="15" customHeight="1">
      <c r="A2" s="205" t="str">
        <f ca="1">'Orçamento Sintético'!A2:B2</f>
        <v>A</v>
      </c>
      <c r="B2" s="211"/>
      <c r="C2" s="78" t="str">
        <f ca="1">'Orçamento Sintético'!D2</f>
        <v>Local: QNM 11, Lotes 1 e 2, Centro Urbano, Ceilândia-DF</v>
      </c>
      <c r="D2" s="79" t="str">
        <f ca="1">'Orçamento Sintético'!C2</f>
        <v>B</v>
      </c>
    </row>
    <row r="3" spans="1:4" s="189" customFormat="1" ht="15" customHeight="1">
      <c r="A3" s="130" t="str">
        <f ca="1">'Orçamento Sintético'!A3</f>
        <v>P. Validade:</v>
      </c>
      <c r="B3" s="81"/>
      <c r="C3" s="130" t="str">
        <f ca="1">'Orçamento Sintético'!C3</f>
        <v>Razão Social:</v>
      </c>
      <c r="D3" s="82" t="str">
        <f ca="1">'Orçamento Sintético'!E1</f>
        <v>Data:</v>
      </c>
    </row>
    <row r="4" spans="1:4" s="189" customFormat="1" ht="15" customHeight="1">
      <c r="A4" s="205" t="str">
        <f ca="1">'Orçamento Sintético'!A4:B4</f>
        <v>C</v>
      </c>
      <c r="B4" s="211"/>
      <c r="C4" s="129" t="str">
        <f ca="1">'Orçamento Sintético'!C4</f>
        <v>D</v>
      </c>
      <c r="D4" s="133">
        <f ca="1">'Orçamento Sintético'!E2</f>
        <v>1</v>
      </c>
    </row>
    <row r="5" spans="1:4" s="189" customFormat="1" ht="15" customHeight="1">
      <c r="A5" s="77" t="str">
        <f ca="1">'Orçamento Sintético'!A5</f>
        <v>P. Garantia:</v>
      </c>
      <c r="B5" s="81"/>
      <c r="C5" s="130" t="str">
        <f ca="1">'Orçamento Sintético'!C5</f>
        <v>CNPJ:</v>
      </c>
      <c r="D5" s="82" t="str">
        <f ca="1">'Orçamento Sintético'!E3</f>
        <v>Telefone:</v>
      </c>
    </row>
    <row r="6" spans="1:4" s="190" customFormat="1" ht="15" customHeight="1">
      <c r="A6" s="205" t="str">
        <f ca="1">'Orçamento Sintético'!A6:B6</f>
        <v>F</v>
      </c>
      <c r="B6" s="211"/>
      <c r="C6" s="129" t="str">
        <f ca="1">'Orçamento Sintético'!C6</f>
        <v>G</v>
      </c>
      <c r="D6" s="133" t="str">
        <f ca="1">'Orçamento Sintético'!E4</f>
        <v>E</v>
      </c>
    </row>
    <row r="7" spans="1:4" customFormat="1" ht="15" customHeight="1">
      <c r="A7" s="234" t="s">
        <v>82</v>
      </c>
      <c r="B7" s="234"/>
      <c r="C7" s="234"/>
      <c r="D7" s="234"/>
    </row>
    <row r="8" spans="1:4" s="21" customFormat="1" ht="12.75">
      <c r="A8" s="15" t="s">
        <v>83</v>
      </c>
      <c r="B8" s="230" t="s">
        <v>84</v>
      </c>
      <c r="C8" s="231"/>
      <c r="D8" s="15" t="s">
        <v>59</v>
      </c>
    </row>
    <row r="9" spans="1:4" s="21" customFormat="1" ht="13.15" customHeight="1">
      <c r="A9" s="235" t="s">
        <v>85</v>
      </c>
      <c r="B9" s="236"/>
      <c r="C9" s="236"/>
      <c r="D9" s="237"/>
    </row>
    <row r="10" spans="1:4" s="21" customFormat="1" ht="12.75">
      <c r="A10" s="22" t="s">
        <v>62</v>
      </c>
      <c r="B10" s="23" t="s">
        <v>86</v>
      </c>
      <c r="C10" s="24"/>
      <c r="D10" s="25">
        <v>0.2</v>
      </c>
    </row>
    <row r="11" spans="1:4" s="21" customFormat="1" ht="12.75">
      <c r="A11" s="22" t="s">
        <v>87</v>
      </c>
      <c r="B11" s="23" t="s">
        <v>88</v>
      </c>
      <c r="C11" s="24"/>
      <c r="D11" s="25">
        <v>1.4999999999999999E-2</v>
      </c>
    </row>
    <row r="12" spans="1:4" s="21" customFormat="1" ht="12.75">
      <c r="A12" s="22" t="s">
        <v>89</v>
      </c>
      <c r="B12" s="23" t="s">
        <v>90</v>
      </c>
      <c r="C12" s="24"/>
      <c r="D12" s="25">
        <v>0.01</v>
      </c>
    </row>
    <row r="13" spans="1:4" s="21" customFormat="1" ht="12.75">
      <c r="A13" s="22" t="s">
        <v>91</v>
      </c>
      <c r="B13" s="23" t="s">
        <v>92</v>
      </c>
      <c r="C13" s="24"/>
      <c r="D13" s="25">
        <v>2E-3</v>
      </c>
    </row>
    <row r="14" spans="1:4" s="21" customFormat="1" ht="12.75">
      <c r="A14" s="22" t="s">
        <v>93</v>
      </c>
      <c r="B14" s="23" t="s">
        <v>94</v>
      </c>
      <c r="C14" s="24"/>
      <c r="D14" s="25">
        <v>6.0000000000000001E-3</v>
      </c>
    </row>
    <row r="15" spans="1:4" s="21" customFormat="1" ht="12.75">
      <c r="A15" s="22" t="s">
        <v>95</v>
      </c>
      <c r="B15" s="23" t="s">
        <v>96</v>
      </c>
      <c r="C15" s="24"/>
      <c r="D15" s="25">
        <v>2.5000000000000001E-2</v>
      </c>
    </row>
    <row r="16" spans="1:4" s="21" customFormat="1" ht="12.75">
      <c r="A16" s="22" t="s">
        <v>97</v>
      </c>
      <c r="B16" s="23" t="s">
        <v>98</v>
      </c>
      <c r="C16" s="24"/>
      <c r="D16" s="25">
        <v>0.03</v>
      </c>
    </row>
    <row r="17" spans="1:4" s="21" customFormat="1" ht="12.75">
      <c r="A17" s="22" t="s">
        <v>99</v>
      </c>
      <c r="B17" s="23" t="s">
        <v>100</v>
      </c>
      <c r="C17" s="24"/>
      <c r="D17" s="25">
        <v>0.08</v>
      </c>
    </row>
    <row r="18" spans="1:4" s="21" customFormat="1" ht="12.75">
      <c r="A18" s="22" t="s">
        <v>101</v>
      </c>
      <c r="B18" s="23" t="s">
        <v>102</v>
      </c>
      <c r="C18" s="24"/>
      <c r="D18" s="25">
        <v>0.01</v>
      </c>
    </row>
    <row r="19" spans="1:4" s="21" customFormat="1" ht="12.75">
      <c r="A19" s="26" t="s">
        <v>103</v>
      </c>
      <c r="B19" s="27" t="s">
        <v>104</v>
      </c>
      <c r="C19" s="28"/>
      <c r="D19" s="29">
        <f>SUM(D10:D18)</f>
        <v>0.37800000000000006</v>
      </c>
    </row>
    <row r="20" spans="1:4" s="21" customFormat="1" ht="13.15" customHeight="1">
      <c r="A20" s="235" t="s">
        <v>105</v>
      </c>
      <c r="B20" s="236"/>
      <c r="C20" s="236"/>
      <c r="D20" s="237"/>
    </row>
    <row r="21" spans="1:4" s="21" customFormat="1" ht="12.75">
      <c r="A21" s="22" t="s">
        <v>76</v>
      </c>
      <c r="B21" s="23" t="s">
        <v>106</v>
      </c>
      <c r="C21" s="24"/>
      <c r="D21" s="25">
        <v>0.17749999999999999</v>
      </c>
    </row>
    <row r="22" spans="1:4" s="21" customFormat="1" ht="12.75">
      <c r="A22" s="22" t="s">
        <v>107</v>
      </c>
      <c r="B22" s="23" t="s">
        <v>108</v>
      </c>
      <c r="C22" s="24"/>
      <c r="D22" s="25">
        <v>3.4099999999999998E-2</v>
      </c>
    </row>
    <row r="23" spans="1:4" s="21" customFormat="1" ht="12.75">
      <c r="A23" s="22" t="s">
        <v>109</v>
      </c>
      <c r="B23" s="23" t="s">
        <v>110</v>
      </c>
      <c r="C23" s="24"/>
      <c r="D23" s="25">
        <v>8.6E-3</v>
      </c>
    </row>
    <row r="24" spans="1:4" s="21" customFormat="1" ht="12.75">
      <c r="A24" s="22" t="s">
        <v>111</v>
      </c>
      <c r="B24" s="23" t="s">
        <v>112</v>
      </c>
      <c r="C24" s="24"/>
      <c r="D24" s="25">
        <v>0.1062</v>
      </c>
    </row>
    <row r="25" spans="1:4" s="21" customFormat="1" ht="12.75">
      <c r="A25" s="22" t="s">
        <v>113</v>
      </c>
      <c r="B25" s="23" t="s">
        <v>114</v>
      </c>
      <c r="C25" s="24"/>
      <c r="D25" s="25">
        <v>6.9999999999999999E-4</v>
      </c>
    </row>
    <row r="26" spans="1:4" s="21" customFormat="1" ht="12.75">
      <c r="A26" s="22" t="s">
        <v>115</v>
      </c>
      <c r="B26" s="23" t="s">
        <v>116</v>
      </c>
      <c r="C26" s="24"/>
      <c r="D26" s="25">
        <v>7.1000000000000004E-3</v>
      </c>
    </row>
    <row r="27" spans="1:4" s="21" customFormat="1" ht="12.75">
      <c r="A27" s="22" t="s">
        <v>117</v>
      </c>
      <c r="B27" s="23" t="s">
        <v>118</v>
      </c>
      <c r="C27" s="24"/>
      <c r="D27" s="25">
        <v>1.3100000000000001E-2</v>
      </c>
    </row>
    <row r="28" spans="1:4" s="21" customFormat="1" ht="12.75">
      <c r="A28" s="22" t="s">
        <v>119</v>
      </c>
      <c r="B28" s="23" t="s">
        <v>120</v>
      </c>
      <c r="C28" s="24"/>
      <c r="D28" s="25">
        <v>1.1000000000000001E-3</v>
      </c>
    </row>
    <row r="29" spans="1:4" s="21" customFormat="1" ht="12.75">
      <c r="A29" s="22" t="s">
        <v>121</v>
      </c>
      <c r="B29" s="23" t="s">
        <v>122</v>
      </c>
      <c r="C29" s="24"/>
      <c r="D29" s="25">
        <v>0.13550000000000001</v>
      </c>
    </row>
    <row r="30" spans="1:4" s="21" customFormat="1" ht="12.75">
      <c r="A30" s="22" t="s">
        <v>123</v>
      </c>
      <c r="B30" s="23" t="s">
        <v>124</v>
      </c>
      <c r="C30" s="24"/>
      <c r="D30" s="25">
        <v>2.9999999999999997E-4</v>
      </c>
    </row>
    <row r="31" spans="1:4" s="21" customFormat="1" ht="12.75">
      <c r="A31" s="26" t="s">
        <v>125</v>
      </c>
      <c r="B31" s="27" t="s">
        <v>126</v>
      </c>
      <c r="C31" s="28"/>
      <c r="D31" s="29">
        <f>SUM(D21:D30)</f>
        <v>0.48419999999999996</v>
      </c>
    </row>
    <row r="32" spans="1:4" s="21" customFormat="1" ht="13.15" customHeight="1">
      <c r="A32" s="235" t="s">
        <v>127</v>
      </c>
      <c r="B32" s="236"/>
      <c r="C32" s="236"/>
      <c r="D32" s="237"/>
    </row>
    <row r="33" spans="1:4" s="21" customFormat="1" ht="12.75">
      <c r="A33" s="30" t="s">
        <v>128</v>
      </c>
      <c r="B33" s="31" t="s">
        <v>129</v>
      </c>
      <c r="C33" s="32"/>
      <c r="D33" s="25">
        <v>4.1200000000000001E-2</v>
      </c>
    </row>
    <row r="34" spans="1:4" s="21" customFormat="1" ht="12.75">
      <c r="A34" s="30" t="s">
        <v>130</v>
      </c>
      <c r="B34" s="31" t="s">
        <v>131</v>
      </c>
      <c r="C34" s="32"/>
      <c r="D34" s="25">
        <v>1E-3</v>
      </c>
    </row>
    <row r="35" spans="1:4" s="21" customFormat="1" ht="12.75">
      <c r="A35" s="30" t="s">
        <v>132</v>
      </c>
      <c r="B35" s="31" t="s">
        <v>133</v>
      </c>
      <c r="C35" s="32"/>
      <c r="D35" s="25">
        <v>4.5999999999999999E-3</v>
      </c>
    </row>
    <row r="36" spans="1:4" s="21" customFormat="1" ht="12.75">
      <c r="A36" s="30" t="s">
        <v>134</v>
      </c>
      <c r="B36" s="31" t="s">
        <v>135</v>
      </c>
      <c r="C36" s="32"/>
      <c r="D36" s="25">
        <v>3.7699999999999997E-2</v>
      </c>
    </row>
    <row r="37" spans="1:4" s="21" customFormat="1" ht="12.75">
      <c r="A37" s="30" t="s">
        <v>136</v>
      </c>
      <c r="B37" s="31" t="s">
        <v>137</v>
      </c>
      <c r="C37" s="32"/>
      <c r="D37" s="25">
        <v>3.5000000000000001E-3</v>
      </c>
    </row>
    <row r="38" spans="1:4" s="21" customFormat="1" ht="12.75">
      <c r="A38" s="33" t="s">
        <v>138</v>
      </c>
      <c r="B38" s="34" t="s">
        <v>126</v>
      </c>
      <c r="C38" s="35"/>
      <c r="D38" s="29">
        <f>SUM(D33:D37)</f>
        <v>8.7999999999999995E-2</v>
      </c>
    </row>
    <row r="39" spans="1:4" s="21" customFormat="1" ht="13.15" customHeight="1">
      <c r="A39" s="235" t="s">
        <v>139</v>
      </c>
      <c r="B39" s="236"/>
      <c r="C39" s="236"/>
      <c r="D39" s="237"/>
    </row>
    <row r="40" spans="1:4" s="21" customFormat="1" ht="12.75">
      <c r="A40" s="30" t="s">
        <v>140</v>
      </c>
      <c r="B40" s="31" t="s">
        <v>141</v>
      </c>
      <c r="C40" s="32"/>
      <c r="D40" s="36">
        <f>ROUND(D19*D31,4)</f>
        <v>0.183</v>
      </c>
    </row>
    <row r="41" spans="1:4" s="21" customFormat="1" ht="12.75">
      <c r="A41" s="30" t="s">
        <v>142</v>
      </c>
      <c r="B41" s="31" t="s">
        <v>143</v>
      </c>
      <c r="C41" s="32"/>
      <c r="D41" s="36">
        <f>ROUND(D17*D33+D19*D34,4)</f>
        <v>3.7000000000000002E-3</v>
      </c>
    </row>
    <row r="42" spans="1:4" s="21" customFormat="1" ht="12.75">
      <c r="A42" s="33" t="s">
        <v>144</v>
      </c>
      <c r="B42" s="34" t="s">
        <v>145</v>
      </c>
      <c r="C42" s="35"/>
      <c r="D42" s="37">
        <f>SUM(D40:D41)</f>
        <v>0.1867</v>
      </c>
    </row>
    <row r="43" spans="1:4" s="21" customFormat="1" ht="12.75">
      <c r="A43" s="30"/>
      <c r="B43" s="31"/>
      <c r="C43" s="32"/>
      <c r="D43" s="36"/>
    </row>
    <row r="44" spans="1:4" s="21" customFormat="1" ht="13.15" customHeight="1">
      <c r="A44" s="232" t="s">
        <v>146</v>
      </c>
      <c r="B44" s="233"/>
      <c r="C44" s="233"/>
      <c r="D44" s="139">
        <f>D19+D31+D38+D42</f>
        <v>1.1369</v>
      </c>
    </row>
  </sheetData>
  <mergeCells count="10">
    <mergeCell ref="A2:B2"/>
    <mergeCell ref="A4:B4"/>
    <mergeCell ref="A6:B6"/>
    <mergeCell ref="A44:C44"/>
    <mergeCell ref="A7:D7"/>
    <mergeCell ref="B8:C8"/>
    <mergeCell ref="A9:D9"/>
    <mergeCell ref="A20:D20"/>
    <mergeCell ref="A32:D32"/>
    <mergeCell ref="A39:D39"/>
  </mergeCells>
  <phoneticPr fontId="7" type="noConversion"/>
  <printOptions horizontalCentered="1"/>
  <pageMargins left="0.59055118110236227" right="0.59055118110236227" top="0.59055118110236227" bottom="0.59055118110236227" header="0.19685039370078741" footer="0.19685039370078741"/>
  <pageSetup paperSize="9" scale="84" fitToHeight="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F391"/>
  <sheetViews>
    <sheetView showGridLines="0" zoomScaleNormal="100" zoomScaleSheetLayoutView="100" workbookViewId="0"/>
  </sheetViews>
  <sheetFormatPr defaultRowHeight="11.25"/>
  <cols>
    <col min="1" max="1" width="20" style="10" customWidth="1"/>
    <col min="2" max="2" width="60" style="10" customWidth="1"/>
    <col min="3" max="3" width="13.25" style="10" bestFit="1" customWidth="1"/>
    <col min="4" max="6" width="12" style="10" customWidth="1"/>
    <col min="7" max="25" width="12" style="10" bestFit="1" customWidth="1"/>
    <col min="26" max="16384" width="9" style="10"/>
  </cols>
  <sheetData>
    <row r="1" spans="1:6" customFormat="1" ht="14.25">
      <c r="A1" s="130" t="str">
        <f ca="1">'Orçamento Sintético'!A1</f>
        <v>P. Execução:</v>
      </c>
      <c r="B1" s="83" t="str">
        <f ca="1">'Orçamento Sintético'!D1</f>
        <v>Objeto: Ampliação reuso edifício Ceilândia</v>
      </c>
      <c r="C1" s="82" t="str">
        <f ca="1">'Orçamento Sintético'!C1</f>
        <v>Licitação:</v>
      </c>
      <c r="D1" s="167"/>
      <c r="E1" s="168"/>
      <c r="F1" s="169"/>
    </row>
    <row r="2" spans="1:6" customFormat="1" ht="14.25">
      <c r="A2" s="129" t="str">
        <f ca="1">'Orçamento Sintético'!A2</f>
        <v>A</v>
      </c>
      <c r="B2" s="78" t="str">
        <f ca="1">'Orçamento Sintético'!D2</f>
        <v>Local: QNM 11, Lotes 1 e 2, Centro Urbano, Ceilândia-DF</v>
      </c>
      <c r="C2" s="79" t="str">
        <f ca="1">'Orçamento Sintético'!C2</f>
        <v>B</v>
      </c>
      <c r="D2" s="170"/>
      <c r="E2" s="175"/>
      <c r="F2" s="171"/>
    </row>
    <row r="3" spans="1:6" customFormat="1" ht="14.25">
      <c r="A3" s="130" t="str">
        <f ca="1">'Orçamento Sintético'!A3</f>
        <v>P. Validade:</v>
      </c>
      <c r="B3" s="130" t="str">
        <f ca="1">'Orçamento Sintético'!C3</f>
        <v>Razão Social:</v>
      </c>
      <c r="C3" s="77" t="str">
        <f ca="1">'Orçamento Sintético'!E1</f>
        <v>Data:</v>
      </c>
      <c r="D3" s="170"/>
      <c r="E3" s="175"/>
      <c r="F3" s="171"/>
    </row>
    <row r="4" spans="1:6" customFormat="1" ht="14.25">
      <c r="A4" s="129" t="str">
        <f ca="1">'Orçamento Sintético'!A4</f>
        <v>C</v>
      </c>
      <c r="B4" s="88" t="str">
        <f ca="1">'Orçamento Sintético'!C4</f>
        <v>D</v>
      </c>
      <c r="C4" s="80">
        <f ca="1">'Orçamento Sintético'!E2</f>
        <v>1</v>
      </c>
      <c r="D4" s="170"/>
      <c r="E4" s="175"/>
      <c r="F4" s="171"/>
    </row>
    <row r="5" spans="1:6" customFormat="1" ht="15">
      <c r="A5" s="77" t="str">
        <f ca="1">'Orçamento Sintético'!A5</f>
        <v>P. Garantia:</v>
      </c>
      <c r="B5" s="130" t="str">
        <f ca="1">'Orçamento Sintético'!C5</f>
        <v>CNPJ:</v>
      </c>
      <c r="C5" s="77" t="str">
        <f ca="1">'Orçamento Sintético'!E3</f>
        <v>Telefone:</v>
      </c>
      <c r="D5" s="172"/>
      <c r="E5" s="176"/>
      <c r="F5" s="177"/>
    </row>
    <row r="6" spans="1:6" customFormat="1" ht="14.25">
      <c r="A6" s="129" t="str">
        <f ca="1">'Orçamento Sintético'!A6</f>
        <v>F</v>
      </c>
      <c r="B6" s="88" t="str">
        <f ca="1">'Orçamento Sintético'!C6</f>
        <v>G</v>
      </c>
      <c r="C6" s="80" t="str">
        <f ca="1">'Orçamento Sintético'!E4</f>
        <v>E</v>
      </c>
      <c r="D6" s="173"/>
      <c r="E6" s="174"/>
      <c r="F6" s="178"/>
    </row>
    <row r="7" spans="1:6" customFormat="1" ht="15">
      <c r="A7" s="196" t="s">
        <v>147</v>
      </c>
      <c r="B7" s="197"/>
      <c r="C7" s="197"/>
      <c r="D7" s="197"/>
      <c r="E7" s="197"/>
      <c r="F7" s="197"/>
    </row>
    <row r="8" spans="1:6" customFormat="1" ht="14.25">
      <c r="A8" s="15" t="s">
        <v>232</v>
      </c>
      <c r="B8" s="15" t="s">
        <v>235</v>
      </c>
      <c r="C8" s="15" t="s">
        <v>148</v>
      </c>
      <c r="D8" s="15" t="s">
        <v>149</v>
      </c>
      <c r="E8" s="15" t="s">
        <v>150</v>
      </c>
      <c r="F8" s="15" t="s">
        <v>230</v>
      </c>
    </row>
    <row r="9" spans="1:6" customFormat="1" ht="14.25">
      <c r="A9" s="247" t="s">
        <v>241</v>
      </c>
      <c r="B9" s="248" t="str">
        <f ca="1">VLOOKUP($A9,'Orçamento Sintético'!$A:$H,4,0)</f>
        <v>SERVIÇOS TÉCNICOS-PROFISSIONAIS</v>
      </c>
      <c r="C9" s="89">
        <f ca="1">ROUND(C10/$F$390,4)</f>
        <v>1.1000000000000001E-3</v>
      </c>
      <c r="D9" s="90">
        <f>ROUND(D10/$C10,4)</f>
        <v>1</v>
      </c>
      <c r="E9" s="90">
        <f>ROUND(E10/$C10,4)</f>
        <v>0</v>
      </c>
      <c r="F9" s="90">
        <f>ROUND(F10/$C10,4)</f>
        <v>0</v>
      </c>
    </row>
    <row r="10" spans="1:6" customFormat="1" ht="14.25">
      <c r="A10" s="247"/>
      <c r="B10" s="248"/>
      <c r="C10" s="91">
        <f ca="1">VLOOKUP($A9,'Orçamento Sintético'!$A:$H,8,0)</f>
        <v>233.94</v>
      </c>
      <c r="D10" s="92">
        <f>D12</f>
        <v>233.94</v>
      </c>
      <c r="E10" s="92">
        <f>+E12</f>
        <v>0</v>
      </c>
      <c r="F10" s="92">
        <f>F12</f>
        <v>0</v>
      </c>
    </row>
    <row r="11" spans="1:6" customFormat="1" ht="14.25">
      <c r="A11" s="238" t="s">
        <v>243</v>
      </c>
      <c r="B11" s="242" t="str">
        <f ca="1">VLOOKUP($A11,'Orçamento Sintético'!$A:$H,4,0)</f>
        <v>TAXAS E EMOLUMENTOS</v>
      </c>
      <c r="C11" s="93">
        <f ca="1">ROUND(C12/$F$390,4)</f>
        <v>1.1000000000000001E-3</v>
      </c>
      <c r="D11" s="93">
        <f>ROUND(D12/$C12,4)</f>
        <v>1</v>
      </c>
      <c r="E11" s="93">
        <f>ROUND(E12/$C12,4)</f>
        <v>0</v>
      </c>
      <c r="F11" s="93">
        <f>ROUND(F12/$C12,4)</f>
        <v>0</v>
      </c>
    </row>
    <row r="12" spans="1:6" customFormat="1" ht="14.25">
      <c r="A12" s="238"/>
      <c r="B12" s="243"/>
      <c r="C12" s="94">
        <f ca="1">VLOOKUP($A11,'Orçamento Sintético'!$A:$H,8,0)</f>
        <v>233.94</v>
      </c>
      <c r="D12" s="94">
        <f>D14</f>
        <v>233.94</v>
      </c>
      <c r="E12" s="94">
        <f>E14</f>
        <v>0</v>
      </c>
      <c r="F12" s="94">
        <f>F14</f>
        <v>0</v>
      </c>
    </row>
    <row r="13" spans="1:6" customFormat="1" ht="14.25">
      <c r="A13" s="244" t="s">
        <v>245</v>
      </c>
      <c r="B13" s="245" t="str">
        <f ca="1">VLOOKUP($A13,'Orçamento Sintético'!$A:$H,4,0)</f>
        <v>Registro do contrato junto ao conselho de classe (ART)</v>
      </c>
      <c r="C13" s="95">
        <f ca="1">ROUND(C14/$F$390,4)</f>
        <v>1.1000000000000001E-3</v>
      </c>
      <c r="D13" s="95">
        <v>1</v>
      </c>
      <c r="E13" s="95"/>
      <c r="F13" s="95">
        <f>ROUND(F14/$C14,4)</f>
        <v>0</v>
      </c>
    </row>
    <row r="14" spans="1:6" customFormat="1" ht="14.25">
      <c r="A14" s="244"/>
      <c r="B14" s="246"/>
      <c r="C14" s="96">
        <f ca="1">VLOOKUP($A13,'Orçamento Sintético'!$A:$H,8,0)</f>
        <v>233.94</v>
      </c>
      <c r="D14" s="96">
        <f>ROUND($C14*D13,2)</f>
        <v>233.94</v>
      </c>
      <c r="E14" s="96">
        <f>ROUND($C14*E13,2)</f>
        <v>0</v>
      </c>
      <c r="F14" s="96">
        <f>$C14-SUM(D14:E14)</f>
        <v>0</v>
      </c>
    </row>
    <row r="15" spans="1:6" customFormat="1" ht="14.25">
      <c r="A15" s="247" t="s">
        <v>250</v>
      </c>
      <c r="B15" s="248" t="str">
        <f ca="1">VLOOKUP($A15,'Orçamento Sintético'!$A:$H,4,0)</f>
        <v>SERVIÇOS PRELIMINARES</v>
      </c>
      <c r="C15" s="89">
        <f ca="1">ROUND(C16/$F$390,4)</f>
        <v>2.1899999999999999E-2</v>
      </c>
      <c r="D15" s="90">
        <f>ROUND(D16/$C16,4)</f>
        <v>0.88060000000000005</v>
      </c>
      <c r="E15" s="90">
        <f>ROUND(E16/$C16,4)</f>
        <v>5.8799999999999998E-2</v>
      </c>
      <c r="F15" s="90">
        <f>ROUND(F16/$C16,4)</f>
        <v>6.0600000000000001E-2</v>
      </c>
    </row>
    <row r="16" spans="1:6" customFormat="1" ht="14.25">
      <c r="A16" s="247"/>
      <c r="B16" s="248"/>
      <c r="C16" s="91">
        <f ca="1">VLOOKUP($A15,'Orçamento Sintético'!$A:$H,8,0)</f>
        <v>4546.4499999999989</v>
      </c>
      <c r="D16" s="92">
        <f>D18+D24</f>
        <v>4003.7399999999993</v>
      </c>
      <c r="E16" s="92">
        <f>E18+E24</f>
        <v>267.31</v>
      </c>
      <c r="F16" s="92">
        <f>F18+F24</f>
        <v>275.39999999999998</v>
      </c>
    </row>
    <row r="17" spans="1:6" customFormat="1" ht="14.25">
      <c r="A17" s="238" t="s">
        <v>158</v>
      </c>
      <c r="B17" s="239" t="str">
        <f ca="1">VLOOKUP($A17,'Orçamento Sintético'!$A:$H,4,0)</f>
        <v>CANTEIRO DE OBRAS</v>
      </c>
      <c r="C17" s="93">
        <f ca="1">ROUND(C18/$F$390,4)</f>
        <v>3.8999999999999998E-3</v>
      </c>
      <c r="D17" s="93">
        <f>ROUND(D18/$C18,4)</f>
        <v>0.33</v>
      </c>
      <c r="E17" s="93">
        <f>ROUND(E18/$C18,4)</f>
        <v>0.33</v>
      </c>
      <c r="F17" s="93">
        <f>ROUND(F18/$C18,4)</f>
        <v>0.34</v>
      </c>
    </row>
    <row r="18" spans="1:6" customFormat="1" ht="14.25">
      <c r="A18" s="238"/>
      <c r="B18" s="239"/>
      <c r="C18" s="94">
        <f ca="1">VLOOKUP($A17,'Orçamento Sintético'!$A:$H,8,0)</f>
        <v>810.02</v>
      </c>
      <c r="D18" s="94">
        <f>D20</f>
        <v>267.31</v>
      </c>
      <c r="E18" s="94">
        <f>E20</f>
        <v>267.31</v>
      </c>
      <c r="F18" s="94">
        <f>F20</f>
        <v>275.39999999999998</v>
      </c>
    </row>
    <row r="19" spans="1:6" customFormat="1" ht="14.25">
      <c r="A19" s="240" t="s">
        <v>252</v>
      </c>
      <c r="B19" s="241" t="str">
        <f ca="1">VLOOKUP($A19,'Orçamento Sintético'!$A:$H,4,0)</f>
        <v>Proteção e Sinalização</v>
      </c>
      <c r="C19" s="97">
        <f ca="1">ROUND(C20/$F$390,4)</f>
        <v>3.8999999999999998E-3</v>
      </c>
      <c r="D19" s="98">
        <f>ROUND(D20/$C20,4)</f>
        <v>0.33</v>
      </c>
      <c r="E19" s="98">
        <f>ROUND(E20/$C20,4)</f>
        <v>0.33</v>
      </c>
      <c r="F19" s="98">
        <f>ROUND(F20/$C20,4)</f>
        <v>0.34</v>
      </c>
    </row>
    <row r="20" spans="1:6" customFormat="1" ht="14.25">
      <c r="A20" s="240"/>
      <c r="B20" s="241"/>
      <c r="C20" s="99">
        <f ca="1">VLOOKUP($A19,'Orçamento Sintético'!$A:$H,8,0)</f>
        <v>810.02</v>
      </c>
      <c r="D20" s="100">
        <f>D22</f>
        <v>267.31</v>
      </c>
      <c r="E20" s="100">
        <f>E22</f>
        <v>267.31</v>
      </c>
      <c r="F20" s="100">
        <f>F22</f>
        <v>275.39999999999998</v>
      </c>
    </row>
    <row r="21" spans="1:6" customFormat="1" ht="14.25">
      <c r="A21" s="244" t="s">
        <v>254</v>
      </c>
      <c r="B21" s="245" t="str">
        <f ca="1">VLOOKUP($A21,'Orçamento Sintético'!$A:$H,4,0)</f>
        <v>Copia da SINAPI (85423) -Isolamento com tela de polietileno</v>
      </c>
      <c r="C21" s="95">
        <f ca="1">ROUND(C22/$F$390,4)</f>
        <v>3.8999999999999998E-3</v>
      </c>
      <c r="D21" s="95">
        <v>0.33</v>
      </c>
      <c r="E21" s="95">
        <v>0.33</v>
      </c>
      <c r="F21" s="95">
        <f>ROUND(F22/$C22,4)</f>
        <v>0.34</v>
      </c>
    </row>
    <row r="22" spans="1:6" customFormat="1" ht="14.25">
      <c r="A22" s="244"/>
      <c r="B22" s="246"/>
      <c r="C22" s="96">
        <f ca="1">VLOOKUP($A21,'Orçamento Sintético'!$A:$H,8,0)</f>
        <v>810.02</v>
      </c>
      <c r="D22" s="96">
        <f>ROUND($C22*D21,2)</f>
        <v>267.31</v>
      </c>
      <c r="E22" s="96">
        <f>ROUND($C22*E21,2)</f>
        <v>267.31</v>
      </c>
      <c r="F22" s="96">
        <f>$C22-SUM(D22:E22)</f>
        <v>275.39999999999998</v>
      </c>
    </row>
    <row r="23" spans="1:6" customFormat="1" ht="14.25">
      <c r="A23" s="238" t="s">
        <v>258</v>
      </c>
      <c r="B23" s="239" t="str">
        <f ca="1">VLOOKUP($A23,'Orçamento Sintético'!$A:$H,4,0)</f>
        <v>DEMOLIÇÃO</v>
      </c>
      <c r="C23" s="93">
        <f ca="1">ROUND(C24/$F$390,4)</f>
        <v>1.7999999999999999E-2</v>
      </c>
      <c r="D23" s="93">
        <f>ROUND(D24/$C24,4)</f>
        <v>1</v>
      </c>
      <c r="E23" s="93">
        <f>ROUND(E24/$C24,4)</f>
        <v>0</v>
      </c>
      <c r="F23" s="93">
        <f>ROUND(F24/$C24,4)</f>
        <v>0</v>
      </c>
    </row>
    <row r="24" spans="1:6" customFormat="1" ht="14.25">
      <c r="A24" s="238"/>
      <c r="B24" s="239"/>
      <c r="C24" s="94">
        <f ca="1">VLOOKUP($A23,'Orçamento Sintético'!$A:$H,8,0)</f>
        <v>3736.4299999999994</v>
      </c>
      <c r="D24" s="94">
        <f>D26+D38</f>
        <v>3736.4299999999994</v>
      </c>
      <c r="E24" s="94">
        <f>E26+E38</f>
        <v>0</v>
      </c>
      <c r="F24" s="94">
        <f>F26+F38</f>
        <v>0</v>
      </c>
    </row>
    <row r="25" spans="1:6" customFormat="1" ht="14.25">
      <c r="A25" s="240" t="s">
        <v>260</v>
      </c>
      <c r="B25" s="241" t="str">
        <f ca="1">VLOOKUP($A25,'Orçamento Sintético'!$A:$H,4,0)</f>
        <v>Demolição convencional</v>
      </c>
      <c r="C25" s="97">
        <f ca="1">ROUND(C26/$F$390,4)</f>
        <v>1.7899999999999999E-2</v>
      </c>
      <c r="D25" s="98">
        <f>ROUND(D26/$C26,4)</f>
        <v>1</v>
      </c>
      <c r="E25" s="98">
        <f>ROUND(E26/$C26,4)</f>
        <v>0</v>
      </c>
      <c r="F25" s="98">
        <f>ROUND(F26/$C26,4)</f>
        <v>0</v>
      </c>
    </row>
    <row r="26" spans="1:6" customFormat="1" ht="14.25">
      <c r="A26" s="240"/>
      <c r="B26" s="241"/>
      <c r="C26" s="99">
        <f ca="1">VLOOKUP($A25,'Orçamento Sintético'!$A:$H,8,0)</f>
        <v>3718.2699999999995</v>
      </c>
      <c r="D26" s="100">
        <f>D28+D30+D32+D34+D36</f>
        <v>3718.2699999999995</v>
      </c>
      <c r="E26" s="100">
        <f>E28+E30+E32+E34+E36</f>
        <v>0</v>
      </c>
      <c r="F26" s="100">
        <f>F28+F30+F32+F34+F36</f>
        <v>0</v>
      </c>
    </row>
    <row r="27" spans="1:6" customFormat="1" ht="14.25">
      <c r="A27" s="244" t="s">
        <v>262</v>
      </c>
      <c r="B27" s="245" t="str">
        <f ca="1">VLOOKUP($A27,'Orçamento Sintético'!$A:$H,4,0)</f>
        <v>DEMOLIÇÃO DE LAJES, DE FORMA MECANIZADA COM MARTELETE, SEM REAPROVEITAMENTO. AF_12/2017</v>
      </c>
      <c r="C27" s="95">
        <f ca="1">ROUND(C28/$F$390,4)</f>
        <v>5.0000000000000001E-4</v>
      </c>
      <c r="D27" s="95">
        <v>1</v>
      </c>
      <c r="E27" s="95"/>
      <c r="F27" s="95">
        <f>ROUND(F28/$C28,4)</f>
        <v>0</v>
      </c>
    </row>
    <row r="28" spans="1:6" customFormat="1" ht="14.25">
      <c r="A28" s="244"/>
      <c r="B28" s="246"/>
      <c r="C28" s="96">
        <f ca="1">VLOOKUP($A27,'Orçamento Sintético'!$A:$H,8,0)</f>
        <v>106.16</v>
      </c>
      <c r="D28" s="96">
        <f>ROUND($C28*D27,2)</f>
        <v>106.16</v>
      </c>
      <c r="E28" s="96">
        <f>ROUND($C28*E27,2)</f>
        <v>0</v>
      </c>
      <c r="F28" s="96">
        <f>$C28-SUM(D28:E28)</f>
        <v>0</v>
      </c>
    </row>
    <row r="29" spans="1:6" customFormat="1" ht="14.25">
      <c r="A29" s="244" t="s">
        <v>267</v>
      </c>
      <c r="B29" s="245" t="str">
        <f ca="1">VLOOKUP($A29,'Orçamento Sintético'!$A:$H,4,0)</f>
        <v>Escarificação de superfície de concreto, espessura até 5cm</v>
      </c>
      <c r="C29" s="95">
        <f ca="1">ROUND(C30/$F$390,4)</f>
        <v>2.0000000000000001E-4</v>
      </c>
      <c r="D29" s="95">
        <v>1</v>
      </c>
      <c r="E29" s="95"/>
      <c r="F29" s="95">
        <f>ROUND(F30/$C30,4)</f>
        <v>0</v>
      </c>
    </row>
    <row r="30" spans="1:6" customFormat="1" ht="14.25">
      <c r="A30" s="244"/>
      <c r="B30" s="246"/>
      <c r="C30" s="96">
        <f ca="1">VLOOKUP($A29,'Orçamento Sintético'!$A:$H,8,0)</f>
        <v>47.92</v>
      </c>
      <c r="D30" s="96">
        <f>ROUND($C30*D29,2)</f>
        <v>47.92</v>
      </c>
      <c r="E30" s="96">
        <f>ROUND($C30*E29,2)</f>
        <v>0</v>
      </c>
      <c r="F30" s="96">
        <f>$C30-SUM(D30:E30)</f>
        <v>0</v>
      </c>
    </row>
    <row r="31" spans="1:6" customFormat="1" ht="14.25">
      <c r="A31" s="244" t="s">
        <v>270</v>
      </c>
      <c r="B31" s="245" t="str">
        <f ca="1">VLOOKUP($A31,'Orçamento Sintético'!$A:$H,4,0)</f>
        <v>DEMOLIÇÃO DE ALVENARIA PARA QUALQUER TIPO DE BLOCO, DE FORMA MECANIZADA, SEM REAPROVEITAMENTO. AF_12/2017</v>
      </c>
      <c r="C31" s="95">
        <f ca="1">ROUND(C32/$F$390,4)</f>
        <v>8.0000000000000004E-4</v>
      </c>
      <c r="D31" s="95">
        <v>1</v>
      </c>
      <c r="E31" s="95"/>
      <c r="F31" s="95">
        <f>ROUND(F32/$C32,4)</f>
        <v>0</v>
      </c>
    </row>
    <row r="32" spans="1:6" customFormat="1" ht="14.25">
      <c r="A32" s="244"/>
      <c r="B32" s="246"/>
      <c r="C32" s="96">
        <f ca="1">VLOOKUP($A31,'Orçamento Sintético'!$A:$H,8,0)</f>
        <v>164.08</v>
      </c>
      <c r="D32" s="96">
        <f>ROUND($C32*D31,2)</f>
        <v>164.08</v>
      </c>
      <c r="E32" s="96">
        <f>ROUND($C32*E31,2)</f>
        <v>0</v>
      </c>
      <c r="F32" s="96">
        <f>$C32-SUM(D32:E32)</f>
        <v>0</v>
      </c>
    </row>
    <row r="33" spans="1:6" customFormat="1" ht="14.25">
      <c r="A33" s="244" t="s">
        <v>273</v>
      </c>
      <c r="B33" s="245" t="str">
        <f ca="1">VLOOKUP($A33,'Orçamento Sintético'!$A:$H,4,0)</f>
        <v>Demolição de camada de proteção mecânica, impermeabilização e regularização de base</v>
      </c>
      <c r="C33" s="95">
        <f ca="1">ROUND(C34/$F$390,4)</f>
        <v>1.12E-2</v>
      </c>
      <c r="D33" s="95">
        <v>1</v>
      </c>
      <c r="E33" s="95"/>
      <c r="F33" s="95">
        <f>ROUND(F34/$C34,4)</f>
        <v>0</v>
      </c>
    </row>
    <row r="34" spans="1:6" customFormat="1" ht="14.25">
      <c r="A34" s="244"/>
      <c r="B34" s="246"/>
      <c r="C34" s="96">
        <f ca="1">VLOOKUP($A33,'Orçamento Sintético'!$A:$H,8,0)</f>
        <v>2327</v>
      </c>
      <c r="D34" s="96">
        <f>ROUND($C34*D33,2)</f>
        <v>2327</v>
      </c>
      <c r="E34" s="96">
        <f>ROUND($C34*E33,2)</f>
        <v>0</v>
      </c>
      <c r="F34" s="96">
        <f>$C34-SUM(D34:E34)</f>
        <v>0</v>
      </c>
    </row>
    <row r="35" spans="1:6" customFormat="1" ht="14.25">
      <c r="A35" s="244" t="s">
        <v>276</v>
      </c>
      <c r="B35" s="245" t="str">
        <f ca="1">VLOOKUP($A35,'Orçamento Sintético'!$A:$H,4,0)</f>
        <v>Copia da FDE (15.50.001) - RASPAGEM DE IMPERMEABILIZAÇÃO</v>
      </c>
      <c r="C35" s="95">
        <f ca="1">ROUND(C36/$F$390,4)</f>
        <v>5.1999999999999998E-3</v>
      </c>
      <c r="D35" s="95">
        <v>1</v>
      </c>
      <c r="E35" s="95"/>
      <c r="F35" s="95">
        <f>ROUND(F36/$C36,4)</f>
        <v>0</v>
      </c>
    </row>
    <row r="36" spans="1:6" customFormat="1" ht="14.25">
      <c r="A36" s="244"/>
      <c r="B36" s="246"/>
      <c r="C36" s="96">
        <f ca="1">VLOOKUP($A35,'Orçamento Sintético'!$A:$H,8,0)</f>
        <v>1073.1099999999999</v>
      </c>
      <c r="D36" s="96">
        <f>ROUND($C36*D35,2)</f>
        <v>1073.1099999999999</v>
      </c>
      <c r="E36" s="96">
        <f>ROUND($C36*E35,2)</f>
        <v>0</v>
      </c>
      <c r="F36" s="96">
        <f>$C36-SUM(D36:E36)</f>
        <v>0</v>
      </c>
    </row>
    <row r="37" spans="1:6" customFormat="1" ht="14.25">
      <c r="A37" s="240" t="s">
        <v>279</v>
      </c>
      <c r="B37" s="241" t="str">
        <f ca="1">VLOOKUP($A37,'Orçamento Sintético'!$A:$H,4,0)</f>
        <v>Remoções</v>
      </c>
      <c r="C37" s="97">
        <f ca="1">ROUND(C38/$F$390,4)</f>
        <v>1E-4</v>
      </c>
      <c r="D37" s="98">
        <f>ROUND(D38/$C38,4)</f>
        <v>1</v>
      </c>
      <c r="E37" s="98">
        <f>ROUND(E38/$C38,4)</f>
        <v>0</v>
      </c>
      <c r="F37" s="98">
        <f>ROUND(F38/$C38,4)</f>
        <v>0</v>
      </c>
    </row>
    <row r="38" spans="1:6" customFormat="1" ht="14.25">
      <c r="A38" s="240"/>
      <c r="B38" s="241"/>
      <c r="C38" s="99">
        <f ca="1">VLOOKUP($A37,'Orçamento Sintético'!$A:$H,8,0)</f>
        <v>18.16</v>
      </c>
      <c r="D38" s="100">
        <f>D40+D42</f>
        <v>18.16</v>
      </c>
      <c r="E38" s="100">
        <f>E40+E42</f>
        <v>0</v>
      </c>
      <c r="F38" s="100">
        <f>F40+F42</f>
        <v>0</v>
      </c>
    </row>
    <row r="39" spans="1:6" customFormat="1" ht="14.25">
      <c r="A39" s="244" t="s">
        <v>281</v>
      </c>
      <c r="B39" s="245" t="str">
        <f ca="1">VLOOKUP($A39,'Orçamento Sintético'!$A:$H,4,0)</f>
        <v>REMOÇÃO DE TUBULAÇÕES (TUBOS E CONEXÕES) DE ÁGUA FRIA, DE FORMA MANUAL, SEM REAPROVEITAMENTO. AF_12/2017</v>
      </c>
      <c r="C39" s="95">
        <f ca="1">ROUND(C40/$F$390,4)</f>
        <v>1E-4</v>
      </c>
      <c r="D39" s="95">
        <v>1</v>
      </c>
      <c r="E39" s="95"/>
      <c r="F39" s="95">
        <f>ROUND(F40/$C40,4)</f>
        <v>0</v>
      </c>
    </row>
    <row r="40" spans="1:6" customFormat="1" ht="14.25">
      <c r="A40" s="244"/>
      <c r="B40" s="246"/>
      <c r="C40" s="96">
        <f ca="1">VLOOKUP($A39,'Orçamento Sintético'!$A:$H,8,0)</f>
        <v>11.6</v>
      </c>
      <c r="D40" s="96">
        <f>ROUND($C40*D39,2)</f>
        <v>11.6</v>
      </c>
      <c r="E40" s="96">
        <f>ROUND($C40*E39,2)</f>
        <v>0</v>
      </c>
      <c r="F40" s="96">
        <f>$C40-SUM(D40:E40)</f>
        <v>0</v>
      </c>
    </row>
    <row r="41" spans="1:6" customFormat="1" ht="14.25">
      <c r="A41" s="244" t="s">
        <v>285</v>
      </c>
      <c r="B41" s="245" t="str">
        <f ca="1">VLOOKUP($A41,'Orçamento Sintético'!$A:$H,4,0)</f>
        <v>Remoção de flanges, de forma manual, sem reaproveitamento</v>
      </c>
      <c r="C41" s="95">
        <f ca="1">ROUND(C42/$F$390,4)</f>
        <v>0</v>
      </c>
      <c r="D41" s="95">
        <v>1</v>
      </c>
      <c r="E41" s="95"/>
      <c r="F41" s="95">
        <f>ROUND(F42/$C42,4)</f>
        <v>0</v>
      </c>
    </row>
    <row r="42" spans="1:6" customFormat="1" ht="14.25">
      <c r="A42" s="244"/>
      <c r="B42" s="246"/>
      <c r="C42" s="96">
        <f ca="1">VLOOKUP($A41,'Orçamento Sintético'!$A:$H,8,0)</f>
        <v>6.56</v>
      </c>
      <c r="D42" s="96">
        <f>ROUND($C42*D41,2)</f>
        <v>6.56</v>
      </c>
      <c r="E42" s="96">
        <f>ROUND($C42*E41,2)</f>
        <v>0</v>
      </c>
      <c r="F42" s="96">
        <f>$C42-SUM(D42:E42)</f>
        <v>0</v>
      </c>
    </row>
    <row r="43" spans="1:6" customFormat="1" ht="14.25">
      <c r="A43" s="247" t="s">
        <v>289</v>
      </c>
      <c r="B43" s="248" t="str">
        <f ca="1">VLOOKUP($A43,'Orçamento Sintético'!$A:$H,4,0)</f>
        <v>FUNDAÇÕES E ESTRUTURAS</v>
      </c>
      <c r="C43" s="89">
        <f ca="1">ROUND(C44/$F$390,4)</f>
        <v>3.3399999999999999E-2</v>
      </c>
      <c r="D43" s="90">
        <f>ROUND(D44/$C44,4)</f>
        <v>1</v>
      </c>
      <c r="E43" s="90">
        <f>ROUND(E44/$C44,4)</f>
        <v>0</v>
      </c>
      <c r="F43" s="90">
        <f>ROUND(F44/$C44,4)</f>
        <v>0</v>
      </c>
    </row>
    <row r="44" spans="1:6" customFormat="1" ht="14.25">
      <c r="A44" s="247"/>
      <c r="B44" s="248"/>
      <c r="C44" s="91">
        <f ca="1">VLOOKUP($A43,'Orçamento Sintético'!$A:$H,8,0)</f>
        <v>6924.82</v>
      </c>
      <c r="D44" s="92">
        <f>D46</f>
        <v>6924.82</v>
      </c>
      <c r="E44" s="92">
        <f>E46</f>
        <v>0</v>
      </c>
      <c r="F44" s="92">
        <f>F46</f>
        <v>0</v>
      </c>
    </row>
    <row r="45" spans="1:6" customFormat="1" ht="14.25">
      <c r="A45" s="238" t="s">
        <v>291</v>
      </c>
      <c r="B45" s="239" t="str">
        <f ca="1">VLOOKUP($A45,'Orçamento Sintético'!$A:$H,4,0)</f>
        <v>ESTRUTURAS DE CONCRETO</v>
      </c>
      <c r="C45" s="93">
        <f ca="1">ROUND(C46/$F$390,4)</f>
        <v>3.3399999999999999E-2</v>
      </c>
      <c r="D45" s="93">
        <f>ROUND(D46/$C46,4)</f>
        <v>1</v>
      </c>
      <c r="E45" s="93">
        <f>ROUND(E46/$C46,4)</f>
        <v>0</v>
      </c>
      <c r="F45" s="93">
        <f>ROUND(F46/$C46,4)</f>
        <v>0</v>
      </c>
    </row>
    <row r="46" spans="1:6" customFormat="1" ht="14.25">
      <c r="A46" s="238"/>
      <c r="B46" s="239"/>
      <c r="C46" s="94">
        <f ca="1">VLOOKUP($A45,'Orçamento Sintético'!$A:$H,8,0)</f>
        <v>6924.82</v>
      </c>
      <c r="D46" s="94">
        <f>D48</f>
        <v>6924.82</v>
      </c>
      <c r="E46" s="94">
        <f>E48</f>
        <v>0</v>
      </c>
      <c r="F46" s="94">
        <f>F48</f>
        <v>0</v>
      </c>
    </row>
    <row r="47" spans="1:6" customFormat="1" ht="14.25">
      <c r="A47" s="240" t="s">
        <v>293</v>
      </c>
      <c r="B47" s="241" t="str">
        <f ca="1">VLOOKUP($A47,'Orçamento Sintético'!$A:$H,4,0)</f>
        <v>Concreto Armado</v>
      </c>
      <c r="C47" s="97">
        <f ca="1">ROUND(C48/$F$128,4)</f>
        <v>0.25259999999999999</v>
      </c>
      <c r="D47" s="98">
        <f>ROUND(D48/$C48,4)</f>
        <v>1</v>
      </c>
      <c r="E47" s="98">
        <f>ROUND(E48/$C48,4)</f>
        <v>0</v>
      </c>
      <c r="F47" s="98">
        <f>ROUND(F48/$C48,4)</f>
        <v>0</v>
      </c>
    </row>
    <row r="48" spans="1:6" customFormat="1" ht="14.25">
      <c r="A48" s="240"/>
      <c r="B48" s="241"/>
      <c r="C48" s="99">
        <f ca="1">VLOOKUP($A47,'Orçamento Sintético'!$A:$H,8,0)</f>
        <v>6924.82</v>
      </c>
      <c r="D48" s="100">
        <f>D50+D52+D54+D56+D58+D60+D62+D64+D66</f>
        <v>6924.82</v>
      </c>
      <c r="E48" s="100">
        <f>E50+E52+E54+E56+E58+E60+E62+E64+E66</f>
        <v>0</v>
      </c>
      <c r="F48" s="100">
        <f>F50+F52+F54+F56+F58+F60+F62+F64+F66</f>
        <v>0</v>
      </c>
    </row>
    <row r="49" spans="1:6" customFormat="1" ht="14.25">
      <c r="A49" s="244" t="s">
        <v>295</v>
      </c>
      <c r="B49" s="245" t="str">
        <f ca="1">VLOOKUP($A49,'Orçamento Sintético'!$A:$H,4,0)</f>
        <v>ARMAÇÃO DE PILAR OU VIGA DE UMA ESTRUTURA CONVENCIONAL DE CONCRETO ARMADO EM UMA EDIFICAÇÃO TÉRREA OU SOBRADO UTILIZANDO AÇO CA-50 DE 6,3 MM - MONTAGEM. AF_12/2015</v>
      </c>
      <c r="C49" s="95">
        <f ca="1">ROUND(C50/$F$390,4)</f>
        <v>2.5000000000000001E-3</v>
      </c>
      <c r="D49" s="95">
        <v>1</v>
      </c>
      <c r="E49" s="95"/>
      <c r="F49" s="95">
        <f>ROUND(F50/$C50,4)</f>
        <v>0</v>
      </c>
    </row>
    <row r="50" spans="1:6" customFormat="1" ht="14.25">
      <c r="A50" s="244"/>
      <c r="B50" s="246"/>
      <c r="C50" s="96">
        <f ca="1">VLOOKUP($A49,'Orçamento Sintético'!$A:$H,8,0)</f>
        <v>522</v>
      </c>
      <c r="D50" s="96">
        <f>ROUND($C50*D49,2)</f>
        <v>522</v>
      </c>
      <c r="E50" s="96">
        <f>ROUND($C50*E49,2)</f>
        <v>0</v>
      </c>
      <c r="F50" s="96">
        <f>$C50-SUM(D50:E50)</f>
        <v>0</v>
      </c>
    </row>
    <row r="51" spans="1:6" customFormat="1" ht="14.25">
      <c r="A51" s="244" t="s">
        <v>299</v>
      </c>
      <c r="B51" s="245" t="str">
        <f ca="1">VLOOKUP($A51,'Orçamento Sintético'!$A:$H,4,0)</f>
        <v>ARMAÇÃO DE PILAR OU VIGA DE UMA ESTRUTURA CONVENCIONAL DE CONCRETO ARMADO EM UMA EDIFICAÇÃO TÉRREA OU SOBRADO UTILIZANDO AÇO CA-50 DE 8,0 MM - MONTAGEM. AF_12/2015</v>
      </c>
      <c r="C51" s="95">
        <f ca="1">ROUND(C52/$F$390,4)</f>
        <v>2.5999999999999999E-3</v>
      </c>
      <c r="D51" s="95">
        <v>1</v>
      </c>
      <c r="E51" s="95"/>
      <c r="F51" s="95">
        <f>ROUND(F52/$C52,4)</f>
        <v>0</v>
      </c>
    </row>
    <row r="52" spans="1:6" customFormat="1" ht="14.25">
      <c r="A52" s="244"/>
      <c r="B52" s="246"/>
      <c r="C52" s="96">
        <f ca="1">VLOOKUP($A51,'Orçamento Sintético'!$A:$H,8,0)</f>
        <v>548.76</v>
      </c>
      <c r="D52" s="96">
        <f>ROUND($C52*D51,2)</f>
        <v>548.76</v>
      </c>
      <c r="E52" s="96">
        <f>ROUND($C52*E51,2)</f>
        <v>0</v>
      </c>
      <c r="F52" s="96">
        <f>$C52-SUM(D52:E52)</f>
        <v>0</v>
      </c>
    </row>
    <row r="53" spans="1:6" customFormat="1" ht="14.25">
      <c r="A53" s="244" t="s">
        <v>302</v>
      </c>
      <c r="B53" s="245" t="str">
        <f ca="1">VLOOKUP($A53,'Orçamento Sintético'!$A:$H,4,0)</f>
        <v>ARMAÇÃO DE PILAR OU VIGA DE UMA ESTRUTURA CONVENCIONAL DE CONCRETO ARMADO EM UMA EDIFICAÇÃO TÉRREA OU SOBRADO UTILIZANDO AÇO CA-50 DE 10,0 MM - MONTAGEM. AF_12/2015</v>
      </c>
      <c r="C53" s="95">
        <f ca="1">ROUND(C54/$F$390,4)</f>
        <v>7.7000000000000002E-3</v>
      </c>
      <c r="D53" s="95">
        <v>1</v>
      </c>
      <c r="E53" s="95"/>
      <c r="F53" s="95">
        <f>ROUND(F54/$C54,4)</f>
        <v>0</v>
      </c>
    </row>
    <row r="54" spans="1:6" customFormat="1" ht="14.25">
      <c r="A54" s="244"/>
      <c r="B54" s="246"/>
      <c r="C54" s="96">
        <f ca="1">VLOOKUP($A53,'Orçamento Sintético'!$A:$H,8,0)</f>
        <v>1604.96</v>
      </c>
      <c r="D54" s="96">
        <f>ROUND($C54*D53,2)</f>
        <v>1604.96</v>
      </c>
      <c r="E54" s="96">
        <f>ROUND($C54*E53,2)</f>
        <v>0</v>
      </c>
      <c r="F54" s="96">
        <f>$C54-SUM(D54:E54)</f>
        <v>0</v>
      </c>
    </row>
    <row r="55" spans="1:6" customFormat="1" ht="14.25">
      <c r="A55" s="244" t="s">
        <v>305</v>
      </c>
      <c r="B55" s="245" t="str">
        <f ca="1">VLOOKUP($A55,'Orçamento Sintético'!$A:$H,4,0)</f>
        <v>ARMAÇÃO DE PILAR OU VIGA DE UMA ESTRUTURA CONVENCIONAL DE CONCRETO ARMADO EM UMA EDIFICAÇÃO TÉRREA OU SOBRADO UTILIZANDO AÇO CA-50 DE 16,0 MM - MONTAGEM. AF_12/2015</v>
      </c>
      <c r="C55" s="95">
        <f ca="1">ROUND(C56/$F$390,4)</f>
        <v>3.0000000000000001E-3</v>
      </c>
      <c r="D55" s="95">
        <v>1</v>
      </c>
      <c r="E55" s="95"/>
      <c r="F55" s="95">
        <f>ROUND(F56/$C56,4)</f>
        <v>0</v>
      </c>
    </row>
    <row r="56" spans="1:6" customFormat="1" ht="14.25">
      <c r="A56" s="244"/>
      <c r="B56" s="246"/>
      <c r="C56" s="96">
        <f ca="1">VLOOKUP($A55,'Orçamento Sintético'!$A:$H,8,0)</f>
        <v>620.4</v>
      </c>
      <c r="D56" s="96">
        <f>ROUND($C56*D55,2)</f>
        <v>620.4</v>
      </c>
      <c r="E56" s="96">
        <f>ROUND($C56*E55,2)</f>
        <v>0</v>
      </c>
      <c r="F56" s="96">
        <f>$C56-SUM(D56:E56)</f>
        <v>0</v>
      </c>
    </row>
    <row r="57" spans="1:6" customFormat="1" ht="14.25">
      <c r="A57" s="244" t="s">
        <v>308</v>
      </c>
      <c r="B57" s="245" t="str">
        <f ca="1">VLOOKUP($A57,'Orçamento Sintético'!$A:$H,4,0)</f>
        <v>CONCRETO FCK = 40MPA, TRAÇO 1:1,6:1,9 (CIMENTO/ AREIA MÉDIA/ BRITA 1)  - PREPARO MECÂNICO COM BETONEIRA 600 L. AF_07/2016</v>
      </c>
      <c r="C57" s="95">
        <f ca="1">ROUND(C58/$F$390,4)</f>
        <v>2.2000000000000001E-3</v>
      </c>
      <c r="D57" s="95">
        <v>1</v>
      </c>
      <c r="E57" s="95"/>
      <c r="F57" s="95">
        <f>ROUND(F58/$C58,4)</f>
        <v>0</v>
      </c>
    </row>
    <row r="58" spans="1:6" customFormat="1" ht="14.25">
      <c r="A58" s="244"/>
      <c r="B58" s="246"/>
      <c r="C58" s="96">
        <f ca="1">VLOOKUP($A57,'Orçamento Sintético'!$A:$H,8,0)</f>
        <v>458.11</v>
      </c>
      <c r="D58" s="96">
        <f>ROUND($C58*D57,2)</f>
        <v>458.11</v>
      </c>
      <c r="E58" s="96">
        <f>ROUND($C58*E57,2)</f>
        <v>0</v>
      </c>
      <c r="F58" s="96">
        <f>$C58-SUM(D58:E58)</f>
        <v>0</v>
      </c>
    </row>
    <row r="59" spans="1:6" customFormat="1" ht="14.25">
      <c r="A59" s="244" t="s">
        <v>311</v>
      </c>
      <c r="B59" s="245" t="str">
        <f ca="1">VLOOKUP($A59,'Orçamento Sintético'!$A:$H,4,0)</f>
        <v>LANÇAMENTO COM USO DE BALDES, ADENSAMENTO E ACABAMENTO DE CONCRETO EM ESTRUTURAS. AF_12/2015</v>
      </c>
      <c r="C59" s="95">
        <f ca="1">ROUND(C60/$F$390,4)</f>
        <v>8.9999999999999998E-4</v>
      </c>
      <c r="D59" s="95">
        <v>1</v>
      </c>
      <c r="E59" s="95"/>
      <c r="F59" s="95">
        <f>ROUND(F60/$C60,4)</f>
        <v>0</v>
      </c>
    </row>
    <row r="60" spans="1:6" customFormat="1" ht="14.25">
      <c r="A60" s="244"/>
      <c r="B60" s="246"/>
      <c r="C60" s="96">
        <f ca="1">VLOOKUP($A59,'Orçamento Sintético'!$A:$H,8,0)</f>
        <v>186.89</v>
      </c>
      <c r="D60" s="96">
        <f>ROUND($C60*D59,2)</f>
        <v>186.89</v>
      </c>
      <c r="E60" s="96">
        <f>ROUND($C60*E59,2)</f>
        <v>0</v>
      </c>
      <c r="F60" s="96">
        <f>$C60-SUM(D60:E60)</f>
        <v>0</v>
      </c>
    </row>
    <row r="61" spans="1:6" customFormat="1" ht="14.25">
      <c r="A61" s="244" t="s">
        <v>314</v>
      </c>
      <c r="B61" s="245" t="str">
        <f ca="1">VLOOKUP($A61,'Orçamento Sintético'!$A:$H,4,0)</f>
        <v>Recomposição de laje, utilizando graute (Sikagrout-250) e colagem de ferragem com Sikadur-32</v>
      </c>
      <c r="C61" s="95">
        <f ca="1">ROUND(C62/$F$390,4)</f>
        <v>7.7999999999999996E-3</v>
      </c>
      <c r="D61" s="95">
        <v>1</v>
      </c>
      <c r="E61" s="95"/>
      <c r="F61" s="95">
        <f>ROUND(F62/$C62,4)</f>
        <v>0</v>
      </c>
    </row>
    <row r="62" spans="1:6" customFormat="1" ht="14.25">
      <c r="A62" s="244"/>
      <c r="B62" s="246"/>
      <c r="C62" s="96">
        <f ca="1">VLOOKUP($A61,'Orçamento Sintético'!$A:$H,8,0)</f>
        <v>1624.46</v>
      </c>
      <c r="D62" s="96">
        <f>ROUND($C62*D61,2)</f>
        <v>1624.46</v>
      </c>
      <c r="E62" s="96">
        <f>ROUND($C62*E61,2)</f>
        <v>0</v>
      </c>
      <c r="F62" s="96">
        <f>$C62-SUM(D62:E62)</f>
        <v>0</v>
      </c>
    </row>
    <row r="63" spans="1:6" customFormat="1" ht="14.25">
      <c r="A63" s="244" t="s">
        <v>318</v>
      </c>
      <c r="B63" s="245" t="str">
        <f ca="1">VLOOKUP($A63,'Orçamento Sintético'!$A:$H,4,0)</f>
        <v>ESCORAMENTO DE FÔRMAS DE LAJE EM MADEIRA NÃO APARELHADA, PÉ-DIREITO SIMPLES, INCLUSO TRAVAMENTO, 4 UTILIZAÇÕES. AF_09/2020</v>
      </c>
      <c r="C63" s="95">
        <f ca="1">ROUND(C64/$F$390,4)</f>
        <v>1.8E-3</v>
      </c>
      <c r="D63" s="95">
        <v>1</v>
      </c>
      <c r="E63" s="95"/>
      <c r="F63" s="95">
        <f>ROUND(F64/$C64,4)</f>
        <v>0</v>
      </c>
    </row>
    <row r="64" spans="1:6" customFormat="1" ht="14.25">
      <c r="A64" s="244"/>
      <c r="B64" s="246"/>
      <c r="C64" s="96">
        <f ca="1">VLOOKUP($A63,'Orçamento Sintético'!$A:$H,8,0)</f>
        <v>382.32</v>
      </c>
      <c r="D64" s="96">
        <f>ROUND($C64*D63,2)</f>
        <v>382.32</v>
      </c>
      <c r="E64" s="96">
        <f>ROUND($C64*E63,2)</f>
        <v>0</v>
      </c>
      <c r="F64" s="96">
        <f>$C64-SUM(D64:E64)</f>
        <v>0</v>
      </c>
    </row>
    <row r="65" spans="1:6" customFormat="1" ht="14.25">
      <c r="A65" s="244" t="s">
        <v>321</v>
      </c>
      <c r="B65" s="245" t="str">
        <f ca="1">VLOOKUP($A65,'Orçamento Sintético'!$A:$H,4,0)</f>
        <v>MONTAGEM E DESMONTAGEM DE FÔRMA DE PILARES RETANGULARES E ESTRUTURAS SIMILARES, PÉ-DIREITO SIMPLES, EM CHAPA DE MADEIRA COMPENSADA RESINADA, 4 UTILIZAÇÕES. AF_09/2020</v>
      </c>
      <c r="C65" s="95">
        <f ca="1">ROUND(C66/$F$390,4)</f>
        <v>4.7000000000000002E-3</v>
      </c>
      <c r="D65" s="95">
        <v>1</v>
      </c>
      <c r="E65" s="95"/>
      <c r="F65" s="95">
        <f>ROUND(F66/$C66,4)</f>
        <v>0</v>
      </c>
    </row>
    <row r="66" spans="1:6" customFormat="1" ht="14.25">
      <c r="A66" s="244"/>
      <c r="B66" s="246"/>
      <c r="C66" s="96">
        <f ca="1">VLOOKUP($A65,'Orçamento Sintético'!$A:$H,8,0)</f>
        <v>976.92</v>
      </c>
      <c r="D66" s="96">
        <f>ROUND($C66*D65,2)</f>
        <v>976.92</v>
      </c>
      <c r="E66" s="96">
        <f>ROUND($C66*E65,2)</f>
        <v>0</v>
      </c>
      <c r="F66" s="96">
        <f>$C66-SUM(D66:E66)</f>
        <v>0</v>
      </c>
    </row>
    <row r="67" spans="1:6" customFormat="1" ht="14.25">
      <c r="A67" s="247" t="s">
        <v>820</v>
      </c>
      <c r="B67" s="248" t="str">
        <f ca="1">VLOOKUP($A67,'Orçamento Sintético'!$A:$H,4,0)</f>
        <v>ARQUITETURA E URBANISMO</v>
      </c>
      <c r="C67" s="89">
        <f ca="1">ROUND(C68/$F$390,4)</f>
        <v>0.44850000000000001</v>
      </c>
      <c r="D67" s="90">
        <f>ROUND(D68/$C68,4)</f>
        <v>0.34989999999999999</v>
      </c>
      <c r="E67" s="90">
        <f>ROUND(E68/$C68,4)</f>
        <v>0.40310000000000001</v>
      </c>
      <c r="F67" s="90">
        <f>ROUND(F68/$C68,4)</f>
        <v>0.247</v>
      </c>
    </row>
    <row r="68" spans="1:6" customFormat="1" ht="14.25">
      <c r="A68" s="247"/>
      <c r="B68" s="248"/>
      <c r="C68" s="91">
        <f ca="1">VLOOKUP($A67,'Orçamento Sintético'!$A:$H,8,0)</f>
        <v>92965.349999999991</v>
      </c>
      <c r="D68" s="92">
        <f>D70</f>
        <v>32528.87</v>
      </c>
      <c r="E68" s="92">
        <f>E70</f>
        <v>37477.03</v>
      </c>
      <c r="F68" s="92">
        <f>F70</f>
        <v>22959.45</v>
      </c>
    </row>
    <row r="69" spans="1:6" customFormat="1" ht="14.25">
      <c r="A69" s="238" t="s">
        <v>821</v>
      </c>
      <c r="B69" s="239" t="str">
        <f ca="1">VLOOKUP($A69,'Orçamento Sintético'!$A:$H,4,0)</f>
        <v>ARQUITETURA</v>
      </c>
      <c r="C69" s="93">
        <f ca="1">ROUND(C70/$F$390,4)</f>
        <v>0.44850000000000001</v>
      </c>
      <c r="D69" s="93">
        <f>ROUND(D70/$C70,4)</f>
        <v>0.34989999999999999</v>
      </c>
      <c r="E69" s="93">
        <f>ROUND(E70/$C70,4)</f>
        <v>0.40310000000000001</v>
      </c>
      <c r="F69" s="93">
        <f>ROUND(F70/$C70,4)</f>
        <v>0.247</v>
      </c>
    </row>
    <row r="70" spans="1:6" customFormat="1" ht="14.25">
      <c r="A70" s="238"/>
      <c r="B70" s="239"/>
      <c r="C70" s="94">
        <f ca="1">VLOOKUP($A69,'Orçamento Sintético'!$A:$H,8,0)</f>
        <v>92965.349999999991</v>
      </c>
      <c r="D70" s="94">
        <f>D72+D76+D80+D86+D92+D108</f>
        <v>32528.87</v>
      </c>
      <c r="E70" s="94">
        <f>E72+E76+E80+E86+E92+E108</f>
        <v>37477.03</v>
      </c>
      <c r="F70" s="94">
        <f>F72+F76+F80+F86+F92+F108</f>
        <v>22959.45</v>
      </c>
    </row>
    <row r="71" spans="1:6" customFormat="1" ht="14.25">
      <c r="A71" s="240" t="s">
        <v>324</v>
      </c>
      <c r="B71" s="241" t="str">
        <f ca="1">VLOOKUP($A71,'Orçamento Sintético'!$A:$H,4,0)</f>
        <v>Parede</v>
      </c>
      <c r="C71" s="97">
        <f ca="1">ROUND(C72/$F$390,4)</f>
        <v>1.32E-2</v>
      </c>
      <c r="D71" s="98">
        <f>ROUND(D72/$C72,4)</f>
        <v>0</v>
      </c>
      <c r="E71" s="98">
        <f>ROUND(E72/$C72,4)</f>
        <v>1</v>
      </c>
      <c r="F71" s="98">
        <f>ROUND(F72/$C72,4)</f>
        <v>0</v>
      </c>
    </row>
    <row r="72" spans="1:6" customFormat="1" ht="14.25">
      <c r="A72" s="240"/>
      <c r="B72" s="241"/>
      <c r="C72" s="99">
        <f ca="1">VLOOKUP($A71,'Orçamento Sintético'!$A:$H,8,0)</f>
        <v>2745.68</v>
      </c>
      <c r="D72" s="100">
        <f>D74</f>
        <v>0</v>
      </c>
      <c r="E72" s="100">
        <f>E74</f>
        <v>2745.68</v>
      </c>
      <c r="F72" s="100">
        <f>F74</f>
        <v>0</v>
      </c>
    </row>
    <row r="73" spans="1:6" customFormat="1" ht="14.25">
      <c r="A73" s="244" t="s">
        <v>326</v>
      </c>
      <c r="B73" s="245" t="str">
        <f ca="1">VLOOKUP($A73,'Orçamento Sintético'!$A:$H,4,0)</f>
        <v>ALVENARIA DE VEDAÇÃO DE BLOCOS CERÂMICOS FURADOS NA HORIZONTAL DE 11,5X19X19CM (ESPESSURA 11,5CM) DE PAREDES COM ÁREA LÍQUIDA MENOR QUE 6M² COM VÃOS E ARGAMASSA DE ASSENTAMENTO COM PREPARO EM BETONEIRA. AF_06/2014</v>
      </c>
      <c r="C73" s="95">
        <f ca="1">ROUND(C74/$F$390,4)</f>
        <v>1.32E-2</v>
      </c>
      <c r="D73" s="95"/>
      <c r="E73" s="95">
        <v>1</v>
      </c>
      <c r="F73" s="95">
        <f>ROUND(F74/$C74,4)</f>
        <v>0</v>
      </c>
    </row>
    <row r="74" spans="1:6" customFormat="1" ht="14.25">
      <c r="A74" s="244"/>
      <c r="B74" s="246"/>
      <c r="C74" s="96">
        <f ca="1">VLOOKUP($A73,'Orçamento Sintético'!$A:$H,8,0)</f>
        <v>2745.68</v>
      </c>
      <c r="D74" s="96">
        <f>ROUND($C74*D73,2)</f>
        <v>0</v>
      </c>
      <c r="E74" s="96">
        <f>ROUND($C74*E73,2)</f>
        <v>2745.68</v>
      </c>
      <c r="F74" s="96">
        <f>$C74-SUM(D74:E74)</f>
        <v>0</v>
      </c>
    </row>
    <row r="75" spans="1:6" customFormat="1" ht="14.25">
      <c r="A75" s="240" t="s">
        <v>329</v>
      </c>
      <c r="B75" s="241" t="str">
        <f ca="1">VLOOKUP($A75,'Orçamento Sintético'!$A:$H,4,0)</f>
        <v>Esquadrias</v>
      </c>
      <c r="C75" s="97">
        <f ca="1">ROUND(C76/$F$390,4)</f>
        <v>4.41E-2</v>
      </c>
      <c r="D75" s="98">
        <f>ROUND(D76/$C76,4)</f>
        <v>0</v>
      </c>
      <c r="E75" s="98">
        <f>ROUND(E76/$C76,4)</f>
        <v>0</v>
      </c>
      <c r="F75" s="98">
        <f>ROUND(F76/$C76,4)</f>
        <v>1</v>
      </c>
    </row>
    <row r="76" spans="1:6" customFormat="1" ht="14.25">
      <c r="A76" s="240"/>
      <c r="B76" s="241"/>
      <c r="C76" s="99">
        <f ca="1">VLOOKUP($A75,'Orçamento Sintético'!$A:$H,8,0)</f>
        <v>9141.48</v>
      </c>
      <c r="D76" s="100">
        <f>D78</f>
        <v>0</v>
      </c>
      <c r="E76" s="100">
        <f>E78</f>
        <v>0</v>
      </c>
      <c r="F76" s="100">
        <f>F78</f>
        <v>9141.48</v>
      </c>
    </row>
    <row r="77" spans="1:6" customFormat="1" ht="14.25">
      <c r="A77" s="244" t="s">
        <v>331</v>
      </c>
      <c r="B77" s="245" t="str">
        <f ca="1">VLOOKUP($A77,'Orçamento Sintético'!$A:$H,4,0)</f>
        <v>Claraboia metálica com grade  de fechamento - estrutura em metalon 50x50mm, #2,0 mm; tampa em chapa metálica lisa, e=3,0 mm, dobrada e soldada; lateral em veneziana 50x24mm, #16 e tela anti inseto; grade em metalon 50x30mm e 20x30mm e=2,0. Incluso fundo preparador e pintura esmalte</v>
      </c>
      <c r="C77" s="95">
        <f ca="1">ROUND(C78/$F$390,4)</f>
        <v>4.41E-2</v>
      </c>
      <c r="D77" s="95"/>
      <c r="E77" s="95"/>
      <c r="F77" s="95">
        <f>ROUND(F78/$C78,4)</f>
        <v>1</v>
      </c>
    </row>
    <row r="78" spans="1:6" customFormat="1" ht="14.25">
      <c r="A78" s="244"/>
      <c r="B78" s="246"/>
      <c r="C78" s="96">
        <f ca="1">VLOOKUP($A77,'Orçamento Sintético'!$A:$H,8,0)</f>
        <v>9141.48</v>
      </c>
      <c r="D78" s="96">
        <f>ROUND($C78*D77,2)</f>
        <v>0</v>
      </c>
      <c r="E78" s="96">
        <f>ROUND($C78*E77,2)</f>
        <v>0</v>
      </c>
      <c r="F78" s="96">
        <f>$C78-SUM(D78:E78)</f>
        <v>9141.48</v>
      </c>
    </row>
    <row r="79" spans="1:6" customFormat="1" ht="14.25">
      <c r="A79" s="240" t="s">
        <v>335</v>
      </c>
      <c r="B79" s="241" t="str">
        <f ca="1">VLOOKUP($A79,'Orçamento Sintético'!$A:$H,4,0)</f>
        <v>Revestimentos de paredes</v>
      </c>
      <c r="C79" s="97">
        <f ca="1">ROUND(C80/$F$390,4)</f>
        <v>1.06E-2</v>
      </c>
      <c r="D79" s="98">
        <f>ROUND(D80/$C80,4)</f>
        <v>0</v>
      </c>
      <c r="E79" s="98">
        <f>ROUND(E80/$C80,4)</f>
        <v>1</v>
      </c>
      <c r="F79" s="98">
        <f>ROUND(F80/$C80,4)</f>
        <v>0</v>
      </c>
    </row>
    <row r="80" spans="1:6" customFormat="1" ht="14.25">
      <c r="A80" s="240"/>
      <c r="B80" s="241"/>
      <c r="C80" s="99">
        <f ca="1">VLOOKUP($A79,'Orçamento Sintético'!$A:$H,8,0)</f>
        <v>2202.48</v>
      </c>
      <c r="D80" s="100">
        <f>D82+D84</f>
        <v>0</v>
      </c>
      <c r="E80" s="100">
        <f>E82+E84</f>
        <v>2202.48</v>
      </c>
      <c r="F80" s="100">
        <f>F82+F84</f>
        <v>0</v>
      </c>
    </row>
    <row r="81" spans="1:6" customFormat="1" ht="14.25">
      <c r="A81" s="244" t="s">
        <v>337</v>
      </c>
      <c r="B81" s="245" t="str">
        <f ca="1">VLOOKUP($A81,'Orçamento Sintético'!$A:$H,4,0)</f>
        <v>CHAPISCO APLICADO EM ALVENARIA (COM PRESENÇA DE VÃOS) E ESTRUTURAS DE CONCRETO DE FACHADA, COM COLHER DE PEDREIRO.  ARGAMASSA TRAÇO 1:3 COM PREPARO EM BETONEIRA 400L. AF_06/2014</v>
      </c>
      <c r="C81" s="95">
        <f ca="1">ROUND(C82/$F$390,4)</f>
        <v>2.0999999999999999E-3</v>
      </c>
      <c r="D81" s="95"/>
      <c r="E81" s="95">
        <v>1</v>
      </c>
      <c r="F81" s="95">
        <f>ROUND(F82/$C82,4)</f>
        <v>0</v>
      </c>
    </row>
    <row r="82" spans="1:6" customFormat="1" ht="14.25">
      <c r="A82" s="244"/>
      <c r="B82" s="246"/>
      <c r="C82" s="96">
        <f ca="1">VLOOKUP($A81,'Orçamento Sintético'!$A:$H,8,0)</f>
        <v>437.36</v>
      </c>
      <c r="D82" s="96">
        <f>ROUND($C82*D81,2)</f>
        <v>0</v>
      </c>
      <c r="E82" s="96">
        <f>ROUND($C82*E81,2)</f>
        <v>437.36</v>
      </c>
      <c r="F82" s="96">
        <f>$C82-SUM(D82:E82)</f>
        <v>0</v>
      </c>
    </row>
    <row r="83" spans="1:6" customFormat="1" ht="14.25">
      <c r="A83" s="244" t="s">
        <v>340</v>
      </c>
      <c r="B83" s="245" t="str">
        <f ca="1">VLOOKUP($A83,'Orçamento Sintético'!$A:$H,4,0)</f>
        <v>(COMPOSIÇÃO REPRESENTATIVA) DO SERVIÇO DE EMBOÇO/MASSA ÚNICA, APLICADO MANUALMENTE, TRAÇO 1:2:8, EM BETONEIRA DE 400L, PAREDES INTERNAS, COM EXECUÇÃO DE TALISCAS, EDIFICAÇÃO HABITACIONAL UNIFAMILIAR (CASAS) E EDIFICAÇÃO PÚBLICA PADRÃO. AF_12/2014</v>
      </c>
      <c r="C83" s="95">
        <f ca="1">ROUND(C84/$F$390,4)</f>
        <v>8.5000000000000006E-3</v>
      </c>
      <c r="D83" s="95"/>
      <c r="E83" s="95">
        <v>1</v>
      </c>
      <c r="F83" s="95">
        <f>ROUND(F84/$C84,4)</f>
        <v>0</v>
      </c>
    </row>
    <row r="84" spans="1:6" customFormat="1" ht="14.25">
      <c r="A84" s="244"/>
      <c r="B84" s="246"/>
      <c r="C84" s="96">
        <f ca="1">VLOOKUP($A83,'Orçamento Sintético'!$A:$H,8,0)</f>
        <v>1765.12</v>
      </c>
      <c r="D84" s="96">
        <f>ROUND($C84*D83,2)</f>
        <v>0</v>
      </c>
      <c r="E84" s="96">
        <f>ROUND($C84*E83,2)</f>
        <v>1765.12</v>
      </c>
      <c r="F84" s="96">
        <f>$C84-SUM(D84:E84)</f>
        <v>0</v>
      </c>
    </row>
    <row r="85" spans="1:6" customFormat="1" ht="14.25">
      <c r="A85" s="240" t="s">
        <v>343</v>
      </c>
      <c r="B85" s="241" t="str">
        <f ca="1">VLOOKUP($A85,'Orçamento Sintético'!$A:$H,4,0)</f>
        <v>Revestimentos de forro</v>
      </c>
      <c r="C85" s="97">
        <f ca="1">ROUND(C86/$F$390,4)</f>
        <v>1.1900000000000001E-2</v>
      </c>
      <c r="D85" s="98">
        <f>ROUND(D86/$C86,4)</f>
        <v>0</v>
      </c>
      <c r="E85" s="98">
        <f>ROUND(E86/$C86,4)</f>
        <v>0</v>
      </c>
      <c r="F85" s="98">
        <f>ROUND(F86/$C86,4)</f>
        <v>1</v>
      </c>
    </row>
    <row r="86" spans="1:6" customFormat="1" ht="14.25">
      <c r="A86" s="240"/>
      <c r="B86" s="241"/>
      <c r="C86" s="99">
        <f ca="1">VLOOKUP($A85,'Orçamento Sintético'!$A:$H,8,0)</f>
        <v>2464.4</v>
      </c>
      <c r="D86" s="100">
        <f>D88+D90</f>
        <v>0</v>
      </c>
      <c r="E86" s="100">
        <f>E88+E90</f>
        <v>0</v>
      </c>
      <c r="F86" s="100">
        <f>F88+F90</f>
        <v>2464.4</v>
      </c>
    </row>
    <row r="87" spans="1:6" customFormat="1" ht="14.25">
      <c r="A87" s="244" t="s">
        <v>345</v>
      </c>
      <c r="B87" s="245" t="str">
        <f ca="1">VLOOKUP($A87,'Orçamento Sintético'!$A:$H,4,0)</f>
        <v>FORRO EM DRYWALL, PARA AMBIENTES COMERCIAIS, INCLUSIVE ESTRUTURA DE FIXAÇÃO. AF_05/2017_P</v>
      </c>
      <c r="C87" s="95">
        <f ca="1">ROUND(C88/$F$390,4)</f>
        <v>9.1000000000000004E-3</v>
      </c>
      <c r="D87" s="95"/>
      <c r="E87" s="95"/>
      <c r="F87" s="95">
        <f>ROUND(F88/$C88,4)</f>
        <v>1</v>
      </c>
    </row>
    <row r="88" spans="1:6" customFormat="1" ht="14.25">
      <c r="A88" s="244"/>
      <c r="B88" s="246"/>
      <c r="C88" s="96">
        <f ca="1">VLOOKUP($A87,'Orçamento Sintético'!$A:$H,8,0)</f>
        <v>1896.32</v>
      </c>
      <c r="D88" s="96">
        <f>ROUND($C88*D87,2)</f>
        <v>0</v>
      </c>
      <c r="E88" s="96">
        <f>ROUND($C88*E87,2)</f>
        <v>0</v>
      </c>
      <c r="F88" s="96">
        <f>$C88-SUM(D88:E88)</f>
        <v>1896.32</v>
      </c>
    </row>
    <row r="89" spans="1:6" customFormat="1" ht="14.25">
      <c r="A89" s="244" t="s">
        <v>348</v>
      </c>
      <c r="B89" s="245" t="str">
        <f ca="1">VLOOKUP($A89,'Orçamento Sintético'!$A:$H,4,0)</f>
        <v>Tabica metálica pré pintada, para forro em gesso acartonado</v>
      </c>
      <c r="C89" s="95">
        <f ca="1">ROUND(C90/$F$390,4)</f>
        <v>2.7000000000000001E-3</v>
      </c>
      <c r="D89" s="95"/>
      <c r="E89" s="95"/>
      <c r="F89" s="95">
        <f>ROUND(F90/$C90,4)</f>
        <v>1</v>
      </c>
    </row>
    <row r="90" spans="1:6" customFormat="1" ht="14.25">
      <c r="A90" s="244"/>
      <c r="B90" s="246"/>
      <c r="C90" s="96">
        <f ca="1">VLOOKUP($A89,'Orçamento Sintético'!$A:$H,8,0)</f>
        <v>568.08000000000004</v>
      </c>
      <c r="D90" s="96">
        <f>ROUND($C90*D89,2)</f>
        <v>0</v>
      </c>
      <c r="E90" s="96">
        <f>ROUND($C90*E89,2)</f>
        <v>0</v>
      </c>
      <c r="F90" s="96">
        <f>$C90-SUM(D90:E90)</f>
        <v>568.08000000000004</v>
      </c>
    </row>
    <row r="91" spans="1:6" customFormat="1" ht="14.25">
      <c r="A91" s="240" t="s">
        <v>352</v>
      </c>
      <c r="B91" s="241" t="str">
        <f ca="1">VLOOKUP($A91,'Orçamento Sintético'!$A:$H,4,0)</f>
        <v>Pinturas</v>
      </c>
      <c r="C91" s="97">
        <f ca="1">ROUND(C92/$F$390,4)</f>
        <v>5.4800000000000001E-2</v>
      </c>
      <c r="D91" s="98">
        <f>ROUND(D92/$C92,4)</f>
        <v>0</v>
      </c>
      <c r="E91" s="98">
        <f>ROUND(E92/$C92,4)</f>
        <v>0</v>
      </c>
      <c r="F91" s="98">
        <f>ROUND(F92/$C92,4)</f>
        <v>1</v>
      </c>
    </row>
    <row r="92" spans="1:6" customFormat="1" ht="14.25">
      <c r="A92" s="240"/>
      <c r="B92" s="241"/>
      <c r="C92" s="99">
        <f ca="1">VLOOKUP($A91,'Orçamento Sintético'!$A:$H,8,0)</f>
        <v>11353.59</v>
      </c>
      <c r="D92" s="100">
        <f>D94+D96+D98+D100+D102+D104+D106</f>
        <v>0</v>
      </c>
      <c r="E92" s="100">
        <f>E94+E96+E98+E100+E102+E104+E106</f>
        <v>0</v>
      </c>
      <c r="F92" s="100">
        <f>F94+F96+F98+F100+F102+F104+F106</f>
        <v>11353.59</v>
      </c>
    </row>
    <row r="93" spans="1:6" customFormat="1" ht="14.25">
      <c r="A93" s="244" t="s">
        <v>354</v>
      </c>
      <c r="B93" s="245" t="str">
        <f ca="1">VLOOKUP($A93,'Orçamento Sintético'!$A:$H,4,0)</f>
        <v>APLICAÇÃO MANUAL DE PINTURA COM TINTA TEXTURIZADA ACRÍLICA EM PANOS COM PRESENÇA DE VÃOS DE EDIFÍCIOS DE MÚLTIPLOS PAVIMENTOS, UMA COR. AF_06/2014</v>
      </c>
      <c r="C93" s="95">
        <f ca="1">ROUND(C94/$F$390,4)</f>
        <v>1.52E-2</v>
      </c>
      <c r="D93" s="95"/>
      <c r="E93" s="95"/>
      <c r="F93" s="95">
        <f>ROUND(F94/$C94,4)</f>
        <v>1</v>
      </c>
    </row>
    <row r="94" spans="1:6" customFormat="1" ht="14.25">
      <c r="A94" s="244"/>
      <c r="B94" s="246"/>
      <c r="C94" s="96">
        <f ca="1">VLOOKUP($A93,'Orçamento Sintético'!$A:$H,8,0)</f>
        <v>3141</v>
      </c>
      <c r="D94" s="96">
        <f>ROUND($C94*D93,2)</f>
        <v>0</v>
      </c>
      <c r="E94" s="96">
        <f>ROUND($C94*E93,2)</f>
        <v>0</v>
      </c>
      <c r="F94" s="96">
        <f>$C94-SUM(D94:E94)</f>
        <v>3141</v>
      </c>
    </row>
    <row r="95" spans="1:6" customFormat="1" ht="14.25">
      <c r="A95" s="244" t="s">
        <v>357</v>
      </c>
      <c r="B95" s="245" t="str">
        <f ca="1">VLOOKUP($A95,'Orçamento Sintético'!$A:$H,4,0)</f>
        <v>PINTURA DE PISO COM TINTA ACRÍLICA, APLICAÇÃO MANUAL, 2 DEMÃOS, INCLUSO FUNDO PREPARADOR. AF_05/2021</v>
      </c>
      <c r="C95" s="95">
        <f ca="1">ROUND(C96/$F$390,4)</f>
        <v>4.1999999999999997E-3</v>
      </c>
      <c r="D95" s="95"/>
      <c r="E95" s="95"/>
      <c r="F95" s="95">
        <f>ROUND(F96/$C96,4)</f>
        <v>1</v>
      </c>
    </row>
    <row r="96" spans="1:6" customFormat="1" ht="14.25">
      <c r="A96" s="244"/>
      <c r="B96" s="246"/>
      <c r="C96" s="96">
        <f ca="1">VLOOKUP($A95,'Orçamento Sintético'!$A:$H,8,0)</f>
        <v>871.32</v>
      </c>
      <c r="D96" s="96">
        <f>ROUND($C96*D95,2)</f>
        <v>0</v>
      </c>
      <c r="E96" s="96">
        <f>ROUND($C96*E95,2)</f>
        <v>0</v>
      </c>
      <c r="F96" s="96">
        <f>$C96-SUM(D96:E96)</f>
        <v>871.32</v>
      </c>
    </row>
    <row r="97" spans="1:6" customFormat="1" ht="14.25">
      <c r="A97" s="244" t="s">
        <v>360</v>
      </c>
      <c r="B97" s="245" t="str">
        <f ca="1">VLOOKUP($A97,'Orçamento Sintético'!$A:$H,4,0)</f>
        <v>APLICAÇÃO MANUAL DE PINTURA COM TINTA LÁTEX ACRÍLICA EM PAREDES, DUAS DEMÃOS. AF_06/2014</v>
      </c>
      <c r="C97" s="95">
        <f ca="1">ROUND(C98/$F$390,4)</f>
        <v>6.1999999999999998E-3</v>
      </c>
      <c r="D97" s="95"/>
      <c r="E97" s="95"/>
      <c r="F97" s="95">
        <f>ROUND(F98/$C98,4)</f>
        <v>1</v>
      </c>
    </row>
    <row r="98" spans="1:6" customFormat="1" ht="14.25">
      <c r="A98" s="244"/>
      <c r="B98" s="246"/>
      <c r="C98" s="96">
        <f ca="1">VLOOKUP($A97,'Orçamento Sintético'!$A:$H,8,0)</f>
        <v>1292.94</v>
      </c>
      <c r="D98" s="96">
        <f>ROUND($C98*D97,2)</f>
        <v>0</v>
      </c>
      <c r="E98" s="96">
        <f>ROUND($C98*E97,2)</f>
        <v>0</v>
      </c>
      <c r="F98" s="96">
        <f>$C98-SUM(D98:E98)</f>
        <v>1292.94</v>
      </c>
    </row>
    <row r="99" spans="1:6" customFormat="1" ht="14.25">
      <c r="A99" s="244" t="s">
        <v>363</v>
      </c>
      <c r="B99" s="245" t="str">
        <f ca="1">VLOOKUP($A99,'Orçamento Sintético'!$A:$H,4,0)</f>
        <v>APLICAÇÃO MANUAL DE MASSA ACRÍLICA EM PANOS DE FACHADA COM PRESENÇA DE VÃOS, DE EDIFÍCIOS DE MÚLTIPLOS PAVIMENTOS, DUAS DEMÃOS. AF_05/2017</v>
      </c>
      <c r="C99" s="95">
        <f ca="1">ROUND(C100/$F$390,4)</f>
        <v>2.5700000000000001E-2</v>
      </c>
      <c r="D99" s="95"/>
      <c r="E99" s="95"/>
      <c r="F99" s="95">
        <f>ROUND(F100/$C100,4)</f>
        <v>1</v>
      </c>
    </row>
    <row r="100" spans="1:6" customFormat="1" ht="14.25">
      <c r="A100" s="244"/>
      <c r="B100" s="246"/>
      <c r="C100" s="96">
        <f ca="1">VLOOKUP($A99,'Orçamento Sintético'!$A:$H,8,0)</f>
        <v>5317.44</v>
      </c>
      <c r="D100" s="96">
        <f>ROUND($C100*D99,2)</f>
        <v>0</v>
      </c>
      <c r="E100" s="96">
        <f>ROUND($C100*E99,2)</f>
        <v>0</v>
      </c>
      <c r="F100" s="96">
        <f>$C100-SUM(D100:E100)</f>
        <v>5317.44</v>
      </c>
    </row>
    <row r="101" spans="1:6" customFormat="1" ht="14.25">
      <c r="A101" s="244" t="s">
        <v>366</v>
      </c>
      <c r="B101" s="245" t="str">
        <f ca="1">VLOOKUP($A101,'Orçamento Sintético'!$A:$H,4,0)</f>
        <v>APLICAÇÃO MANUAL DE PINTURA COM TINTA LÁTEX ACRÍLICA EM TETO, DUAS DEMÃOS. AF_06/2014</v>
      </c>
      <c r="C101" s="95">
        <f ca="1">ROUND(C102/$F$390,4)</f>
        <v>5.9999999999999995E-4</v>
      </c>
      <c r="D101" s="95"/>
      <c r="E101" s="95"/>
      <c r="F101" s="95">
        <f>ROUND(F102/$C102,4)</f>
        <v>1</v>
      </c>
    </row>
    <row r="102" spans="1:6" customFormat="1" ht="14.25">
      <c r="A102" s="244"/>
      <c r="B102" s="246"/>
      <c r="C102" s="96">
        <f ca="1">VLOOKUP($A101,'Orçamento Sintético'!$A:$H,8,0)</f>
        <v>133.47</v>
      </c>
      <c r="D102" s="96">
        <f>ROUND($C102*D101,2)</f>
        <v>0</v>
      </c>
      <c r="E102" s="96">
        <f>ROUND($C102*E101,2)</f>
        <v>0</v>
      </c>
      <c r="F102" s="96">
        <f>$C102-SUM(D102:E102)</f>
        <v>133.47</v>
      </c>
    </row>
    <row r="103" spans="1:6" customFormat="1" ht="14.25">
      <c r="A103" s="244" t="s">
        <v>369</v>
      </c>
      <c r="B103" s="245" t="str">
        <f ca="1">VLOOKUP($A103,'Orçamento Sintético'!$A:$H,4,0)</f>
        <v>APLICAÇÃO E LIXAMENTO DE MASSA LÁTEX EM TETO, DUAS DEMÃOS. AF_06/2014</v>
      </c>
      <c r="C103" s="95">
        <f ca="1">ROUND(C104/$F$390,4)</f>
        <v>1.1000000000000001E-3</v>
      </c>
      <c r="D103" s="95"/>
      <c r="E103" s="95"/>
      <c r="F103" s="95">
        <f>ROUND(F104/$C104,4)</f>
        <v>1</v>
      </c>
    </row>
    <row r="104" spans="1:6" customFormat="1" ht="14.25">
      <c r="A104" s="244"/>
      <c r="B104" s="246"/>
      <c r="C104" s="96">
        <f ca="1">VLOOKUP($A103,'Orçamento Sintético'!$A:$H,8,0)</f>
        <v>225.27</v>
      </c>
      <c r="D104" s="96">
        <f>ROUND($C104*D103,2)</f>
        <v>0</v>
      </c>
      <c r="E104" s="96">
        <f>ROUND($C104*E103,2)</f>
        <v>0</v>
      </c>
      <c r="F104" s="96">
        <f>$C104-SUM(D104:E104)</f>
        <v>225.27</v>
      </c>
    </row>
    <row r="105" spans="1:6" customFormat="1" ht="14.25">
      <c r="A105" s="244" t="s">
        <v>372</v>
      </c>
      <c r="B105" s="245" t="str">
        <f ca="1">VLOOKUP($A105,'Orçamento Sintético'!$A:$H,4,0)</f>
        <v>PINTURA COM TINTA ALQUÍDICA DE ACABAMENTO (ESMALTE SINTÉTICO FOSCO) APLICADA A ROLO OU PINCEL SOBRE SUPERFÍCIES METÁLICAS (EXCETO PERFIL) EXECUTADO EM OBRA (02 DEMÃOS). AF_01/2020</v>
      </c>
      <c r="C105" s="95">
        <f ca="1">ROUND(C106/$F$390,4)</f>
        <v>1.8E-3</v>
      </c>
      <c r="D105" s="95"/>
      <c r="E105" s="95"/>
      <c r="F105" s="95">
        <f>ROUND(F106/$C106,4)</f>
        <v>1</v>
      </c>
    </row>
    <row r="106" spans="1:6" customFormat="1" ht="14.25">
      <c r="A106" s="244"/>
      <c r="B106" s="246"/>
      <c r="C106" s="96">
        <f ca="1">VLOOKUP($A105,'Orçamento Sintético'!$A:$H,8,0)</f>
        <v>372.15</v>
      </c>
      <c r="D106" s="96">
        <f>ROUND($C106*D105,2)</f>
        <v>0</v>
      </c>
      <c r="E106" s="96">
        <f>ROUND($C106*E105,2)</f>
        <v>0</v>
      </c>
      <c r="F106" s="96">
        <f>$C106-SUM(D106:E106)</f>
        <v>372.15</v>
      </c>
    </row>
    <row r="107" spans="1:6" customFormat="1" ht="14.25">
      <c r="A107" s="240" t="s">
        <v>375</v>
      </c>
      <c r="B107" s="241" t="str">
        <f ca="1">VLOOKUP($A107,'Orçamento Sintético'!$A:$H,4,0)</f>
        <v>Impermeabilizações</v>
      </c>
      <c r="C107" s="97">
        <f ca="1">ROUND(C108/$F$390,4)</f>
        <v>0.31380000000000002</v>
      </c>
      <c r="D107" s="98">
        <f>ROUND(D108/$C108,4)</f>
        <v>0.5</v>
      </c>
      <c r="E107" s="98">
        <f>ROUND(E108/$C108,4)</f>
        <v>0.5</v>
      </c>
      <c r="F107" s="98">
        <f>ROUND(F108/$C108,4)</f>
        <v>0</v>
      </c>
    </row>
    <row r="108" spans="1:6" customFormat="1" ht="14.25">
      <c r="A108" s="240"/>
      <c r="B108" s="241"/>
      <c r="C108" s="99">
        <f ca="1">VLOOKUP($A107,'Orçamento Sintético'!$A:$H,8,0)</f>
        <v>65057.719999999994</v>
      </c>
      <c r="D108" s="100">
        <f>D110+D112+D114+D116+D118+D120+D122+D124</f>
        <v>32528.87</v>
      </c>
      <c r="E108" s="100">
        <f>E110+E112+E114+E116+E118+E120+E122+E124</f>
        <v>32528.87</v>
      </c>
      <c r="F108" s="100">
        <f>F110+F112+F114+F116+F118+F120+F122+F124</f>
        <v>-2.0000000000209184E-2</v>
      </c>
    </row>
    <row r="109" spans="1:6" customFormat="1" ht="14.25">
      <c r="A109" s="244" t="s">
        <v>377</v>
      </c>
      <c r="B109" s="245" t="str">
        <f ca="1">VLOOKUP($A109,'Orçamento Sintético'!$A:$H,4,0)</f>
        <v>Copia da SINAPI (98546) - Impermeabilização de superfície com manta asfáltica antirraiz (com polímeros elastoméricos), e=4mm, ref. Torodin Extra, colada com asfalto derretido</v>
      </c>
      <c r="C109" s="95">
        <f ca="1">ROUND(C110/$F$390,4)</f>
        <v>5.5399999999999998E-2</v>
      </c>
      <c r="D109" s="95">
        <v>0.5</v>
      </c>
      <c r="E109" s="95">
        <v>0.5</v>
      </c>
      <c r="F109" s="95">
        <f>ROUND(F110/$C110,4)</f>
        <v>0</v>
      </c>
    </row>
    <row r="110" spans="1:6" customFormat="1" ht="14.25">
      <c r="A110" s="244"/>
      <c r="B110" s="246"/>
      <c r="C110" s="96">
        <f ca="1">VLOOKUP($A109,'Orçamento Sintético'!$A:$H,8,0)</f>
        <v>11488.32</v>
      </c>
      <c r="D110" s="96">
        <f>ROUND($C110*D109,2)</f>
        <v>5744.16</v>
      </c>
      <c r="E110" s="96">
        <f>ROUND($C110*E109,2)</f>
        <v>5744.16</v>
      </c>
      <c r="F110" s="96">
        <f>$C110-SUM(D110:E110)</f>
        <v>0</v>
      </c>
    </row>
    <row r="111" spans="1:6" customFormat="1" ht="14.25">
      <c r="A111" s="244" t="s">
        <v>380</v>
      </c>
      <c r="B111" s="245" t="str">
        <f ca="1">VLOOKUP($A111,'Orçamento Sintético'!$A:$H,4,0)</f>
        <v>Copia da SINAPI (98546) - Impermeabilização de superfície com manta asfáltica (com polímeros elastoméricos), e=4mm, ref. Torodin Extra, colada com asfalto derretido</v>
      </c>
      <c r="C111" s="95">
        <f ca="1">ROUND(C112/$F$390,4)</f>
        <v>4.3999999999999997E-2</v>
      </c>
      <c r="D111" s="95">
        <v>0.5</v>
      </c>
      <c r="E111" s="95">
        <v>0.5</v>
      </c>
      <c r="F111" s="95">
        <f>ROUND(F112/$C112,4)</f>
        <v>0</v>
      </c>
    </row>
    <row r="112" spans="1:6" customFormat="1" ht="14.25">
      <c r="A112" s="244"/>
      <c r="B112" s="246"/>
      <c r="C112" s="96">
        <f ca="1">VLOOKUP($A111,'Orçamento Sintético'!$A:$H,8,0)</f>
        <v>9112.32</v>
      </c>
      <c r="D112" s="96">
        <f>ROUND($C112*D111,2)</f>
        <v>4556.16</v>
      </c>
      <c r="E112" s="96">
        <f>ROUND($C112*E111,2)</f>
        <v>4556.16</v>
      </c>
      <c r="F112" s="96">
        <f>$C112-SUM(D112:E112)</f>
        <v>0</v>
      </c>
    </row>
    <row r="113" spans="1:6" customFormat="1" ht="14.25">
      <c r="A113" s="244" t="s">
        <v>383</v>
      </c>
      <c r="B113" s="245" t="str">
        <f ca="1">VLOOKUP($A113,'Orçamento Sintético'!$A:$H,4,0)</f>
        <v>Copia da SINAPI (98565) - Proteção mecânica horizontal com argamassa traço 1:4 (cimento e areia), preparo mecânico, espessura 3cm, incluso camada separadora geotextil e junta de dilatação com asfalto modificado</v>
      </c>
      <c r="C113" s="95">
        <f ca="1">ROUND(C114/$F$390,4)</f>
        <v>5.4699999999999999E-2</v>
      </c>
      <c r="D113" s="95">
        <v>0.5</v>
      </c>
      <c r="E113" s="95">
        <v>0.5</v>
      </c>
      <c r="F113" s="95">
        <f>ROUND(F114/$C114,4)</f>
        <v>0</v>
      </c>
    </row>
    <row r="114" spans="1:6" customFormat="1" ht="14.25">
      <c r="A114" s="244"/>
      <c r="B114" s="246"/>
      <c r="C114" s="96">
        <f ca="1">VLOOKUP($A113,'Orçamento Sintético'!$A:$H,8,0)</f>
        <v>11336.07</v>
      </c>
      <c r="D114" s="96">
        <f>ROUND($C114*D113,2)</f>
        <v>5668.04</v>
      </c>
      <c r="E114" s="96">
        <f>ROUND($C114*E113,2)</f>
        <v>5668.04</v>
      </c>
      <c r="F114" s="96">
        <f>$C114-SUM(D114:E114)</f>
        <v>-1.0000000000218279E-2</v>
      </c>
    </row>
    <row r="115" spans="1:6" customFormat="1" ht="14.25">
      <c r="A115" s="244" t="s">
        <v>386</v>
      </c>
      <c r="B115" s="245" t="str">
        <f ca="1">VLOOKUP($A115,'Orçamento Sintético'!$A:$H,4,0)</f>
        <v>Cópia SINAPI (98556) - Impermeabilização com revestimento impermeabilizante flexível e tela de poliéster com malha 2x2mm, ref. Viaplus 7000  (4 demãos)</v>
      </c>
      <c r="C115" s="95">
        <f ca="1">ROUND(C116/$F$390,4)</f>
        <v>0.13950000000000001</v>
      </c>
      <c r="D115" s="95">
        <v>0.5</v>
      </c>
      <c r="E115" s="95">
        <v>0.5</v>
      </c>
      <c r="F115" s="95">
        <f>ROUND(F116/$C116,4)</f>
        <v>0</v>
      </c>
    </row>
    <row r="116" spans="1:6" customFormat="1" ht="14.25">
      <c r="A116" s="244"/>
      <c r="B116" s="246"/>
      <c r="C116" s="96">
        <f ca="1">VLOOKUP($A115,'Orçamento Sintético'!$A:$H,8,0)</f>
        <v>28925.42</v>
      </c>
      <c r="D116" s="96">
        <f>ROUND($C116*D115,2)</f>
        <v>14462.71</v>
      </c>
      <c r="E116" s="96">
        <f>ROUND($C116*E115,2)</f>
        <v>14462.71</v>
      </c>
      <c r="F116" s="96">
        <f>$C116-SUM(D116:E116)</f>
        <v>0</v>
      </c>
    </row>
    <row r="117" spans="1:6" customFormat="1" ht="14.25">
      <c r="A117" s="244" t="s">
        <v>389</v>
      </c>
      <c r="B117" s="245" t="str">
        <f ca="1">VLOOKUP($A117,'Orçamento Sintético'!$A:$H,4,0)</f>
        <v>Cópia SINAPI (98556) - Impermeabilização com revestimento impermeabilizante semi-flexível e tela de poliéster com malha 2x2mm, ref. Viaplus 1000 (2 demãos)</v>
      </c>
      <c r="C117" s="95">
        <f ca="1">ROUND(C118/$F$390,4)</f>
        <v>6.7000000000000002E-3</v>
      </c>
      <c r="D117" s="95">
        <v>0.5</v>
      </c>
      <c r="E117" s="95">
        <v>0.5</v>
      </c>
      <c r="F117" s="95">
        <f>ROUND(F118/$C118,4)</f>
        <v>0</v>
      </c>
    </row>
    <row r="118" spans="1:6" customFormat="1" ht="14.25">
      <c r="A118" s="244"/>
      <c r="B118" s="246"/>
      <c r="C118" s="96">
        <f ca="1">VLOOKUP($A117,'Orçamento Sintético'!$A:$H,8,0)</f>
        <v>1379.59</v>
      </c>
      <c r="D118" s="96">
        <f>ROUND($C118*D117,2)</f>
        <v>689.8</v>
      </c>
      <c r="E118" s="96">
        <f>ROUND($C118*E117,2)</f>
        <v>689.8</v>
      </c>
      <c r="F118" s="96">
        <f>$C118-SUM(D118:E118)</f>
        <v>-9.9999999999909051E-3</v>
      </c>
    </row>
    <row r="119" spans="1:6" customFormat="1" ht="14.25">
      <c r="A119" s="244" t="s">
        <v>392</v>
      </c>
      <c r="B119" s="245" t="str">
        <f ca="1">VLOOKUP($A119,'Orçamento Sintético'!$A:$H,4,0)</f>
        <v>LIMPEZA DE SUPERFÍCIE COM JATO DE ALTA PRESSÃO. AF_04/2019</v>
      </c>
      <c r="C119" s="95">
        <f ca="1">ROUND(C120/$F$390,4)</f>
        <v>4.7999999999999996E-3</v>
      </c>
      <c r="D119" s="95">
        <v>0.5</v>
      </c>
      <c r="E119" s="95">
        <v>0.5</v>
      </c>
      <c r="F119" s="95">
        <f>ROUND(F120/$C120,4)</f>
        <v>0</v>
      </c>
    </row>
    <row r="120" spans="1:6" customFormat="1" ht="14.25">
      <c r="A120" s="244"/>
      <c r="B120" s="246"/>
      <c r="C120" s="96">
        <f ca="1">VLOOKUP($A119,'Orçamento Sintético'!$A:$H,8,0)</f>
        <v>985.96</v>
      </c>
      <c r="D120" s="96">
        <f>ROUND($C120*D119,2)</f>
        <v>492.98</v>
      </c>
      <c r="E120" s="96">
        <f>ROUND($C120*E119,2)</f>
        <v>492.98</v>
      </c>
      <c r="F120" s="96">
        <f>$C120-SUM(D120:E120)</f>
        <v>0</v>
      </c>
    </row>
    <row r="121" spans="1:6" customFormat="1" ht="14.25">
      <c r="A121" s="244" t="s">
        <v>395</v>
      </c>
      <c r="B121" s="245" t="str">
        <f ca="1">VLOOKUP($A121,'Orçamento Sintético'!$A:$H,4,0)</f>
        <v>Copia da SINAPI (73881/001) - Instalação de Geomanta drenante sobre proteção mecânica.</v>
      </c>
      <c r="C121" s="95">
        <f ca="1">ROUND(C122/$F$390,4)</f>
        <v>7.3000000000000001E-3</v>
      </c>
      <c r="D121" s="95">
        <v>0.5</v>
      </c>
      <c r="E121" s="95">
        <v>0.5</v>
      </c>
      <c r="F121" s="95">
        <f>ROUND(F122/$C122,4)</f>
        <v>0</v>
      </c>
    </row>
    <row r="122" spans="1:6" customFormat="1" ht="14.25">
      <c r="A122" s="244"/>
      <c r="B122" s="246"/>
      <c r="C122" s="96">
        <f ca="1">VLOOKUP($A121,'Orçamento Sintético'!$A:$H,8,0)</f>
        <v>1516.54</v>
      </c>
      <c r="D122" s="96">
        <f>ROUND($C122*D121,2)</f>
        <v>758.27</v>
      </c>
      <c r="E122" s="96">
        <f>ROUND($C122*E121,2)</f>
        <v>758.27</v>
      </c>
      <c r="F122" s="96">
        <f>$C122-SUM(D122:E122)</f>
        <v>0</v>
      </c>
    </row>
    <row r="123" spans="1:6" customFormat="1" ht="14.25">
      <c r="A123" s="244" t="s">
        <v>398</v>
      </c>
      <c r="B123" s="245" t="str">
        <f ca="1">VLOOKUP($A123,'Orçamento Sintético'!$A:$H,4,0)</f>
        <v>Aplicação de silicone (mastique a base de poliuretano) / junta  / cordão e=1x1cm</v>
      </c>
      <c r="C123" s="95">
        <f ca="1">ROUND(C124/$F$390,4)</f>
        <v>1.5E-3</v>
      </c>
      <c r="D123" s="95">
        <v>0.5</v>
      </c>
      <c r="E123" s="95">
        <v>0.5</v>
      </c>
      <c r="F123" s="95">
        <f>ROUND(F124/$C124,4)</f>
        <v>0</v>
      </c>
    </row>
    <row r="124" spans="1:6" customFormat="1" ht="14.25">
      <c r="A124" s="244"/>
      <c r="B124" s="246"/>
      <c r="C124" s="96">
        <f ca="1">VLOOKUP($A123,'Orçamento Sintético'!$A:$H,8,0)</f>
        <v>313.5</v>
      </c>
      <c r="D124" s="96">
        <f>ROUND($C124*D123,2)</f>
        <v>156.75</v>
      </c>
      <c r="E124" s="96">
        <f>ROUND($C124*E123,2)</f>
        <v>156.75</v>
      </c>
      <c r="F124" s="96">
        <f>$C124-SUM(D124:E124)</f>
        <v>0</v>
      </c>
    </row>
    <row r="125" spans="1:6" customFormat="1" ht="14.25">
      <c r="A125" s="247" t="s">
        <v>401</v>
      </c>
      <c r="B125" s="248" t="str">
        <f ca="1">VLOOKUP($A125,'Orçamento Sintético'!$A:$H,4,0)</f>
        <v>INSTALAÇÕES HIDRÁULICAS E SANITÁRIAS</v>
      </c>
      <c r="C125" s="89">
        <f ca="1">ROUND(C126/$F$390,4)</f>
        <v>0.29289999999999999</v>
      </c>
      <c r="D125" s="90">
        <f>ROUND(D126/$C126,4)</f>
        <v>0.11890000000000001</v>
      </c>
      <c r="E125" s="90">
        <f>ROUND(E126/$C126,4)</f>
        <v>0.4083</v>
      </c>
      <c r="F125" s="90">
        <f>ROUND(F126/$C126,4)</f>
        <v>0.47270000000000001</v>
      </c>
    </row>
    <row r="126" spans="1:6" customFormat="1" ht="14.25">
      <c r="A126" s="247"/>
      <c r="B126" s="248"/>
      <c r="C126" s="91">
        <f ca="1">VLOOKUP($A125,'Orçamento Sintético'!$A:$H,8,0)</f>
        <v>60716.800000000003</v>
      </c>
      <c r="D126" s="92">
        <f>D128+D306</f>
        <v>7220.78</v>
      </c>
      <c r="E126" s="92">
        <f>E128+E306</f>
        <v>24793.010000000002</v>
      </c>
      <c r="F126" s="92">
        <f>F128+F306</f>
        <v>28703.010000000002</v>
      </c>
    </row>
    <row r="127" spans="1:6" customFormat="1" ht="14.25">
      <c r="A127" s="238" t="s">
        <v>403</v>
      </c>
      <c r="B127" s="239" t="str">
        <f ca="1">VLOOKUP($A127,'Orçamento Sintético'!$A:$H,4,0)</f>
        <v>DRENAGEM DE ÁGUAS PLUVIAIS</v>
      </c>
      <c r="C127" s="93">
        <f ca="1">ROUND(C128/$F$390,4)</f>
        <v>0.2087</v>
      </c>
      <c r="D127" s="93">
        <f>ROUND(D128/$C128,4)</f>
        <v>0</v>
      </c>
      <c r="E127" s="93">
        <f>ROUND(E128/$C128,4)</f>
        <v>0.36620000000000003</v>
      </c>
      <c r="F127" s="93">
        <f>ROUND(F128/$C128,4)</f>
        <v>0.63380000000000003</v>
      </c>
    </row>
    <row r="128" spans="1:6" customFormat="1" ht="14.25">
      <c r="A128" s="238"/>
      <c r="B128" s="239"/>
      <c r="C128" s="94">
        <f ca="1">VLOOKUP($A127,'Orçamento Sintético'!$A:$H,8,0)</f>
        <v>43252.83</v>
      </c>
      <c r="D128" s="94">
        <f>D130+D166+D264+D268+D278</f>
        <v>0</v>
      </c>
      <c r="E128" s="94">
        <f>E130+E166+E264+E268+E278</f>
        <v>15837.62</v>
      </c>
      <c r="F128" s="94">
        <f>F130+F166+F264+F268+F278</f>
        <v>27415.210000000003</v>
      </c>
    </row>
    <row r="129" spans="1:6" customFormat="1" ht="14.25">
      <c r="A129" s="240" t="s">
        <v>405</v>
      </c>
      <c r="B129" s="241" t="str">
        <f ca="1">VLOOKUP($A129,'Orçamento Sintético'!$A:$H,4,0)</f>
        <v>Tubulações e conexões de ferro</v>
      </c>
      <c r="C129" s="97">
        <f ca="1">ROUND(C130/$F$390,4)</f>
        <v>2.2200000000000001E-2</v>
      </c>
      <c r="D129" s="98">
        <f>ROUND(D130/$C130,4)</f>
        <v>0</v>
      </c>
      <c r="E129" s="98">
        <f>ROUND(E130/$C130,4)</f>
        <v>1</v>
      </c>
      <c r="F129" s="98">
        <f>ROUND(F130/$C130,4)</f>
        <v>0</v>
      </c>
    </row>
    <row r="130" spans="1:6" customFormat="1" ht="14.25">
      <c r="A130" s="240"/>
      <c r="B130" s="241"/>
      <c r="C130" s="99">
        <f ca="1">VLOOKUP($A129,'Orçamento Sintético'!$A:$H,8,0)</f>
        <v>4602.579999999999</v>
      </c>
      <c r="D130" s="100">
        <f>D132+D134+D136+D138+D140+D142+D144+D146+D148+D150+D152+D154+D156+D158+D160+D162+D164</f>
        <v>0</v>
      </c>
      <c r="E130" s="100">
        <f>E132+E134+E136+E138+E140+E142+E144+E146+E148+E150+E152+E154+E156+E158+E160+E162+E164</f>
        <v>4602.579999999999</v>
      </c>
      <c r="F130" s="100">
        <f>F132+F134+F136+F138+F140+F142+F144+F146+F148+F150+F152+F154+F156+F158+F160+F162+F164</f>
        <v>0</v>
      </c>
    </row>
    <row r="131" spans="1:6" customFormat="1" ht="14.25">
      <c r="A131" s="244" t="s">
        <v>407</v>
      </c>
      <c r="B131" s="245" t="str">
        <f ca="1">VLOOKUP($A131,'Orçamento Sintético'!$A:$H,4,0)</f>
        <v>NIPLE, EM FERRO GALVANIZADO, DN 50 (2"), CONEXÃO ROSQUEADA, INSTALADO EM PRUMADAS - FORNECIMENTO E INSTALAÇÃO. AF_10/2020</v>
      </c>
      <c r="C131" s="95">
        <f ca="1">ROUND(C132/$F$390,4)</f>
        <v>1.5E-3</v>
      </c>
      <c r="D131" s="95"/>
      <c r="E131" s="95">
        <v>1</v>
      </c>
      <c r="F131" s="95">
        <f>ROUND(F132/$C132,4)</f>
        <v>0</v>
      </c>
    </row>
    <row r="132" spans="1:6" customFormat="1" ht="14.25">
      <c r="A132" s="244"/>
      <c r="B132" s="246"/>
      <c r="C132" s="96">
        <f ca="1">VLOOKUP($A131,'Orçamento Sintético'!$A:$H,8,0)</f>
        <v>306.12</v>
      </c>
      <c r="D132" s="96">
        <f>ROUND($C132*D131,2)</f>
        <v>0</v>
      </c>
      <c r="E132" s="96">
        <f>ROUND($C132*E131,2)</f>
        <v>306.12</v>
      </c>
      <c r="F132" s="96">
        <f>$C132-SUM(D132:E132)</f>
        <v>0</v>
      </c>
    </row>
    <row r="133" spans="1:6" customFormat="1" ht="14.25">
      <c r="A133" s="244" t="s">
        <v>410</v>
      </c>
      <c r="B133" s="245" t="str">
        <f ca="1">VLOOKUP($A133,'Orçamento Sintético'!$A:$H,4,0)</f>
        <v>UNIÃO, EM FERRO GALVANIZADO, DN 50 (2"), CONEXÃO ROSQUEADA, INSTALADO EM PRUMADAS - FORNECIMENTO E INSTALAÇÃO. AF_10/2020</v>
      </c>
      <c r="C133" s="95">
        <f ca="1">ROUND(C134/$F$390,4)</f>
        <v>1.9E-3</v>
      </c>
      <c r="D133" s="95"/>
      <c r="E133" s="95">
        <v>1</v>
      </c>
      <c r="F133" s="95">
        <f>ROUND(F134/$C134,4)</f>
        <v>0</v>
      </c>
    </row>
    <row r="134" spans="1:6" customFormat="1" ht="14.25">
      <c r="A134" s="244"/>
      <c r="B134" s="246"/>
      <c r="C134" s="96">
        <f ca="1">VLOOKUP($A133,'Orçamento Sintético'!$A:$H,8,0)</f>
        <v>383.8</v>
      </c>
      <c r="D134" s="96">
        <f>ROUND($C134*D133,2)</f>
        <v>0</v>
      </c>
      <c r="E134" s="96">
        <f>ROUND($C134*E133,2)</f>
        <v>383.8</v>
      </c>
      <c r="F134" s="96">
        <f>$C134-SUM(D134:E134)</f>
        <v>0</v>
      </c>
    </row>
    <row r="135" spans="1:6" customFormat="1" ht="14.25">
      <c r="A135" s="244" t="s">
        <v>413</v>
      </c>
      <c r="B135" s="245" t="str">
        <f ca="1">VLOOKUP($A135,'Orçamento Sintético'!$A:$H,4,0)</f>
        <v>VÁLVULA DE ESFERA BRUTA, BRONZE, ROSCÁVEL, 2'', INSTALADO EM RESERVAÇÃO DE ÁGUA DE EDIFICAÇÃO QUE POSSUA RESERVATÓRIO DE FIBRA/FIBROCIMENTO - FORNECIMENTO E INSTALAÇÃO. AF_06/2016</v>
      </c>
      <c r="C135" s="95">
        <f ca="1">ROUND(C136/$F$390,4)</f>
        <v>4.4999999999999997E-3</v>
      </c>
      <c r="D135" s="95"/>
      <c r="E135" s="95">
        <v>1</v>
      </c>
      <c r="F135" s="95">
        <f>ROUND(F136/$C136,4)</f>
        <v>0</v>
      </c>
    </row>
    <row r="136" spans="1:6" customFormat="1" ht="14.25">
      <c r="A136" s="244"/>
      <c r="B136" s="246"/>
      <c r="C136" s="96">
        <f ca="1">VLOOKUP($A135,'Orçamento Sintético'!$A:$H,8,0)</f>
        <v>942.72</v>
      </c>
      <c r="D136" s="96">
        <f>ROUND($C136*D135,2)</f>
        <v>0</v>
      </c>
      <c r="E136" s="96">
        <f>ROUND($C136*E135,2)</f>
        <v>942.72</v>
      </c>
      <c r="F136" s="96">
        <f>$C136-SUM(D136:E136)</f>
        <v>0</v>
      </c>
    </row>
    <row r="137" spans="1:6" customFormat="1" ht="14.25">
      <c r="A137" s="244" t="s">
        <v>177</v>
      </c>
      <c r="B137" s="245" t="str">
        <f ca="1">VLOOKUP($A137,'Orçamento Sintético'!$A:$H,4,0)</f>
        <v>VÁLVULA DE ESFERA BRUTA, BRONZE, ROSCÁVEL, 1 1/2'', INSTALADO EM RESERVAÇÃO DE ÁGUA DE EDIFICAÇÃO QUE POSSUA RESERVATÓRIO DE FIBRA/FIBROCIMENTO -   FORNECIMENTO E INSTALAÇÃO. AF_06/2016</v>
      </c>
      <c r="C137" s="95">
        <f ca="1">ROUND(C138/$F$390,4)</f>
        <v>3.8999999999999998E-3</v>
      </c>
      <c r="D137" s="95"/>
      <c r="E137" s="95">
        <v>1</v>
      </c>
      <c r="F137" s="95">
        <f>ROUND(F138/$C138,4)</f>
        <v>0</v>
      </c>
    </row>
    <row r="138" spans="1:6" customFormat="1" ht="14.25">
      <c r="A138" s="244"/>
      <c r="B138" s="246"/>
      <c r="C138" s="96">
        <f ca="1">VLOOKUP($A137,'Orçamento Sintético'!$A:$H,8,0)</f>
        <v>817.65</v>
      </c>
      <c r="D138" s="96">
        <f>ROUND($C138*D137,2)</f>
        <v>0</v>
      </c>
      <c r="E138" s="96">
        <f>ROUND($C138*E137,2)</f>
        <v>817.65</v>
      </c>
      <c r="F138" s="96">
        <f>$C138-SUM(D138:E138)</f>
        <v>0</v>
      </c>
    </row>
    <row r="139" spans="1:6" customFormat="1" ht="14.25">
      <c r="A139" s="244" t="s">
        <v>418</v>
      </c>
      <c r="B139" s="245" t="str">
        <f ca="1">VLOOKUP($A139,'Orçamento Sintético'!$A:$H,4,0)</f>
        <v>UNIÃO, EM FERRO GALVANIZADO, DN 40 (1 1/2"), CONEXÃO ROSQUEADA, INSTALADO EM REDE DE ALIMENTAÇÃO PARA HIDRANTE - FORNECIMENTO E INSTALAÇÃO. AF_10/2020</v>
      </c>
      <c r="C139" s="95">
        <f ca="1">ROUND(C140/$F$390,4)</f>
        <v>2.3999999999999998E-3</v>
      </c>
      <c r="D139" s="95"/>
      <c r="E139" s="95">
        <v>1</v>
      </c>
      <c r="F139" s="95">
        <f>ROUND(F140/$C140,4)</f>
        <v>0</v>
      </c>
    </row>
    <row r="140" spans="1:6" customFormat="1" ht="14.25">
      <c r="A140" s="244"/>
      <c r="B140" s="246"/>
      <c r="C140" s="96">
        <f ca="1">VLOOKUP($A139,'Orçamento Sintético'!$A:$H,8,0)</f>
        <v>498.96</v>
      </c>
      <c r="D140" s="96">
        <f>ROUND($C140*D139,2)</f>
        <v>0</v>
      </c>
      <c r="E140" s="96">
        <f>ROUND($C140*E139,2)</f>
        <v>498.96</v>
      </c>
      <c r="F140" s="96">
        <f>$C140-SUM(D140:E140)</f>
        <v>0</v>
      </c>
    </row>
    <row r="141" spans="1:6" customFormat="1" ht="14.25">
      <c r="A141" s="244" t="s">
        <v>421</v>
      </c>
      <c r="B141" s="245" t="str">
        <f ca="1">VLOOKUP($A141,'Orçamento Sintético'!$A:$H,4,0)</f>
        <v>NIPLE, EM FERRO GALVANIZADO, DN 40 (1 1/2"), CONEXÃO ROSQUEADA, INSTALADO EM REDE DE ALIMENTAÇÃO PARA HIDRANTE - FORNECIMENTO E INSTALAÇÃO. AF_10/2020</v>
      </c>
      <c r="C141" s="95">
        <f ca="1">ROUND(C142/$F$390,4)</f>
        <v>1E-3</v>
      </c>
      <c r="D141" s="95"/>
      <c r="E141" s="95">
        <v>1</v>
      </c>
      <c r="F141" s="95">
        <f>ROUND(F142/$C142,4)</f>
        <v>0</v>
      </c>
    </row>
    <row r="142" spans="1:6" customFormat="1" ht="14.25">
      <c r="A142" s="244"/>
      <c r="B142" s="246"/>
      <c r="C142" s="96">
        <f ca="1">VLOOKUP($A141,'Orçamento Sintético'!$A:$H,8,0)</f>
        <v>199.2</v>
      </c>
      <c r="D142" s="96">
        <f>ROUND($C142*D141,2)</f>
        <v>0</v>
      </c>
      <c r="E142" s="96">
        <f>ROUND($C142*E141,2)</f>
        <v>199.2</v>
      </c>
      <c r="F142" s="96">
        <f>$C142-SUM(D142:E142)</f>
        <v>0</v>
      </c>
    </row>
    <row r="143" spans="1:6" customFormat="1" ht="14.25">
      <c r="A143" s="244" t="s">
        <v>424</v>
      </c>
      <c r="B143" s="245" t="str">
        <f ca="1">VLOOKUP($A143,'Orçamento Sintético'!$A:$H,4,0)</f>
        <v>LUVA DE REDUÇÃO, EM FERRO GALVANIZADO, 2" X 1 1/2", CONEXÃO ROSQUEADA, INSTALADO EM PRUMADAS - FORNECIMENTO E INSTALAÇÃO. AF_10/2020</v>
      </c>
      <c r="C143" s="95">
        <f ca="1">ROUND(C144/$F$390,4)</f>
        <v>5.0000000000000001E-4</v>
      </c>
      <c r="D143" s="95"/>
      <c r="E143" s="95">
        <v>1</v>
      </c>
      <c r="F143" s="95">
        <f>ROUND(F144/$C144,4)</f>
        <v>0</v>
      </c>
    </row>
    <row r="144" spans="1:6" customFormat="1" ht="14.25">
      <c r="A144" s="244"/>
      <c r="B144" s="246"/>
      <c r="C144" s="96">
        <f ca="1">VLOOKUP($A143,'Orçamento Sintético'!$A:$H,8,0)</f>
        <v>107.22</v>
      </c>
      <c r="D144" s="96">
        <f>ROUND($C144*D143,2)</f>
        <v>0</v>
      </c>
      <c r="E144" s="96">
        <f>ROUND($C144*E143,2)</f>
        <v>107.22</v>
      </c>
      <c r="F144" s="96">
        <f>$C144-SUM(D144:E144)</f>
        <v>0</v>
      </c>
    </row>
    <row r="145" spans="1:6" customFormat="1" ht="14.25">
      <c r="A145" s="244" t="s">
        <v>427</v>
      </c>
      <c r="B145" s="245" t="str">
        <f ca="1">VLOOKUP($A145,'Orçamento Sintético'!$A:$H,4,0)</f>
        <v>LUVA DE REDUÇÃO, EM FERRO GALVANIZADO, 1 1/2" X 1 1/4", CONEXÃO ROSQUEADA, INSTALADO EM REDE DE ALIMENTAÇÃO PARA HIDRANTE - FORNECIMENTO E INSTALAÇÃO. AF_10/2020</v>
      </c>
      <c r="C145" s="95">
        <f ca="1">ROUND(C146/$F$390,4)</f>
        <v>4.0000000000000002E-4</v>
      </c>
      <c r="D145" s="95"/>
      <c r="E145" s="95">
        <v>1</v>
      </c>
      <c r="F145" s="95">
        <f>ROUND(F146/$C146,4)</f>
        <v>0</v>
      </c>
    </row>
    <row r="146" spans="1:6" customFormat="1" ht="14.25">
      <c r="A146" s="244"/>
      <c r="B146" s="246"/>
      <c r="C146" s="96">
        <f ca="1">VLOOKUP($A145,'Orçamento Sintético'!$A:$H,8,0)</f>
        <v>82.06</v>
      </c>
      <c r="D146" s="96">
        <f>ROUND($C146*D145,2)</f>
        <v>0</v>
      </c>
      <c r="E146" s="96">
        <f>ROUND($C146*E145,2)</f>
        <v>82.06</v>
      </c>
      <c r="F146" s="96">
        <f>$C146-SUM(D146:E146)</f>
        <v>0</v>
      </c>
    </row>
    <row r="147" spans="1:6" customFormat="1" ht="14.25">
      <c r="A147" s="244" t="s">
        <v>430</v>
      </c>
      <c r="B147" s="245" t="str">
        <f ca="1">VLOOKUP($A147,'Orçamento Sintético'!$A:$H,4,0)</f>
        <v>NIPLE, EM FERRO GALVANIZADO, CONEXÃO ROSQUEADA, DN 20 (3/4"), INSTALADO EM RAMAIS E SUB-RAMAIS DE GÁS - FORNECIMENTO E INSTALAÇÃO. AF_10/2020</v>
      </c>
      <c r="C147" s="95">
        <f ca="1">ROUND(C148/$F$390,4)</f>
        <v>2.9999999999999997E-4</v>
      </c>
      <c r="D147" s="95"/>
      <c r="E147" s="95">
        <v>1</v>
      </c>
      <c r="F147" s="95">
        <f>ROUND(F148/$C148,4)</f>
        <v>0</v>
      </c>
    </row>
    <row r="148" spans="1:6" customFormat="1" ht="14.25">
      <c r="A148" s="244"/>
      <c r="B148" s="246"/>
      <c r="C148" s="96">
        <f ca="1">VLOOKUP($A147,'Orçamento Sintético'!$A:$H,8,0)</f>
        <v>53.58</v>
      </c>
      <c r="D148" s="96">
        <f>ROUND($C148*D147,2)</f>
        <v>0</v>
      </c>
      <c r="E148" s="96">
        <f>ROUND($C148*E147,2)</f>
        <v>53.58</v>
      </c>
      <c r="F148" s="96">
        <f>$C148-SUM(D148:E148)</f>
        <v>0</v>
      </c>
    </row>
    <row r="149" spans="1:6" customFormat="1" ht="14.25">
      <c r="A149" s="244" t="s">
        <v>433</v>
      </c>
      <c r="B149" s="245" t="str">
        <f ca="1">VLOOKUP($A149,'Orçamento Sintético'!$A:$H,4,0)</f>
        <v>UNIÃO, EM FERRO GALVANIZADO, CONEXÃO ROSQUEADA, DN 20 (3/4"), INSTALADO EM RAMAIS E SUB-RAMAIS DE GÁS - FORNECIMENTO E INSTALAÇÃO. AF_10/2020</v>
      </c>
      <c r="C149" s="95">
        <f ca="1">ROUND(C150/$F$390,4)</f>
        <v>1E-3</v>
      </c>
      <c r="D149" s="95"/>
      <c r="E149" s="95">
        <v>1</v>
      </c>
      <c r="F149" s="95">
        <f>ROUND(F150/$C150,4)</f>
        <v>0</v>
      </c>
    </row>
    <row r="150" spans="1:6" customFormat="1" ht="14.25">
      <c r="A150" s="244"/>
      <c r="B150" s="246"/>
      <c r="C150" s="96">
        <f ca="1">VLOOKUP($A149,'Orçamento Sintético'!$A:$H,8,0)</f>
        <v>205.5</v>
      </c>
      <c r="D150" s="96">
        <f>ROUND($C150*D149,2)</f>
        <v>0</v>
      </c>
      <c r="E150" s="96">
        <f>ROUND($C150*E149,2)</f>
        <v>205.5</v>
      </c>
      <c r="F150" s="96">
        <f>$C150-SUM(D150:E150)</f>
        <v>0</v>
      </c>
    </row>
    <row r="151" spans="1:6" customFormat="1" ht="14.25">
      <c r="A151" s="244" t="s">
        <v>436</v>
      </c>
      <c r="B151" s="245" t="str">
        <f ca="1">VLOOKUP($A151,'Orçamento Sintético'!$A:$H,4,0)</f>
        <v>VÁLVULA DE ESFERA BRUTA, BRONZE, ROSCÁVEL, 3/4'', INSTALADO EM RESERVAÇÃO DE ÁGUA DE EDIFICAÇÃO QUE POSSUA RESERVATÓRIO DE FIBRA/FIBROCIMENTO - FORNECIMENTO E INSTALAÇÃO. AF_06/2016</v>
      </c>
      <c r="C151" s="95">
        <f ca="1">ROUND(C152/$F$390,4)</f>
        <v>1.1999999999999999E-3</v>
      </c>
      <c r="D151" s="95"/>
      <c r="E151" s="95">
        <v>1</v>
      </c>
      <c r="F151" s="95">
        <f>ROUND(F152/$C152,4)</f>
        <v>0</v>
      </c>
    </row>
    <row r="152" spans="1:6" customFormat="1" ht="14.25">
      <c r="A152" s="244"/>
      <c r="B152" s="246"/>
      <c r="C152" s="96">
        <f ca="1">VLOOKUP($A151,'Orçamento Sintético'!$A:$H,8,0)</f>
        <v>258.45</v>
      </c>
      <c r="D152" s="96">
        <f>ROUND($C152*D151,2)</f>
        <v>0</v>
      </c>
      <c r="E152" s="96">
        <f>ROUND($C152*E151,2)</f>
        <v>258.45</v>
      </c>
      <c r="F152" s="96">
        <f>$C152-SUM(D152:E152)</f>
        <v>0</v>
      </c>
    </row>
    <row r="153" spans="1:6" customFormat="1" ht="14.25">
      <c r="A153" s="244" t="s">
        <v>439</v>
      </c>
      <c r="B153" s="245" t="str">
        <f ca="1">VLOOKUP($A153,'Orçamento Sintético'!$A:$H,4,0)</f>
        <v>Copia da SINAPI (95253) - Válvula de esfera bruta, bronze, roscável, 2 1/2'' - fornecimento e instalação</v>
      </c>
      <c r="C153" s="95">
        <f ca="1">ROUND(C154/$F$390,4)</f>
        <v>1.5E-3</v>
      </c>
      <c r="D153" s="95"/>
      <c r="E153" s="95">
        <v>1</v>
      </c>
      <c r="F153" s="95">
        <f>ROUND(F154/$C154,4)</f>
        <v>0</v>
      </c>
    </row>
    <row r="154" spans="1:6" customFormat="1" ht="14.25">
      <c r="A154" s="244"/>
      <c r="B154" s="246"/>
      <c r="C154" s="96">
        <f ca="1">VLOOKUP($A153,'Orçamento Sintético'!$A:$H,8,0)</f>
        <v>317.63</v>
      </c>
      <c r="D154" s="96">
        <f>ROUND($C154*D153,2)</f>
        <v>0</v>
      </c>
      <c r="E154" s="96">
        <f>ROUND($C154*E153,2)</f>
        <v>317.63</v>
      </c>
      <c r="F154" s="96">
        <f>$C154-SUM(D154:E154)</f>
        <v>0</v>
      </c>
    </row>
    <row r="155" spans="1:6" customFormat="1" ht="14.25">
      <c r="A155" s="244" t="s">
        <v>442</v>
      </c>
      <c r="B155" s="245" t="str">
        <f ca="1">VLOOKUP($A155,'Orçamento Sintético'!$A:$H,4,0)</f>
        <v>UNIÃO, EM FERRO GALVANIZADO, DN 65 (2 1/2"), CONEXÃO ROSQUEADA, INSTALADO EM PRUMADAS - FORNECIMENTO E INSTALAÇÃO. AF_10/2020</v>
      </c>
      <c r="C155" s="95">
        <f ca="1">ROUND(C156/$F$390,4)</f>
        <v>6.9999999999999999E-4</v>
      </c>
      <c r="D155" s="95"/>
      <c r="E155" s="95">
        <v>1</v>
      </c>
      <c r="F155" s="95">
        <f>ROUND(F156/$C156,4)</f>
        <v>0</v>
      </c>
    </row>
    <row r="156" spans="1:6" customFormat="1" ht="14.25">
      <c r="A156" s="244"/>
      <c r="B156" s="246"/>
      <c r="C156" s="96">
        <f ca="1">VLOOKUP($A155,'Orçamento Sintético'!$A:$H,8,0)</f>
        <v>143.34</v>
      </c>
      <c r="D156" s="96">
        <f>ROUND($C156*D155,2)</f>
        <v>0</v>
      </c>
      <c r="E156" s="96">
        <f>ROUND($C156*E155,2)</f>
        <v>143.34</v>
      </c>
      <c r="F156" s="96">
        <f>$C156-SUM(D156:E156)</f>
        <v>0</v>
      </c>
    </row>
    <row r="157" spans="1:6" customFormat="1" ht="14.25">
      <c r="A157" s="244" t="s">
        <v>445</v>
      </c>
      <c r="B157" s="245" t="str">
        <f ca="1">VLOOKUP($A157,'Orçamento Sintético'!$A:$H,4,0)</f>
        <v>NIPLE, EM FERRO GALVANIZADO, DN 65 (2 1/2"), CONEXÃO ROSQUEADA, INSTALADO EM PRUMADAS - FORNECIMENTO E INSTALAÇÃO. AF_10/2020</v>
      </c>
      <c r="C157" s="95">
        <f ca="1">ROUND(C158/$F$390,4)</f>
        <v>2.9999999999999997E-4</v>
      </c>
      <c r="D157" s="95"/>
      <c r="E157" s="95">
        <v>1</v>
      </c>
      <c r="F157" s="95">
        <f>ROUND(F158/$C158,4)</f>
        <v>0</v>
      </c>
    </row>
    <row r="158" spans="1:6" customFormat="1" ht="14.25">
      <c r="A158" s="244"/>
      <c r="B158" s="246"/>
      <c r="C158" s="96">
        <f ca="1">VLOOKUP($A157,'Orçamento Sintético'!$A:$H,8,0)</f>
        <v>66.069999999999993</v>
      </c>
      <c r="D158" s="96">
        <f>ROUND($C158*D157,2)</f>
        <v>0</v>
      </c>
      <c r="E158" s="96">
        <f>ROUND($C158*E157,2)</f>
        <v>66.069999999999993</v>
      </c>
      <c r="F158" s="96">
        <f>$C158-SUM(D158:E158)</f>
        <v>0</v>
      </c>
    </row>
    <row r="159" spans="1:6" customFormat="1" ht="14.25">
      <c r="A159" s="244" t="s">
        <v>448</v>
      </c>
      <c r="B159" s="245" t="str">
        <f ca="1">VLOOKUP($A159,'Orçamento Sintético'!$A:$H,4,0)</f>
        <v>Copia da SINAPI (97429) - FLANGE EM AÇO, DN 60 MM X 2'', INSTALADO EM RESERVAÇÃO DE ÁGUA DE EDIFICAÇÃO QUE POSSUA RESERVATÓRIO DE FIBRA/FIBROCIMENTO - FORNECIMENTO E INSTALAÇÃO. AF_06/2016</v>
      </c>
      <c r="C159" s="95">
        <f ca="1">ROUND(C160/$F$390,4)</f>
        <v>2.9999999999999997E-4</v>
      </c>
      <c r="D159" s="95"/>
      <c r="E159" s="95">
        <v>1</v>
      </c>
      <c r="F159" s="95">
        <f>ROUND(F160/$C160,4)</f>
        <v>0</v>
      </c>
    </row>
    <row r="160" spans="1:6" customFormat="1" ht="14.25">
      <c r="A160" s="244"/>
      <c r="B160" s="246"/>
      <c r="C160" s="96">
        <f ca="1">VLOOKUP($A159,'Orçamento Sintético'!$A:$H,8,0)</f>
        <v>53.41</v>
      </c>
      <c r="D160" s="96">
        <f>ROUND($C160*D159,2)</f>
        <v>0</v>
      </c>
      <c r="E160" s="96">
        <f>ROUND($C160*E159,2)</f>
        <v>53.41</v>
      </c>
      <c r="F160" s="96">
        <f>$C160-SUM(D160:E160)</f>
        <v>0</v>
      </c>
    </row>
    <row r="161" spans="1:6" customFormat="1" ht="14.25">
      <c r="A161" s="244" t="s">
        <v>451</v>
      </c>
      <c r="B161" s="245" t="str">
        <f ca="1">VLOOKUP($A161,'Orçamento Sintético'!$A:$H,4,0)</f>
        <v>Copia da SINAPI (97429) - FLANGE EM AÇO, DN 85 MM X 3'', INSTALADO EM RESERVAÇÃO DE ÁGUA DE EDIFICAÇÃO QUE POSSUA RESERVATÓRIO DE FIBRA/FIBROCIMENTO - FORNECIMENTO E INSTALAÇÃO. AF_06/2016</v>
      </c>
      <c r="C161" s="95">
        <f ca="1">ROUND(C162/$F$390,4)</f>
        <v>5.0000000000000001E-4</v>
      </c>
      <c r="D161" s="95"/>
      <c r="E161" s="95">
        <v>1</v>
      </c>
      <c r="F161" s="95">
        <f>ROUND(F162/$C162,4)</f>
        <v>0</v>
      </c>
    </row>
    <row r="162" spans="1:6" customFormat="1" ht="14.25">
      <c r="A162" s="244"/>
      <c r="B162" s="246"/>
      <c r="C162" s="96">
        <f ca="1">VLOOKUP($A161,'Orçamento Sintético'!$A:$H,8,0)</f>
        <v>100.98</v>
      </c>
      <c r="D162" s="96">
        <f>ROUND($C162*D161,2)</f>
        <v>0</v>
      </c>
      <c r="E162" s="96">
        <f>ROUND($C162*E161,2)</f>
        <v>100.98</v>
      </c>
      <c r="F162" s="96">
        <f>$C162-SUM(D162:E162)</f>
        <v>0</v>
      </c>
    </row>
    <row r="163" spans="1:6" customFormat="1" ht="14.25">
      <c r="A163" s="244" t="s">
        <v>454</v>
      </c>
      <c r="B163" s="245" t="str">
        <f ca="1">VLOOKUP($A163,'Orçamento Sintético'!$A:$H,4,0)</f>
        <v>Copia da ORSE (978) - Cap de ferro galvanizado 3"</v>
      </c>
      <c r="C163" s="95">
        <f ca="1">ROUND(C164/$F$390,4)</f>
        <v>2.9999999999999997E-4</v>
      </c>
      <c r="D163" s="95"/>
      <c r="E163" s="95">
        <v>1</v>
      </c>
      <c r="F163" s="95">
        <f>ROUND(F164/$C164,4)</f>
        <v>0</v>
      </c>
    </row>
    <row r="164" spans="1:6" customFormat="1" ht="14.25">
      <c r="A164" s="244"/>
      <c r="B164" s="246"/>
      <c r="C164" s="96">
        <f ca="1">VLOOKUP($A163,'Orçamento Sintético'!$A:$H,8,0)</f>
        <v>65.89</v>
      </c>
      <c r="D164" s="96">
        <f>ROUND($C164*D163,2)</f>
        <v>0</v>
      </c>
      <c r="E164" s="96">
        <f>ROUND($C164*E163,2)</f>
        <v>65.89</v>
      </c>
      <c r="F164" s="96">
        <f>$C164-SUM(D164:E164)</f>
        <v>0</v>
      </c>
    </row>
    <row r="165" spans="1:6" customFormat="1" ht="14.25">
      <c r="A165" s="240" t="s">
        <v>457</v>
      </c>
      <c r="B165" s="241" t="str">
        <f ca="1">VLOOKUP($A165,'Orçamento Sintético'!$A:$H,4,0)</f>
        <v>Tubulações e conexões de PVC</v>
      </c>
      <c r="C165" s="97">
        <f ca="1">ROUND(C166/$F$390,4)</f>
        <v>5.28E-2</v>
      </c>
      <c r="D165" s="98">
        <f>ROUND(D166/$C166,4)</f>
        <v>0</v>
      </c>
      <c r="E165" s="98">
        <f>ROUND(E166/$C166,4)</f>
        <v>1</v>
      </c>
      <c r="F165" s="98">
        <f>ROUND(F166/$C166,4)</f>
        <v>0</v>
      </c>
    </row>
    <row r="166" spans="1:6" customFormat="1" ht="14.25">
      <c r="A166" s="240"/>
      <c r="B166" s="241"/>
      <c r="C166" s="99">
        <f ca="1">VLOOKUP($A165,'Orçamento Sintético'!$A:$H,8,0)</f>
        <v>10950.35</v>
      </c>
      <c r="D166" s="100">
        <f>D168+D170+D172+D174+D176+D178+D180+D182+D184+D186+D188+D190+D192+D194+D196+D198+D200+D202+D204+D206+D208+D210+D212+D214+D216+D218+D220+D222+D224+D226+D228+D230+D232+D234+D236+D238+D240+D242+D244+D246+D248+D250+D252+D254+D256+D258+D260+D262</f>
        <v>0</v>
      </c>
      <c r="E166" s="100">
        <f>E168+E170+E172+E174+E176+E178+E180+E182+E184+E186+E188+E190+E192+E194+E196+E198+E200+E202+E204+E206+E208+E210+E212+E214+E216+E218+E220+E222+E224+E226+E228+E230+E232+E234+E236+E238+E240+E242+E244+E246+E248+E250+E252+E254+E256+E258+E260+E262</f>
        <v>10950.35</v>
      </c>
      <c r="F166" s="100">
        <f>F168+F170+F172+F174+F176+F178+F180+F182+F184+F186+F188+F190+F192+F194+F196+F198+F200+F202+F204+F206+F208+F210+F212+F214+F216+F218+F220+F222+F224+F226+F228+F230+F232+F234+F236+F238+F240+F242+F244+F246+F248+F250+F252+F254+F256+F258+F260+F262</f>
        <v>0</v>
      </c>
    </row>
    <row r="167" spans="1:6" customFormat="1" ht="14.25">
      <c r="A167" s="244" t="s">
        <v>459</v>
      </c>
      <c r="B167" s="245" t="str">
        <f ca="1">VLOOKUP($A167,'Orçamento Sintético'!$A:$H,4,0)</f>
        <v>TUBO, PVC, SOLDÁVEL, DN 25MM, INSTALADO EM RAMAL DE DISTRIBUIÇÃO DE ÁGUA - FORNECIMENTO E INSTALAÇÃO. AF_12/2014</v>
      </c>
      <c r="C167" s="95">
        <f ca="1">ROUND(C168/$F$390,4)</f>
        <v>2.0000000000000001E-4</v>
      </c>
      <c r="D167" s="95"/>
      <c r="E167" s="95">
        <v>1</v>
      </c>
      <c r="F167" s="95">
        <f>ROUND(F168/$C168,4)</f>
        <v>0</v>
      </c>
    </row>
    <row r="168" spans="1:6" customFormat="1" ht="14.25">
      <c r="A168" s="244"/>
      <c r="B168" s="246"/>
      <c r="C168" s="96">
        <f ca="1">VLOOKUP($A167,'Orçamento Sintético'!$A:$H,8,0)</f>
        <v>36.24</v>
      </c>
      <c r="D168" s="96">
        <f>ROUND($C168*D167,2)</f>
        <v>0</v>
      </c>
      <c r="E168" s="96">
        <f>ROUND($C168*E167,2)</f>
        <v>36.24</v>
      </c>
      <c r="F168" s="96">
        <f>$C168-SUM(D168:E168)</f>
        <v>0</v>
      </c>
    </row>
    <row r="169" spans="1:6" customFormat="1" ht="14.25">
      <c r="A169" s="244" t="s">
        <v>462</v>
      </c>
      <c r="B169" s="245" t="str">
        <f ca="1">VLOOKUP($A169,'Orçamento Sintético'!$A:$H,4,0)</f>
        <v>TUBO, PVC, SOLDÁVEL, DN 32MM, INSTALADO EM PRUMADA DE ÁGUA - FORNECIMENTO E INSTALAÇÃO. AF_12/2014</v>
      </c>
      <c r="C169" s="95">
        <f ca="1">ROUND(C170/$F$390,4)</f>
        <v>5.9999999999999995E-4</v>
      </c>
      <c r="D169" s="95"/>
      <c r="E169" s="95">
        <v>1</v>
      </c>
      <c r="F169" s="95">
        <f>ROUND(F170/$C170,4)</f>
        <v>0</v>
      </c>
    </row>
    <row r="170" spans="1:6" customFormat="1" ht="14.25">
      <c r="A170" s="244"/>
      <c r="B170" s="246"/>
      <c r="C170" s="96">
        <f ca="1">VLOOKUP($A169,'Orçamento Sintético'!$A:$H,8,0)</f>
        <v>125.52</v>
      </c>
      <c r="D170" s="96">
        <f>ROUND($C170*D169,2)</f>
        <v>0</v>
      </c>
      <c r="E170" s="96">
        <f>ROUND($C170*E169,2)</f>
        <v>125.52</v>
      </c>
      <c r="F170" s="96">
        <f>$C170-SUM(D170:E170)</f>
        <v>0</v>
      </c>
    </row>
    <row r="171" spans="1:6" customFormat="1" ht="14.25">
      <c r="A171" s="244" t="s">
        <v>465</v>
      </c>
      <c r="B171" s="245" t="str">
        <f ca="1">VLOOKUP($A171,'Orçamento Sintético'!$A:$H,4,0)</f>
        <v>TUBO, PVC, SOLDÁVEL, DN 40MM, INSTALADO EM PRUMADA DE ÁGUA - FORNECIMENTO E INSTALAÇÃO. AF_12/2014</v>
      </c>
      <c r="C171" s="95">
        <f ca="1">ROUND(C172/$F$390,4)</f>
        <v>4.0000000000000002E-4</v>
      </c>
      <c r="D171" s="95"/>
      <c r="E171" s="95">
        <v>1</v>
      </c>
      <c r="F171" s="95">
        <f>ROUND(F172/$C172,4)</f>
        <v>0</v>
      </c>
    </row>
    <row r="172" spans="1:6" customFormat="1" ht="14.25">
      <c r="A172" s="244"/>
      <c r="B172" s="246"/>
      <c r="C172" s="96">
        <f ca="1">VLOOKUP($A171,'Orçamento Sintético'!$A:$H,8,0)</f>
        <v>75.2</v>
      </c>
      <c r="D172" s="96">
        <f>ROUND($C172*D171,2)</f>
        <v>0</v>
      </c>
      <c r="E172" s="96">
        <f>ROUND($C172*E171,2)</f>
        <v>75.2</v>
      </c>
      <c r="F172" s="96">
        <f>$C172-SUM(D172:E172)</f>
        <v>0</v>
      </c>
    </row>
    <row r="173" spans="1:6" customFormat="1" ht="14.25">
      <c r="A173" s="244" t="s">
        <v>468</v>
      </c>
      <c r="B173" s="245" t="str">
        <f ca="1">VLOOKUP($A173,'Orçamento Sintético'!$A:$H,4,0)</f>
        <v>TUBO, PVC, SOLDÁVEL, DN 50MM, INSTALADO EM PRUMADA DE ÁGUA - FORNECIMENTO E INSTALAÇÃO. AF_12/2014</v>
      </c>
      <c r="C173" s="95">
        <f ca="1">ROUND(C174/$F$390,4)</f>
        <v>6.0000000000000001E-3</v>
      </c>
      <c r="D173" s="95"/>
      <c r="E173" s="95">
        <v>1</v>
      </c>
      <c r="F173" s="95">
        <f>ROUND(F174/$C174,4)</f>
        <v>0</v>
      </c>
    </row>
    <row r="174" spans="1:6" customFormat="1" ht="14.25">
      <c r="A174" s="244"/>
      <c r="B174" s="246"/>
      <c r="C174" s="96">
        <f ca="1">VLOOKUP($A173,'Orçamento Sintético'!$A:$H,8,0)</f>
        <v>1245.5999999999999</v>
      </c>
      <c r="D174" s="96">
        <f>ROUND($C174*D173,2)</f>
        <v>0</v>
      </c>
      <c r="E174" s="96">
        <f>ROUND($C174*E173,2)</f>
        <v>1245.5999999999999</v>
      </c>
      <c r="F174" s="96">
        <f>$C174-SUM(D174:E174)</f>
        <v>0</v>
      </c>
    </row>
    <row r="175" spans="1:6" customFormat="1" ht="14.25">
      <c r="A175" s="244" t="s">
        <v>471</v>
      </c>
      <c r="B175" s="245" t="str">
        <f ca="1">VLOOKUP($A175,'Orçamento Sintético'!$A:$H,4,0)</f>
        <v>TUBO PVC, SÉRIE R, ÁGUA PLUVIAL, DN 50 MM, FORNECIDO E INSTALADO EM RAMAL DE ENCAMINHAMENTO. AF_12/2014</v>
      </c>
      <c r="C175" s="95">
        <f ca="1">ROUND(C176/$F$390,4)</f>
        <v>2.5999999999999999E-3</v>
      </c>
      <c r="D175" s="95"/>
      <c r="E175" s="95">
        <v>1</v>
      </c>
      <c r="F175" s="95">
        <f>ROUND(F176/$C176,4)</f>
        <v>0</v>
      </c>
    </row>
    <row r="176" spans="1:6" customFormat="1" ht="14.25">
      <c r="A176" s="244"/>
      <c r="B176" s="246"/>
      <c r="C176" s="96">
        <f ca="1">VLOOKUP($A175,'Orçamento Sintético'!$A:$H,8,0)</f>
        <v>546.4</v>
      </c>
      <c r="D176" s="96">
        <f>ROUND($C176*D175,2)</f>
        <v>0</v>
      </c>
      <c r="E176" s="96">
        <f>ROUND($C176*E175,2)</f>
        <v>546.4</v>
      </c>
      <c r="F176" s="96">
        <f>$C176-SUM(D176:E176)</f>
        <v>0</v>
      </c>
    </row>
    <row r="177" spans="1:6" customFormat="1" ht="14.25">
      <c r="A177" s="244" t="s">
        <v>474</v>
      </c>
      <c r="B177" s="245" t="str">
        <f ca="1">VLOOKUP($A177,'Orçamento Sintético'!$A:$H,4,0)</f>
        <v>TUBO, PVC, SOLDÁVEL, DN 60MM, INSTALADO EM PRUMADA DE ÁGUA - FORNECIMENTO E INSTALAÇÃO. AF_12/2014</v>
      </c>
      <c r="C177" s="95">
        <f ca="1">ROUND(C178/$F$390,4)</f>
        <v>1E-3</v>
      </c>
      <c r="D177" s="95"/>
      <c r="E177" s="95">
        <v>1</v>
      </c>
      <c r="F177" s="95">
        <f>ROUND(F178/$C178,4)</f>
        <v>0</v>
      </c>
    </row>
    <row r="178" spans="1:6" customFormat="1" ht="14.25">
      <c r="A178" s="244"/>
      <c r="B178" s="246"/>
      <c r="C178" s="96">
        <f ca="1">VLOOKUP($A177,'Orçamento Sintético'!$A:$H,8,0)</f>
        <v>199.99</v>
      </c>
      <c r="D178" s="96">
        <f>ROUND($C178*D177,2)</f>
        <v>0</v>
      </c>
      <c r="E178" s="96">
        <f>ROUND($C178*E177,2)</f>
        <v>199.99</v>
      </c>
      <c r="F178" s="96">
        <f>$C178-SUM(D178:E178)</f>
        <v>0</v>
      </c>
    </row>
    <row r="179" spans="1:6" customFormat="1" ht="14.25">
      <c r="A179" s="244" t="s">
        <v>477</v>
      </c>
      <c r="B179" s="245" t="str">
        <f ca="1">VLOOKUP($A179,'Orçamento Sintético'!$A:$H,4,0)</f>
        <v>(COMPOSIÇÃO REPRESENTATIVA) DO SERVIÇO DE INSTALAÇÃO DE TUBOS DE PVC, SÉRIE R, ÁGUA PLUVIAL, DN 75 MM (INSTALADO EM RAMAL DE ENCAMINHAMENTO, OU CONDUTORES VERTICAIS), INCLUSIVE CONEXÕES, CORTE E FIXAÇÕES, PARA PRÉDIOS. AF_10/2015</v>
      </c>
      <c r="C179" s="95">
        <f ca="1">ROUND(C180/$F$390,4)</f>
        <v>1.9E-3</v>
      </c>
      <c r="D179" s="95"/>
      <c r="E179" s="95">
        <v>1</v>
      </c>
      <c r="F179" s="95">
        <f>ROUND(F180/$C180,4)</f>
        <v>0</v>
      </c>
    </row>
    <row r="180" spans="1:6" customFormat="1" ht="14.25">
      <c r="A180" s="244"/>
      <c r="B180" s="246"/>
      <c r="C180" s="96">
        <f ca="1">VLOOKUP($A179,'Orçamento Sintético'!$A:$H,8,0)</f>
        <v>394.02</v>
      </c>
      <c r="D180" s="96">
        <f>ROUND($C180*D179,2)</f>
        <v>0</v>
      </c>
      <c r="E180" s="96">
        <f>ROUND($C180*E179,2)</f>
        <v>394.02</v>
      </c>
      <c r="F180" s="96">
        <f>$C180-SUM(D180:E180)</f>
        <v>0</v>
      </c>
    </row>
    <row r="181" spans="1:6" customFormat="1" ht="14.25">
      <c r="A181" s="244" t="s">
        <v>480</v>
      </c>
      <c r="B181" s="245" t="str">
        <f ca="1">VLOOKUP($A181,'Orçamento Sintético'!$A:$H,4,0)</f>
        <v>(COMPOSIÇÃO REPRESENTATIVA) DO SERVIÇO DE INST. TUBO PVC, SÉRIE N, ESGOTO PREDIAL, DN 75 MM, (INST. EM RAMAL DE DESCARGA, RAMAL DE ESG. SANITÁRIO, PRUMADA DE ESG. SANITÁRIO OU VENTILAÇÃO), INCL. CONEXÕES, CORTES E FIXAÇÕES, P/ PRÉDIOS. AF_10/2015</v>
      </c>
      <c r="C181" s="95">
        <f ca="1">ROUND(C182/$F$390,4)</f>
        <v>8.9999999999999998E-4</v>
      </c>
      <c r="D181" s="95"/>
      <c r="E181" s="95">
        <v>1</v>
      </c>
      <c r="F181" s="95">
        <f>ROUND(F182/$C182,4)</f>
        <v>0</v>
      </c>
    </row>
    <row r="182" spans="1:6" customFormat="1" ht="14.25">
      <c r="A182" s="244"/>
      <c r="B182" s="246"/>
      <c r="C182" s="96">
        <f ca="1">VLOOKUP($A181,'Orçamento Sintético'!$A:$H,8,0)</f>
        <v>192.85</v>
      </c>
      <c r="D182" s="96">
        <f>ROUND($C182*D181,2)</f>
        <v>0</v>
      </c>
      <c r="E182" s="96">
        <f>ROUND($C182*E181,2)</f>
        <v>192.85</v>
      </c>
      <c r="F182" s="96">
        <f>$C182-SUM(D182:E182)</f>
        <v>0</v>
      </c>
    </row>
    <row r="183" spans="1:6" customFormat="1" ht="14.25">
      <c r="A183" s="244" t="s">
        <v>483</v>
      </c>
      <c r="B183" s="245" t="str">
        <f ca="1">VLOOKUP($A183,'Orçamento Sintético'!$A:$H,4,0)</f>
        <v>TUBO, PVC, SOLDÁVEL, DN 85MM, INSTALADO EM PRUMADA DE ÁGUA - FORNECIMENTO E INSTALAÇÃO. AF_12/2014</v>
      </c>
      <c r="C183" s="95">
        <f ca="1">ROUND(C184/$F$390,4)</f>
        <v>3.7000000000000002E-3</v>
      </c>
      <c r="D183" s="95"/>
      <c r="E183" s="95">
        <v>1</v>
      </c>
      <c r="F183" s="95">
        <f>ROUND(F184/$C184,4)</f>
        <v>0</v>
      </c>
    </row>
    <row r="184" spans="1:6" customFormat="1" ht="14.25">
      <c r="A184" s="244"/>
      <c r="B184" s="246"/>
      <c r="C184" s="96">
        <f ca="1">VLOOKUP($A183,'Orçamento Sintético'!$A:$H,8,0)</f>
        <v>764.4</v>
      </c>
      <c r="D184" s="96">
        <f>ROUND($C184*D183,2)</f>
        <v>0</v>
      </c>
      <c r="E184" s="96">
        <f>ROUND($C184*E183,2)</f>
        <v>764.4</v>
      </c>
      <c r="F184" s="96">
        <f>$C184-SUM(D184:E184)</f>
        <v>0</v>
      </c>
    </row>
    <row r="185" spans="1:6" customFormat="1" ht="14.25">
      <c r="A185" s="244" t="s">
        <v>486</v>
      </c>
      <c r="B185" s="245" t="str">
        <f ca="1">VLOOKUP($A185,'Orçamento Sintético'!$A:$H,4,0)</f>
        <v>TUBO, PVC, SOLDÁVEL, DN 110 MM, INSTALADO EM RESERVAÇÃO DE ÁGUA DE EDIFICAÇÃO QUE POSSUA RESERVATÓRIO DE FIBRA/FIBROCIMENTO   FORNECIMENTO E INSTALAÇÃO. AF_06/2016</v>
      </c>
      <c r="C185" s="95">
        <f ca="1">ROUND(C186/$F$390,4)</f>
        <v>1E-3</v>
      </c>
      <c r="D185" s="95"/>
      <c r="E185" s="95">
        <v>1</v>
      </c>
      <c r="F185" s="95">
        <f>ROUND(F186/$C186,4)</f>
        <v>0</v>
      </c>
    </row>
    <row r="186" spans="1:6" customFormat="1" ht="14.25">
      <c r="A186" s="244"/>
      <c r="B186" s="246"/>
      <c r="C186" s="96">
        <f ca="1">VLOOKUP($A185,'Orçamento Sintético'!$A:$H,8,0)</f>
        <v>206.76</v>
      </c>
      <c r="D186" s="96">
        <f>ROUND($C186*D185,2)</f>
        <v>0</v>
      </c>
      <c r="E186" s="96">
        <f>ROUND($C186*E185,2)</f>
        <v>206.76</v>
      </c>
      <c r="F186" s="96">
        <f>$C186-SUM(D186:E186)</f>
        <v>0</v>
      </c>
    </row>
    <row r="187" spans="1:6" customFormat="1" ht="14.25">
      <c r="A187" s="244" t="s">
        <v>489</v>
      </c>
      <c r="B187" s="245" t="str">
        <f ca="1">VLOOKUP($A187,'Orçamento Sintético'!$A:$H,4,0)</f>
        <v>LUVA SIMPLES, PVC, SERIE R, ÁGUA PLUVIAL, DN 150 MM, JUNTA ELÁSTICA, FORNECIDO E INSTALADO EM CONDUTORES VERTICAIS DE ÁGUAS PLUVIAIS. AF_12/2014</v>
      </c>
      <c r="C187" s="95">
        <f ca="1">ROUND(C188/$F$390,4)</f>
        <v>1.8E-3</v>
      </c>
      <c r="D187" s="95"/>
      <c r="E187" s="95">
        <v>1</v>
      </c>
      <c r="F187" s="95">
        <f>ROUND(F188/$C188,4)</f>
        <v>0</v>
      </c>
    </row>
    <row r="188" spans="1:6" customFormat="1" ht="14.25">
      <c r="A188" s="244"/>
      <c r="B188" s="246"/>
      <c r="C188" s="96">
        <f ca="1">VLOOKUP($A187,'Orçamento Sintético'!$A:$H,8,0)</f>
        <v>368.16</v>
      </c>
      <c r="D188" s="96">
        <f>ROUND($C188*D187,2)</f>
        <v>0</v>
      </c>
      <c r="E188" s="96">
        <f>ROUND($C188*E187,2)</f>
        <v>368.16</v>
      </c>
      <c r="F188" s="96">
        <f>$C188-SUM(D188:E188)</f>
        <v>0</v>
      </c>
    </row>
    <row r="189" spans="1:6" customFormat="1" ht="14.25">
      <c r="A189" s="244" t="s">
        <v>492</v>
      </c>
      <c r="B189" s="245" t="str">
        <f ca="1">VLOOKUP($A189,'Orçamento Sintético'!$A:$H,4,0)</f>
        <v>Copia da Orse (1095) - CAP PVC SOLDAVEL 32MM</v>
      </c>
      <c r="C189" s="95">
        <f ca="1">ROUND(C190/$F$390,4)</f>
        <v>1E-4</v>
      </c>
      <c r="D189" s="95"/>
      <c r="E189" s="95">
        <v>1</v>
      </c>
      <c r="F189" s="95">
        <f>ROUND(F190/$C190,4)</f>
        <v>0</v>
      </c>
    </row>
    <row r="190" spans="1:6" customFormat="1" ht="14.25">
      <c r="A190" s="244"/>
      <c r="B190" s="246"/>
      <c r="C190" s="96">
        <f ca="1">VLOOKUP($A189,'Orçamento Sintético'!$A:$H,8,0)</f>
        <v>24.65</v>
      </c>
      <c r="D190" s="96">
        <f>ROUND($C190*D189,2)</f>
        <v>0</v>
      </c>
      <c r="E190" s="96">
        <f>ROUND($C190*E189,2)</f>
        <v>24.65</v>
      </c>
      <c r="F190" s="96">
        <f>$C190-SUM(D190:E190)</f>
        <v>0</v>
      </c>
    </row>
    <row r="191" spans="1:6" customFormat="1" ht="14.25">
      <c r="A191" s="244" t="s">
        <v>495</v>
      </c>
      <c r="B191" s="245" t="str">
        <f ca="1">VLOOKUP($A191,'Orçamento Sintético'!$A:$H,4,0)</f>
        <v>TE, PVC, SOLDÁVEL, DN 32MM, INSTALADO EM RAMAL DE DISTRIBUIÇÃO DE ÁGUA - FORNECIMENTO E INSTALAÇÃO. AF_12/2014</v>
      </c>
      <c r="C191" s="95">
        <f ca="1">ROUND(C192/$F$390,4)</f>
        <v>8.9999999999999998E-4</v>
      </c>
      <c r="D191" s="95"/>
      <c r="E191" s="95">
        <v>1</v>
      </c>
      <c r="F191" s="95">
        <f>ROUND(F192/$C192,4)</f>
        <v>0</v>
      </c>
    </row>
    <row r="192" spans="1:6" customFormat="1" ht="14.25">
      <c r="A192" s="244"/>
      <c r="B192" s="246"/>
      <c r="C192" s="96">
        <f ca="1">VLOOKUP($A191,'Orçamento Sintético'!$A:$H,8,0)</f>
        <v>192.6</v>
      </c>
      <c r="D192" s="96">
        <f>ROUND($C192*D191,2)</f>
        <v>0</v>
      </c>
      <c r="E192" s="96">
        <f>ROUND($C192*E191,2)</f>
        <v>192.6</v>
      </c>
      <c r="F192" s="96">
        <f>$C192-SUM(D192:E192)</f>
        <v>0</v>
      </c>
    </row>
    <row r="193" spans="1:6" customFormat="1" ht="14.25">
      <c r="A193" s="244" t="s">
        <v>498</v>
      </c>
      <c r="B193" s="245" t="str">
        <f ca="1">VLOOKUP($A193,'Orçamento Sintético'!$A:$H,4,0)</f>
        <v>JOELHO 90 GRAUS, PVC, SOLDÁVEL, DN 60MM, INSTALADO EM PRUMADA DE ÁGUA - FORNECIMENTO E INSTALAÇÃO. AF_12/2014</v>
      </c>
      <c r="C193" s="95">
        <f ca="1">ROUND(C194/$F$390,4)</f>
        <v>8.9999999999999998E-4</v>
      </c>
      <c r="D193" s="95"/>
      <c r="E193" s="95">
        <v>1</v>
      </c>
      <c r="F193" s="95">
        <f>ROUND(F194/$C194,4)</f>
        <v>0</v>
      </c>
    </row>
    <row r="194" spans="1:6" customFormat="1" ht="14.25">
      <c r="A194" s="244"/>
      <c r="B194" s="246"/>
      <c r="C194" s="96">
        <f ca="1">VLOOKUP($A193,'Orçamento Sintético'!$A:$H,8,0)</f>
        <v>179.55</v>
      </c>
      <c r="D194" s="96">
        <f>ROUND($C194*D193,2)</f>
        <v>0</v>
      </c>
      <c r="E194" s="96">
        <f>ROUND($C194*E193,2)</f>
        <v>179.55</v>
      </c>
      <c r="F194" s="96">
        <f>$C194-SUM(D194:E194)</f>
        <v>0</v>
      </c>
    </row>
    <row r="195" spans="1:6" customFormat="1" ht="14.25">
      <c r="A195" s="244" t="s">
        <v>501</v>
      </c>
      <c r="B195" s="245" t="str">
        <f ca="1">VLOOKUP($A195,'Orçamento Sintético'!$A:$H,4,0)</f>
        <v>TE, PVC, SOLDÁVEL, DN 60MM, INSTALADO EM PRUMADA DE ÁGUA - FORNECIMENTO E INSTALAÇÃO. AF_12/2014</v>
      </c>
      <c r="C195" s="95">
        <f ca="1">ROUND(C196/$F$390,4)</f>
        <v>6.9999999999999999E-4</v>
      </c>
      <c r="D195" s="95"/>
      <c r="E195" s="95">
        <v>1</v>
      </c>
      <c r="F195" s="95">
        <f>ROUND(F196/$C196,4)</f>
        <v>0</v>
      </c>
    </row>
    <row r="196" spans="1:6" customFormat="1" ht="14.25">
      <c r="A196" s="244"/>
      <c r="B196" s="246"/>
      <c r="C196" s="96">
        <f ca="1">VLOOKUP($A195,'Orçamento Sintético'!$A:$H,8,0)</f>
        <v>137.61000000000001</v>
      </c>
      <c r="D196" s="96">
        <f>ROUND($C196*D195,2)</f>
        <v>0</v>
      </c>
      <c r="E196" s="96">
        <f>ROUND($C196*E195,2)</f>
        <v>137.61000000000001</v>
      </c>
      <c r="F196" s="96">
        <f>$C196-SUM(D196:E196)</f>
        <v>0</v>
      </c>
    </row>
    <row r="197" spans="1:6" customFormat="1" ht="14.25">
      <c r="A197" s="244" t="s">
        <v>504</v>
      </c>
      <c r="B197" s="245" t="str">
        <f ca="1">VLOOKUP($A197,'Orçamento Sintético'!$A:$H,4,0)</f>
        <v>ADAPTADOR CURTO COM BOLSA E ROSCA PARA REGISTRO, PVC, SOLDÁVEL, DN 60MM X 2, INSTALADO EM PRUMADA DE ÁGUA - FORNECIMENTO E INSTALAÇÃO. AF_12/2014</v>
      </c>
      <c r="C197" s="95">
        <f ca="1">ROUND(C198/$F$390,4)</f>
        <v>4.0000000000000002E-4</v>
      </c>
      <c r="D197" s="95"/>
      <c r="E197" s="95">
        <v>1</v>
      </c>
      <c r="F197" s="95">
        <f>ROUND(F198/$C198,4)</f>
        <v>0</v>
      </c>
    </row>
    <row r="198" spans="1:6" customFormat="1" ht="14.25">
      <c r="A198" s="244"/>
      <c r="B198" s="246"/>
      <c r="C198" s="96">
        <f ca="1">VLOOKUP($A197,'Orçamento Sintético'!$A:$H,8,0)</f>
        <v>82.52</v>
      </c>
      <c r="D198" s="96">
        <f>ROUND($C198*D197,2)</f>
        <v>0</v>
      </c>
      <c r="E198" s="96">
        <f>ROUND($C198*E197,2)</f>
        <v>82.52</v>
      </c>
      <c r="F198" s="96">
        <f>$C198-SUM(D198:E198)</f>
        <v>0</v>
      </c>
    </row>
    <row r="199" spans="1:6" customFormat="1" ht="14.25">
      <c r="A199" s="244" t="s">
        <v>507</v>
      </c>
      <c r="B199" s="245" t="str">
        <f ca="1">VLOOKUP($A199,'Orçamento Sintético'!$A:$H,4,0)</f>
        <v>LUVA COM ROSCA, PVC, SOLDÁVEL, DN 50MM X 1.1/2, INSTALADO EM PRUMADA DE ÁGUA - FORNECIMENTO E INSTALAÇÃO. AF_12/2014</v>
      </c>
      <c r="C199" s="95">
        <f ca="1">ROUND(C200/$F$390,4)</f>
        <v>5.0000000000000001E-4</v>
      </c>
      <c r="D199" s="95"/>
      <c r="E199" s="95">
        <v>1</v>
      </c>
      <c r="F199" s="95">
        <f>ROUND(F200/$C200,4)</f>
        <v>0</v>
      </c>
    </row>
    <row r="200" spans="1:6" customFormat="1" ht="14.25">
      <c r="A200" s="244"/>
      <c r="B200" s="246"/>
      <c r="C200" s="96">
        <f ca="1">VLOOKUP($A199,'Orçamento Sintético'!$A:$H,8,0)</f>
        <v>98.19</v>
      </c>
      <c r="D200" s="96">
        <f>ROUND($C200*D199,2)</f>
        <v>0</v>
      </c>
      <c r="E200" s="96">
        <f>ROUND($C200*E199,2)</f>
        <v>98.19</v>
      </c>
      <c r="F200" s="96">
        <f>$C200-SUM(D200:E200)</f>
        <v>0</v>
      </c>
    </row>
    <row r="201" spans="1:6" customFormat="1" ht="14.25">
      <c r="A201" s="244" t="s">
        <v>510</v>
      </c>
      <c r="B201" s="245" t="str">
        <f ca="1">VLOOKUP($A201,'Orçamento Sintético'!$A:$H,4,0)</f>
        <v>JOELHO 90 GRAUS, PVC, SOLDÁVEL, DN 50MM, INSTALADO EM PRUMADA DE ÁGUA - FORNECIMENTO E INSTALAÇÃO. AF_12/2014</v>
      </c>
      <c r="C201" s="95">
        <f ca="1">ROUND(C202/$F$390,4)</f>
        <v>1.6999999999999999E-3</v>
      </c>
      <c r="D201" s="95"/>
      <c r="E201" s="95">
        <v>1</v>
      </c>
      <c r="F201" s="95">
        <f>ROUND(F202/$C202,4)</f>
        <v>0</v>
      </c>
    </row>
    <row r="202" spans="1:6" customFormat="1" ht="14.25">
      <c r="A202" s="244"/>
      <c r="B202" s="246"/>
      <c r="C202" s="96">
        <f ca="1">VLOOKUP($A201,'Orçamento Sintético'!$A:$H,8,0)</f>
        <v>353.34</v>
      </c>
      <c r="D202" s="96">
        <f>ROUND($C202*D201,2)</f>
        <v>0</v>
      </c>
      <c r="E202" s="96">
        <f>ROUND($C202*E201,2)</f>
        <v>353.34</v>
      </c>
      <c r="F202" s="96">
        <f>$C202-SUM(D202:E202)</f>
        <v>0</v>
      </c>
    </row>
    <row r="203" spans="1:6" customFormat="1" ht="14.25">
      <c r="A203" s="244" t="s">
        <v>513</v>
      </c>
      <c r="B203" s="245" t="str">
        <f ca="1">VLOOKUP($A203,'Orçamento Sintético'!$A:$H,4,0)</f>
        <v>TE, PVC, SOLDÁVEL, DN 50MM, INSTALADO EM PRUMADA DE ÁGUA - FORNECIMENTO E INSTALAÇÃO. AF_12/2014</v>
      </c>
      <c r="C203" s="95">
        <f ca="1">ROUND(C204/$F$390,4)</f>
        <v>5.0000000000000001E-4</v>
      </c>
      <c r="D203" s="95"/>
      <c r="E203" s="95">
        <v>1</v>
      </c>
      <c r="F203" s="95">
        <f>ROUND(F204/$C204,4)</f>
        <v>0</v>
      </c>
    </row>
    <row r="204" spans="1:6" customFormat="1" ht="14.25">
      <c r="A204" s="244"/>
      <c r="B204" s="246"/>
      <c r="C204" s="96">
        <f ca="1">VLOOKUP($A203,'Orçamento Sintético'!$A:$H,8,0)</f>
        <v>107.05</v>
      </c>
      <c r="D204" s="96">
        <f>ROUND($C204*D203,2)</f>
        <v>0</v>
      </c>
      <c r="E204" s="96">
        <f>ROUND($C204*E203,2)</f>
        <v>107.05</v>
      </c>
      <c r="F204" s="96">
        <f>$C204-SUM(D204:E204)</f>
        <v>0</v>
      </c>
    </row>
    <row r="205" spans="1:6" customFormat="1" ht="14.25">
      <c r="A205" s="244" t="s">
        <v>516</v>
      </c>
      <c r="B205" s="245" t="str">
        <f ca="1">VLOOKUP($A205,'Orçamento Sintético'!$A:$H,4,0)</f>
        <v>ADAPTADOR CURTO COM BOLSA E ROSCA PARA REGISTRO, PVC, SOLDÁVEL, DN 50MM X 1.1/2, INSTALADO EM PRUMADA DE ÁGUA - FORNECIMENTO E INSTALAÇÃO. AF_12/2014</v>
      </c>
      <c r="C205" s="95">
        <f ca="1">ROUND(C206/$F$390,4)</f>
        <v>5.9999999999999995E-4</v>
      </c>
      <c r="D205" s="95"/>
      <c r="E205" s="95">
        <v>1</v>
      </c>
      <c r="F205" s="95">
        <f>ROUND(F206/$C206,4)</f>
        <v>0</v>
      </c>
    </row>
    <row r="206" spans="1:6" customFormat="1" ht="14.25">
      <c r="A206" s="244"/>
      <c r="B206" s="246"/>
      <c r="C206" s="96">
        <f ca="1">VLOOKUP($A205,'Orçamento Sintético'!$A:$H,8,0)</f>
        <v>118.8</v>
      </c>
      <c r="D206" s="96">
        <f>ROUND($C206*D205,2)</f>
        <v>0</v>
      </c>
      <c r="E206" s="96">
        <f>ROUND($C206*E205,2)</f>
        <v>118.8</v>
      </c>
      <c r="F206" s="96">
        <f>$C206-SUM(D206:E206)</f>
        <v>0</v>
      </c>
    </row>
    <row r="207" spans="1:6" customFormat="1" ht="14.25">
      <c r="A207" s="244" t="s">
        <v>519</v>
      </c>
      <c r="B207" s="245" t="str">
        <f ca="1">VLOOKUP($A207,'Orçamento Sintético'!$A:$H,4,0)</f>
        <v>JOELHO 90 GRAUS, PVC, SOLDÁVEL, DN 25MM, INSTALADO EM RAMAL DE DISTRIBUIÇÃO DE ÁGUA - FORNECIMENTO E INSTALAÇÃO. AF_12/2014</v>
      </c>
      <c r="C207" s="95">
        <f ca="1">ROUND(C208/$F$390,4)</f>
        <v>2.0000000000000001E-4</v>
      </c>
      <c r="D207" s="95"/>
      <c r="E207" s="95">
        <v>1</v>
      </c>
      <c r="F207" s="95">
        <f>ROUND(F208/$C208,4)</f>
        <v>0</v>
      </c>
    </row>
    <row r="208" spans="1:6" customFormat="1" ht="14.25">
      <c r="A208" s="244"/>
      <c r="B208" s="246"/>
      <c r="C208" s="96">
        <f ca="1">VLOOKUP($A207,'Orçamento Sintético'!$A:$H,8,0)</f>
        <v>34.200000000000003</v>
      </c>
      <c r="D208" s="96">
        <f>ROUND($C208*D207,2)</f>
        <v>0</v>
      </c>
      <c r="E208" s="96">
        <f>ROUND($C208*E207,2)</f>
        <v>34.200000000000003</v>
      </c>
      <c r="F208" s="96">
        <f>$C208-SUM(D208:E208)</f>
        <v>0</v>
      </c>
    </row>
    <row r="209" spans="1:6" customFormat="1" ht="14.25">
      <c r="A209" s="244" t="s">
        <v>522</v>
      </c>
      <c r="B209" s="245" t="str">
        <f ca="1">VLOOKUP($A209,'Orçamento Sintético'!$A:$H,4,0)</f>
        <v>TE, PVC, SOLDÁVEL, DN 25MM, INSTALADO EM RAMAL DE DISTRIBUIÇÃO DE ÁGUA - FORNECIMENTO E INSTALAÇÃO. AF_12/2014</v>
      </c>
      <c r="C209" s="95">
        <f ca="1">ROUND(C210/$F$390,4)</f>
        <v>1E-4</v>
      </c>
      <c r="D209" s="95"/>
      <c r="E209" s="95">
        <v>1</v>
      </c>
      <c r="F209" s="95">
        <f>ROUND(F210/$C210,4)</f>
        <v>0</v>
      </c>
    </row>
    <row r="210" spans="1:6" customFormat="1" ht="14.25">
      <c r="A210" s="244"/>
      <c r="B210" s="246"/>
      <c r="C210" s="96">
        <f ca="1">VLOOKUP($A209,'Orçamento Sintético'!$A:$H,8,0)</f>
        <v>16.22</v>
      </c>
      <c r="D210" s="96">
        <f>ROUND($C210*D209,2)</f>
        <v>0</v>
      </c>
      <c r="E210" s="96">
        <f>ROUND($C210*E209,2)</f>
        <v>16.22</v>
      </c>
      <c r="F210" s="96">
        <f>$C210-SUM(D210:E210)</f>
        <v>0</v>
      </c>
    </row>
    <row r="211" spans="1:6" customFormat="1" ht="14.25">
      <c r="A211" s="244" t="s">
        <v>525</v>
      </c>
      <c r="B211" s="245" t="str">
        <f ca="1">VLOOKUP($A211,'Orçamento Sintético'!$A:$H,4,0)</f>
        <v>ADAPTADOR CURTO COM BOLSA E ROSCA PARA REGISTRO, PVC, SOLDÁVEL, DN 25MM X 3/4, INSTALADO EM RAMAL DE DISTRIBUIÇÃO DE ÁGUA - FORNECIMENTO E INSTALAÇÃO. AF_12/2014</v>
      </c>
      <c r="C211" s="95">
        <f ca="1">ROUND(C212/$F$390,4)</f>
        <v>1E-4</v>
      </c>
      <c r="D211" s="95"/>
      <c r="E211" s="95">
        <v>1</v>
      </c>
      <c r="F211" s="95">
        <f>ROUND(F212/$C212,4)</f>
        <v>0</v>
      </c>
    </row>
    <row r="212" spans="1:6" customFormat="1" ht="14.25">
      <c r="A212" s="244"/>
      <c r="B212" s="246"/>
      <c r="C212" s="96">
        <f ca="1">VLOOKUP($A211,'Orçamento Sintético'!$A:$H,8,0)</f>
        <v>18.440000000000001</v>
      </c>
      <c r="D212" s="96">
        <f>ROUND($C212*D211,2)</f>
        <v>0</v>
      </c>
      <c r="E212" s="96">
        <f>ROUND($C212*E211,2)</f>
        <v>18.440000000000001</v>
      </c>
      <c r="F212" s="96">
        <f>$C212-SUM(D212:E212)</f>
        <v>0</v>
      </c>
    </row>
    <row r="213" spans="1:6" customFormat="1" ht="14.25">
      <c r="A213" s="244" t="s">
        <v>528</v>
      </c>
      <c r="B213" s="245" t="str">
        <f ca="1">VLOOKUP($A213,'Orçamento Sintético'!$A:$H,4,0)</f>
        <v>LUVA SOLDÁVEL E COM ROSCA, PVC, SOLDÁVEL, DN 25MM X 3/4, INSTALADO EM PRUMADA DE ÁGUA - FORNECIMENTO E INSTALAÇÃO. AF_12/2014</v>
      </c>
      <c r="C213" s="95">
        <f ca="1">ROUND(C214/$F$390,4)</f>
        <v>0</v>
      </c>
      <c r="D213" s="95"/>
      <c r="E213" s="95">
        <v>1</v>
      </c>
      <c r="F213" s="95">
        <f>ROUND(F214/$C214,4)</f>
        <v>0</v>
      </c>
    </row>
    <row r="214" spans="1:6" customFormat="1" ht="14.25">
      <c r="A214" s="244"/>
      <c r="B214" s="246"/>
      <c r="C214" s="96">
        <f ca="1">VLOOKUP($A213,'Orçamento Sintético'!$A:$H,8,0)</f>
        <v>4.54</v>
      </c>
      <c r="D214" s="96">
        <f>ROUND($C214*D213,2)</f>
        <v>0</v>
      </c>
      <c r="E214" s="96">
        <f>ROUND($C214*E213,2)</f>
        <v>4.54</v>
      </c>
      <c r="F214" s="96">
        <f>$C214-SUM(D214:E214)</f>
        <v>0</v>
      </c>
    </row>
    <row r="215" spans="1:6" customFormat="1" ht="14.25">
      <c r="A215" s="244" t="s">
        <v>531</v>
      </c>
      <c r="B215" s="245" t="str">
        <f ca="1">VLOOKUP($A215,'Orçamento Sintético'!$A:$H,4,0)</f>
        <v>JOELHO 90 GRAUS, PVC, SOLDÁVEL, DN 85MM, INSTALADO EM PRUMADA DE ÁGUA - FORNECIMENTO E INSTALAÇÃO. AF_12/2014</v>
      </c>
      <c r="C215" s="95">
        <f ca="1">ROUND(C216/$F$390,4)</f>
        <v>3.2000000000000002E-3</v>
      </c>
      <c r="D215" s="95"/>
      <c r="E215" s="95">
        <v>1</v>
      </c>
      <c r="F215" s="95">
        <f>ROUND(F216/$C216,4)</f>
        <v>0</v>
      </c>
    </row>
    <row r="216" spans="1:6" customFormat="1" ht="14.25">
      <c r="A216" s="244"/>
      <c r="B216" s="246"/>
      <c r="C216" s="96">
        <f ca="1">VLOOKUP($A215,'Orçamento Sintético'!$A:$H,8,0)</f>
        <v>666.6</v>
      </c>
      <c r="D216" s="96">
        <f>ROUND($C216*D215,2)</f>
        <v>0</v>
      </c>
      <c r="E216" s="96">
        <f>ROUND($C216*E215,2)</f>
        <v>666.6</v>
      </c>
      <c r="F216" s="96">
        <f>$C216-SUM(D216:E216)</f>
        <v>0</v>
      </c>
    </row>
    <row r="217" spans="1:6" customFormat="1" ht="14.25">
      <c r="A217" s="244" t="s">
        <v>534</v>
      </c>
      <c r="B217" s="245" t="str">
        <f ca="1">VLOOKUP($A217,'Orçamento Sintético'!$A:$H,4,0)</f>
        <v>ADAPTADOR CURTO COM BOLSA E ROSCA PARA REGISTRO, PVC, SOLDÁVEL, DN 75MM X 2.1/2, INSTALADO EM PRUMADA DE ÁGUA - FORNECIMENTO E INSTALAÇÃO. AF_12/2014</v>
      </c>
      <c r="C217" s="95">
        <f ca="1">ROUND(C218/$F$390,4)</f>
        <v>5.9999999999999995E-4</v>
      </c>
      <c r="D217" s="95"/>
      <c r="E217" s="95">
        <v>1</v>
      </c>
      <c r="F217" s="95">
        <f>ROUND(F218/$C218,4)</f>
        <v>0</v>
      </c>
    </row>
    <row r="218" spans="1:6" customFormat="1" ht="14.25">
      <c r="A218" s="244"/>
      <c r="B218" s="246"/>
      <c r="C218" s="96">
        <f ca="1">VLOOKUP($A217,'Orçamento Sintético'!$A:$H,8,0)</f>
        <v>120.64</v>
      </c>
      <c r="D218" s="96">
        <f>ROUND($C218*D217,2)</f>
        <v>0</v>
      </c>
      <c r="E218" s="96">
        <f>ROUND($C218*E217,2)</f>
        <v>120.64</v>
      </c>
      <c r="F218" s="96">
        <f>$C218-SUM(D218:E218)</f>
        <v>0</v>
      </c>
    </row>
    <row r="219" spans="1:6" customFormat="1" ht="14.25">
      <c r="A219" s="244" t="s">
        <v>537</v>
      </c>
      <c r="B219" s="245" t="str">
        <f ca="1">VLOOKUP($A219,'Orçamento Sintético'!$A:$H,4,0)</f>
        <v>JOELHO 90 GRAUS, PVC, SOLDÁVEL, DN 75MM, INSTALADO EM PRUMADA DE ÁGUA - FORNECIMENTO E INSTALAÇÃO. AF_12/2014</v>
      </c>
      <c r="C219" s="95">
        <f ca="1">ROUND(C220/$F$390,4)</f>
        <v>1.1000000000000001E-3</v>
      </c>
      <c r="D219" s="95"/>
      <c r="E219" s="95">
        <v>1</v>
      </c>
      <c r="F219" s="95">
        <f>ROUND(F220/$C220,4)</f>
        <v>0</v>
      </c>
    </row>
    <row r="220" spans="1:6" customFormat="1" ht="14.25">
      <c r="A220" s="244"/>
      <c r="B220" s="246"/>
      <c r="C220" s="96">
        <f ca="1">VLOOKUP($A219,'Orçamento Sintético'!$A:$H,8,0)</f>
        <v>226.12</v>
      </c>
      <c r="D220" s="96">
        <f>ROUND($C220*D219,2)</f>
        <v>0</v>
      </c>
      <c r="E220" s="96">
        <f>ROUND($C220*E219,2)</f>
        <v>226.12</v>
      </c>
      <c r="F220" s="96">
        <f>$C220-SUM(D220:E220)</f>
        <v>0</v>
      </c>
    </row>
    <row r="221" spans="1:6" customFormat="1" ht="14.25">
      <c r="A221" s="244" t="s">
        <v>540</v>
      </c>
      <c r="B221" s="245" t="str">
        <f ca="1">VLOOKUP($A221,'Orçamento Sintético'!$A:$H,4,0)</f>
        <v>TÊ, PVC, SOLDÁVEL, DN 110 MM INSTALADO EM RESERVAÇÃO DE ÁGUA DE EDIFICAÇÃO QUE POSSUA RESERVATÓRIO DE FIBRA/FIBROCIMENTO   FORNECIMENTO E INSTALAÇÃO. AF_06/2016</v>
      </c>
      <c r="C221" s="95">
        <f ca="1">ROUND(C222/$F$390,4)</f>
        <v>1.1000000000000001E-3</v>
      </c>
      <c r="D221" s="95"/>
      <c r="E221" s="95">
        <v>1</v>
      </c>
      <c r="F221" s="95">
        <f>ROUND(F222/$C222,4)</f>
        <v>0</v>
      </c>
    </row>
    <row r="222" spans="1:6" customFormat="1" ht="14.25">
      <c r="A222" s="244"/>
      <c r="B222" s="246"/>
      <c r="C222" s="96">
        <f ca="1">VLOOKUP($A221,'Orçamento Sintético'!$A:$H,8,0)</f>
        <v>228.58</v>
      </c>
      <c r="D222" s="96">
        <f>ROUND($C222*D221,2)</f>
        <v>0</v>
      </c>
      <c r="E222" s="96">
        <f>ROUND($C222*E221,2)</f>
        <v>228.58</v>
      </c>
      <c r="F222" s="96">
        <f>$C222-SUM(D222:E222)</f>
        <v>0</v>
      </c>
    </row>
    <row r="223" spans="1:6" customFormat="1" ht="14.25">
      <c r="A223" s="244" t="s">
        <v>543</v>
      </c>
      <c r="B223" s="245" t="str">
        <f ca="1">VLOOKUP($A223,'Orçamento Sintético'!$A:$H,4,0)</f>
        <v>JOELHO 90 GRAUS, PVC, SOLDÁVEL, DN 110 MM INSTALADO EM RESERVAÇÃO DE ÁGUA DE EDIFICAÇÃO QUE POSSUA RESERVATÓRIO DE FIBRA/FIBROCIMENTO   FORNECIMENTO E INSTALAÇÃO. AF_06/2016</v>
      </c>
      <c r="C223" s="95">
        <f ca="1">ROUND(C224/$F$390,4)</f>
        <v>1.4E-3</v>
      </c>
      <c r="D223" s="95"/>
      <c r="E223" s="95">
        <v>1</v>
      </c>
      <c r="F223" s="95">
        <f>ROUND(F224/$C224,4)</f>
        <v>0</v>
      </c>
    </row>
    <row r="224" spans="1:6" customFormat="1" ht="14.25">
      <c r="A224" s="244"/>
      <c r="B224" s="246"/>
      <c r="C224" s="96">
        <f ca="1">VLOOKUP($A223,'Orçamento Sintético'!$A:$H,8,0)</f>
        <v>281.85000000000002</v>
      </c>
      <c r="D224" s="96">
        <f>ROUND($C224*D223,2)</f>
        <v>0</v>
      </c>
      <c r="E224" s="96">
        <f>ROUND($C224*E223,2)</f>
        <v>281.85000000000002</v>
      </c>
      <c r="F224" s="96">
        <f>$C224-SUM(D224:E224)</f>
        <v>0</v>
      </c>
    </row>
    <row r="225" spans="1:6" customFormat="1" ht="14.25">
      <c r="A225" s="244" t="s">
        <v>546</v>
      </c>
      <c r="B225" s="245" t="str">
        <f ca="1">VLOOKUP($A225,'Orçamento Sintético'!$A:$H,4,0)</f>
        <v>JOELHO 90 GRAUS, PVC, SOLDÁVEL, DN 40MM, INSTALADO EM PRUMADA DE ÁGUA - FORNECIMENTO E INSTALAÇÃO. AF_12/2014</v>
      </c>
      <c r="C225" s="95">
        <f ca="1">ROUND(C226/$F$390,4)</f>
        <v>1E-4</v>
      </c>
      <c r="D225" s="95"/>
      <c r="E225" s="95">
        <v>1</v>
      </c>
      <c r="F225" s="95">
        <f>ROUND(F226/$C226,4)</f>
        <v>0</v>
      </c>
    </row>
    <row r="226" spans="1:6" customFormat="1" ht="14.25">
      <c r="A226" s="244"/>
      <c r="B226" s="246"/>
      <c r="C226" s="96">
        <f ca="1">VLOOKUP($A225,'Orçamento Sintético'!$A:$H,8,0)</f>
        <v>22.6</v>
      </c>
      <c r="D226" s="96">
        <f>ROUND($C226*D225,2)</f>
        <v>0</v>
      </c>
      <c r="E226" s="96">
        <f>ROUND($C226*E225,2)</f>
        <v>22.6</v>
      </c>
      <c r="F226" s="96">
        <f>$C226-SUM(D226:E226)</f>
        <v>0</v>
      </c>
    </row>
    <row r="227" spans="1:6" customFormat="1" ht="14.25">
      <c r="A227" s="244" t="s">
        <v>549</v>
      </c>
      <c r="B227" s="245" t="str">
        <f ca="1">VLOOKUP($A227,'Orçamento Sintético'!$A:$H,4,0)</f>
        <v>LUVA DE REDUÇÃO, PVC, SOLDÁVEL, DN 60MM X 50MM, INSTALADO EM PRUMADA DE ÁGUA - FORNECIMENTO E INSTALAÇÃO. AF_12/2014</v>
      </c>
      <c r="C227" s="95">
        <f ca="1">ROUND(C228/$F$390,4)</f>
        <v>1E-4</v>
      </c>
      <c r="D227" s="95"/>
      <c r="E227" s="95">
        <v>1</v>
      </c>
      <c r="F227" s="95">
        <f>ROUND(F228/$C228,4)</f>
        <v>0</v>
      </c>
    </row>
    <row r="228" spans="1:6" customFormat="1" ht="14.25">
      <c r="A228" s="244"/>
      <c r="B228" s="246"/>
      <c r="C228" s="96">
        <f ca="1">VLOOKUP($A227,'Orçamento Sintético'!$A:$H,8,0)</f>
        <v>20.11</v>
      </c>
      <c r="D228" s="96">
        <f>ROUND($C228*D227,2)</f>
        <v>0</v>
      </c>
      <c r="E228" s="96">
        <f>ROUND($C228*E227,2)</f>
        <v>20.11</v>
      </c>
      <c r="F228" s="96">
        <f>$C228-SUM(D228:E228)</f>
        <v>0</v>
      </c>
    </row>
    <row r="229" spans="1:6" customFormat="1" ht="14.25">
      <c r="A229" s="244" t="s">
        <v>552</v>
      </c>
      <c r="B229" s="245" t="str">
        <f ca="1">VLOOKUP($A229,'Orçamento Sintético'!$A:$H,4,0)</f>
        <v>BUCHA DE REDUÇÃO LONGA, PVC, SERIE R, ÁGUA PLUVIAL, DN 50 X 40 MM, JUNTA ELÁSTICA, FORNECIDO E INSTALADO EM RAMAL DE ENCAMINHAMENTO. AF_12/2014</v>
      </c>
      <c r="C229" s="95">
        <f ca="1">ROUND(C230/$F$390,4)</f>
        <v>1E-4</v>
      </c>
      <c r="D229" s="95"/>
      <c r="E229" s="95">
        <v>1</v>
      </c>
      <c r="F229" s="95">
        <f>ROUND(F230/$C230,4)</f>
        <v>0</v>
      </c>
    </row>
    <row r="230" spans="1:6" customFormat="1" ht="14.25">
      <c r="A230" s="244"/>
      <c r="B230" s="246"/>
      <c r="C230" s="96">
        <f ca="1">VLOOKUP($A229,'Orçamento Sintético'!$A:$H,8,0)</f>
        <v>10.54</v>
      </c>
      <c r="D230" s="96">
        <f>ROUND($C230*D229,2)</f>
        <v>0</v>
      </c>
      <c r="E230" s="96">
        <f>ROUND($C230*E229,2)</f>
        <v>10.54</v>
      </c>
      <c r="F230" s="96">
        <f>$C230-SUM(D230:E230)</f>
        <v>0</v>
      </c>
    </row>
    <row r="231" spans="1:6" customFormat="1" ht="14.25">
      <c r="A231" s="244" t="s">
        <v>555</v>
      </c>
      <c r="B231" s="245" t="str">
        <f ca="1">VLOOKUP($A231,'Orçamento Sintético'!$A:$H,4,0)</f>
        <v>ADAPTADOR CURTO COM BOLSA E ROSCA PARA REGISTRO, PVC, SOLDÁVEL, DN 85MM X 3, INSTALADO EM PRUMADA DE ÁGUA - FORNECIMENTO E INSTALAÇÃO. AF_12/2014</v>
      </c>
      <c r="C231" s="95">
        <f ca="1">ROUND(C232/$F$390,4)</f>
        <v>4.0000000000000002E-4</v>
      </c>
      <c r="D231" s="95"/>
      <c r="E231" s="95">
        <v>1</v>
      </c>
      <c r="F231" s="95">
        <f>ROUND(F232/$C232,4)</f>
        <v>0</v>
      </c>
    </row>
    <row r="232" spans="1:6" customFormat="1" ht="14.25">
      <c r="A232" s="244"/>
      <c r="B232" s="246"/>
      <c r="C232" s="96">
        <f ca="1">VLOOKUP($A231,'Orçamento Sintético'!$A:$H,8,0)</f>
        <v>88.08</v>
      </c>
      <c r="D232" s="96">
        <f>ROUND($C232*D231,2)</f>
        <v>0</v>
      </c>
      <c r="E232" s="96">
        <f>ROUND($C232*E231,2)</f>
        <v>88.08</v>
      </c>
      <c r="F232" s="96">
        <f>$C232-SUM(D232:E232)</f>
        <v>0</v>
      </c>
    </row>
    <row r="233" spans="1:6" customFormat="1" ht="14.25">
      <c r="A233" s="244" t="s">
        <v>558</v>
      </c>
      <c r="B233" s="245" t="str">
        <f ca="1">VLOOKUP($A233,'Orçamento Sintético'!$A:$H,4,0)</f>
        <v>JOELHO 45 GRAUS, PVC, SOLDÁVEL, DN 50MM, INSTALADO EM PRUMADA DE ÁGUA - FORNECIMENTO E INSTALAÇÃO. AF_12/2014</v>
      </c>
      <c r="C233" s="95">
        <f ca="1">ROUND(C234/$F$390,4)</f>
        <v>1E-4</v>
      </c>
      <c r="D233" s="95"/>
      <c r="E233" s="95">
        <v>1</v>
      </c>
      <c r="F233" s="95">
        <f>ROUND(F234/$C234,4)</f>
        <v>0</v>
      </c>
    </row>
    <row r="234" spans="1:6" customFormat="1" ht="14.25">
      <c r="A234" s="244"/>
      <c r="B234" s="246"/>
      <c r="C234" s="96">
        <f ca="1">VLOOKUP($A233,'Orçamento Sintético'!$A:$H,8,0)</f>
        <v>31.04</v>
      </c>
      <c r="D234" s="96">
        <f>ROUND($C234*D233,2)</f>
        <v>0</v>
      </c>
      <c r="E234" s="96">
        <f>ROUND($C234*E233,2)</f>
        <v>31.04</v>
      </c>
      <c r="F234" s="96">
        <f>$C234-SUM(D234:E234)</f>
        <v>0</v>
      </c>
    </row>
    <row r="235" spans="1:6" customFormat="1" ht="14.25">
      <c r="A235" s="244" t="s">
        <v>561</v>
      </c>
      <c r="B235" s="245" t="str">
        <f ca="1">VLOOKUP($A235,'Orçamento Sintético'!$A:$H,4,0)</f>
        <v>ADAPTADOR COM FLANGES LIVRES, PVC, SOLDÁVEL LONGO, DN 75 MM X 2 1/2 , INSTALADO EM RESERVAÇÃO DE ÁGUA DE EDIFICAÇÃO QUE POSSUA RESERVATÓRIO DE FIBRA/FIBROCIMENTO   FORNECIMENTO E INSTALAÇÃO. AF_06/2016</v>
      </c>
      <c r="C235" s="95">
        <f ca="1">ROUND(C236/$F$390,4)</f>
        <v>1.2999999999999999E-3</v>
      </c>
      <c r="D235" s="95"/>
      <c r="E235" s="95">
        <v>1</v>
      </c>
      <c r="F235" s="95">
        <f>ROUND(F236/$C236,4)</f>
        <v>0</v>
      </c>
    </row>
    <row r="236" spans="1:6" customFormat="1" ht="14.25">
      <c r="A236" s="244"/>
      <c r="B236" s="246"/>
      <c r="C236" s="96">
        <f ca="1">VLOOKUP($A235,'Orçamento Sintético'!$A:$H,8,0)</f>
        <v>262.32</v>
      </c>
      <c r="D236" s="96">
        <f>ROUND($C236*D235,2)</f>
        <v>0</v>
      </c>
      <c r="E236" s="96">
        <f>ROUND($C236*E235,2)</f>
        <v>262.32</v>
      </c>
      <c r="F236" s="96">
        <f>$C236-SUM(D236:E236)</f>
        <v>0</v>
      </c>
    </row>
    <row r="237" spans="1:6" customFormat="1" ht="14.25">
      <c r="A237" s="244" t="s">
        <v>564</v>
      </c>
      <c r="B237" s="245" t="str">
        <f ca="1">VLOOKUP($A237,'Orçamento Sintético'!$A:$H,4,0)</f>
        <v>ADAPTADOR COM FLANGES LIVRES, PVC, SOLDÁVEL LONGO, DN 110 MM X 4 , INSTALADO EM RESERVAÇÃO DE ÁGUA DE EDIFICAÇÃO QUE POSSUA RESERVATÓRIO DE FIBRA/FIBROCIMENTO   FORNECIMENTO E INSTALAÇÃO. AF_06/2016</v>
      </c>
      <c r="C237" s="95">
        <f ca="1">ROUND(C238/$F$390,4)</f>
        <v>4.1000000000000003E-3</v>
      </c>
      <c r="D237" s="95"/>
      <c r="E237" s="95">
        <v>1</v>
      </c>
      <c r="F237" s="95">
        <f>ROUND(F238/$C238,4)</f>
        <v>0</v>
      </c>
    </row>
    <row r="238" spans="1:6" customFormat="1" ht="14.25">
      <c r="A238" s="244"/>
      <c r="B238" s="246"/>
      <c r="C238" s="96">
        <f ca="1">VLOOKUP($A237,'Orçamento Sintético'!$A:$H,8,0)</f>
        <v>850.42</v>
      </c>
      <c r="D238" s="96">
        <f>ROUND($C238*D237,2)</f>
        <v>0</v>
      </c>
      <c r="E238" s="96">
        <f>ROUND($C238*E237,2)</f>
        <v>850.42</v>
      </c>
      <c r="F238" s="96">
        <f>$C238-SUM(D238:E238)</f>
        <v>0</v>
      </c>
    </row>
    <row r="239" spans="1:6" customFormat="1" ht="14.25">
      <c r="A239" s="244" t="s">
        <v>567</v>
      </c>
      <c r="B239" s="245" t="str">
        <f ca="1">VLOOKUP($A239,'Orçamento Sintético'!$A:$H,4,0)</f>
        <v>REGISTRO DE ESFERA, PVC, SOLDÁVEL, DN  32 MM, INSTALADO EM RESERVAÇÃO DE ÁGUA DE EDIFICAÇÃO QUE POSSUA RESERVATÓRIO DE FIBRA/FIBROCIMENTO   FORNECIMENTO E INSTALAÇÃO. AF_06/2016</v>
      </c>
      <c r="C239" s="95">
        <f ca="1">ROUND(C240/$F$390,4)</f>
        <v>5.0000000000000001E-4</v>
      </c>
      <c r="D239" s="95"/>
      <c r="E239" s="95">
        <v>1</v>
      </c>
      <c r="F239" s="95">
        <f>ROUND(F240/$C240,4)</f>
        <v>0</v>
      </c>
    </row>
    <row r="240" spans="1:6" customFormat="1" ht="14.25">
      <c r="A240" s="244"/>
      <c r="B240" s="246"/>
      <c r="C240" s="96">
        <f ca="1">VLOOKUP($A239,'Orçamento Sintético'!$A:$H,8,0)</f>
        <v>110.02</v>
      </c>
      <c r="D240" s="96">
        <f>ROUND($C240*D239,2)</f>
        <v>0</v>
      </c>
      <c r="E240" s="96">
        <f>ROUND($C240*E239,2)</f>
        <v>110.02</v>
      </c>
      <c r="F240" s="96">
        <f>$C240-SUM(D240:E240)</f>
        <v>0</v>
      </c>
    </row>
    <row r="241" spans="1:6" customFormat="1" ht="14.25">
      <c r="A241" s="244" t="s">
        <v>570</v>
      </c>
      <c r="B241" s="245" t="str">
        <f ca="1">VLOOKUP($A241,'Orçamento Sintético'!$A:$H,4,0)</f>
        <v>REGISTRO DE ESFERA, PVC, SOLDÁVEL, DN  50 MM, INSTALADO EM RESERVAÇÃO DE ÁGUA DE EDIFICAÇÃO QUE POSSUA RESERVATÓRIO DE FIBRA/FIBROCIMENTO   FORNECIMENTO E INSTALAÇÃO. AF_06/2016</v>
      </c>
      <c r="C241" s="95">
        <f ca="1">ROUND(C242/$F$390,4)</f>
        <v>4.0000000000000002E-4</v>
      </c>
      <c r="D241" s="95"/>
      <c r="E241" s="95">
        <v>1</v>
      </c>
      <c r="F241" s="95">
        <f>ROUND(F242/$C242,4)</f>
        <v>0</v>
      </c>
    </row>
    <row r="242" spans="1:6" customFormat="1" ht="14.25">
      <c r="A242" s="244"/>
      <c r="B242" s="246"/>
      <c r="C242" s="96">
        <f ca="1">VLOOKUP($A241,'Orçamento Sintético'!$A:$H,8,0)</f>
        <v>77.430000000000007</v>
      </c>
      <c r="D242" s="96">
        <f>ROUND($C242*D241,2)</f>
        <v>0</v>
      </c>
      <c r="E242" s="96">
        <f>ROUND($C242*E241,2)</f>
        <v>77.430000000000007</v>
      </c>
      <c r="F242" s="96">
        <f>$C242-SUM(D242:E242)</f>
        <v>0</v>
      </c>
    </row>
    <row r="243" spans="1:6" customFormat="1" ht="14.25">
      <c r="A243" s="244" t="s">
        <v>573</v>
      </c>
      <c r="B243" s="245" t="str">
        <f ca="1">VLOOKUP($A243,'Orçamento Sintético'!$A:$H,4,0)</f>
        <v>Copia da SINAPI (94493) - REGISTRO DE ESFERA, PVC, SOLDÁVEL, DN  85 MM - FORNECIMENTO E INSTALAÇÃO.</v>
      </c>
      <c r="C243" s="95">
        <f ca="1">ROUND(C244/$F$390,4)</f>
        <v>5.3E-3</v>
      </c>
      <c r="D243" s="95"/>
      <c r="E243" s="95">
        <v>1</v>
      </c>
      <c r="F243" s="95">
        <f>ROUND(F244/$C244,4)</f>
        <v>0</v>
      </c>
    </row>
    <row r="244" spans="1:6" customFormat="1" ht="14.25">
      <c r="A244" s="244"/>
      <c r="B244" s="246"/>
      <c r="C244" s="96">
        <f ca="1">VLOOKUP($A243,'Orçamento Sintético'!$A:$H,8,0)</f>
        <v>1088.3399999999999</v>
      </c>
      <c r="D244" s="96">
        <f>ROUND($C244*D243,2)</f>
        <v>0</v>
      </c>
      <c r="E244" s="96">
        <f>ROUND($C244*E243,2)</f>
        <v>1088.3399999999999</v>
      </c>
      <c r="F244" s="96">
        <f>$C244-SUM(D244:E244)</f>
        <v>0</v>
      </c>
    </row>
    <row r="245" spans="1:6" customFormat="1" ht="14.25">
      <c r="A245" s="244" t="s">
        <v>576</v>
      </c>
      <c r="B245" s="245" t="str">
        <f ca="1">VLOOKUP($A245,'Orçamento Sintético'!$A:$H,4,0)</f>
        <v>ADAPTADOR COM FLANGE E ANEL DE VEDAÇÃO, PVC, SOLDÁVEL, DN 32 MM X 1 , INSTALADO EM RESERVAÇÃO DE ÁGUA DE EDIFICAÇÃO QUE POSSUA RESERVATÓRIO DE FIBRA/FIBROCIMENTO   FORNECIMENTO E INSTALAÇÃO. AF_06/2016</v>
      </c>
      <c r="C245" s="95">
        <f ca="1">ROUND(C246/$F$390,4)</f>
        <v>5.0000000000000001E-4</v>
      </c>
      <c r="D245" s="95"/>
      <c r="E245" s="95">
        <v>1</v>
      </c>
      <c r="F245" s="95">
        <f>ROUND(F246/$C246,4)</f>
        <v>0</v>
      </c>
    </row>
    <row r="246" spans="1:6" customFormat="1" ht="14.25">
      <c r="A246" s="244"/>
      <c r="B246" s="246"/>
      <c r="C246" s="96">
        <f ca="1">VLOOKUP($A245,'Orçamento Sintético'!$A:$H,8,0)</f>
        <v>93.52</v>
      </c>
      <c r="D246" s="96">
        <f>ROUND($C246*D245,2)</f>
        <v>0</v>
      </c>
      <c r="E246" s="96">
        <f>ROUND($C246*E245,2)</f>
        <v>93.52</v>
      </c>
      <c r="F246" s="96">
        <f>$C246-SUM(D246:E246)</f>
        <v>0</v>
      </c>
    </row>
    <row r="247" spans="1:6" customFormat="1" ht="14.25">
      <c r="A247" s="244" t="s">
        <v>579</v>
      </c>
      <c r="B247" s="245" t="str">
        <f ca="1">VLOOKUP($A247,'Orçamento Sintético'!$A:$H,4,0)</f>
        <v>ADAPTADOR COM FLANGES LIVRES, PVC, SOLDÁVEL, DN 85 MM X 3 , INSTALADO EM RESERVAÇÃO DE ÁGUA DE EDIFICAÇÃO QUE POSSUA RESERVATÓRIO DE FIBRA/FIBROCIMENTO   FORNECIMENTO E INSTALAÇÃO. AF_06/2016</v>
      </c>
      <c r="C247" s="95">
        <f ca="1">ROUND(C248/$F$390,4)</f>
        <v>2.8E-3</v>
      </c>
      <c r="D247" s="95"/>
      <c r="E247" s="95">
        <v>1</v>
      </c>
      <c r="F247" s="95">
        <f>ROUND(F248/$C248,4)</f>
        <v>0</v>
      </c>
    </row>
    <row r="248" spans="1:6" customFormat="1" ht="14.25">
      <c r="A248" s="244"/>
      <c r="B248" s="246"/>
      <c r="C248" s="96">
        <f ca="1">VLOOKUP($A247,'Orçamento Sintético'!$A:$H,8,0)</f>
        <v>574.4</v>
      </c>
      <c r="D248" s="96">
        <f>ROUND($C248*D247,2)</f>
        <v>0</v>
      </c>
      <c r="E248" s="96">
        <f>ROUND($C248*E247,2)</f>
        <v>574.4</v>
      </c>
      <c r="F248" s="96">
        <f>$C248-SUM(D248:E248)</f>
        <v>0</v>
      </c>
    </row>
    <row r="249" spans="1:6" customFormat="1" ht="14.25">
      <c r="A249" s="244" t="s">
        <v>582</v>
      </c>
      <c r="B249" s="245" t="str">
        <f ca="1">VLOOKUP($A249,'Orçamento Sintético'!$A:$H,4,0)</f>
        <v>TE, PVC, SOLDÁVEL, DN 85MM, INSTALADO EM PRUMADA DE ÁGUA - FORNECIMENTO E INSTALAÇÃO. AF_12/2014</v>
      </c>
      <c r="C249" s="95">
        <f ca="1">ROUND(C250/$F$390,4)</f>
        <v>1.1999999999999999E-3</v>
      </c>
      <c r="D249" s="95"/>
      <c r="E249" s="95">
        <v>1</v>
      </c>
      <c r="F249" s="95">
        <f>ROUND(F250/$C250,4)</f>
        <v>0</v>
      </c>
    </row>
    <row r="250" spans="1:6" customFormat="1" ht="14.25">
      <c r="A250" s="244"/>
      <c r="B250" s="246"/>
      <c r="C250" s="96">
        <f ca="1">VLOOKUP($A249,'Orçamento Sintético'!$A:$H,8,0)</f>
        <v>258.95999999999998</v>
      </c>
      <c r="D250" s="96">
        <f>ROUND($C250*D249,2)</f>
        <v>0</v>
      </c>
      <c r="E250" s="96">
        <f>ROUND($C250*E249,2)</f>
        <v>258.95999999999998</v>
      </c>
      <c r="F250" s="96">
        <f>$C250-SUM(D250:E250)</f>
        <v>0</v>
      </c>
    </row>
    <row r="251" spans="1:6" customFormat="1" ht="14.25">
      <c r="A251" s="244" t="s">
        <v>585</v>
      </c>
      <c r="B251" s="245" t="str">
        <f ca="1">VLOOKUP($A251,'Orçamento Sintético'!$A:$H,4,0)</f>
        <v>TE DE REDUÇÃO, PVC, SOLDÁVEL, DN 85MM X 60MM, INSTALADO EM PRUMADA DE ÁGUA - FORNECIMENTO E INSTALAÇÃO. AF_12/2014</v>
      </c>
      <c r="C251" s="95">
        <f ca="1">ROUND(C252/$F$390,4)</f>
        <v>5.0000000000000001E-4</v>
      </c>
      <c r="D251" s="95"/>
      <c r="E251" s="95">
        <v>1</v>
      </c>
      <c r="F251" s="95">
        <f>ROUND(F252/$C252,4)</f>
        <v>0</v>
      </c>
    </row>
    <row r="252" spans="1:6" customFormat="1" ht="14.25">
      <c r="A252" s="244"/>
      <c r="B252" s="246"/>
      <c r="C252" s="96">
        <f ca="1">VLOOKUP($A251,'Orçamento Sintético'!$A:$H,8,0)</f>
        <v>105.84</v>
      </c>
      <c r="D252" s="96">
        <f>ROUND($C252*D251,2)</f>
        <v>0</v>
      </c>
      <c r="E252" s="96">
        <f>ROUND($C252*E251,2)</f>
        <v>105.84</v>
      </c>
      <c r="F252" s="96">
        <f>$C252-SUM(D252:E252)</f>
        <v>0</v>
      </c>
    </row>
    <row r="253" spans="1:6" customFormat="1" ht="14.25">
      <c r="A253" s="244" t="s">
        <v>588</v>
      </c>
      <c r="B253" s="245" t="str">
        <f ca="1">VLOOKUP($A253,'Orçamento Sintético'!$A:$H,4,0)</f>
        <v>Copia da Orse (1165) - LUVA DE REDUÇÃO, PVC, SOLDÁVEL, DN 110MM X 75MM - FORNECIMENTO E INSTALAÇÃO</v>
      </c>
      <c r="C253" s="95">
        <f ca="1">ROUND(C254/$F$390,4)</f>
        <v>2.9999999999999997E-4</v>
      </c>
      <c r="D253" s="95"/>
      <c r="E253" s="95">
        <v>1</v>
      </c>
      <c r="F253" s="95">
        <f>ROUND(F254/$C254,4)</f>
        <v>0</v>
      </c>
    </row>
    <row r="254" spans="1:6" customFormat="1" ht="14.25">
      <c r="A254" s="244"/>
      <c r="B254" s="246"/>
      <c r="C254" s="96">
        <f ca="1">VLOOKUP($A253,'Orçamento Sintético'!$A:$H,8,0)</f>
        <v>68.790000000000006</v>
      </c>
      <c r="D254" s="96">
        <f>ROUND($C254*D253,2)</f>
        <v>0</v>
      </c>
      <c r="E254" s="96">
        <f>ROUND($C254*E253,2)</f>
        <v>68.790000000000006</v>
      </c>
      <c r="F254" s="96">
        <f>$C254-SUM(D254:E254)</f>
        <v>0</v>
      </c>
    </row>
    <row r="255" spans="1:6" customFormat="1" ht="14.25">
      <c r="A255" s="244" t="s">
        <v>591</v>
      </c>
      <c r="B255" s="245" t="str">
        <f ca="1">VLOOKUP($A255,'Orçamento Sintético'!$A:$H,4,0)</f>
        <v>Copia da SINAPI (89630) - TE DE REDUÇÃO, PVC, SOLDÁVEL, DN 60MM X 50MM - FORNECIMENTO E INSTALAÇÃO</v>
      </c>
      <c r="C255" s="95">
        <f ca="1">ROUND(C256/$F$390,4)</f>
        <v>4.0000000000000002E-4</v>
      </c>
      <c r="D255" s="95"/>
      <c r="E255" s="95">
        <v>1</v>
      </c>
      <c r="F255" s="95">
        <f>ROUND(F256/$C256,4)</f>
        <v>0</v>
      </c>
    </row>
    <row r="256" spans="1:6" customFormat="1" ht="14.25">
      <c r="A256" s="244"/>
      <c r="B256" s="246"/>
      <c r="C256" s="96">
        <f ca="1">VLOOKUP($A255,'Orçamento Sintético'!$A:$H,8,0)</f>
        <v>76.45</v>
      </c>
      <c r="D256" s="96">
        <f>ROUND($C256*D255,2)</f>
        <v>0</v>
      </c>
      <c r="E256" s="96">
        <f>ROUND($C256*E255,2)</f>
        <v>76.45</v>
      </c>
      <c r="F256" s="96">
        <f>$C256-SUM(D256:E256)</f>
        <v>0</v>
      </c>
    </row>
    <row r="257" spans="1:6" customFormat="1" ht="14.25">
      <c r="A257" s="244" t="s">
        <v>594</v>
      </c>
      <c r="B257" s="245" t="str">
        <f ca="1">VLOOKUP($A257,'Orçamento Sintético'!$A:$H,4,0)</f>
        <v>Copia da Orse (1166) - LUVA DE REDUÇÃO, PVC, SOLDÁVEL, DN 110MM X 85MM - FORNECIMENTO E INSTALAÇÃO</v>
      </c>
      <c r="C257" s="95">
        <f ca="1">ROUND(C258/$F$390,4)</f>
        <v>2.9999999999999997E-4</v>
      </c>
      <c r="D257" s="95"/>
      <c r="E257" s="95">
        <v>1</v>
      </c>
      <c r="F257" s="95">
        <f>ROUND(F258/$C258,4)</f>
        <v>0</v>
      </c>
    </row>
    <row r="258" spans="1:6" customFormat="1" ht="14.25">
      <c r="A258" s="244"/>
      <c r="B258" s="246"/>
      <c r="C258" s="96">
        <f ca="1">VLOOKUP($A257,'Orçamento Sintético'!$A:$H,8,0)</f>
        <v>69.31</v>
      </c>
      <c r="D258" s="96">
        <f>ROUND($C258*D257,2)</f>
        <v>0</v>
      </c>
      <c r="E258" s="96">
        <f>ROUND($C258*E257,2)</f>
        <v>69.31</v>
      </c>
      <c r="F258" s="96">
        <f>$C258-SUM(D258:E258)</f>
        <v>0</v>
      </c>
    </row>
    <row r="259" spans="1:6" customFormat="1" ht="14.25">
      <c r="A259" s="244" t="s">
        <v>597</v>
      </c>
      <c r="B259" s="245" t="str">
        <f ca="1">VLOOKUP($A259,'Orçamento Sintético'!$A:$H,4,0)</f>
        <v>Copia da SBC (052086) - CAP PVC ROSCÁVEL DIÂMETRO 60MM</v>
      </c>
      <c r="C259" s="95">
        <f ca="1">ROUND(C260/$F$390,4)</f>
        <v>2.9999999999999997E-4</v>
      </c>
      <c r="D259" s="95"/>
      <c r="E259" s="95">
        <v>1</v>
      </c>
      <c r="F259" s="95">
        <f>ROUND(F260/$C260,4)</f>
        <v>0</v>
      </c>
    </row>
    <row r="260" spans="1:6" customFormat="1" ht="14.25">
      <c r="A260" s="244"/>
      <c r="B260" s="246"/>
      <c r="C260" s="96">
        <f ca="1">VLOOKUP($A259,'Orçamento Sintético'!$A:$H,8,0)</f>
        <v>65.3</v>
      </c>
      <c r="D260" s="96">
        <f>ROUND($C260*D259,2)</f>
        <v>0</v>
      </c>
      <c r="E260" s="96">
        <f>ROUND($C260*E259,2)</f>
        <v>65.3</v>
      </c>
      <c r="F260" s="96">
        <f>$C260-SUM(D260:E260)</f>
        <v>0</v>
      </c>
    </row>
    <row r="261" spans="1:6" customFormat="1" ht="14.25">
      <c r="A261" s="244" t="s">
        <v>600</v>
      </c>
      <c r="B261" s="245" t="str">
        <f ca="1">VLOOKUP($A261,'Orçamento Sintético'!$A:$H,4,0)</f>
        <v>Copia da ORSE (1099) - CAP PVC SOLDÁVEL, 75MM</v>
      </c>
      <c r="C261" s="95">
        <f ca="1">ROUND(C262/$F$390,4)</f>
        <v>1E-4</v>
      </c>
      <c r="D261" s="95"/>
      <c r="E261" s="95">
        <v>1</v>
      </c>
      <c r="F261" s="95">
        <f>ROUND(F262/$C262,4)</f>
        <v>0</v>
      </c>
    </row>
    <row r="262" spans="1:6" customFormat="1" ht="14.25">
      <c r="A262" s="244"/>
      <c r="B262" s="246"/>
      <c r="C262" s="96">
        <f ca="1">VLOOKUP($A261,'Orçamento Sintético'!$A:$H,8,0)</f>
        <v>30.24</v>
      </c>
      <c r="D262" s="96">
        <f>ROUND($C262*D261,2)</f>
        <v>0</v>
      </c>
      <c r="E262" s="96">
        <f>ROUND($C262*E261,2)</f>
        <v>30.24</v>
      </c>
      <c r="F262" s="96">
        <f>$C262-SUM(D262:E262)</f>
        <v>0</v>
      </c>
    </row>
    <row r="263" spans="1:6" customFormat="1" ht="14.25">
      <c r="A263" s="240" t="s">
        <v>603</v>
      </c>
      <c r="B263" s="241" t="str">
        <f ca="1">VLOOKUP($A263,'Orçamento Sintético'!$A:$H,4,0)</f>
        <v>Tubo de dreno</v>
      </c>
      <c r="C263" s="97">
        <f ca="1">ROUND(C264/$F$390,4)</f>
        <v>1.4E-3</v>
      </c>
      <c r="D263" s="98">
        <f>ROUND(D264/$C264,4)</f>
        <v>0</v>
      </c>
      <c r="E263" s="98">
        <f>ROUND(E264/$C264,4)</f>
        <v>1</v>
      </c>
      <c r="F263" s="98">
        <f>ROUND(F264/$C264,4)</f>
        <v>0</v>
      </c>
    </row>
    <row r="264" spans="1:6" customFormat="1" ht="14.25">
      <c r="A264" s="240"/>
      <c r="B264" s="241"/>
      <c r="C264" s="99">
        <f ca="1">VLOOKUP($A263,'Orçamento Sintético'!$A:$H,8,0)</f>
        <v>284.69</v>
      </c>
      <c r="D264" s="100">
        <f>D266</f>
        <v>0</v>
      </c>
      <c r="E264" s="100">
        <f>E266</f>
        <v>284.69</v>
      </c>
      <c r="F264" s="100">
        <f>F266</f>
        <v>0</v>
      </c>
    </row>
    <row r="265" spans="1:6" customFormat="1" ht="14.25">
      <c r="A265" s="244" t="s">
        <v>605</v>
      </c>
      <c r="B265" s="245" t="str">
        <f ca="1">VLOOKUP($A265,'Orçamento Sintético'!$A:$H,4,0)</f>
        <v>(COMPOSIÇÃO REPRESENTATIVA) DO SERVIÇO DE INSTALAÇÃO DE TUBOS DE PVC, SOLDÁVEL, ÁGUA FRIA, DN 50 MM (INSTALADO EM PRUMADA), INCLUSIVE CONEXÕES, CORTES E FIXAÇÕES, PARA PRÉDIOS. AF_10/2015</v>
      </c>
      <c r="C265" s="95">
        <f ca="1">ROUND(C266/$F$390,4)</f>
        <v>1.4E-3</v>
      </c>
      <c r="D265" s="95"/>
      <c r="E265" s="95">
        <v>1</v>
      </c>
      <c r="F265" s="95">
        <f>ROUND(F266/$C266,4)</f>
        <v>0</v>
      </c>
    </row>
    <row r="266" spans="1:6" customFormat="1" ht="14.25">
      <c r="A266" s="244"/>
      <c r="B266" s="246"/>
      <c r="C266" s="96">
        <f ca="1">VLOOKUP($A265,'Orçamento Sintético'!$A:$H,8,0)</f>
        <v>284.69</v>
      </c>
      <c r="D266" s="96">
        <f>ROUND($C266*D265,2)</f>
        <v>0</v>
      </c>
      <c r="E266" s="96">
        <f>ROUND($C266*E265,2)</f>
        <v>284.69</v>
      </c>
      <c r="F266" s="96">
        <f>$C266-SUM(D266:E266)</f>
        <v>0</v>
      </c>
    </row>
    <row r="267" spans="1:6" customFormat="1" ht="14.25">
      <c r="A267" s="240" t="s">
        <v>608</v>
      </c>
      <c r="B267" s="241" t="str">
        <f ca="1">VLOOKUP($A267,'Orçamento Sintético'!$A:$H,4,0)</f>
        <v>Instalação Elevatória</v>
      </c>
      <c r="C267" s="97">
        <f ca="1">ROUND(C268/$F$390,4)</f>
        <v>2.3300000000000001E-2</v>
      </c>
      <c r="D267" s="98">
        <f>ROUND(D268/$C268,4)</f>
        <v>0</v>
      </c>
      <c r="E267" s="98">
        <f>ROUND(E268/$C268,4)</f>
        <v>0</v>
      </c>
      <c r="F267" s="98">
        <f>ROUND(F268/$C268,4)</f>
        <v>1</v>
      </c>
    </row>
    <row r="268" spans="1:6" customFormat="1" ht="14.25">
      <c r="A268" s="240"/>
      <c r="B268" s="241"/>
      <c r="C268" s="99">
        <f ca="1">VLOOKUP($A267,'Orçamento Sintético'!$A:$H,8,0)</f>
        <v>4821.0200000000004</v>
      </c>
      <c r="D268" s="100">
        <f>D270+D272+D274+D276</f>
        <v>0</v>
      </c>
      <c r="E268" s="100">
        <f>E270+E272+E274+E276</f>
        <v>0</v>
      </c>
      <c r="F268" s="100">
        <f>F270+F272+F274+F276</f>
        <v>4821.0200000000004</v>
      </c>
    </row>
    <row r="269" spans="1:6" customFormat="1" ht="14.25">
      <c r="A269" s="244" t="s">
        <v>610</v>
      </c>
      <c r="B269" s="245" t="str">
        <f ca="1">VLOOKUP($A269,'Orçamento Sintético'!$A:$H,4,0)</f>
        <v>VÁLVULA DE RETENÇÃO VERTICAL, DE BRONZE, ROSCÁVEL, 1 1/2" - FORNECIMENTO E INSTALAÇÃO. AF_01/2019</v>
      </c>
      <c r="C269" s="95">
        <f ca="1">ROUND(C270/$F$390,4)</f>
        <v>1.9E-3</v>
      </c>
      <c r="D269" s="95"/>
      <c r="E269" s="95"/>
      <c r="F269" s="95">
        <f>ROUND(F270/$C270,4)</f>
        <v>1</v>
      </c>
    </row>
    <row r="270" spans="1:6" customFormat="1" ht="14.25">
      <c r="A270" s="244"/>
      <c r="B270" s="246"/>
      <c r="C270" s="96">
        <f ca="1">VLOOKUP($A269,'Orçamento Sintético'!$A:$H,8,0)</f>
        <v>395.61</v>
      </c>
      <c r="D270" s="96">
        <f>ROUND($C270*D269,2)</f>
        <v>0</v>
      </c>
      <c r="E270" s="96">
        <f>ROUND($C270*E269,2)</f>
        <v>0</v>
      </c>
      <c r="F270" s="96">
        <f>$C270-SUM(D270:E270)</f>
        <v>395.61</v>
      </c>
    </row>
    <row r="271" spans="1:6" customFormat="1" ht="14.25">
      <c r="A271" s="244" t="s">
        <v>613</v>
      </c>
      <c r="B271" s="245" t="str">
        <f ca="1">VLOOKUP($A271,'Orçamento Sintético'!$A:$H,4,0)</f>
        <v>TORNEIRA DE BOIA, ROSCÁVEL, 1, FORNECIDA E INSTALADA EM RESERVAÇÃO DE ÁGUA. AF_06/2016</v>
      </c>
      <c r="C271" s="95">
        <f ca="1">ROUND(C272/$F$390,4)</f>
        <v>8.9999999999999998E-4</v>
      </c>
      <c r="D271" s="95"/>
      <c r="E271" s="95"/>
      <c r="F271" s="95">
        <f>ROUND(F272/$C272,4)</f>
        <v>1</v>
      </c>
    </row>
    <row r="272" spans="1:6" customFormat="1" ht="14.25">
      <c r="A272" s="244"/>
      <c r="B272" s="246"/>
      <c r="C272" s="96">
        <f ca="1">VLOOKUP($A271,'Orçamento Sintético'!$A:$H,8,0)</f>
        <v>185.8</v>
      </c>
      <c r="D272" s="96">
        <f>ROUND($C272*D271,2)</f>
        <v>0</v>
      </c>
      <c r="E272" s="96">
        <f>ROUND($C272*E271,2)</f>
        <v>0</v>
      </c>
      <c r="F272" s="96">
        <f>$C272-SUM(D272:E272)</f>
        <v>185.8</v>
      </c>
    </row>
    <row r="273" spans="1:6" customFormat="1" ht="14.25">
      <c r="A273" s="244" t="s">
        <v>616</v>
      </c>
      <c r="B273" s="245" t="str">
        <f ca="1">VLOOKUP($A273,'Orçamento Sintético'!$A:$H,4,0)</f>
        <v>Copia da SINAPI (94800) - Conjunto de sucção com bóia flutuante e mangueira flexível, conexão 2", fab. Ecoracional</v>
      </c>
      <c r="C273" s="95">
        <f ca="1">ROUND(C274/$F$390,4)</f>
        <v>2.7000000000000001E-3</v>
      </c>
      <c r="D273" s="95"/>
      <c r="E273" s="95"/>
      <c r="F273" s="95">
        <f>ROUND(F274/$C274,4)</f>
        <v>1</v>
      </c>
    </row>
    <row r="274" spans="1:6" customFormat="1" ht="14.25">
      <c r="A274" s="244"/>
      <c r="B274" s="246"/>
      <c r="C274" s="96">
        <f ca="1">VLOOKUP($A273,'Orçamento Sintético'!$A:$H,8,0)</f>
        <v>555.53</v>
      </c>
      <c r="D274" s="96">
        <f>ROUND($C274*D273,2)</f>
        <v>0</v>
      </c>
      <c r="E274" s="96">
        <f>ROUND($C274*E273,2)</f>
        <v>0</v>
      </c>
      <c r="F274" s="96">
        <f>$C274-SUM(D274:E274)</f>
        <v>555.53</v>
      </c>
    </row>
    <row r="275" spans="1:6" customFormat="1" ht="14.25">
      <c r="A275" s="244" t="s">
        <v>619</v>
      </c>
      <c r="B275" s="245" t="str">
        <f ca="1">VLOOKUP($A275,'Orçamento Sintético'!$A:$H,4,0)</f>
        <v>Conjunto moto-bomba trifásica 220/380V, 3cv, ref. CAM W14, fab. Dancor</v>
      </c>
      <c r="C275" s="95">
        <f ca="1">ROUND(C276/$F$390,4)</f>
        <v>1.78E-2</v>
      </c>
      <c r="D275" s="95"/>
      <c r="E275" s="95"/>
      <c r="F275" s="95">
        <f>ROUND(F276/$C276,4)</f>
        <v>1</v>
      </c>
    </row>
    <row r="276" spans="1:6" customFormat="1" ht="14.25">
      <c r="A276" s="244"/>
      <c r="B276" s="246"/>
      <c r="C276" s="96">
        <f ca="1">VLOOKUP($A275,'Orçamento Sintético'!$A:$H,8,0)</f>
        <v>3684.08</v>
      </c>
      <c r="D276" s="96">
        <f>ROUND($C276*D275,2)</f>
        <v>0</v>
      </c>
      <c r="E276" s="96">
        <f>ROUND($C276*E275,2)</f>
        <v>0</v>
      </c>
      <c r="F276" s="96">
        <f>$C276-SUM(D276:E276)</f>
        <v>3684.08</v>
      </c>
    </row>
    <row r="277" spans="1:6" customFormat="1" ht="14.25">
      <c r="A277" s="240" t="s">
        <v>622</v>
      </c>
      <c r="B277" s="241" t="str">
        <f ca="1">VLOOKUP($A277,'Orçamento Sintético'!$A:$H,4,0)</f>
        <v>Equipamentos e acessórios</v>
      </c>
      <c r="C277" s="97">
        <f ca="1">ROUND(C278/$F$390,4)</f>
        <v>0.109</v>
      </c>
      <c r="D277" s="98">
        <f>ROUND(D278/$C278,4)</f>
        <v>0</v>
      </c>
      <c r="E277" s="98">
        <f>ROUND(E278/$C278,4)</f>
        <v>0</v>
      </c>
      <c r="F277" s="98">
        <f>ROUND(F278/$C278,4)</f>
        <v>1</v>
      </c>
    </row>
    <row r="278" spans="1:6" customFormat="1" ht="14.25">
      <c r="A278" s="240"/>
      <c r="B278" s="241"/>
      <c r="C278" s="99">
        <f ca="1">VLOOKUP($A277,'Orçamento Sintético'!$A:$H,8,0)</f>
        <v>22594.190000000002</v>
      </c>
      <c r="D278" s="100">
        <f>D280+D282+D284+D286+D288+D290+D292+D294+D296+D298+D300+D302+D304</f>
        <v>0</v>
      </c>
      <c r="E278" s="100">
        <f>E280+E282+E284+E286+E288+E290+E292+E294+E296+E298+E300+E302+E304</f>
        <v>0</v>
      </c>
      <c r="F278" s="100">
        <f>F280+F282+F284+F286+F288+F290+F292+F294+F296+F298+F300+F302+F304</f>
        <v>22594.190000000002</v>
      </c>
    </row>
    <row r="279" spans="1:6" customFormat="1" ht="14.25">
      <c r="A279" s="244" t="s">
        <v>624</v>
      </c>
      <c r="B279" s="245" t="str">
        <f ca="1">VLOOKUP($A279,'Orçamento Sintético'!$A:$H,4,0)</f>
        <v>Copia da Sinapi (89863) - Sifão ladrão Ø150mm em polietileno, Ciclo D'água</v>
      </c>
      <c r="C279" s="95">
        <f ca="1">ROUND(C280/$F$390,4)</f>
        <v>1.0500000000000001E-2</v>
      </c>
      <c r="D279" s="95"/>
      <c r="E279" s="95"/>
      <c r="F279" s="95">
        <f>ROUND(F280/$C280,4)</f>
        <v>1</v>
      </c>
    </row>
    <row r="280" spans="1:6" customFormat="1" ht="14.25">
      <c r="A280" s="244"/>
      <c r="B280" s="246"/>
      <c r="C280" s="96">
        <f ca="1">VLOOKUP($A279,'Orçamento Sintético'!$A:$H,8,0)</f>
        <v>2173.6799999999998</v>
      </c>
      <c r="D280" s="96">
        <f>ROUND($C280*D279,2)</f>
        <v>0</v>
      </c>
      <c r="E280" s="96">
        <f>ROUND($C280*E279,2)</f>
        <v>0</v>
      </c>
      <c r="F280" s="96">
        <f>$C280-SUM(D280:E280)</f>
        <v>2173.6799999999998</v>
      </c>
    </row>
    <row r="281" spans="1:6" customFormat="1" ht="14.25">
      <c r="A281" s="244" t="s">
        <v>627</v>
      </c>
      <c r="B281" s="245" t="str">
        <f ca="1">VLOOKUP($A281,'Orçamento Sintético'!$A:$H,4,0)</f>
        <v>Copia da CPOS (47.11.080) - Sensor de nível de líquido LA16M-40 com adaptador PVC M16x25, Icos Excelec</v>
      </c>
      <c r="C281" s="95">
        <f ca="1">ROUND(C282/$F$390,4)</f>
        <v>4.4999999999999997E-3</v>
      </c>
      <c r="D281" s="95"/>
      <c r="E281" s="95"/>
      <c r="F281" s="95">
        <f>ROUND(F282/$C282,4)</f>
        <v>1</v>
      </c>
    </row>
    <row r="282" spans="1:6" customFormat="1" ht="14.25">
      <c r="A282" s="244"/>
      <c r="B282" s="246"/>
      <c r="C282" s="96">
        <f ca="1">VLOOKUP($A281,'Orçamento Sintético'!$A:$H,8,0)</f>
        <v>942</v>
      </c>
      <c r="D282" s="96">
        <f>ROUND($C282*D281,2)</f>
        <v>0</v>
      </c>
      <c r="E282" s="96">
        <f>ROUND($C282*E281,2)</f>
        <v>0</v>
      </c>
      <c r="F282" s="96">
        <f>$C282-SUM(D282:E282)</f>
        <v>942</v>
      </c>
    </row>
    <row r="283" spans="1:6" customFormat="1" ht="14.25">
      <c r="A283" s="244" t="s">
        <v>630</v>
      </c>
      <c r="B283" s="245" t="str">
        <f ca="1">VLOOKUP($A283,'Orçamento Sintético'!$A:$H,4,0)</f>
        <v>Cópia da Sinapi (95675) - Hidrômetro ultrassônico DN 40mm, ref HYdros, Diehl Metering</v>
      </c>
      <c r="C283" s="95">
        <f ca="1">ROUND(C284/$F$390,4)</f>
        <v>4.1099999999999998E-2</v>
      </c>
      <c r="D283" s="95"/>
      <c r="E283" s="95"/>
      <c r="F283" s="95">
        <f>ROUND(F284/$C284,4)</f>
        <v>1</v>
      </c>
    </row>
    <row r="284" spans="1:6" customFormat="1" ht="14.25">
      <c r="A284" s="244"/>
      <c r="B284" s="246"/>
      <c r="C284" s="96">
        <f ca="1">VLOOKUP($A283,'Orçamento Sintético'!$A:$H,8,0)</f>
        <v>8518.17</v>
      </c>
      <c r="D284" s="96">
        <f>ROUND($C284*D283,2)</f>
        <v>0</v>
      </c>
      <c r="E284" s="96">
        <f>ROUND($C284*E283,2)</f>
        <v>0</v>
      </c>
      <c r="F284" s="96">
        <f>$C284-SUM(D284:E284)</f>
        <v>8518.17</v>
      </c>
    </row>
    <row r="285" spans="1:6" customFormat="1" ht="14.25">
      <c r="A285" s="244" t="s">
        <v>633</v>
      </c>
      <c r="B285" s="245" t="str">
        <f ca="1">VLOOKUP($A285,'Orçamento Sintético'!$A:$H,4,0)</f>
        <v>Filtro ultravioleta UVC Power. Potência lâmpada: 95W. Vazão: 18m³/h. DN 50mm (1.1/2") Sodramar SUV 95 - ABS</v>
      </c>
      <c r="C285" s="95">
        <f ca="1">ROUND(C286/$F$390,4)</f>
        <v>1.0500000000000001E-2</v>
      </c>
      <c r="D285" s="95"/>
      <c r="E285" s="95"/>
      <c r="F285" s="95">
        <f>ROUND(F286/$C286,4)</f>
        <v>1</v>
      </c>
    </row>
    <row r="286" spans="1:6" customFormat="1" ht="14.25">
      <c r="A286" s="244"/>
      <c r="B286" s="246"/>
      <c r="C286" s="96">
        <f ca="1">VLOOKUP($A285,'Orçamento Sintético'!$A:$H,8,0)</f>
        <v>2168.37</v>
      </c>
      <c r="D286" s="96">
        <f>ROUND($C286*D285,2)</f>
        <v>0</v>
      </c>
      <c r="E286" s="96">
        <f>ROUND($C286*E285,2)</f>
        <v>0</v>
      </c>
      <c r="F286" s="96">
        <f>$C286-SUM(D286:E286)</f>
        <v>2168.37</v>
      </c>
    </row>
    <row r="287" spans="1:6" customFormat="1" ht="14.25">
      <c r="A287" s="244" t="s">
        <v>636</v>
      </c>
      <c r="B287" s="245" t="str">
        <f ca="1">VLOOKUP($A287,'Orçamento Sintético'!$A:$H,4,0)</f>
        <v>Cópia da Sinapi (95675) - Hidrômetro ultrassônico DN 20mm, ref HYdros, Diehl Metering</v>
      </c>
      <c r="C287" s="95">
        <f ca="1">ROUND(C288/$F$390,4)</f>
        <v>5.1999999999999998E-3</v>
      </c>
      <c r="D287" s="95"/>
      <c r="E287" s="95"/>
      <c r="F287" s="95">
        <f>ROUND(F288/$C288,4)</f>
        <v>1</v>
      </c>
    </row>
    <row r="288" spans="1:6" customFormat="1" ht="14.25">
      <c r="A288" s="244"/>
      <c r="B288" s="246"/>
      <c r="C288" s="96">
        <f ca="1">VLOOKUP($A287,'Orçamento Sintético'!$A:$H,8,0)</f>
        <v>1068.0899999999999</v>
      </c>
      <c r="D288" s="96">
        <f>ROUND($C288*D287,2)</f>
        <v>0</v>
      </c>
      <c r="E288" s="96">
        <f>ROUND($C288*E287,2)</f>
        <v>0</v>
      </c>
      <c r="F288" s="96">
        <f>$C288-SUM(D288:E288)</f>
        <v>1068.0899999999999</v>
      </c>
    </row>
    <row r="289" spans="1:6" customFormat="1" ht="14.25">
      <c r="A289" s="244" t="s">
        <v>639</v>
      </c>
      <c r="B289" s="245" t="str">
        <f ca="1">VLOOKUP($A289,'Orçamento Sintético'!$A:$H,4,0)</f>
        <v>Hidrômetro tipo woltmann industrial - flangeado - DN 65 equipado com sensor reed-switch para saída pulsada, fornecimento e instalação</v>
      </c>
      <c r="C289" s="95">
        <f ca="1">ROUND(C290/$F$390,4)</f>
        <v>9.4999999999999998E-3</v>
      </c>
      <c r="D289" s="95"/>
      <c r="E289" s="95"/>
      <c r="F289" s="95">
        <f>ROUND(F290/$C290,4)</f>
        <v>1</v>
      </c>
    </row>
    <row r="290" spans="1:6" customFormat="1" ht="14.25">
      <c r="A290" s="244"/>
      <c r="B290" s="246"/>
      <c r="C290" s="96">
        <f ca="1">VLOOKUP($A289,'Orçamento Sintético'!$A:$H,8,0)</f>
        <v>1971.89</v>
      </c>
      <c r="D290" s="96">
        <f>ROUND($C290*D289,2)</f>
        <v>0</v>
      </c>
      <c r="E290" s="96">
        <f>ROUND($C290*E289,2)</f>
        <v>0</v>
      </c>
      <c r="F290" s="96">
        <f>$C290-SUM(D290:E290)</f>
        <v>1971.89</v>
      </c>
    </row>
    <row r="291" spans="1:6" customFormat="1" ht="14.25">
      <c r="A291" s="244" t="s">
        <v>642</v>
      </c>
      <c r="B291" s="245" t="str">
        <f ca="1">VLOOKUP($A291,'Orçamento Sintético'!$A:$H,4,0)</f>
        <v>Hidrômetro Woltmann, flangeado, horizontal, classe B, equipado com sensor reed switch, marca SAGA,  DN 80</v>
      </c>
      <c r="C291" s="95">
        <f ca="1">ROUND(C292/$F$390,4)</f>
        <v>8.8999999999999999E-3</v>
      </c>
      <c r="D291" s="95"/>
      <c r="E291" s="95"/>
      <c r="F291" s="95">
        <f>ROUND(F292/$C292,4)</f>
        <v>1</v>
      </c>
    </row>
    <row r="292" spans="1:6" customFormat="1" ht="14.25">
      <c r="A292" s="244"/>
      <c r="B292" s="246"/>
      <c r="C292" s="96">
        <f ca="1">VLOOKUP($A291,'Orçamento Sintético'!$A:$H,8,0)</f>
        <v>1836.65</v>
      </c>
      <c r="D292" s="96">
        <f>ROUND($C292*D291,2)</f>
        <v>0</v>
      </c>
      <c r="E292" s="96">
        <f>ROUND($C292*E291,2)</f>
        <v>0</v>
      </c>
      <c r="F292" s="96">
        <f>$C292-SUM(D292:E292)</f>
        <v>1836.65</v>
      </c>
    </row>
    <row r="293" spans="1:6" customFormat="1" ht="14.25">
      <c r="A293" s="244" t="s">
        <v>645</v>
      </c>
      <c r="B293" s="245" t="str">
        <f ca="1">VLOOKUP($A293,'Orçamento Sintético'!$A:$H,4,0)</f>
        <v>Cópia da Sinapi (95675) - Hidrômetro ultrassônico DN 25mm, com conectores RF 28x1" ref HYdros, Diehl Metering</v>
      </c>
      <c r="C293" s="95">
        <f ca="1">ROUND(C294/$F$390,4)</f>
        <v>9.5999999999999992E-3</v>
      </c>
      <c r="D293" s="95"/>
      <c r="E293" s="95"/>
      <c r="F293" s="95">
        <f>ROUND(F294/$C294,4)</f>
        <v>1</v>
      </c>
    </row>
    <row r="294" spans="1:6" customFormat="1" ht="14.25">
      <c r="A294" s="244"/>
      <c r="B294" s="246"/>
      <c r="C294" s="96">
        <f ca="1">VLOOKUP($A293,'Orçamento Sintético'!$A:$H,8,0)</f>
        <v>1983.39</v>
      </c>
      <c r="D294" s="96">
        <f>ROUND($C294*D293,2)</f>
        <v>0</v>
      </c>
      <c r="E294" s="96">
        <f>ROUND($C294*E293,2)</f>
        <v>0</v>
      </c>
      <c r="F294" s="96">
        <f>$C294-SUM(D294:E294)</f>
        <v>1983.39</v>
      </c>
    </row>
    <row r="295" spans="1:6" customFormat="1" ht="14.25">
      <c r="A295" s="244" t="s">
        <v>648</v>
      </c>
      <c r="B295" s="245" t="str">
        <f ca="1">VLOOKUP($A295,'Orçamento Sintético'!$A:$H,4,0)</f>
        <v>Ralo FoFo semiesférico, 75mm, para calhas e lajes</v>
      </c>
      <c r="C295" s="95">
        <f ca="1">ROUND(C296/$F$390,4)</f>
        <v>1E-4</v>
      </c>
      <c r="D295" s="95"/>
      <c r="E295" s="95"/>
      <c r="F295" s="95">
        <f>ROUND(F296/$C296,4)</f>
        <v>1</v>
      </c>
    </row>
    <row r="296" spans="1:6" customFormat="1" ht="14.25">
      <c r="A296" s="244"/>
      <c r="B296" s="246"/>
      <c r="C296" s="96">
        <f ca="1">VLOOKUP($A295,'Orçamento Sintético'!$A:$H,8,0)</f>
        <v>20.6</v>
      </c>
      <c r="D296" s="96">
        <f>ROUND($C296*D295,2)</f>
        <v>0</v>
      </c>
      <c r="E296" s="96">
        <f>ROUND($C296*E295,2)</f>
        <v>0</v>
      </c>
      <c r="F296" s="96">
        <f>$C296-SUM(D296:E296)</f>
        <v>20.6</v>
      </c>
    </row>
    <row r="297" spans="1:6" customFormat="1" ht="14.25">
      <c r="A297" s="244" t="s">
        <v>651</v>
      </c>
      <c r="B297" s="245" t="str">
        <f ca="1">VLOOKUP($A297,'Orçamento Sintético'!$A:$H,4,0)</f>
        <v>Filtro Y em bronze com tela inox, rosca BSP 3/4"</v>
      </c>
      <c r="C297" s="95">
        <f ca="1">ROUND(C298/$F$390,4)</f>
        <v>2.0000000000000001E-4</v>
      </c>
      <c r="D297" s="95"/>
      <c r="E297" s="95"/>
      <c r="F297" s="95">
        <f>ROUND(F298/$C298,4)</f>
        <v>1</v>
      </c>
    </row>
    <row r="298" spans="1:6" customFormat="1" ht="14.25">
      <c r="A298" s="244"/>
      <c r="B298" s="246"/>
      <c r="C298" s="96">
        <f ca="1">VLOOKUP($A297,'Orçamento Sintético'!$A:$H,8,0)</f>
        <v>49.73</v>
      </c>
      <c r="D298" s="96">
        <f>ROUND($C298*D297,2)</f>
        <v>0</v>
      </c>
      <c r="E298" s="96">
        <f>ROUND($C298*E297,2)</f>
        <v>0</v>
      </c>
      <c r="F298" s="96">
        <f>$C298-SUM(D298:E298)</f>
        <v>49.73</v>
      </c>
    </row>
    <row r="299" spans="1:6" customFormat="1" ht="14.25">
      <c r="A299" s="244" t="s">
        <v>654</v>
      </c>
      <c r="B299" s="245" t="str">
        <f ca="1">VLOOKUP($A299,'Orçamento Sintético'!$A:$H,4,0)</f>
        <v>Tampão 60 x 60cm, articulado, reforçado, em alumínio naval xadrez, formato diamante, borrachas de vedação no encaixe da tampa</v>
      </c>
      <c r="C299" s="95">
        <f ca="1">ROUND(C300/$F$390,4)</f>
        <v>3.8999999999999998E-3</v>
      </c>
      <c r="D299" s="95"/>
      <c r="E299" s="95"/>
      <c r="F299" s="95">
        <f>ROUND(F300/$C300,4)</f>
        <v>1</v>
      </c>
    </row>
    <row r="300" spans="1:6" customFormat="1" ht="14.25">
      <c r="A300" s="244"/>
      <c r="B300" s="246"/>
      <c r="C300" s="96">
        <f ca="1">VLOOKUP($A299,'Orçamento Sintético'!$A:$H,8,0)</f>
        <v>800.75</v>
      </c>
      <c r="D300" s="96">
        <f>ROUND($C300*D299,2)</f>
        <v>0</v>
      </c>
      <c r="E300" s="96">
        <f>ROUND($C300*E299,2)</f>
        <v>0</v>
      </c>
      <c r="F300" s="96">
        <f>$C300-SUM(D300:E300)</f>
        <v>800.75</v>
      </c>
    </row>
    <row r="301" spans="1:6" customFormat="1" ht="14.25">
      <c r="A301" s="244" t="s">
        <v>657</v>
      </c>
      <c r="B301" s="245" t="str">
        <f ca="1">VLOOKUP($A301,'Orçamento Sintético'!$A:$H,4,0)</f>
        <v>Copia da SUDECAP (10.35.52) - CAIXA D'AGUA POLIETILENO COM TAMPA 1000 L</v>
      </c>
      <c r="C301" s="95">
        <f ca="1">ROUND(C302/$F$390,4)</f>
        <v>5.0000000000000001E-3</v>
      </c>
      <c r="D301" s="95"/>
      <c r="E301" s="95"/>
      <c r="F301" s="95">
        <f>ROUND(F302/$C302,4)</f>
        <v>1</v>
      </c>
    </row>
    <row r="302" spans="1:6" customFormat="1" ht="14.25">
      <c r="A302" s="244"/>
      <c r="B302" s="246"/>
      <c r="C302" s="96">
        <f ca="1">VLOOKUP($A301,'Orçamento Sintético'!$A:$H,8,0)</f>
        <v>1042.56</v>
      </c>
      <c r="D302" s="96">
        <f>ROUND($C302*D301,2)</f>
        <v>0</v>
      </c>
      <c r="E302" s="96">
        <f>ROUND($C302*E301,2)</f>
        <v>0</v>
      </c>
      <c r="F302" s="96">
        <f>$C302-SUM(D302:E302)</f>
        <v>1042.56</v>
      </c>
    </row>
    <row r="303" spans="1:6" customFormat="1" ht="14.25">
      <c r="A303" s="244" t="s">
        <v>660</v>
      </c>
      <c r="B303" s="245" t="str">
        <f ca="1">VLOOKUP($A303,'Orçamento Sintético'!$A:$H,4,0)</f>
        <v>Separador atmosférico com tela anti-inseto</v>
      </c>
      <c r="C303" s="95">
        <f ca="1">ROUND(C304/$F$390,4)</f>
        <v>1E-4</v>
      </c>
      <c r="D303" s="95"/>
      <c r="E303" s="95"/>
      <c r="F303" s="95">
        <f>ROUND(F304/$C304,4)</f>
        <v>1</v>
      </c>
    </row>
    <row r="304" spans="1:6" customFormat="1" ht="14.25">
      <c r="A304" s="244"/>
      <c r="B304" s="246"/>
      <c r="C304" s="96">
        <f ca="1">VLOOKUP($A303,'Orçamento Sintético'!$A:$H,8,0)</f>
        <v>18.309999999999999</v>
      </c>
      <c r="D304" s="96">
        <f>ROUND($C304*D303,2)</f>
        <v>0</v>
      </c>
      <c r="E304" s="96">
        <f>ROUND($C304*E303,2)</f>
        <v>0</v>
      </c>
      <c r="F304" s="96">
        <f>$C304-SUM(D304:E304)</f>
        <v>18.309999999999999</v>
      </c>
    </row>
    <row r="305" spans="1:6" customFormat="1" ht="14.25">
      <c r="A305" s="238" t="s">
        <v>663</v>
      </c>
      <c r="B305" s="239" t="str">
        <f ca="1">VLOOKUP($A305,'Orçamento Sintético'!$A:$H,4,0)</f>
        <v>SERVIÇOS DIVERSOS</v>
      </c>
      <c r="C305" s="93">
        <f ca="1">ROUND(C306/$F$390,4)</f>
        <v>8.4199999999999997E-2</v>
      </c>
      <c r="D305" s="93">
        <f>ROUND(D306/$C306,4)</f>
        <v>0.41349999999999998</v>
      </c>
      <c r="E305" s="93">
        <f>ROUND(E306/$C306,4)</f>
        <v>0.51280000000000003</v>
      </c>
      <c r="F305" s="93">
        <f>ROUND(F306/$C306,4)</f>
        <v>7.3700000000000002E-2</v>
      </c>
    </row>
    <row r="306" spans="1:6" customFormat="1" ht="14.25">
      <c r="A306" s="238"/>
      <c r="B306" s="239"/>
      <c r="C306" s="94">
        <f ca="1">VLOOKUP($A305,'Orçamento Sintético'!$A:$H,8,0)</f>
        <v>17463.97</v>
      </c>
      <c r="D306" s="94">
        <f>D308+D314</f>
        <v>7220.78</v>
      </c>
      <c r="E306" s="94">
        <f>E308+E314</f>
        <v>8955.39</v>
      </c>
      <c r="F306" s="94">
        <f>F308+F314</f>
        <v>1287.8</v>
      </c>
    </row>
    <row r="307" spans="1:6" customFormat="1" ht="14.25">
      <c r="A307" s="240" t="s">
        <v>681</v>
      </c>
      <c r="B307" s="241" t="str">
        <f ca="1">VLOOKUP($A307,'Orçamento Sintético'!$A:$H,4,0)</f>
        <v>Escavação de Valas</v>
      </c>
      <c r="C307" s="97">
        <f ca="1">ROUND(C308/$F$390,4)</f>
        <v>3.3500000000000002E-2</v>
      </c>
      <c r="D307" s="98">
        <f>ROUND(D308/$C308,4)</f>
        <v>0</v>
      </c>
      <c r="E307" s="98">
        <f>ROUND(E308/$C308,4)</f>
        <v>1</v>
      </c>
      <c r="F307" s="98">
        <f>ROUND(F308/$C308,4)</f>
        <v>0</v>
      </c>
    </row>
    <row r="308" spans="1:6" customFormat="1" ht="14.25">
      <c r="A308" s="240"/>
      <c r="B308" s="241"/>
      <c r="C308" s="99">
        <f ca="1">VLOOKUP($A307,'Orçamento Sintético'!$A:$H,8,0)</f>
        <v>6949.8099999999995</v>
      </c>
      <c r="D308" s="100">
        <f>D310+D312</f>
        <v>0</v>
      </c>
      <c r="E308" s="100">
        <f>E310+E312</f>
        <v>6949.8099999999995</v>
      </c>
      <c r="F308" s="100">
        <f>F310+F312</f>
        <v>0</v>
      </c>
    </row>
    <row r="309" spans="1:6" customFormat="1" ht="14.25">
      <c r="A309" s="244" t="s">
        <v>683</v>
      </c>
      <c r="B309" s="245" t="str">
        <f ca="1">VLOOKUP($A309,'Orçamento Sintético'!$A:$H,4,0)</f>
        <v>ESCAVAÇÃO MANUAL DE VALA COM PROFUNDIDADE MENOR OU IGUAL A 1,30 M. AF_02/2021</v>
      </c>
      <c r="C309" s="95">
        <f ca="1">ROUND(C310/$F$390,4)</f>
        <v>2.1499999999999998E-2</v>
      </c>
      <c r="D309" s="95"/>
      <c r="E309" s="95">
        <v>1</v>
      </c>
      <c r="F309" s="95">
        <f>ROUND(F310/$C310,4)</f>
        <v>0</v>
      </c>
    </row>
    <row r="310" spans="1:6" customFormat="1" ht="14.25">
      <c r="A310" s="244"/>
      <c r="B310" s="246"/>
      <c r="C310" s="96">
        <f ca="1">VLOOKUP($A309,'Orçamento Sintético'!$A:$H,8,0)</f>
        <v>4458.24</v>
      </c>
      <c r="D310" s="96">
        <f>ROUND($C310*D309,2)</f>
        <v>0</v>
      </c>
      <c r="E310" s="96">
        <f>ROUND($C310*E309,2)</f>
        <v>4458.24</v>
      </c>
      <c r="F310" s="96">
        <f>$C310-SUM(D310:E310)</f>
        <v>0</v>
      </c>
    </row>
    <row r="311" spans="1:6" customFormat="1" ht="14.25">
      <c r="A311" s="244" t="s">
        <v>686</v>
      </c>
      <c r="B311" s="245" t="str">
        <f ca="1">VLOOKUP($A311,'Orçamento Sintético'!$A:$H,4,0)</f>
        <v>REATERRO MANUAL APILOADO COM SOQUETE. AF_10/2017</v>
      </c>
      <c r="C311" s="95">
        <f ca="1">ROUND(C312/$F$390,4)</f>
        <v>1.2E-2</v>
      </c>
      <c r="D311" s="95"/>
      <c r="E311" s="95">
        <v>1</v>
      </c>
      <c r="F311" s="95">
        <f>ROUND(F312/$C312,4)</f>
        <v>0</v>
      </c>
    </row>
    <row r="312" spans="1:6" customFormat="1" ht="14.25">
      <c r="A312" s="244"/>
      <c r="B312" s="246"/>
      <c r="C312" s="96">
        <f ca="1">VLOOKUP($A311,'Orçamento Sintético'!$A:$H,8,0)</f>
        <v>2491.5700000000002</v>
      </c>
      <c r="D312" s="96">
        <f>ROUND($C312*D311,2)</f>
        <v>0</v>
      </c>
      <c r="E312" s="96">
        <f>ROUND($C312*E311,2)</f>
        <v>2491.5700000000002</v>
      </c>
      <c r="F312" s="96">
        <f>$C312-SUM(D312:E312)</f>
        <v>0</v>
      </c>
    </row>
    <row r="313" spans="1:6" customFormat="1" ht="14.25">
      <c r="A313" s="240" t="s">
        <v>159</v>
      </c>
      <c r="B313" s="241" t="str">
        <f ca="1">VLOOKUP($A313,'Orçamento Sintético'!$A:$H,4,0)</f>
        <v>Diversos</v>
      </c>
      <c r="C313" s="97">
        <f ca="1">ROUND(C314/$F$390,4)</f>
        <v>5.0700000000000002E-2</v>
      </c>
      <c r="D313" s="98">
        <f>ROUND(D314/$C314,4)</f>
        <v>0.68679999999999997</v>
      </c>
      <c r="E313" s="98">
        <f>ROUND(E314/$C314,4)</f>
        <v>0.1908</v>
      </c>
      <c r="F313" s="98">
        <f>ROUND(F314/$C314,4)</f>
        <v>0.1225</v>
      </c>
    </row>
    <row r="314" spans="1:6" customFormat="1" ht="14.25">
      <c r="A314" s="240"/>
      <c r="B314" s="241"/>
      <c r="C314" s="99">
        <f ca="1">VLOOKUP($A313,'Orçamento Sintético'!$A:$H,8,0)</f>
        <v>10514.16</v>
      </c>
      <c r="D314" s="100">
        <f>D316+D318+D320+D322+D324+D326+D328+D330</f>
        <v>7220.78</v>
      </c>
      <c r="E314" s="100">
        <f>E316+E318+E320+E322+E324+E326+E328+E330</f>
        <v>2005.5800000000002</v>
      </c>
      <c r="F314" s="100">
        <f>F316+F318+F320+F322+F324+F326+F328+F330</f>
        <v>1287.8</v>
      </c>
    </row>
    <row r="315" spans="1:6" customFormat="1" ht="14.25">
      <c r="A315" s="244" t="s">
        <v>175</v>
      </c>
      <c r="B315" s="245" t="str">
        <f ca="1">VLOOKUP($A315,'Orçamento Sintético'!$A:$H,4,0)</f>
        <v>FURO EM CONCRETO PARA DIÂMETROS MAIORES QUE 75 MM. AF_05/2015</v>
      </c>
      <c r="C315" s="95">
        <f ca="1">ROUND(C316/$F$390,4)</f>
        <v>8.6999999999999994E-3</v>
      </c>
      <c r="D315" s="95"/>
      <c r="E315" s="95">
        <v>1</v>
      </c>
      <c r="F315" s="95">
        <f>ROUND(F316/$C316,4)</f>
        <v>0</v>
      </c>
    </row>
    <row r="316" spans="1:6" customFormat="1" ht="14.25">
      <c r="A316" s="244"/>
      <c r="B316" s="246"/>
      <c r="C316" s="96">
        <f ca="1">VLOOKUP($A315,'Orçamento Sintético'!$A:$H,8,0)</f>
        <v>1810.4</v>
      </c>
      <c r="D316" s="96">
        <f>ROUND($C316*D315,2)</f>
        <v>0</v>
      </c>
      <c r="E316" s="96">
        <f>ROUND($C316*E315,2)</f>
        <v>1810.4</v>
      </c>
      <c r="F316" s="96">
        <f>$C316-SUM(D316:E316)</f>
        <v>0</v>
      </c>
    </row>
    <row r="317" spans="1:6" customFormat="1" ht="14.25">
      <c r="A317" s="244" t="s">
        <v>178</v>
      </c>
      <c r="B317" s="245" t="str">
        <f ca="1">VLOOKUP($A317,'Orçamento Sintético'!$A:$H,4,0)</f>
        <v>BOMBA CENTRÍFUGA, TRIFÁSICA, 1,5 CV OU 1,48 HP (NÃO INCLUI O FORNECIMENTO DA BOMBA). AF_12/2020</v>
      </c>
      <c r="C317" s="95">
        <f ca="1">ROUND(C318/$F$390,4)</f>
        <v>5.9999999999999995E-4</v>
      </c>
      <c r="D317" s="95"/>
      <c r="E317" s="95"/>
      <c r="F317" s="95">
        <f>ROUND(F318/$C318,4)</f>
        <v>1</v>
      </c>
    </row>
    <row r="318" spans="1:6" customFormat="1" ht="14.25">
      <c r="A318" s="244"/>
      <c r="B318" s="246"/>
      <c r="C318" s="96">
        <f ca="1">VLOOKUP($A317,'Orçamento Sintético'!$A:$H,8,0)</f>
        <v>123.86</v>
      </c>
      <c r="D318" s="96">
        <f>ROUND($C318*D317,2)</f>
        <v>0</v>
      </c>
      <c r="E318" s="96">
        <f>ROUND($C318*E317,2)</f>
        <v>0</v>
      </c>
      <c r="F318" s="96">
        <f>$C318-SUM(D318:E318)</f>
        <v>123.86</v>
      </c>
    </row>
    <row r="319" spans="1:6" customFormat="1" ht="14.25">
      <c r="A319" s="244" t="s">
        <v>179</v>
      </c>
      <c r="B319" s="245" t="str">
        <f ca="1">VLOOKUP($A319,'Orçamento Sintético'!$A:$H,4,0)</f>
        <v>Remanejamento de válvula solenoide</v>
      </c>
      <c r="C319" s="95">
        <f ca="1">ROUND(C320/$F$390,4)</f>
        <v>1E-4</v>
      </c>
      <c r="D319" s="95">
        <v>0.5</v>
      </c>
      <c r="E319" s="95"/>
      <c r="F319" s="95">
        <f>ROUND(F320/$C320,4)</f>
        <v>0.49980000000000002</v>
      </c>
    </row>
    <row r="320" spans="1:6" customFormat="1" ht="14.25">
      <c r="A320" s="244"/>
      <c r="B320" s="246"/>
      <c r="C320" s="96">
        <f ca="1">VLOOKUP($A319,'Orçamento Sintético'!$A:$H,8,0)</f>
        <v>22.79</v>
      </c>
      <c r="D320" s="96">
        <f>ROUND($C320*D319,2)</f>
        <v>11.4</v>
      </c>
      <c r="E320" s="96">
        <f>ROUND($C320*E319,2)</f>
        <v>0</v>
      </c>
      <c r="F320" s="96">
        <f>$C320-SUM(D320:E320)</f>
        <v>11.389999999999999</v>
      </c>
    </row>
    <row r="321" spans="1:6" customFormat="1" ht="14.25">
      <c r="A321" s="244" t="s">
        <v>180</v>
      </c>
      <c r="B321" s="245" t="str">
        <f ca="1">VLOOKUP($A321,'Orçamento Sintético'!$A:$H,4,0)</f>
        <v>Copia da SIURB INFRA (100802) - GRAUTE - FORNECIMENTO, PREPARO E APLICAÇÃO</v>
      </c>
      <c r="C321" s="95">
        <f ca="1">ROUND(C322/$F$390,4)</f>
        <v>1E-4</v>
      </c>
      <c r="D321" s="95"/>
      <c r="E321" s="95">
        <v>1</v>
      </c>
      <c r="F321" s="95">
        <f>ROUND(F322/$C322,4)</f>
        <v>0</v>
      </c>
    </row>
    <row r="322" spans="1:6" customFormat="1" ht="14.25">
      <c r="A322" s="244"/>
      <c r="B322" s="246"/>
      <c r="C322" s="96">
        <f ca="1">VLOOKUP($A321,'Orçamento Sintético'!$A:$H,8,0)</f>
        <v>18</v>
      </c>
      <c r="D322" s="96">
        <f>ROUND($C322*D321,2)</f>
        <v>0</v>
      </c>
      <c r="E322" s="96">
        <f>ROUND($C322*E321,2)</f>
        <v>18</v>
      </c>
      <c r="F322" s="96">
        <f>$C322-SUM(D322:E322)</f>
        <v>0</v>
      </c>
    </row>
    <row r="323" spans="1:6" customFormat="1" ht="14.25">
      <c r="A323" s="244" t="s">
        <v>181</v>
      </c>
      <c r="B323" s="245" t="str">
        <f ca="1">VLOOKUP($A323,'Orçamento Sintético'!$A:$H,4,0)</f>
        <v>Copia da SINAPI (100762) - Pintura esmalte sobre tubulação de PVC, intervalo de Ø 25mm - 110mm, 2 demãos</v>
      </c>
      <c r="C323" s="95">
        <f ca="1">ROUND(C324/$F$390,4)</f>
        <v>4.8999999999999998E-3</v>
      </c>
      <c r="D323" s="95"/>
      <c r="E323" s="95"/>
      <c r="F323" s="95">
        <f>ROUND(F324/$C324,4)</f>
        <v>1</v>
      </c>
    </row>
    <row r="324" spans="1:6" customFormat="1" ht="14.25">
      <c r="A324" s="244"/>
      <c r="B324" s="246"/>
      <c r="C324" s="96">
        <f ca="1">VLOOKUP($A323,'Orçamento Sintético'!$A:$H,8,0)</f>
        <v>1019.35</v>
      </c>
      <c r="D324" s="96">
        <f>ROUND($C324*D323,2)</f>
        <v>0</v>
      </c>
      <c r="E324" s="96">
        <f>ROUND($C324*E323,2)</f>
        <v>0</v>
      </c>
      <c r="F324" s="96">
        <f>$C324-SUM(D324:E324)</f>
        <v>1019.35</v>
      </c>
    </row>
    <row r="325" spans="1:6" customFormat="1" ht="14.25">
      <c r="A325" s="244" t="s">
        <v>182</v>
      </c>
      <c r="B325" s="245" t="str">
        <f ca="1">VLOOKUP($A325,'Orçamento Sintético'!$A:$H,4,0)</f>
        <v>FURO EM CONCRETO PARA DIÂMETROS MAIORES QUE 40 MM E MENORES OU IGUAIS A 75 MM. AF_05/2015</v>
      </c>
      <c r="C325" s="95">
        <f ca="1">ROUND(C326/$F$390,4)</f>
        <v>8.9999999999999998E-4</v>
      </c>
      <c r="D325" s="95"/>
      <c r="E325" s="95">
        <v>1</v>
      </c>
      <c r="F325" s="95">
        <f>ROUND(F326/$C326,4)</f>
        <v>0</v>
      </c>
    </row>
    <row r="326" spans="1:6" customFormat="1" ht="14.25">
      <c r="A326" s="244"/>
      <c r="B326" s="246"/>
      <c r="C326" s="96">
        <f ca="1">VLOOKUP($A325,'Orçamento Sintético'!$A:$H,8,0)</f>
        <v>177.18</v>
      </c>
      <c r="D326" s="96">
        <f>ROUND($C326*D325,2)</f>
        <v>0</v>
      </c>
      <c r="E326" s="96">
        <f>ROUND($C326*E325,2)</f>
        <v>177.18</v>
      </c>
      <c r="F326" s="96">
        <f>$C326-SUM(D326:E326)</f>
        <v>0</v>
      </c>
    </row>
    <row r="327" spans="1:6" customFormat="1" ht="14.25">
      <c r="A327" s="244" t="s">
        <v>183</v>
      </c>
      <c r="B327" s="245" t="str">
        <f ca="1">VLOOKUP($A327,'Orçamento Sintético'!$A:$H,4,0)</f>
        <v>Furo em concreto (diâmetro: 1/2 " / profundidade: 15 cm)</v>
      </c>
      <c r="C327" s="95">
        <f ca="1">ROUND(C328/$F$390,4)</f>
        <v>3.4799999999999998E-2</v>
      </c>
      <c r="D327" s="95">
        <v>1</v>
      </c>
      <c r="E327" s="95"/>
      <c r="F327" s="95">
        <f>ROUND(F328/$C328,4)</f>
        <v>0</v>
      </c>
    </row>
    <row r="328" spans="1:6" customFormat="1" ht="14.25">
      <c r="A328" s="244"/>
      <c r="B328" s="246"/>
      <c r="C328" s="96">
        <f ca="1">VLOOKUP($A327,'Orçamento Sintético'!$A:$H,8,0)</f>
        <v>7209.38</v>
      </c>
      <c r="D328" s="96">
        <f>ROUND($C328*D327,2)</f>
        <v>7209.38</v>
      </c>
      <c r="E328" s="96">
        <f>ROUND($C328*E327,2)</f>
        <v>0</v>
      </c>
      <c r="F328" s="96">
        <f>$C328-SUM(D328:E328)</f>
        <v>0</v>
      </c>
    </row>
    <row r="329" spans="1:6" customFormat="1" ht="14.25">
      <c r="A329" s="244" t="s">
        <v>184</v>
      </c>
      <c r="B329" s="245" t="str">
        <f ca="1">VLOOKUP($A329,'Orçamento Sintético'!$A:$H,4,0)</f>
        <v>Cópia da CPOS (97.02.210) - Placa de sinalização, em PVC 2mm / Acrílico 6mm / Alumínio 2mm / Aço 2mm, dimensões de 20x30 cm, com  inscrição, símbolos e cores</v>
      </c>
      <c r="C329" s="95">
        <f ca="1">ROUND(C330/$F$390,4)</f>
        <v>5.9999999999999995E-4</v>
      </c>
      <c r="D329" s="95"/>
      <c r="E329" s="95"/>
      <c r="F329" s="95">
        <f>ROUND(F330/$C330,4)</f>
        <v>1</v>
      </c>
    </row>
    <row r="330" spans="1:6" customFormat="1" ht="14.25">
      <c r="A330" s="244"/>
      <c r="B330" s="246"/>
      <c r="C330" s="96">
        <f ca="1">VLOOKUP($A329,'Orçamento Sintético'!$A:$H,8,0)</f>
        <v>133.19999999999999</v>
      </c>
      <c r="D330" s="96">
        <f>ROUND($C330*D329,2)</f>
        <v>0</v>
      </c>
      <c r="E330" s="96">
        <f>ROUND($C330*E329,2)</f>
        <v>0</v>
      </c>
      <c r="F330" s="96">
        <f>$C330-SUM(D330:E330)</f>
        <v>133.19999999999999</v>
      </c>
    </row>
    <row r="331" spans="1:6" customFormat="1" ht="14.25">
      <c r="A331" s="247" t="s">
        <v>689</v>
      </c>
      <c r="B331" s="248" t="str">
        <f ca="1">VLOOKUP($A331,'Orçamento Sintético'!$A:$H,4,0)</f>
        <v>INSTALAÇÕES ELÉTRICAS E ELETRÔNICAS</v>
      </c>
      <c r="C331" s="89">
        <f ca="1">ROUND(C332/$F$390,4)</f>
        <v>8.4900000000000003E-2</v>
      </c>
      <c r="D331" s="90">
        <f>ROUND(D332/$C332,4)</f>
        <v>0</v>
      </c>
      <c r="E331" s="90">
        <f>ROUND(E332/$C332,4)</f>
        <v>0.1125</v>
      </c>
      <c r="F331" s="90">
        <f>ROUND(F332/$C332,4)</f>
        <v>0.88749999999999996</v>
      </c>
    </row>
    <row r="332" spans="1:6" customFormat="1" ht="14.25">
      <c r="A332" s="247"/>
      <c r="B332" s="248"/>
      <c r="C332" s="91">
        <f ca="1">VLOOKUP($A331,'Orçamento Sintético'!$A:$H,8,0)</f>
        <v>17603.98</v>
      </c>
      <c r="D332" s="92">
        <f>D334</f>
        <v>0</v>
      </c>
      <c r="E332" s="92">
        <f>E334</f>
        <v>1980.01</v>
      </c>
      <c r="F332" s="92">
        <f>F334</f>
        <v>15623.970000000001</v>
      </c>
    </row>
    <row r="333" spans="1:6" customFormat="1" ht="14.25">
      <c r="A333" s="238" t="s">
        <v>691</v>
      </c>
      <c r="B333" s="239" t="str">
        <f ca="1">VLOOKUP($A333,'Orçamento Sintético'!$A:$H,4,0)</f>
        <v>INSTALAÇÕES ELÉTRICAS</v>
      </c>
      <c r="C333" s="93">
        <f ca="1">ROUND(C334/$F$390,4)</f>
        <v>8.4900000000000003E-2</v>
      </c>
      <c r="D333" s="93">
        <f>ROUND(D334/$C334,4)</f>
        <v>0</v>
      </c>
      <c r="E333" s="93">
        <f>ROUND(E334/$C334,4)</f>
        <v>0.1125</v>
      </c>
      <c r="F333" s="93">
        <f>ROUND(F334/$C334,4)</f>
        <v>0.88749999999999996</v>
      </c>
    </row>
    <row r="334" spans="1:6" customFormat="1" ht="14.25">
      <c r="A334" s="238"/>
      <c r="B334" s="239"/>
      <c r="C334" s="94">
        <f ca="1">VLOOKUP($A333,'Orçamento Sintético'!$A:$H,8,0)</f>
        <v>17603.98</v>
      </c>
      <c r="D334" s="94">
        <f>D336+D340</f>
        <v>0</v>
      </c>
      <c r="E334" s="94">
        <f>E336+E340</f>
        <v>1980.01</v>
      </c>
      <c r="F334" s="94">
        <f>F336+F340</f>
        <v>15623.970000000001</v>
      </c>
    </row>
    <row r="335" spans="1:6" customFormat="1" ht="14.25">
      <c r="A335" s="240" t="s">
        <v>693</v>
      </c>
      <c r="B335" s="241" t="str">
        <f ca="1">VLOOKUP($A335,'Orçamento Sintético'!$A:$H,4,0)</f>
        <v>Quadros elétricos</v>
      </c>
      <c r="C335" s="97">
        <f ca="1">ROUND(C336/$F$390,4)</f>
        <v>4.7800000000000002E-2</v>
      </c>
      <c r="D335" s="98">
        <f>ROUND(D336/$C336,4)</f>
        <v>0</v>
      </c>
      <c r="E335" s="98">
        <f>ROUND(E336/$C336,4)</f>
        <v>0.2</v>
      </c>
      <c r="F335" s="98">
        <f>ROUND(F336/$C336,4)</f>
        <v>0.8</v>
      </c>
    </row>
    <row r="336" spans="1:6" customFormat="1" ht="14.25">
      <c r="A336" s="240"/>
      <c r="B336" s="241"/>
      <c r="C336" s="99">
        <f ca="1">VLOOKUP($A335,'Orçamento Sintético'!$A:$H,8,0)</f>
        <v>9900.0400000000009</v>
      </c>
      <c r="D336" s="100">
        <f>D338</f>
        <v>0</v>
      </c>
      <c r="E336" s="100">
        <f>E338</f>
        <v>1980.01</v>
      </c>
      <c r="F336" s="100">
        <f>F338</f>
        <v>7920.0300000000007</v>
      </c>
    </row>
    <row r="337" spans="1:6" customFormat="1" ht="14.25">
      <c r="A337" s="244" t="s">
        <v>695</v>
      </c>
      <c r="B337" s="245" t="str">
        <f ca="1">VLOOKUP($A337,'Orçamento Sintético'!$A:$H,4,0)</f>
        <v>QFB-APR - Quadro elétrico para bomba de recalque de águas pluviais e água de reuso - PJCE</v>
      </c>
      <c r="C337" s="95">
        <f ca="1">ROUND(C338/$F$390,4)</f>
        <v>4.7800000000000002E-2</v>
      </c>
      <c r="D337" s="95"/>
      <c r="E337" s="95">
        <v>0.2</v>
      </c>
      <c r="F337" s="95">
        <f>ROUND(F338/$C338,4)</f>
        <v>0.8</v>
      </c>
    </row>
    <row r="338" spans="1:6" customFormat="1" ht="14.25">
      <c r="A338" s="244"/>
      <c r="B338" s="246"/>
      <c r="C338" s="96">
        <f ca="1">VLOOKUP($A337,'Orçamento Sintético'!$A:$H,8,0)</f>
        <v>9900.0400000000009</v>
      </c>
      <c r="D338" s="96">
        <f>ROUND($C338*D337,2)</f>
        <v>0</v>
      </c>
      <c r="E338" s="96">
        <f>ROUND($C338*E337,2)</f>
        <v>1980.01</v>
      </c>
      <c r="F338" s="96">
        <f>$C338-SUM(D338:E338)</f>
        <v>7920.0300000000007</v>
      </c>
    </row>
    <row r="339" spans="1:6" customFormat="1" ht="14.25">
      <c r="A339" s="240" t="s">
        <v>698</v>
      </c>
      <c r="B339" s="241" t="str">
        <f ca="1">VLOOKUP($A339,'Orçamento Sintético'!$A:$H,4,0)</f>
        <v>Rede elétrica secundária</v>
      </c>
      <c r="C339" s="97">
        <f ca="1">ROUND(C340/$F$390,4)</f>
        <v>3.7199999999999997E-2</v>
      </c>
      <c r="D339" s="98">
        <f>ROUND(D340/$C340,4)</f>
        <v>0</v>
      </c>
      <c r="E339" s="98">
        <f>ROUND(E340/$C340,4)</f>
        <v>0</v>
      </c>
      <c r="F339" s="98">
        <f>ROUND(F340/$C340,4)</f>
        <v>1</v>
      </c>
    </row>
    <row r="340" spans="1:6" customFormat="1" ht="14.25">
      <c r="A340" s="240"/>
      <c r="B340" s="241"/>
      <c r="C340" s="99">
        <f ca="1">VLOOKUP($A339,'Orçamento Sintético'!$A:$H,8,0)</f>
        <v>7703.94</v>
      </c>
      <c r="D340" s="100">
        <f>D342+D344+D346+D348+D350+D352+D354+D356+D358+D360</f>
        <v>0</v>
      </c>
      <c r="E340" s="100">
        <f>E342+E344+E346+E348+E350+E352+E354+E356+E358+E360</f>
        <v>0</v>
      </c>
      <c r="F340" s="100">
        <f>F342+F344+F346+F348+F350+F352+F354+F356+F358+F360</f>
        <v>7703.94</v>
      </c>
    </row>
    <row r="341" spans="1:6" customFormat="1" ht="14.25">
      <c r="A341" s="244" t="s">
        <v>700</v>
      </c>
      <c r="B341" s="245" t="str">
        <f ca="1">VLOOKUP($A341,'Orçamento Sintético'!$A:$H,4,0)</f>
        <v>CABO DE COBRE FLEXÍVEL ISOLADO, 2,5 MM², ANTI-CHAMA 450/750 V, PARA CIRCUITOS TERMINAIS - FORNECIMENTO E INSTALAÇÃO. AF_12/2015</v>
      </c>
      <c r="C341" s="95">
        <f ca="1">ROUND(C342/$F$390,4)</f>
        <v>6.9999999999999999E-4</v>
      </c>
      <c r="D341" s="95"/>
      <c r="E341" s="95"/>
      <c r="F341" s="95">
        <f>ROUND(F342/$C342,4)</f>
        <v>1</v>
      </c>
    </row>
    <row r="342" spans="1:6" customFormat="1" ht="14.25">
      <c r="A342" s="244"/>
      <c r="B342" s="246"/>
      <c r="C342" s="96">
        <f ca="1">VLOOKUP($A341,'Orçamento Sintético'!$A:$H,8,0)</f>
        <v>147.6</v>
      </c>
      <c r="D342" s="96">
        <f>ROUND($C342*D341,2)</f>
        <v>0</v>
      </c>
      <c r="E342" s="96">
        <f>ROUND($C342*E341,2)</f>
        <v>0</v>
      </c>
      <c r="F342" s="96">
        <f>$C342-SUM(D342:E342)</f>
        <v>147.6</v>
      </c>
    </row>
    <row r="343" spans="1:6" customFormat="1" ht="14.25">
      <c r="A343" s="244" t="s">
        <v>703</v>
      </c>
      <c r="B343" s="245" t="str">
        <f ca="1">VLOOKUP($A343,'Orçamento Sintético'!$A:$H,4,0)</f>
        <v>CABO DE COBRE FLEXÍVEL ISOLADO, 4 MM², ANTI-CHAMA 450/750 V, PARA CIRCUITOS TERMINAIS - FORNECIMENTO E INSTALAÇÃO. AF_12/2015</v>
      </c>
      <c r="C343" s="95">
        <f ca="1">ROUND(C344/$F$390,4)</f>
        <v>7.6E-3</v>
      </c>
      <c r="D343" s="95"/>
      <c r="E343" s="95"/>
      <c r="F343" s="95">
        <f>ROUND(F344/$C344,4)</f>
        <v>1</v>
      </c>
    </row>
    <row r="344" spans="1:6" customFormat="1" ht="14.25">
      <c r="A344" s="244"/>
      <c r="B344" s="246"/>
      <c r="C344" s="96">
        <f ca="1">VLOOKUP($A343,'Orçamento Sintético'!$A:$H,8,0)</f>
        <v>1581.55</v>
      </c>
      <c r="D344" s="96">
        <f>ROUND($C344*D343,2)</f>
        <v>0</v>
      </c>
      <c r="E344" s="96">
        <f>ROUND($C344*E343,2)</f>
        <v>0</v>
      </c>
      <c r="F344" s="96">
        <f>$C344-SUM(D344:E344)</f>
        <v>1581.55</v>
      </c>
    </row>
    <row r="345" spans="1:6" customFormat="1" ht="14.25">
      <c r="A345" s="244" t="s">
        <v>706</v>
      </c>
      <c r="B345" s="245" t="str">
        <f ca="1">VLOOKUP($A345,'Orçamento Sintético'!$A:$H,4,0)</f>
        <v>Copia da SINAPI (91926) - CABO DE COBRE FLEXÍVEL TIPO PP (2x2,5MM²) ANTI-CHAMA 450/750 V, ref. PRYSMIAN LINHA CORDPLAST</v>
      </c>
      <c r="C345" s="95">
        <f ca="1">ROUND(C346/$F$390,4)</f>
        <v>1.66E-2</v>
      </c>
      <c r="D345" s="95"/>
      <c r="E345" s="95"/>
      <c r="F345" s="95">
        <f>ROUND(F346/$C346,4)</f>
        <v>1</v>
      </c>
    </row>
    <row r="346" spans="1:6" customFormat="1" ht="14.25">
      <c r="A346" s="244"/>
      <c r="B346" s="246"/>
      <c r="C346" s="96">
        <f ca="1">VLOOKUP($A345,'Orçamento Sintético'!$A:$H,8,0)</f>
        <v>3447.5</v>
      </c>
      <c r="D346" s="96">
        <f>ROUND($C346*D345,2)</f>
        <v>0</v>
      </c>
      <c r="E346" s="96">
        <f>ROUND($C346*E345,2)</f>
        <v>0</v>
      </c>
      <c r="F346" s="96">
        <f>$C346-SUM(D346:E346)</f>
        <v>3447.5</v>
      </c>
    </row>
    <row r="347" spans="1:6" customFormat="1" ht="14.25">
      <c r="A347" s="244" t="s">
        <v>709</v>
      </c>
      <c r="B347" s="245" t="str">
        <f ca="1">VLOOKUP($A347,'Orçamento Sintético'!$A:$H,4,0)</f>
        <v>Copia da SINAPI (91926) - CABO DE COBRE FLEXÍVEL TIPO PP (3x2,5MM²) ANTI-CHAMA 450/750 V, ref. PRYSMIAN LINHA CORDPLAST</v>
      </c>
      <c r="C347" s="95">
        <f ca="1">ROUND(C348/$F$390,4)</f>
        <v>8.0000000000000004E-4</v>
      </c>
      <c r="D347" s="95"/>
      <c r="E347" s="95"/>
      <c r="F347" s="95">
        <f>ROUND(F348/$C348,4)</f>
        <v>1</v>
      </c>
    </row>
    <row r="348" spans="1:6" customFormat="1" ht="14.25">
      <c r="A348" s="244"/>
      <c r="B348" s="246"/>
      <c r="C348" s="96">
        <f ca="1">VLOOKUP($A347,'Orçamento Sintético'!$A:$H,8,0)</f>
        <v>168.7</v>
      </c>
      <c r="D348" s="96">
        <f>ROUND($C348*D347,2)</f>
        <v>0</v>
      </c>
      <c r="E348" s="96">
        <f>ROUND($C348*E347,2)</f>
        <v>0</v>
      </c>
      <c r="F348" s="96">
        <f>$C348-SUM(D348:E348)</f>
        <v>168.7</v>
      </c>
    </row>
    <row r="349" spans="1:6" customFormat="1" ht="14.25">
      <c r="A349" s="244" t="s">
        <v>712</v>
      </c>
      <c r="B349" s="245" t="str">
        <f ca="1">VLOOKUP($A349,'Orçamento Sintético'!$A:$H,4,0)</f>
        <v>ELETRODUTO RÍGIDO SOLDÁVEL, PVC, DN 25 MM (3/4), APARENTE, INSTALADO EM TETO - FORNECIMENTO E INSTALAÇÃO. AF_11/2016_P</v>
      </c>
      <c r="C349" s="95">
        <f ca="1">ROUND(C350/$F$390,4)</f>
        <v>3.3E-3</v>
      </c>
      <c r="D349" s="95"/>
      <c r="E349" s="95"/>
      <c r="F349" s="95">
        <f>ROUND(F350/$C350,4)</f>
        <v>1</v>
      </c>
    </row>
    <row r="350" spans="1:6" customFormat="1" ht="14.25">
      <c r="A350" s="244"/>
      <c r="B350" s="246"/>
      <c r="C350" s="96">
        <f ca="1">VLOOKUP($A349,'Orçamento Sintético'!$A:$H,8,0)</f>
        <v>691</v>
      </c>
      <c r="D350" s="96">
        <f>ROUND($C350*D349,2)</f>
        <v>0</v>
      </c>
      <c r="E350" s="96">
        <f>ROUND($C350*E349,2)</f>
        <v>0</v>
      </c>
      <c r="F350" s="96">
        <f>$C350-SUM(D350:E350)</f>
        <v>691</v>
      </c>
    </row>
    <row r="351" spans="1:6" customFormat="1" ht="14.25">
      <c r="A351" s="244" t="s">
        <v>715</v>
      </c>
      <c r="B351" s="245" t="str">
        <f ca="1">VLOOKUP($A351,'Orçamento Sintético'!$A:$H,4,0)</f>
        <v>ELETRODUTO RÍGIDO SOLDÁVEL, PVC, DN 25 MM (3/4), APARENTE, INSTALADO EM PAREDE - FORNECIMENTO E INSTALAÇÃO. AF_11/2016_P</v>
      </c>
      <c r="C351" s="95">
        <f ca="1">ROUND(C352/$F$390,4)</f>
        <v>2.5000000000000001E-3</v>
      </c>
      <c r="D351" s="95"/>
      <c r="E351" s="95"/>
      <c r="F351" s="95">
        <f>ROUND(F352/$C352,4)</f>
        <v>1</v>
      </c>
    </row>
    <row r="352" spans="1:6" customFormat="1" ht="14.25">
      <c r="A352" s="244"/>
      <c r="B352" s="246"/>
      <c r="C352" s="96">
        <f ca="1">VLOOKUP($A351,'Orçamento Sintético'!$A:$H,8,0)</f>
        <v>523.20000000000005</v>
      </c>
      <c r="D352" s="96">
        <f>ROUND($C352*D351,2)</f>
        <v>0</v>
      </c>
      <c r="E352" s="96">
        <f>ROUND($C352*E351,2)</f>
        <v>0</v>
      </c>
      <c r="F352" s="96">
        <f>$C352-SUM(D352:E352)</f>
        <v>523.20000000000005</v>
      </c>
    </row>
    <row r="353" spans="1:6" customFormat="1" ht="14.25">
      <c r="A353" s="244" t="s">
        <v>718</v>
      </c>
      <c r="B353" s="245" t="str">
        <f ca="1">VLOOKUP($A353,'Orçamento Sintético'!$A:$H,4,0)</f>
        <v>CURVA 90 GRAUS PARA ELETRODUTO, PVC, ROSCÁVEL, DN 25 MM (3/4"), PARA CIRCUITOS TERMINAIS, INSTALADA EM PAREDE - FORNECIMENTO E INSTALAÇÃO. AF_12/2015</v>
      </c>
      <c r="C353" s="95">
        <f ca="1">ROUND(C354/$F$390,4)</f>
        <v>5.0000000000000001E-4</v>
      </c>
      <c r="D353" s="95"/>
      <c r="E353" s="95"/>
      <c r="F353" s="95">
        <f>ROUND(F354/$C354,4)</f>
        <v>1</v>
      </c>
    </row>
    <row r="354" spans="1:6" customFormat="1" ht="14.25">
      <c r="A354" s="244"/>
      <c r="B354" s="246"/>
      <c r="C354" s="96">
        <f ca="1">VLOOKUP($A353,'Orçamento Sintético'!$A:$H,8,0)</f>
        <v>113.13</v>
      </c>
      <c r="D354" s="96">
        <f>ROUND($C354*D353,2)</f>
        <v>0</v>
      </c>
      <c r="E354" s="96">
        <f>ROUND($C354*E353,2)</f>
        <v>0</v>
      </c>
      <c r="F354" s="96">
        <f>$C354-SUM(D354:E354)</f>
        <v>113.13</v>
      </c>
    </row>
    <row r="355" spans="1:6" customFormat="1" ht="14.25">
      <c r="A355" s="244" t="s">
        <v>721</v>
      </c>
      <c r="B355" s="245" t="str">
        <f ca="1">VLOOKUP($A355,'Orçamento Sintético'!$A:$H,4,0)</f>
        <v>CONDULETE DE PVC, TIPO LL, PARA ELETRODUTO DE PVC SOLDÁVEL DN 25 MM (3/4''), APARENTE - FORNECIMENTO E INSTALAÇÃO. AF_11/2016</v>
      </c>
      <c r="C355" s="95">
        <f ca="1">ROUND(C356/$F$390,4)</f>
        <v>3.8999999999999998E-3</v>
      </c>
      <c r="D355" s="95"/>
      <c r="E355" s="95"/>
      <c r="F355" s="95">
        <f>ROUND(F356/$C356,4)</f>
        <v>1</v>
      </c>
    </row>
    <row r="356" spans="1:6" customFormat="1" ht="14.25">
      <c r="A356" s="244"/>
      <c r="B356" s="246"/>
      <c r="C356" s="96">
        <f ca="1">VLOOKUP($A355,'Orçamento Sintético'!$A:$H,8,0)</f>
        <v>804.48</v>
      </c>
      <c r="D356" s="96">
        <f>ROUND($C356*D355,2)</f>
        <v>0</v>
      </c>
      <c r="E356" s="96">
        <f>ROUND($C356*E355,2)</f>
        <v>0</v>
      </c>
      <c r="F356" s="96">
        <f>$C356-SUM(D356:E356)</f>
        <v>804.48</v>
      </c>
    </row>
    <row r="357" spans="1:6" customFormat="1" ht="14.25">
      <c r="A357" s="244" t="s">
        <v>724</v>
      </c>
      <c r="B357" s="245" t="str">
        <f ca="1">VLOOKUP($A357,'Orçamento Sintético'!$A:$H,4,0)</f>
        <v>Ponto de tomada de potência (10A) média - instalação aparente</v>
      </c>
      <c r="C357" s="95">
        <f ca="1">ROUND(C358/$F$390,4)</f>
        <v>5.0000000000000001E-4</v>
      </c>
      <c r="D357" s="95"/>
      <c r="E357" s="95"/>
      <c r="F357" s="95">
        <f>ROUND(F358/$C358,4)</f>
        <v>1</v>
      </c>
    </row>
    <row r="358" spans="1:6" customFormat="1" ht="14.25">
      <c r="A358" s="244"/>
      <c r="B358" s="246"/>
      <c r="C358" s="96">
        <f ca="1">VLOOKUP($A357,'Orçamento Sintético'!$A:$H,8,0)</f>
        <v>105.34</v>
      </c>
      <c r="D358" s="96">
        <f>ROUND($C358*D357,2)</f>
        <v>0</v>
      </c>
      <c r="E358" s="96">
        <f>ROUND($C358*E357,2)</f>
        <v>0</v>
      </c>
      <c r="F358" s="96">
        <f>$C358-SUM(D358:E358)</f>
        <v>105.34</v>
      </c>
    </row>
    <row r="359" spans="1:6" customFormat="1" ht="14.25">
      <c r="A359" s="244" t="s">
        <v>727</v>
      </c>
      <c r="B359" s="245" t="str">
        <f ca="1">VLOOKUP($A359,'Orçamento Sintético'!$A:$H,4,0)</f>
        <v>Ponto de tomada de potência (10A) teto - instalação aparente</v>
      </c>
      <c r="C359" s="95">
        <f ca="1">ROUND(C360/$F$390,4)</f>
        <v>5.9999999999999995E-4</v>
      </c>
      <c r="D359" s="95"/>
      <c r="E359" s="95"/>
      <c r="F359" s="95">
        <f>ROUND(F360/$C360,4)</f>
        <v>1</v>
      </c>
    </row>
    <row r="360" spans="1:6" customFormat="1" ht="14.25">
      <c r="A360" s="244"/>
      <c r="B360" s="246"/>
      <c r="C360" s="96">
        <f ca="1">VLOOKUP($A359,'Orçamento Sintético'!$A:$H,8,0)</f>
        <v>121.44</v>
      </c>
      <c r="D360" s="96">
        <f>ROUND($C360*D359,2)</f>
        <v>0</v>
      </c>
      <c r="E360" s="96">
        <f>ROUND($C360*E359,2)</f>
        <v>0</v>
      </c>
      <c r="F360" s="96">
        <f>$C360-SUM(D360:E360)</f>
        <v>121.44</v>
      </c>
    </row>
    <row r="361" spans="1:6" customFormat="1" ht="14.25">
      <c r="A361" s="247" t="s">
        <v>730</v>
      </c>
      <c r="B361" s="248" t="str">
        <f ca="1">VLOOKUP($A361,'Orçamento Sintético'!$A:$H,4,0)</f>
        <v>SERVIÇOS COMPLEMENTARES</v>
      </c>
      <c r="C361" s="89">
        <f ca="1">ROUND(C362/$F$390,4)</f>
        <v>4.0599999999999997E-2</v>
      </c>
      <c r="D361" s="90">
        <f>ROUND(D362/$C362,4)</f>
        <v>0.68110000000000004</v>
      </c>
      <c r="E361" s="90">
        <f>ROUND(E362/$C362,4)</f>
        <v>5.9999999999999995E-4</v>
      </c>
      <c r="F361" s="90">
        <f>ROUND(F362/$C362,4)</f>
        <v>0.31830000000000003</v>
      </c>
    </row>
    <row r="362" spans="1:6" customFormat="1" ht="14.25">
      <c r="A362" s="247"/>
      <c r="B362" s="248"/>
      <c r="C362" s="91">
        <f ca="1">VLOOKUP($A361,'Orçamento Sintético'!$A:$H,8,0)</f>
        <v>8414.39</v>
      </c>
      <c r="D362" s="92">
        <f>D364</f>
        <v>5731.2999999999993</v>
      </c>
      <c r="E362" s="92">
        <f>E364</f>
        <v>5.01</v>
      </c>
      <c r="F362" s="92">
        <f>F364</f>
        <v>2678.08</v>
      </c>
    </row>
    <row r="363" spans="1:6" customFormat="1" ht="14.25">
      <c r="A363" s="238" t="s">
        <v>732</v>
      </c>
      <c r="B363" s="239" t="str">
        <f ca="1">VLOOKUP($A363,'Orçamento Sintético'!$A:$H,4,0)</f>
        <v>Limpeza de obra</v>
      </c>
      <c r="C363" s="93">
        <f ca="1">ROUND(C364/$F$390,4)</f>
        <v>4.0599999999999997E-2</v>
      </c>
      <c r="D363" s="93">
        <f>ROUND(D364/$C364,4)</f>
        <v>0.68110000000000004</v>
      </c>
      <c r="E363" s="93">
        <f>ROUND(E364/$C364,4)</f>
        <v>5.9999999999999995E-4</v>
      </c>
      <c r="F363" s="93">
        <f>ROUND(F364/$C364,4)</f>
        <v>0.31830000000000003</v>
      </c>
    </row>
    <row r="364" spans="1:6" customFormat="1" ht="14.25">
      <c r="A364" s="238"/>
      <c r="B364" s="239"/>
      <c r="C364" s="94">
        <f ca="1">VLOOKUP($A363,'Orçamento Sintético'!$A:$H,8,0)</f>
        <v>8414.39</v>
      </c>
      <c r="D364" s="94">
        <f>D366+D368+D370+D372+D374+D376</f>
        <v>5731.2999999999993</v>
      </c>
      <c r="E364" s="94">
        <f>E366+E368+E370+E372+E374+E376</f>
        <v>5.01</v>
      </c>
      <c r="F364" s="94">
        <f>F366+F368+F370+F372+F374+F376</f>
        <v>2678.08</v>
      </c>
    </row>
    <row r="365" spans="1:6" customFormat="1" ht="14.25">
      <c r="A365" s="244" t="s">
        <v>734</v>
      </c>
      <c r="B365" s="245" t="str">
        <f ca="1">VLOOKUP($A365,'Orçamento Sintético'!$A:$H,4,0)</f>
        <v>Transporte de material – bota-fora, D.M.T = 20,0 km</v>
      </c>
      <c r="C365" s="95">
        <f ca="1">ROUND(C366/$F$390,4)</f>
        <v>9.7999999999999997E-3</v>
      </c>
      <c r="D365" s="95">
        <v>1</v>
      </c>
      <c r="E365" s="95"/>
      <c r="F365" s="95">
        <f>ROUND(F366/$C366,4)</f>
        <v>0</v>
      </c>
    </row>
    <row r="366" spans="1:6" customFormat="1" ht="14.25">
      <c r="A366" s="244"/>
      <c r="B366" s="246"/>
      <c r="C366" s="96">
        <f ca="1">VLOOKUP($A365,'Orçamento Sintético'!$A:$H,8,0)</f>
        <v>2033.61</v>
      </c>
      <c r="D366" s="96">
        <f>ROUND($C366*D365,2)</f>
        <v>2033.61</v>
      </c>
      <c r="E366" s="96">
        <f>ROUND($C366*E365,2)</f>
        <v>0</v>
      </c>
      <c r="F366" s="96">
        <f>$C366-SUM(D366:E366)</f>
        <v>0</v>
      </c>
    </row>
    <row r="367" spans="1:6" customFormat="1" ht="14.25">
      <c r="A367" s="244" t="s">
        <v>737</v>
      </c>
      <c r="B367" s="245" t="str">
        <f ca="1">VLOOKUP($A367,'Orçamento Sintético'!$A:$H,4,0)</f>
        <v>TRANSPORTE HORIZONTAL COM JERICA DE 90 L, DE MASSA/ GRANEL (UNIDADE: M3XKM). AF_07/2019</v>
      </c>
      <c r="C367" s="95">
        <f ca="1">ROUND(C368/$F$390,4)</f>
        <v>1.6799999999999999E-2</v>
      </c>
      <c r="D367" s="95">
        <v>1</v>
      </c>
      <c r="E367" s="95"/>
      <c r="F367" s="95">
        <f>ROUND(F368/$C368,4)</f>
        <v>0</v>
      </c>
    </row>
    <row r="368" spans="1:6" customFormat="1" ht="14.25">
      <c r="A368" s="244"/>
      <c r="B368" s="246"/>
      <c r="C368" s="96">
        <f ca="1">VLOOKUP($A367,'Orçamento Sintético'!$A:$H,8,0)</f>
        <v>3477.88</v>
      </c>
      <c r="D368" s="96">
        <f>ROUND($C368*D367,2)</f>
        <v>3477.88</v>
      </c>
      <c r="E368" s="96">
        <f>ROUND($C368*E367,2)</f>
        <v>0</v>
      </c>
      <c r="F368" s="96">
        <f>$C368-SUM(D368:E368)</f>
        <v>0</v>
      </c>
    </row>
    <row r="369" spans="1:6" customFormat="1" ht="14.25">
      <c r="A369" s="244" t="s">
        <v>741</v>
      </c>
      <c r="B369" s="245" t="str">
        <f ca="1">VLOOKUP($A369,'Orçamento Sintético'!$A:$H,4,0)</f>
        <v>TRANSPORTE HORIZONTAL MANUAL, DE LATA DE 18 LITROS (UNIDADE: LXKM). AF_07/2019</v>
      </c>
      <c r="C369" s="95">
        <f ca="1">ROUND(C370/$F$390,4)</f>
        <v>1E-3</v>
      </c>
      <c r="D369" s="95">
        <v>1</v>
      </c>
      <c r="E369" s="95"/>
      <c r="F369" s="95">
        <f>ROUND(F370/$C370,4)</f>
        <v>0</v>
      </c>
    </row>
    <row r="370" spans="1:6" customFormat="1" ht="14.25">
      <c r="A370" s="244"/>
      <c r="B370" s="246"/>
      <c r="C370" s="96">
        <f ca="1">VLOOKUP($A369,'Orçamento Sintético'!$A:$H,8,0)</f>
        <v>214.8</v>
      </c>
      <c r="D370" s="96">
        <f>ROUND($C370*D369,2)</f>
        <v>214.8</v>
      </c>
      <c r="E370" s="96">
        <f>ROUND($C370*E369,2)</f>
        <v>0</v>
      </c>
      <c r="F370" s="96">
        <f>$C370-SUM(D370:E370)</f>
        <v>0</v>
      </c>
    </row>
    <row r="371" spans="1:6" customFormat="1" ht="14.25">
      <c r="A371" s="244" t="s">
        <v>745</v>
      </c>
      <c r="B371" s="245" t="str">
        <f ca="1">VLOOKUP($A371,'Orçamento Sintético'!$A:$H,4,0)</f>
        <v>TRANSPORTE HORIZONTAL MANUAL, DE TUBO DE PVC SOLDÁVEL COM DIÂMETRO MENOR OU IGUAL A 60 MM (UNIDADE: MXKM). AF_07/2019</v>
      </c>
      <c r="C371" s="95">
        <f ca="1">ROUND(C372/$F$390,4)</f>
        <v>0</v>
      </c>
      <c r="D371" s="95">
        <v>0.5</v>
      </c>
      <c r="E371" s="95">
        <v>0.5</v>
      </c>
      <c r="F371" s="95">
        <f>ROUND(F372/$C372,4)</f>
        <v>0</v>
      </c>
    </row>
    <row r="372" spans="1:6" customFormat="1" ht="14.25">
      <c r="A372" s="244"/>
      <c r="B372" s="246"/>
      <c r="C372" s="96">
        <f ca="1">VLOOKUP($A371,'Orçamento Sintético'!$A:$H,8,0)</f>
        <v>4.5599999999999996</v>
      </c>
      <c r="D372" s="96">
        <f>ROUND($C372*D371,2)</f>
        <v>2.2799999999999998</v>
      </c>
      <c r="E372" s="96">
        <f>ROUND($C372*E371,2)</f>
        <v>2.2799999999999998</v>
      </c>
      <c r="F372" s="96">
        <f>$C372-SUM(D372:E372)</f>
        <v>0</v>
      </c>
    </row>
    <row r="373" spans="1:6" customFormat="1" ht="14.25">
      <c r="A373" s="244" t="s">
        <v>749</v>
      </c>
      <c r="B373" s="245" t="str">
        <f ca="1">VLOOKUP($A373,'Orçamento Sintético'!$A:$H,4,0)</f>
        <v>TRANSPORTE HORIZONTAL MANUAL, DE TUBO DE PVC SOLDÁVEL COM DIÂMETRO MAIOR QUE 60 MM E MENOR OU IGUAL A 85 MM (UNIDADE: MXKM). AF_07/2019</v>
      </c>
      <c r="C373" s="95">
        <f ca="1">ROUND(C374/$F$390,4)</f>
        <v>0</v>
      </c>
      <c r="D373" s="95">
        <v>0.5</v>
      </c>
      <c r="E373" s="95">
        <v>0.5</v>
      </c>
      <c r="F373" s="95">
        <f>ROUND(F374/$C374,4)</f>
        <v>0</v>
      </c>
    </row>
    <row r="374" spans="1:6" customFormat="1" ht="14.25">
      <c r="A374" s="244"/>
      <c r="B374" s="246"/>
      <c r="C374" s="96">
        <f ca="1">VLOOKUP($A373,'Orçamento Sintético'!$A:$H,8,0)</f>
        <v>5.46</v>
      </c>
      <c r="D374" s="96">
        <f>ROUND($C374*D373,2)</f>
        <v>2.73</v>
      </c>
      <c r="E374" s="96">
        <f>ROUND($C374*E373,2)</f>
        <v>2.73</v>
      </c>
      <c r="F374" s="96">
        <f>$C374-SUM(D374:E374)</f>
        <v>0</v>
      </c>
    </row>
    <row r="375" spans="1:6" customFormat="1" ht="14.25">
      <c r="A375" s="244" t="s">
        <v>752</v>
      </c>
      <c r="B375" s="245" t="str">
        <f ca="1">VLOOKUP($A375,'Orçamento Sintético'!$A:$H,4,0)</f>
        <v>Copia da SINAPI (91190) - CHUMBAMENTO PARA  OLHAL DE ANCORAGEM PARA BALANCIM EM AÇO INOX, RESISTÊNCIADE 1500 KGF</v>
      </c>
      <c r="C375" s="95">
        <f ca="1">ROUND(C376/$F$390,4)</f>
        <v>1.29E-2</v>
      </c>
      <c r="D375" s="95"/>
      <c r="E375" s="95"/>
      <c r="F375" s="95">
        <f>ROUND(F376/$C376,4)</f>
        <v>1</v>
      </c>
    </row>
    <row r="376" spans="1:6" customFormat="1" ht="14.25">
      <c r="A376" s="244"/>
      <c r="B376" s="246"/>
      <c r="C376" s="96">
        <f ca="1">VLOOKUP($A375,'Orçamento Sintético'!$A:$H,8,0)</f>
        <v>2678.08</v>
      </c>
      <c r="D376" s="96">
        <f>ROUND($C376*D375,2)</f>
        <v>0</v>
      </c>
      <c r="E376" s="96">
        <f>ROUND($C376*E375,2)</f>
        <v>0</v>
      </c>
      <c r="F376" s="96">
        <f>$C376-SUM(D376:E376)</f>
        <v>2678.08</v>
      </c>
    </row>
    <row r="377" spans="1:6" customFormat="1" ht="14.25">
      <c r="A377" s="247" t="s">
        <v>755</v>
      </c>
      <c r="B377" s="248" t="str">
        <f ca="1">VLOOKUP($A377,'Orçamento Sintético'!$A:$H,4,0)</f>
        <v>SERVIÇOS AUXILIARES E ADMNISTRATIVOS</v>
      </c>
      <c r="C377" s="89">
        <f ca="1">ROUND(C378/$F$390,4)</f>
        <v>7.6600000000000001E-2</v>
      </c>
      <c r="D377" s="90">
        <f>ROUND(D378/$C378,4)</f>
        <v>0.31690000000000002</v>
      </c>
      <c r="E377" s="90">
        <f>ROUND(E378/$C378,4)</f>
        <v>0.32350000000000001</v>
      </c>
      <c r="F377" s="90">
        <f>ROUND(F378/$C378,4)</f>
        <v>0.35959999999999998</v>
      </c>
    </row>
    <row r="378" spans="1:6" customFormat="1" ht="14.25">
      <c r="A378" s="247"/>
      <c r="B378" s="248"/>
      <c r="C378" s="91">
        <f ca="1">VLOOKUP($A377,'Orçamento Sintético'!$A:$H,8,0)</f>
        <v>15887.470000000001</v>
      </c>
      <c r="D378" s="92">
        <f>D380</f>
        <v>5034.95</v>
      </c>
      <c r="E378" s="92">
        <f>E380</f>
        <v>5138.91</v>
      </c>
      <c r="F378" s="92">
        <f>F380</f>
        <v>5713.6100000000006</v>
      </c>
    </row>
    <row r="379" spans="1:6" customFormat="1" ht="14.25">
      <c r="A379" s="238" t="s">
        <v>757</v>
      </c>
      <c r="B379" s="239" t="str">
        <f ca="1">VLOOKUP($A379,'Orçamento Sintético'!$A:$H,4,0)</f>
        <v>Pessoal</v>
      </c>
      <c r="C379" s="93">
        <f ca="1">ROUND(C380/$F$390,4)</f>
        <v>7.6600000000000001E-2</v>
      </c>
      <c r="D379" s="93">
        <f>ROUND(D380/$C380,4)</f>
        <v>0.31690000000000002</v>
      </c>
      <c r="E379" s="93">
        <f>ROUND(E380/$C380,4)</f>
        <v>0.32350000000000001</v>
      </c>
      <c r="F379" s="93">
        <f>ROUND(F380/$C380,4)</f>
        <v>0.35959999999999998</v>
      </c>
    </row>
    <row r="380" spans="1:6" customFormat="1" ht="14.25">
      <c r="A380" s="238"/>
      <c r="B380" s="239"/>
      <c r="C380" s="94">
        <f ca="1">VLOOKUP($A379,'Orçamento Sintético'!$A:$H,8,0)</f>
        <v>15887.470000000001</v>
      </c>
      <c r="D380" s="94">
        <f>D382+D384</f>
        <v>5034.95</v>
      </c>
      <c r="E380" s="94">
        <f>E382+E384</f>
        <v>5138.91</v>
      </c>
      <c r="F380" s="94">
        <f>F382+F384</f>
        <v>5713.6100000000006</v>
      </c>
    </row>
    <row r="381" spans="1:6" customFormat="1" ht="14.25">
      <c r="A381" s="244" t="s">
        <v>759</v>
      </c>
      <c r="B381" s="245" t="str">
        <f ca="1">VLOOKUP($A381,'Orçamento Sintético'!$A:$H,4,0)</f>
        <v>ENCARREGADO GERAL DE OBRAS COM ENCARGOS COMPLEMENTARES</v>
      </c>
      <c r="C381" s="95">
        <f ca="1">ROUND(C382/$F$390,4)</f>
        <v>5.0099999999999999E-2</v>
      </c>
      <c r="D381" s="95">
        <v>0.31</v>
      </c>
      <c r="E381" s="95">
        <v>0.32</v>
      </c>
      <c r="F381" s="95">
        <f>ROUND(F382/$C382,4)</f>
        <v>0.37</v>
      </c>
    </row>
    <row r="382" spans="1:6" customFormat="1" ht="14.25">
      <c r="A382" s="244"/>
      <c r="B382" s="246"/>
      <c r="C382" s="96">
        <f ca="1">VLOOKUP($A381,'Orçamento Sintético'!$A:$H,8,0)</f>
        <v>10395.75</v>
      </c>
      <c r="D382" s="96">
        <f>ROUND($C382*D381,2)</f>
        <v>3222.68</v>
      </c>
      <c r="E382" s="96">
        <f>ROUND($C382*E381,2)</f>
        <v>3326.64</v>
      </c>
      <c r="F382" s="96">
        <f>$C382-SUM(D382:E382)</f>
        <v>3846.4300000000003</v>
      </c>
    </row>
    <row r="383" spans="1:6" customFormat="1" ht="14.25">
      <c r="A383" s="244" t="s">
        <v>763</v>
      </c>
      <c r="B383" s="245" t="str">
        <f ca="1">VLOOKUP($A383,'Orçamento Sintético'!$A:$H,4,0)</f>
        <v>ENGENHEIRO CIVIL DE OBRA PLENO COM ENCARGOS COMPLEMENTARES</v>
      </c>
      <c r="C383" s="95">
        <f ca="1">ROUND(C384/$F$390,4)</f>
        <v>2.6499999999999999E-2</v>
      </c>
      <c r="D383" s="95">
        <v>0.33</v>
      </c>
      <c r="E383" s="95">
        <v>0.33</v>
      </c>
      <c r="F383" s="95">
        <f>ROUND(F384/$C384,4)</f>
        <v>0.34</v>
      </c>
    </row>
    <row r="384" spans="1:6" customFormat="1" ht="14.25">
      <c r="A384" s="244"/>
      <c r="B384" s="246"/>
      <c r="C384" s="96">
        <f ca="1">VLOOKUP($A383,'Orçamento Sintético'!$A:$H,8,0)</f>
        <v>5491.72</v>
      </c>
      <c r="D384" s="96">
        <f>ROUND($C384*D383,2)</f>
        <v>1812.27</v>
      </c>
      <c r="E384" s="96">
        <f>ROUND($C384*E383,2)</f>
        <v>1812.27</v>
      </c>
      <c r="F384" s="96">
        <f>$C384-SUM(D384:E384)</f>
        <v>1867.1800000000003</v>
      </c>
    </row>
    <row r="385" spans="1:6" customFormat="1" ht="14.25">
      <c r="A385" s="250" t="s">
        <v>151</v>
      </c>
      <c r="B385" s="250"/>
      <c r="C385" s="45"/>
      <c r="D385" s="101">
        <f>ROUND(D386/$F$390,4)</f>
        <v>0.29749999999999999</v>
      </c>
      <c r="E385" s="101">
        <f>ROUND(E386/$F$390,4)</f>
        <v>0.33610000000000001</v>
      </c>
      <c r="F385" s="101">
        <f>ROUND(F386/$F$390,4)</f>
        <v>0.3664</v>
      </c>
    </row>
    <row r="386" spans="1:6" customFormat="1" ht="14.25">
      <c r="A386" s="251" t="s">
        <v>152</v>
      </c>
      <c r="B386" s="251"/>
      <c r="C386" s="45"/>
      <c r="D386" s="46">
        <f>D10+D16+D44+D68+D126+D332+D362+D378</f>
        <v>61678.399999999994</v>
      </c>
      <c r="E386" s="46">
        <f>E10+E16+E44+E68+E126+E332+E362+E378</f>
        <v>69661.279999999999</v>
      </c>
      <c r="F386" s="46">
        <f>F10+F16+F44+F68+F126+F332+F362+F378</f>
        <v>75953.52</v>
      </c>
    </row>
    <row r="387" spans="1:6" customFormat="1" ht="14.25">
      <c r="A387" s="249" t="s">
        <v>80</v>
      </c>
      <c r="B387" s="249"/>
      <c r="C387" s="45"/>
      <c r="D387" s="102">
        <f ca="1">TRUNC(D386*'Composição de BDI'!$D$23,2)</f>
        <v>13643.26</v>
      </c>
      <c r="E387" s="102">
        <f ca="1">ROUND(E386*'Composição de BDI'!$D$23,2)</f>
        <v>15409.08</v>
      </c>
      <c r="F387" s="102">
        <f ca="1">TRUNC(F386*'Composição de BDI'!$D$23,2)</f>
        <v>16800.91</v>
      </c>
    </row>
    <row r="388" spans="1:6" customFormat="1" ht="14.25">
      <c r="A388" s="103"/>
      <c r="B388" s="104" t="s">
        <v>154</v>
      </c>
      <c r="C388" s="105"/>
      <c r="D388" s="106">
        <f>ROUND(SUM(D386:D387),2)</f>
        <v>75321.66</v>
      </c>
      <c r="E388" s="106">
        <f>ROUND(SUM(E386:E387),2)</f>
        <v>85070.36</v>
      </c>
      <c r="F388" s="106">
        <f>ROUND(SUM(F386:F387),2)</f>
        <v>92754.43</v>
      </c>
    </row>
    <row r="389" spans="1:6" customFormat="1" ht="14.25">
      <c r="A389" s="250" t="s">
        <v>153</v>
      </c>
      <c r="B389" s="250"/>
      <c r="C389" s="45"/>
      <c r="D389" s="101">
        <f>D385</f>
        <v>0.29749999999999999</v>
      </c>
      <c r="E389" s="101">
        <f>D389+E385</f>
        <v>0.63359999999999994</v>
      </c>
      <c r="F389" s="101">
        <f>E389+F385</f>
        <v>1</v>
      </c>
    </row>
    <row r="390" spans="1:6" customFormat="1" ht="14.25">
      <c r="A390" s="249" t="s">
        <v>176</v>
      </c>
      <c r="B390" s="249"/>
      <c r="C390" s="45"/>
      <c r="D390" s="46">
        <f>D386</f>
        <v>61678.399999999994</v>
      </c>
      <c r="E390" s="46">
        <f>D390+E386</f>
        <v>131339.68</v>
      </c>
      <c r="F390" s="46">
        <f>E390+F386</f>
        <v>207293.2</v>
      </c>
    </row>
    <row r="391" spans="1:6" customFormat="1" ht="14.25">
      <c r="A391" s="103"/>
      <c r="B391" s="104" t="s">
        <v>55</v>
      </c>
      <c r="C391" s="105"/>
      <c r="D391" s="106">
        <f>D388</f>
        <v>75321.66</v>
      </c>
      <c r="E391" s="106">
        <f>D391+E388</f>
        <v>160392.02000000002</v>
      </c>
      <c r="F391" s="106">
        <f>E391+F388</f>
        <v>253146.45</v>
      </c>
    </row>
  </sheetData>
  <sheetCalcPr fullCalcOnLoad="1"/>
  <mergeCells count="382">
    <mergeCell ref="B349:B350"/>
    <mergeCell ref="A351:A352"/>
    <mergeCell ref="B351:B352"/>
    <mergeCell ref="B365:B366"/>
    <mergeCell ref="A355:A356"/>
    <mergeCell ref="B355:B356"/>
    <mergeCell ref="A357:A358"/>
    <mergeCell ref="B357:B358"/>
    <mergeCell ref="A359:A360"/>
    <mergeCell ref="B359:B360"/>
    <mergeCell ref="A353:A354"/>
    <mergeCell ref="B353:B354"/>
    <mergeCell ref="A365:A366"/>
    <mergeCell ref="A343:A344"/>
    <mergeCell ref="B343:B344"/>
    <mergeCell ref="A345:A346"/>
    <mergeCell ref="B345:B346"/>
    <mergeCell ref="A347:A348"/>
    <mergeCell ref="B347:B348"/>
    <mergeCell ref="A349:A350"/>
    <mergeCell ref="A331:A332"/>
    <mergeCell ref="B331:B332"/>
    <mergeCell ref="A341:A342"/>
    <mergeCell ref="B341:B342"/>
    <mergeCell ref="A339:A340"/>
    <mergeCell ref="B339:B340"/>
    <mergeCell ref="A335:A336"/>
    <mergeCell ref="B335:B336"/>
    <mergeCell ref="A337:A338"/>
    <mergeCell ref="B337:B338"/>
    <mergeCell ref="A333:A334"/>
    <mergeCell ref="B333:B334"/>
    <mergeCell ref="A323:A324"/>
    <mergeCell ref="B323:B324"/>
    <mergeCell ref="A325:A326"/>
    <mergeCell ref="B325:B326"/>
    <mergeCell ref="A327:A328"/>
    <mergeCell ref="B327:B328"/>
    <mergeCell ref="A329:A330"/>
    <mergeCell ref="B329:B330"/>
    <mergeCell ref="A315:A316"/>
    <mergeCell ref="B315:B316"/>
    <mergeCell ref="A317:A318"/>
    <mergeCell ref="B317:B318"/>
    <mergeCell ref="A319:A320"/>
    <mergeCell ref="B319:B320"/>
    <mergeCell ref="A305:A306"/>
    <mergeCell ref="B305:B306"/>
    <mergeCell ref="A307:A308"/>
    <mergeCell ref="B307:B308"/>
    <mergeCell ref="A321:A322"/>
    <mergeCell ref="B321:B322"/>
    <mergeCell ref="A311:A312"/>
    <mergeCell ref="B311:B312"/>
    <mergeCell ref="A313:A314"/>
    <mergeCell ref="B313:B314"/>
    <mergeCell ref="A295:A296"/>
    <mergeCell ref="B295:B296"/>
    <mergeCell ref="A309:A310"/>
    <mergeCell ref="B309:B310"/>
    <mergeCell ref="A299:A300"/>
    <mergeCell ref="B299:B300"/>
    <mergeCell ref="A301:A302"/>
    <mergeCell ref="B301:B302"/>
    <mergeCell ref="A303:A304"/>
    <mergeCell ref="B303:B304"/>
    <mergeCell ref="A297:A298"/>
    <mergeCell ref="B297:B298"/>
    <mergeCell ref="A287:A288"/>
    <mergeCell ref="B287:B288"/>
    <mergeCell ref="A289:A290"/>
    <mergeCell ref="B289:B290"/>
    <mergeCell ref="A291:A292"/>
    <mergeCell ref="B291:B292"/>
    <mergeCell ref="A293:A294"/>
    <mergeCell ref="B293:B294"/>
    <mergeCell ref="A279:A280"/>
    <mergeCell ref="B279:B280"/>
    <mergeCell ref="A281:A282"/>
    <mergeCell ref="B281:B282"/>
    <mergeCell ref="A283:A284"/>
    <mergeCell ref="B283:B284"/>
    <mergeCell ref="A269:A270"/>
    <mergeCell ref="B269:B270"/>
    <mergeCell ref="A271:A272"/>
    <mergeCell ref="B271:B272"/>
    <mergeCell ref="A285:A286"/>
    <mergeCell ref="B285:B286"/>
    <mergeCell ref="A275:A276"/>
    <mergeCell ref="B275:B276"/>
    <mergeCell ref="A277:A278"/>
    <mergeCell ref="B277:B278"/>
    <mergeCell ref="A259:A260"/>
    <mergeCell ref="B259:B260"/>
    <mergeCell ref="A273:A274"/>
    <mergeCell ref="B273:B274"/>
    <mergeCell ref="A263:A264"/>
    <mergeCell ref="B263:B264"/>
    <mergeCell ref="A265:A266"/>
    <mergeCell ref="B265:B266"/>
    <mergeCell ref="A267:A268"/>
    <mergeCell ref="B267:B268"/>
    <mergeCell ref="A261:A262"/>
    <mergeCell ref="B261:B262"/>
    <mergeCell ref="A251:A252"/>
    <mergeCell ref="B251:B252"/>
    <mergeCell ref="A253:A254"/>
    <mergeCell ref="B253:B254"/>
    <mergeCell ref="A255:A256"/>
    <mergeCell ref="B255:B256"/>
    <mergeCell ref="A257:A258"/>
    <mergeCell ref="B257:B258"/>
    <mergeCell ref="A243:A244"/>
    <mergeCell ref="B243:B244"/>
    <mergeCell ref="A245:A246"/>
    <mergeCell ref="B245:B246"/>
    <mergeCell ref="A247:A248"/>
    <mergeCell ref="B247:B248"/>
    <mergeCell ref="A229:A230"/>
    <mergeCell ref="B229:B230"/>
    <mergeCell ref="A231:A232"/>
    <mergeCell ref="B231:B232"/>
    <mergeCell ref="A249:A250"/>
    <mergeCell ref="B249:B250"/>
    <mergeCell ref="A239:A240"/>
    <mergeCell ref="B239:B240"/>
    <mergeCell ref="A241:A242"/>
    <mergeCell ref="B241:B242"/>
    <mergeCell ref="A235:A236"/>
    <mergeCell ref="B235:B236"/>
    <mergeCell ref="A237:A238"/>
    <mergeCell ref="B237:B238"/>
    <mergeCell ref="A219:A220"/>
    <mergeCell ref="B219:B220"/>
    <mergeCell ref="A233:A234"/>
    <mergeCell ref="B233:B234"/>
    <mergeCell ref="A227:A228"/>
    <mergeCell ref="B227:B228"/>
    <mergeCell ref="A211:A212"/>
    <mergeCell ref="B211:B212"/>
    <mergeCell ref="A197:A198"/>
    <mergeCell ref="B197:B198"/>
    <mergeCell ref="A191:A192"/>
    <mergeCell ref="B191:B192"/>
    <mergeCell ref="A193:A194"/>
    <mergeCell ref="A213:A214"/>
    <mergeCell ref="B213:B214"/>
    <mergeCell ref="A203:A204"/>
    <mergeCell ref="B203:B204"/>
    <mergeCell ref="A205:A206"/>
    <mergeCell ref="B205:B206"/>
    <mergeCell ref="A207:A208"/>
    <mergeCell ref="B207:B208"/>
    <mergeCell ref="A209:A210"/>
    <mergeCell ref="B209:B210"/>
    <mergeCell ref="A195:A196"/>
    <mergeCell ref="B195:B196"/>
    <mergeCell ref="A157:A158"/>
    <mergeCell ref="B157:B158"/>
    <mergeCell ref="A159:A160"/>
    <mergeCell ref="B159:B160"/>
    <mergeCell ref="A161:A162"/>
    <mergeCell ref="B185:B186"/>
    <mergeCell ref="B181:B182"/>
    <mergeCell ref="A183:A184"/>
    <mergeCell ref="B183:B184"/>
    <mergeCell ref="A185:A186"/>
    <mergeCell ref="B149:B150"/>
    <mergeCell ref="A163:A164"/>
    <mergeCell ref="B163:B164"/>
    <mergeCell ref="A385:B385"/>
    <mergeCell ref="A386:B386"/>
    <mergeCell ref="A387:B387"/>
    <mergeCell ref="A389:B389"/>
    <mergeCell ref="B161:B162"/>
    <mergeCell ref="A187:A188"/>
    <mergeCell ref="B187:B188"/>
    <mergeCell ref="A189:A190"/>
    <mergeCell ref="B189:B190"/>
    <mergeCell ref="A181:A182"/>
    <mergeCell ref="A390:B390"/>
    <mergeCell ref="A123:A124"/>
    <mergeCell ref="B123:B124"/>
    <mergeCell ref="A137:A138"/>
    <mergeCell ref="B137:B138"/>
    <mergeCell ref="A139:A140"/>
    <mergeCell ref="A379:A380"/>
    <mergeCell ref="B379:B380"/>
    <mergeCell ref="A381:A382"/>
    <mergeCell ref="B381:B382"/>
    <mergeCell ref="A373:A374"/>
    <mergeCell ref="B373:B374"/>
    <mergeCell ref="A383:A384"/>
    <mergeCell ref="B383:B384"/>
    <mergeCell ref="A377:A378"/>
    <mergeCell ref="B377:B378"/>
    <mergeCell ref="B201:B202"/>
    <mergeCell ref="A221:A222"/>
    <mergeCell ref="A375:A376"/>
    <mergeCell ref="B375:B376"/>
    <mergeCell ref="A367:A368"/>
    <mergeCell ref="B367:B368"/>
    <mergeCell ref="A369:A370"/>
    <mergeCell ref="B369:B370"/>
    <mergeCell ref="A371:A372"/>
    <mergeCell ref="B371:B372"/>
    <mergeCell ref="A225:A226"/>
    <mergeCell ref="B225:B226"/>
    <mergeCell ref="B193:B194"/>
    <mergeCell ref="A361:A362"/>
    <mergeCell ref="B361:B362"/>
    <mergeCell ref="A363:A364"/>
    <mergeCell ref="B363:B364"/>
    <mergeCell ref="A199:A200"/>
    <mergeCell ref="B199:B200"/>
    <mergeCell ref="A201:A202"/>
    <mergeCell ref="A215:A216"/>
    <mergeCell ref="B215:B216"/>
    <mergeCell ref="A217:A218"/>
    <mergeCell ref="B217:B218"/>
    <mergeCell ref="B221:B222"/>
    <mergeCell ref="A223:A224"/>
    <mergeCell ref="B223:B224"/>
    <mergeCell ref="B171:B172"/>
    <mergeCell ref="A173:A174"/>
    <mergeCell ref="B173:B174"/>
    <mergeCell ref="A175:A176"/>
    <mergeCell ref="B175:B176"/>
    <mergeCell ref="A177:A178"/>
    <mergeCell ref="B177:B178"/>
    <mergeCell ref="A143:A144"/>
    <mergeCell ref="A165:A166"/>
    <mergeCell ref="B165:B166"/>
    <mergeCell ref="A167:A168"/>
    <mergeCell ref="B167:B168"/>
    <mergeCell ref="A179:A180"/>
    <mergeCell ref="B179:B180"/>
    <mergeCell ref="A169:A170"/>
    <mergeCell ref="B169:B170"/>
    <mergeCell ref="A171:A172"/>
    <mergeCell ref="A133:A134"/>
    <mergeCell ref="B133:B134"/>
    <mergeCell ref="A135:A136"/>
    <mergeCell ref="B135:B136"/>
    <mergeCell ref="B139:B140"/>
    <mergeCell ref="A141:A142"/>
    <mergeCell ref="B141:B142"/>
    <mergeCell ref="B147:B148"/>
    <mergeCell ref="A149:A150"/>
    <mergeCell ref="A151:A152"/>
    <mergeCell ref="B151:B152"/>
    <mergeCell ref="A153:A154"/>
    <mergeCell ref="B153:B154"/>
    <mergeCell ref="A131:A132"/>
    <mergeCell ref="B131:B132"/>
    <mergeCell ref="A129:A130"/>
    <mergeCell ref="B129:B130"/>
    <mergeCell ref="A155:A156"/>
    <mergeCell ref="B155:B156"/>
    <mergeCell ref="B143:B144"/>
    <mergeCell ref="A145:A146"/>
    <mergeCell ref="B145:B146"/>
    <mergeCell ref="A147:A148"/>
    <mergeCell ref="A121:A122"/>
    <mergeCell ref="B121:B122"/>
    <mergeCell ref="A127:A128"/>
    <mergeCell ref="B127:B128"/>
    <mergeCell ref="A117:A118"/>
    <mergeCell ref="B117:B118"/>
    <mergeCell ref="A119:A120"/>
    <mergeCell ref="B119:B120"/>
    <mergeCell ref="A125:A126"/>
    <mergeCell ref="B125:B126"/>
    <mergeCell ref="A115:A116"/>
    <mergeCell ref="B115:B116"/>
    <mergeCell ref="B109:B110"/>
    <mergeCell ref="A107:A108"/>
    <mergeCell ref="B107:B108"/>
    <mergeCell ref="A109:A110"/>
    <mergeCell ref="A111:A112"/>
    <mergeCell ref="B111:B112"/>
    <mergeCell ref="A113:A114"/>
    <mergeCell ref="B113:B114"/>
    <mergeCell ref="A99:A100"/>
    <mergeCell ref="B99:B100"/>
    <mergeCell ref="A103:A104"/>
    <mergeCell ref="B103:B104"/>
    <mergeCell ref="A105:A106"/>
    <mergeCell ref="B105:B106"/>
    <mergeCell ref="A101:A102"/>
    <mergeCell ref="B101:B102"/>
    <mergeCell ref="A91:A92"/>
    <mergeCell ref="B91:B92"/>
    <mergeCell ref="A93:A94"/>
    <mergeCell ref="B93:B94"/>
    <mergeCell ref="A95:A96"/>
    <mergeCell ref="B95:B96"/>
    <mergeCell ref="A97:A98"/>
    <mergeCell ref="B97:B98"/>
    <mergeCell ref="A83:A84"/>
    <mergeCell ref="B83:B84"/>
    <mergeCell ref="A79:A80"/>
    <mergeCell ref="B79:B80"/>
    <mergeCell ref="A81:A82"/>
    <mergeCell ref="B81:B82"/>
    <mergeCell ref="A89:A90"/>
    <mergeCell ref="B89:B90"/>
    <mergeCell ref="A75:A76"/>
    <mergeCell ref="B75:B76"/>
    <mergeCell ref="A77:A78"/>
    <mergeCell ref="B77:B78"/>
    <mergeCell ref="A85:A86"/>
    <mergeCell ref="B85:B86"/>
    <mergeCell ref="A87:A88"/>
    <mergeCell ref="B87:B88"/>
    <mergeCell ref="A73:A74"/>
    <mergeCell ref="B73:B74"/>
    <mergeCell ref="A67:A68"/>
    <mergeCell ref="B67:B68"/>
    <mergeCell ref="A69:A70"/>
    <mergeCell ref="B69:B70"/>
    <mergeCell ref="A71:A72"/>
    <mergeCell ref="B71:B72"/>
    <mergeCell ref="A55:A56"/>
    <mergeCell ref="B55:B56"/>
    <mergeCell ref="A65:A66"/>
    <mergeCell ref="B65:B66"/>
    <mergeCell ref="A59:A60"/>
    <mergeCell ref="B59:B60"/>
    <mergeCell ref="A61:A62"/>
    <mergeCell ref="B61:B62"/>
    <mergeCell ref="A63:A64"/>
    <mergeCell ref="B63:B64"/>
    <mergeCell ref="A57:A58"/>
    <mergeCell ref="B57:B58"/>
    <mergeCell ref="A47:A48"/>
    <mergeCell ref="B47:B48"/>
    <mergeCell ref="A49:A50"/>
    <mergeCell ref="B49:B50"/>
    <mergeCell ref="A51:A52"/>
    <mergeCell ref="B51:B52"/>
    <mergeCell ref="A53:A54"/>
    <mergeCell ref="B53:B54"/>
    <mergeCell ref="A39:A40"/>
    <mergeCell ref="B39:B40"/>
    <mergeCell ref="A43:A44"/>
    <mergeCell ref="B43:B44"/>
    <mergeCell ref="A45:A46"/>
    <mergeCell ref="B45:B46"/>
    <mergeCell ref="A41:A42"/>
    <mergeCell ref="B41:B42"/>
    <mergeCell ref="A31:A32"/>
    <mergeCell ref="B31:B32"/>
    <mergeCell ref="A33:A34"/>
    <mergeCell ref="B33:B34"/>
    <mergeCell ref="A35:A36"/>
    <mergeCell ref="B35:B36"/>
    <mergeCell ref="A37:A38"/>
    <mergeCell ref="B37:B38"/>
    <mergeCell ref="A29:A30"/>
    <mergeCell ref="B29:B30"/>
    <mergeCell ref="A23:A24"/>
    <mergeCell ref="B23:B24"/>
    <mergeCell ref="A25:A26"/>
    <mergeCell ref="B25:B26"/>
    <mergeCell ref="A27:A28"/>
    <mergeCell ref="B27:B28"/>
    <mergeCell ref="A21:A22"/>
    <mergeCell ref="B21:B22"/>
    <mergeCell ref="A9:A10"/>
    <mergeCell ref="B9:B10"/>
    <mergeCell ref="A15:A16"/>
    <mergeCell ref="B15:B16"/>
    <mergeCell ref="A7:F7"/>
    <mergeCell ref="A17:A18"/>
    <mergeCell ref="B17:B18"/>
    <mergeCell ref="A19:A20"/>
    <mergeCell ref="B19:B20"/>
    <mergeCell ref="A11:A12"/>
    <mergeCell ref="B11:B12"/>
    <mergeCell ref="A13:A14"/>
    <mergeCell ref="B13:B14"/>
  </mergeCells>
  <phoneticPr fontId="7" type="noConversion"/>
  <conditionalFormatting sqref="D9:D10 D15:F16 D125:F126 D361:F362 D377:F378 D43:F44 D67:F68 D331:F332">
    <cfRule type="cellIs" dxfId="1028" priority="3953" operator="equal">
      <formula>0</formula>
    </cfRule>
  </conditionalFormatting>
  <conditionalFormatting sqref="C12 D363:F364 D379:F380">
    <cfRule type="cellIs" dxfId="1027" priority="3928" operator="equal">
      <formula>0</formula>
    </cfRule>
  </conditionalFormatting>
  <conditionalFormatting sqref="D13">
    <cfRule type="cellIs" dxfId="1026" priority="3927" operator="equal">
      <formula>0</formula>
    </cfRule>
  </conditionalFormatting>
  <conditionalFormatting sqref="D13">
    <cfRule type="cellIs" dxfId="1025" priority="3926" operator="notEqual">
      <formula>0</formula>
    </cfRule>
  </conditionalFormatting>
  <conditionalFormatting sqref="D14">
    <cfRule type="cellIs" dxfId="1024" priority="3925" operator="equal">
      <formula>0</formula>
    </cfRule>
  </conditionalFormatting>
  <conditionalFormatting sqref="D14">
    <cfRule type="cellIs" dxfId="1023" priority="3924" operator="notEqual">
      <formula>0</formula>
    </cfRule>
  </conditionalFormatting>
  <conditionalFormatting sqref="E13">
    <cfRule type="cellIs" dxfId="1022" priority="3923" operator="equal">
      <formula>0</formula>
    </cfRule>
  </conditionalFormatting>
  <conditionalFormatting sqref="E13">
    <cfRule type="cellIs" dxfId="1021" priority="3922" operator="notEqual">
      <formula>0</formula>
    </cfRule>
  </conditionalFormatting>
  <conditionalFormatting sqref="E14">
    <cfRule type="cellIs" dxfId="1020" priority="3921" operator="equal">
      <formula>0</formula>
    </cfRule>
  </conditionalFormatting>
  <conditionalFormatting sqref="E14">
    <cfRule type="cellIs" dxfId="1019" priority="3920" operator="notEqual">
      <formula>0</formula>
    </cfRule>
  </conditionalFormatting>
  <conditionalFormatting sqref="D11">
    <cfRule type="cellIs" dxfId="1018" priority="3911" operator="equal">
      <formula>0</formula>
    </cfRule>
  </conditionalFormatting>
  <conditionalFormatting sqref="D12">
    <cfRule type="cellIs" dxfId="1017" priority="3910" operator="equal">
      <formula>0</formula>
    </cfRule>
  </conditionalFormatting>
  <conditionalFormatting sqref="E11">
    <cfRule type="cellIs" dxfId="1016" priority="3909" operator="equal">
      <formula>0</formula>
    </cfRule>
  </conditionalFormatting>
  <conditionalFormatting sqref="E12">
    <cfRule type="cellIs" dxfId="1015" priority="3906" operator="equal">
      <formula>0</formula>
    </cfRule>
  </conditionalFormatting>
  <conditionalFormatting sqref="D17">
    <cfRule type="cellIs" dxfId="1014" priority="3898" operator="equal">
      <formula>0</formula>
    </cfRule>
  </conditionalFormatting>
  <conditionalFormatting sqref="E9:E10">
    <cfRule type="cellIs" dxfId="1013" priority="3903" operator="equal">
      <formula>0</formula>
    </cfRule>
  </conditionalFormatting>
  <conditionalFormatting sqref="C18">
    <cfRule type="cellIs" dxfId="1012" priority="3900" operator="equal">
      <formula>0</formula>
    </cfRule>
  </conditionalFormatting>
  <conditionalFormatting sqref="D18">
    <cfRule type="cellIs" dxfId="1011" priority="3897" operator="equal">
      <formula>0</formula>
    </cfRule>
  </conditionalFormatting>
  <conditionalFormatting sqref="E15:E16">
    <cfRule type="cellIs" dxfId="1010" priority="3896" operator="equal">
      <formula>0</formula>
    </cfRule>
  </conditionalFormatting>
  <conditionalFormatting sqref="F15:F16">
    <cfRule type="cellIs" dxfId="1009" priority="3894" operator="equal">
      <formula>0</formula>
    </cfRule>
  </conditionalFormatting>
  <conditionalFormatting sqref="D19:D20 D80:F80">
    <cfRule type="cellIs" dxfId="1008" priority="3893" operator="equal">
      <formula>0</formula>
    </cfRule>
  </conditionalFormatting>
  <conditionalFormatting sqref="D21">
    <cfRule type="cellIs" dxfId="1007" priority="3892" operator="equal">
      <formula>0</formula>
    </cfRule>
  </conditionalFormatting>
  <conditionalFormatting sqref="D21">
    <cfRule type="cellIs" dxfId="1006" priority="3891" operator="notEqual">
      <formula>0</formula>
    </cfRule>
  </conditionalFormatting>
  <conditionalFormatting sqref="D22">
    <cfRule type="cellIs" dxfId="1005" priority="3890" operator="equal">
      <formula>0</formula>
    </cfRule>
  </conditionalFormatting>
  <conditionalFormatting sqref="D22">
    <cfRule type="cellIs" dxfId="1004" priority="3889" operator="notEqual">
      <formula>0</formula>
    </cfRule>
  </conditionalFormatting>
  <conditionalFormatting sqref="E21">
    <cfRule type="cellIs" dxfId="1003" priority="3888" operator="equal">
      <formula>0</formula>
    </cfRule>
  </conditionalFormatting>
  <conditionalFormatting sqref="E21">
    <cfRule type="cellIs" dxfId="1002" priority="3887" operator="notEqual">
      <formula>0</formula>
    </cfRule>
  </conditionalFormatting>
  <conditionalFormatting sqref="E22">
    <cfRule type="cellIs" dxfId="1001" priority="3886" operator="equal">
      <formula>0</formula>
    </cfRule>
  </conditionalFormatting>
  <conditionalFormatting sqref="E22">
    <cfRule type="cellIs" dxfId="1000" priority="3885" operator="notEqual">
      <formula>0</formula>
    </cfRule>
  </conditionalFormatting>
  <conditionalFormatting sqref="F21">
    <cfRule type="cellIs" dxfId="999" priority="3884" operator="equal">
      <formula>0</formula>
    </cfRule>
  </conditionalFormatting>
  <conditionalFormatting sqref="F21">
    <cfRule type="cellIs" dxfId="998" priority="3883" operator="notEqual">
      <formula>0</formula>
    </cfRule>
  </conditionalFormatting>
  <conditionalFormatting sqref="F22">
    <cfRule type="cellIs" dxfId="997" priority="3882" operator="equal">
      <formula>0</formula>
    </cfRule>
  </conditionalFormatting>
  <conditionalFormatting sqref="F22">
    <cfRule type="cellIs" dxfId="996" priority="3881" operator="notEqual">
      <formula>0</formula>
    </cfRule>
  </conditionalFormatting>
  <conditionalFormatting sqref="E19:E20">
    <cfRule type="cellIs" dxfId="995" priority="3876" operator="equal">
      <formula>0</formula>
    </cfRule>
  </conditionalFormatting>
  <conditionalFormatting sqref="F19:F20">
    <cfRule type="cellIs" dxfId="994" priority="3874" operator="equal">
      <formula>0</formula>
    </cfRule>
  </conditionalFormatting>
  <conditionalFormatting sqref="E17">
    <cfRule type="cellIs" dxfId="993" priority="3725" operator="equal">
      <formula>0</formula>
    </cfRule>
  </conditionalFormatting>
  <conditionalFormatting sqref="E18">
    <cfRule type="cellIs" dxfId="992" priority="3724" operator="equal">
      <formula>0</formula>
    </cfRule>
  </conditionalFormatting>
  <conditionalFormatting sqref="F17">
    <cfRule type="cellIs" dxfId="991" priority="3721" operator="equal">
      <formula>0</formula>
    </cfRule>
  </conditionalFormatting>
  <conditionalFormatting sqref="F18">
    <cfRule type="cellIs" dxfId="990" priority="3720" operator="equal">
      <formula>0</formula>
    </cfRule>
  </conditionalFormatting>
  <conditionalFormatting sqref="C24">
    <cfRule type="cellIs" dxfId="989" priority="3719" operator="equal">
      <formula>0</formula>
    </cfRule>
  </conditionalFormatting>
  <conditionalFormatting sqref="D23">
    <cfRule type="cellIs" dxfId="988" priority="3718" operator="equal">
      <formula>0</formula>
    </cfRule>
  </conditionalFormatting>
  <conditionalFormatting sqref="D24">
    <cfRule type="cellIs" dxfId="987" priority="3717" operator="equal">
      <formula>0</formula>
    </cfRule>
  </conditionalFormatting>
  <conditionalFormatting sqref="F25">
    <cfRule type="cellIs" dxfId="986" priority="3485" operator="equal">
      <formula>0</formula>
    </cfRule>
  </conditionalFormatting>
  <conditionalFormatting sqref="D78">
    <cfRule type="cellIs" dxfId="985" priority="1827" operator="equal">
      <formula>0</formula>
    </cfRule>
  </conditionalFormatting>
  <conditionalFormatting sqref="D78">
    <cfRule type="cellIs" dxfId="984" priority="1826" operator="notEqual">
      <formula>0</formula>
    </cfRule>
  </conditionalFormatting>
  <conditionalFormatting sqref="D77">
    <cfRule type="cellIs" dxfId="983" priority="1829" operator="equal">
      <formula>0</formula>
    </cfRule>
  </conditionalFormatting>
  <conditionalFormatting sqref="D77">
    <cfRule type="cellIs" dxfId="982" priority="1828" operator="notEqual">
      <formula>0</formula>
    </cfRule>
  </conditionalFormatting>
  <conditionalFormatting sqref="E77">
    <cfRule type="cellIs" dxfId="981" priority="1825" operator="equal">
      <formula>0</formula>
    </cfRule>
  </conditionalFormatting>
  <conditionalFormatting sqref="E77">
    <cfRule type="cellIs" dxfId="980" priority="1824" operator="notEqual">
      <formula>0</formula>
    </cfRule>
  </conditionalFormatting>
  <conditionalFormatting sqref="E78">
    <cfRule type="cellIs" dxfId="979" priority="1823" operator="equal">
      <formula>0</formula>
    </cfRule>
  </conditionalFormatting>
  <conditionalFormatting sqref="E78">
    <cfRule type="cellIs" dxfId="978" priority="1822" operator="notEqual">
      <formula>0</formula>
    </cfRule>
  </conditionalFormatting>
  <conditionalFormatting sqref="F77">
    <cfRule type="cellIs" dxfId="977" priority="1821" operator="equal">
      <formula>0</formula>
    </cfRule>
  </conditionalFormatting>
  <conditionalFormatting sqref="F77">
    <cfRule type="cellIs" dxfId="976" priority="1820" operator="notEqual">
      <formula>0</formula>
    </cfRule>
  </conditionalFormatting>
  <conditionalFormatting sqref="F13">
    <cfRule type="cellIs" dxfId="975" priority="1940" operator="equal">
      <formula>0</formula>
    </cfRule>
  </conditionalFormatting>
  <conditionalFormatting sqref="F13">
    <cfRule type="cellIs" dxfId="974" priority="1939" operator="notEqual">
      <formula>0</formula>
    </cfRule>
  </conditionalFormatting>
  <conditionalFormatting sqref="F14">
    <cfRule type="cellIs" dxfId="973" priority="1938" operator="equal">
      <formula>0</formula>
    </cfRule>
  </conditionalFormatting>
  <conditionalFormatting sqref="F14">
    <cfRule type="cellIs" dxfId="972" priority="1937" operator="notEqual">
      <formula>0</formula>
    </cfRule>
  </conditionalFormatting>
  <conditionalFormatting sqref="D27 D29 D31 D33 D35">
    <cfRule type="cellIs" dxfId="971" priority="1934" operator="equal">
      <formula>0</formula>
    </cfRule>
  </conditionalFormatting>
  <conditionalFormatting sqref="D27 D29 D31 D33 D35">
    <cfRule type="cellIs" dxfId="970" priority="1933" operator="notEqual">
      <formula>0</formula>
    </cfRule>
  </conditionalFormatting>
  <conditionalFormatting sqref="E87">
    <cfRule type="cellIs" dxfId="969" priority="1763" operator="equal">
      <formula>0</formula>
    </cfRule>
  </conditionalFormatting>
  <conditionalFormatting sqref="E87">
    <cfRule type="cellIs" dxfId="968" priority="1762" operator="notEqual">
      <formula>0</formula>
    </cfRule>
  </conditionalFormatting>
  <conditionalFormatting sqref="D28 D30 D32 D34 D36">
    <cfRule type="cellIs" dxfId="967" priority="1932" operator="equal">
      <formula>0</formula>
    </cfRule>
  </conditionalFormatting>
  <conditionalFormatting sqref="D28 D30 D32 D34 D36">
    <cfRule type="cellIs" dxfId="966" priority="1931" operator="notEqual">
      <formula>0</formula>
    </cfRule>
  </conditionalFormatting>
  <conditionalFormatting sqref="E27 E29 E31 E33 E35">
    <cfRule type="cellIs" dxfId="965" priority="1930" operator="equal">
      <formula>0</formula>
    </cfRule>
  </conditionalFormatting>
  <conditionalFormatting sqref="E27 E29 E31 E33 E35">
    <cfRule type="cellIs" dxfId="964" priority="1929" operator="notEqual">
      <formula>0</formula>
    </cfRule>
  </conditionalFormatting>
  <conditionalFormatting sqref="E28 E30 E32 E34 E36">
    <cfRule type="cellIs" dxfId="963" priority="1928" operator="equal">
      <formula>0</formula>
    </cfRule>
  </conditionalFormatting>
  <conditionalFormatting sqref="E28 E30 E32 E34 E36">
    <cfRule type="cellIs" dxfId="962" priority="1927" operator="notEqual">
      <formula>0</formula>
    </cfRule>
  </conditionalFormatting>
  <conditionalFormatting sqref="F27 F29 F31 F33 F35">
    <cfRule type="cellIs" dxfId="961" priority="1926" operator="equal">
      <formula>0</formula>
    </cfRule>
  </conditionalFormatting>
  <conditionalFormatting sqref="F27 F29 F31 F33 F35">
    <cfRule type="cellIs" dxfId="960" priority="1925" operator="notEqual">
      <formula>0</formula>
    </cfRule>
  </conditionalFormatting>
  <conditionalFormatting sqref="F28 F30 F32 F34 F36">
    <cfRule type="cellIs" dxfId="959" priority="1924" operator="equal">
      <formula>0</formula>
    </cfRule>
  </conditionalFormatting>
  <conditionalFormatting sqref="F28 F30 F32 F34 F36">
    <cfRule type="cellIs" dxfId="958" priority="1923" operator="notEqual">
      <formula>0</formula>
    </cfRule>
  </conditionalFormatting>
  <conditionalFormatting sqref="D109">
    <cfRule type="cellIs" dxfId="957" priority="1721" operator="equal">
      <formula>0</formula>
    </cfRule>
  </conditionalFormatting>
  <conditionalFormatting sqref="D109">
    <cfRule type="cellIs" dxfId="956" priority="1720" operator="notEqual">
      <formula>0</formula>
    </cfRule>
  </conditionalFormatting>
  <conditionalFormatting sqref="D110 D112 D114 D116 D118 D120 D122 D124">
    <cfRule type="cellIs" dxfId="955" priority="1719" operator="equal">
      <formula>0</formula>
    </cfRule>
  </conditionalFormatting>
  <conditionalFormatting sqref="D110 D112 D114 D116 D118 D120 D122 D124">
    <cfRule type="cellIs" dxfId="954" priority="1718" operator="notEqual">
      <formula>0</formula>
    </cfRule>
  </conditionalFormatting>
  <conditionalFormatting sqref="E109">
    <cfRule type="cellIs" dxfId="953" priority="1717" operator="equal">
      <formula>0</formula>
    </cfRule>
  </conditionalFormatting>
  <conditionalFormatting sqref="E109">
    <cfRule type="cellIs" dxfId="952" priority="1716" operator="notEqual">
      <formula>0</formula>
    </cfRule>
  </conditionalFormatting>
  <conditionalFormatting sqref="E110 E112 E114 E116 E118 E120 E122 E124">
    <cfRule type="cellIs" dxfId="951" priority="1715" operator="equal">
      <formula>0</formula>
    </cfRule>
  </conditionalFormatting>
  <conditionalFormatting sqref="E110 E112 E114 E116 E118 E120 E122 E124">
    <cfRule type="cellIs" dxfId="950" priority="1714" operator="notEqual">
      <formula>0</formula>
    </cfRule>
  </conditionalFormatting>
  <conditionalFormatting sqref="F109 F111 F113 F115 F117 F119 F121 F123">
    <cfRule type="cellIs" dxfId="949" priority="1713" operator="equal">
      <formula>0</formula>
    </cfRule>
  </conditionalFormatting>
  <conditionalFormatting sqref="F109 F111 F113 F115 F117 F119 F121 F123">
    <cfRule type="cellIs" dxfId="948" priority="1712" operator="notEqual">
      <formula>0</formula>
    </cfRule>
  </conditionalFormatting>
  <conditionalFormatting sqref="F110 F112 F114 F116 F118 F120 F122 F124">
    <cfRule type="cellIs" dxfId="947" priority="1711" operator="equal">
      <formula>0</formula>
    </cfRule>
  </conditionalFormatting>
  <conditionalFormatting sqref="F110 F112 F114 F116 F118 F120 F122 F124">
    <cfRule type="cellIs" dxfId="946" priority="1710" operator="notEqual">
      <formula>0</formula>
    </cfRule>
  </conditionalFormatting>
  <conditionalFormatting sqref="F78">
    <cfRule type="cellIs" dxfId="945" priority="1819" operator="equal">
      <formula>0</formula>
    </cfRule>
  </conditionalFormatting>
  <conditionalFormatting sqref="F78">
    <cfRule type="cellIs" dxfId="944" priority="1818" operator="notEqual">
      <formula>0</formula>
    </cfRule>
  </conditionalFormatting>
  <conditionalFormatting sqref="F75">
    <cfRule type="cellIs" dxfId="943" priority="1833" operator="equal">
      <formula>0</formula>
    </cfRule>
  </conditionalFormatting>
  <conditionalFormatting sqref="E76">
    <cfRule type="cellIs" dxfId="942" priority="1832" operator="equal">
      <formula>0</formula>
    </cfRule>
  </conditionalFormatting>
  <conditionalFormatting sqref="E72">
    <cfRule type="cellIs" dxfId="941" priority="2536" operator="equal">
      <formula>0</formula>
    </cfRule>
  </conditionalFormatting>
  <conditionalFormatting sqref="E23">
    <cfRule type="cellIs" dxfId="940" priority="3484" operator="equal">
      <formula>0</formula>
    </cfRule>
  </conditionalFormatting>
  <conditionalFormatting sqref="F23">
    <cfRule type="cellIs" dxfId="939" priority="3480" operator="equal">
      <formula>0</formula>
    </cfRule>
  </conditionalFormatting>
  <conditionalFormatting sqref="D71:D72">
    <cfRule type="cellIs" dxfId="938" priority="3278" operator="equal">
      <formula>0</formula>
    </cfRule>
  </conditionalFormatting>
  <conditionalFormatting sqref="D88">
    <cfRule type="cellIs" dxfId="937" priority="1765" operator="equal">
      <formula>0</formula>
    </cfRule>
  </conditionalFormatting>
  <conditionalFormatting sqref="D88">
    <cfRule type="cellIs" dxfId="936" priority="1764" operator="notEqual">
      <formula>0</formula>
    </cfRule>
  </conditionalFormatting>
  <conditionalFormatting sqref="E88">
    <cfRule type="cellIs" dxfId="935" priority="1761" operator="equal">
      <formula>0</formula>
    </cfRule>
  </conditionalFormatting>
  <conditionalFormatting sqref="E88">
    <cfRule type="cellIs" dxfId="934" priority="1760" operator="notEqual">
      <formula>0</formula>
    </cfRule>
  </conditionalFormatting>
  <conditionalFormatting sqref="F87">
    <cfRule type="cellIs" dxfId="933" priority="1759" operator="equal">
      <formula>0</formula>
    </cfRule>
  </conditionalFormatting>
  <conditionalFormatting sqref="F87">
    <cfRule type="cellIs" dxfId="932" priority="1758" operator="notEqual">
      <formula>0</formula>
    </cfRule>
  </conditionalFormatting>
  <conditionalFormatting sqref="F88">
    <cfRule type="cellIs" dxfId="931" priority="1757" operator="equal">
      <formula>0</formula>
    </cfRule>
  </conditionalFormatting>
  <conditionalFormatting sqref="F88">
    <cfRule type="cellIs" dxfId="930" priority="1756" operator="notEqual">
      <formula>0</formula>
    </cfRule>
  </conditionalFormatting>
  <conditionalFormatting sqref="D87">
    <cfRule type="cellIs" dxfId="929" priority="1767" operator="equal">
      <formula>0</formula>
    </cfRule>
  </conditionalFormatting>
  <conditionalFormatting sqref="D87">
    <cfRule type="cellIs" dxfId="928" priority="1766" operator="notEqual">
      <formula>0</formula>
    </cfRule>
  </conditionalFormatting>
  <conditionalFormatting sqref="D133">
    <cfRule type="cellIs" dxfId="927" priority="1667" operator="equal">
      <formula>0</formula>
    </cfRule>
  </conditionalFormatting>
  <conditionalFormatting sqref="D133">
    <cfRule type="cellIs" dxfId="926" priority="1666" operator="notEqual">
      <formula>0</formula>
    </cfRule>
  </conditionalFormatting>
  <conditionalFormatting sqref="E82 E84">
    <cfRule type="cellIs" dxfId="925" priority="1800" operator="equal">
      <formula>0</formula>
    </cfRule>
  </conditionalFormatting>
  <conditionalFormatting sqref="E82 E84">
    <cfRule type="cellIs" dxfId="924" priority="1799" operator="notEqual">
      <formula>0</formula>
    </cfRule>
  </conditionalFormatting>
  <conditionalFormatting sqref="F81 F83">
    <cfRule type="cellIs" dxfId="923" priority="1798" operator="equal">
      <formula>0</formula>
    </cfRule>
  </conditionalFormatting>
  <conditionalFormatting sqref="F81 F83">
    <cfRule type="cellIs" dxfId="922" priority="1797" operator="notEqual">
      <formula>0</formula>
    </cfRule>
  </conditionalFormatting>
  <conditionalFormatting sqref="D39 D41">
    <cfRule type="cellIs" dxfId="921" priority="1914" operator="equal">
      <formula>0</formula>
    </cfRule>
  </conditionalFormatting>
  <conditionalFormatting sqref="D39 D41">
    <cfRule type="cellIs" dxfId="920" priority="1913" operator="notEqual">
      <formula>0</formula>
    </cfRule>
  </conditionalFormatting>
  <conditionalFormatting sqref="F50 F52 F54 F56 F58 F60 F62 F64 F66">
    <cfRule type="cellIs" dxfId="919" priority="1871" operator="equal">
      <formula>0</formula>
    </cfRule>
  </conditionalFormatting>
  <conditionalFormatting sqref="F50 F52 F54 F56 F58 F60 F62 F64 F66">
    <cfRule type="cellIs" dxfId="918" priority="1870" operator="notEqual">
      <formula>0</formula>
    </cfRule>
  </conditionalFormatting>
  <conditionalFormatting sqref="D65 D63 D61 D59 D57 D55 D53 D51 D49">
    <cfRule type="cellIs" dxfId="917" priority="1881" operator="equal">
      <formula>0</formula>
    </cfRule>
  </conditionalFormatting>
  <conditionalFormatting sqref="D65 D63 D61 D59 D57 D55 D53 D51 D49">
    <cfRule type="cellIs" dxfId="916" priority="1880" operator="notEqual">
      <formula>0</formula>
    </cfRule>
  </conditionalFormatting>
  <conditionalFormatting sqref="D50 D52 D54 D56 D58 D60 D62 D64 D66">
    <cfRule type="cellIs" dxfId="915" priority="1879" operator="equal">
      <formula>0</formula>
    </cfRule>
  </conditionalFormatting>
  <conditionalFormatting sqref="D50 D52 D54 D56 D58 D60 D62 D64 D66">
    <cfRule type="cellIs" dxfId="914" priority="1878" operator="notEqual">
      <formula>0</formula>
    </cfRule>
  </conditionalFormatting>
  <conditionalFormatting sqref="E49 E51 E53 E55 E57 E59 E61 E63 E65">
    <cfRule type="cellIs" dxfId="913" priority="1877" operator="equal">
      <formula>0</formula>
    </cfRule>
  </conditionalFormatting>
  <conditionalFormatting sqref="E49 E51 E53 E55 E57 E59 E61 E63 E65">
    <cfRule type="cellIs" dxfId="912" priority="1876" operator="notEqual">
      <formula>0</formula>
    </cfRule>
  </conditionalFormatting>
  <conditionalFormatting sqref="E50 E52 E54 E56 E58 E60 E62 E64 E66">
    <cfRule type="cellIs" dxfId="911" priority="1875" operator="equal">
      <formula>0</formula>
    </cfRule>
  </conditionalFormatting>
  <conditionalFormatting sqref="E50 E52 E54 E56 E58 E60 E62 E64 E66">
    <cfRule type="cellIs" dxfId="910" priority="1874" operator="notEqual">
      <formula>0</formula>
    </cfRule>
  </conditionalFormatting>
  <conditionalFormatting sqref="F49 F51 F53 F55 F57 F59 F61 F63 F65">
    <cfRule type="cellIs" dxfId="909" priority="1873" operator="equal">
      <formula>0</formula>
    </cfRule>
  </conditionalFormatting>
  <conditionalFormatting sqref="F49 F51 F53 F55 F57 F59 F61 F63 F65">
    <cfRule type="cellIs" dxfId="908" priority="1872" operator="notEqual">
      <formula>0</formula>
    </cfRule>
  </conditionalFormatting>
  <conditionalFormatting sqref="E89">
    <cfRule type="cellIs" dxfId="907" priority="1697" operator="equal">
      <formula>0</formula>
    </cfRule>
  </conditionalFormatting>
  <conditionalFormatting sqref="E89">
    <cfRule type="cellIs" dxfId="906" priority="1696" operator="notEqual">
      <formula>0</formula>
    </cfRule>
  </conditionalFormatting>
  <conditionalFormatting sqref="E90">
    <cfRule type="cellIs" dxfId="905" priority="1695" operator="equal">
      <formula>0</formula>
    </cfRule>
  </conditionalFormatting>
  <conditionalFormatting sqref="E90">
    <cfRule type="cellIs" dxfId="904" priority="1694" operator="notEqual">
      <formula>0</formula>
    </cfRule>
  </conditionalFormatting>
  <conditionalFormatting sqref="F89">
    <cfRule type="cellIs" dxfId="903" priority="1693" operator="equal">
      <formula>0</formula>
    </cfRule>
  </conditionalFormatting>
  <conditionalFormatting sqref="F89">
    <cfRule type="cellIs" dxfId="902" priority="1692" operator="notEqual">
      <formula>0</formula>
    </cfRule>
  </conditionalFormatting>
  <conditionalFormatting sqref="F90">
    <cfRule type="cellIs" dxfId="901" priority="1691" operator="equal">
      <formula>0</formula>
    </cfRule>
  </conditionalFormatting>
  <conditionalFormatting sqref="F90">
    <cfRule type="cellIs" dxfId="900" priority="1690" operator="notEqual">
      <formula>0</formula>
    </cfRule>
  </conditionalFormatting>
  <conditionalFormatting sqref="D40 D42">
    <cfRule type="cellIs" dxfId="899" priority="1912" operator="equal">
      <formula>0</formula>
    </cfRule>
  </conditionalFormatting>
  <conditionalFormatting sqref="D40 D42">
    <cfRule type="cellIs" dxfId="898" priority="1911" operator="notEqual">
      <formula>0</formula>
    </cfRule>
  </conditionalFormatting>
  <conditionalFormatting sqref="E39 E41">
    <cfRule type="cellIs" dxfId="897" priority="1910" operator="equal">
      <formula>0</formula>
    </cfRule>
  </conditionalFormatting>
  <conditionalFormatting sqref="E39 E41">
    <cfRule type="cellIs" dxfId="896" priority="1909" operator="notEqual">
      <formula>0</formula>
    </cfRule>
  </conditionalFormatting>
  <conditionalFormatting sqref="E40 E42">
    <cfRule type="cellIs" dxfId="895" priority="1908" operator="equal">
      <formula>0</formula>
    </cfRule>
  </conditionalFormatting>
  <conditionalFormatting sqref="E40 E42">
    <cfRule type="cellIs" dxfId="894" priority="1907" operator="notEqual">
      <formula>0</formula>
    </cfRule>
  </conditionalFormatting>
  <conditionalFormatting sqref="F39 F41">
    <cfRule type="cellIs" dxfId="893" priority="1906" operator="equal">
      <formula>0</formula>
    </cfRule>
  </conditionalFormatting>
  <conditionalFormatting sqref="F39 F41">
    <cfRule type="cellIs" dxfId="892" priority="1905" operator="notEqual">
      <formula>0</formula>
    </cfRule>
  </conditionalFormatting>
  <conditionalFormatting sqref="F40 F42">
    <cfRule type="cellIs" dxfId="891" priority="1904" operator="equal">
      <formula>0</formula>
    </cfRule>
  </conditionalFormatting>
  <conditionalFormatting sqref="F40 F42">
    <cfRule type="cellIs" dxfId="890" priority="1903" operator="notEqual">
      <formula>0</formula>
    </cfRule>
  </conditionalFormatting>
  <conditionalFormatting sqref="E71">
    <cfRule type="cellIs" dxfId="889" priority="3213" operator="equal">
      <formula>0</formula>
    </cfRule>
  </conditionalFormatting>
  <conditionalFormatting sqref="F71">
    <cfRule type="cellIs" dxfId="888" priority="3211" operator="equal">
      <formula>0</formula>
    </cfRule>
  </conditionalFormatting>
  <conditionalFormatting sqref="F137">
    <cfRule type="cellIs" dxfId="887" priority="1627" operator="equal">
      <formula>0</formula>
    </cfRule>
  </conditionalFormatting>
  <conditionalFormatting sqref="F137">
    <cfRule type="cellIs" dxfId="886" priority="1626" operator="notEqual">
      <formula>0</formula>
    </cfRule>
  </conditionalFormatting>
  <conditionalFormatting sqref="F138">
    <cfRule type="cellIs" dxfId="885" priority="1625" operator="equal">
      <formula>0</formula>
    </cfRule>
  </conditionalFormatting>
  <conditionalFormatting sqref="F138">
    <cfRule type="cellIs" dxfId="884" priority="1624" operator="notEqual">
      <formula>0</formula>
    </cfRule>
  </conditionalFormatting>
  <conditionalFormatting sqref="E140">
    <cfRule type="cellIs" dxfId="883" priority="1613" operator="equal">
      <formula>0</formula>
    </cfRule>
  </conditionalFormatting>
  <conditionalFormatting sqref="E140">
    <cfRule type="cellIs" dxfId="882" priority="1612" operator="notEqual">
      <formula>0</formula>
    </cfRule>
  </conditionalFormatting>
  <conditionalFormatting sqref="D134">
    <cfRule type="cellIs" dxfId="881" priority="1665" operator="equal">
      <formula>0</formula>
    </cfRule>
  </conditionalFormatting>
  <conditionalFormatting sqref="D134">
    <cfRule type="cellIs" dxfId="880" priority="1664" operator="notEqual">
      <formula>0</formula>
    </cfRule>
  </conditionalFormatting>
  <conditionalFormatting sqref="E134">
    <cfRule type="cellIs" dxfId="879" priority="1661" operator="equal">
      <formula>0</formula>
    </cfRule>
  </conditionalFormatting>
  <conditionalFormatting sqref="E134">
    <cfRule type="cellIs" dxfId="878" priority="1660" operator="notEqual">
      <formula>0</formula>
    </cfRule>
  </conditionalFormatting>
  <conditionalFormatting sqref="F133">
    <cfRule type="cellIs" dxfId="877" priority="1659" operator="equal">
      <formula>0</formula>
    </cfRule>
  </conditionalFormatting>
  <conditionalFormatting sqref="F133">
    <cfRule type="cellIs" dxfId="876" priority="1658" operator="notEqual">
      <formula>0</formula>
    </cfRule>
  </conditionalFormatting>
  <conditionalFormatting sqref="F134">
    <cfRule type="cellIs" dxfId="875" priority="1657" operator="equal">
      <formula>0</formula>
    </cfRule>
  </conditionalFormatting>
  <conditionalFormatting sqref="F134">
    <cfRule type="cellIs" dxfId="874" priority="1656" operator="notEqual">
      <formula>0</formula>
    </cfRule>
  </conditionalFormatting>
  <conditionalFormatting sqref="D81 D83">
    <cfRule type="cellIs" dxfId="873" priority="1806" operator="equal">
      <formula>0</formula>
    </cfRule>
  </conditionalFormatting>
  <conditionalFormatting sqref="D81 D83">
    <cfRule type="cellIs" dxfId="872" priority="1805" operator="notEqual">
      <formula>0</formula>
    </cfRule>
  </conditionalFormatting>
  <conditionalFormatting sqref="D131">
    <cfRule type="cellIs" dxfId="871" priority="1683" operator="equal">
      <formula>0</formula>
    </cfRule>
  </conditionalFormatting>
  <conditionalFormatting sqref="D131">
    <cfRule type="cellIs" dxfId="870" priority="1682" operator="notEqual">
      <formula>0</formula>
    </cfRule>
  </conditionalFormatting>
  <conditionalFormatting sqref="F132">
    <cfRule type="cellIs" dxfId="869" priority="1673" operator="equal">
      <formula>0</formula>
    </cfRule>
  </conditionalFormatting>
  <conditionalFormatting sqref="F132">
    <cfRule type="cellIs" dxfId="868" priority="1672" operator="notEqual">
      <formula>0</formula>
    </cfRule>
  </conditionalFormatting>
  <conditionalFormatting sqref="D93 D95 D97 D99 D101 D103 D105">
    <cfRule type="cellIs" dxfId="867" priority="1744" operator="equal">
      <formula>0</formula>
    </cfRule>
  </conditionalFormatting>
  <conditionalFormatting sqref="D93 D95 D97 D99 D101 D103 D105">
    <cfRule type="cellIs" dxfId="866" priority="1743" operator="notEqual">
      <formula>0</formula>
    </cfRule>
  </conditionalFormatting>
  <conditionalFormatting sqref="D94 D96 D98 D100 D102 D104 D106">
    <cfRule type="cellIs" dxfId="865" priority="1742" operator="equal">
      <formula>0</formula>
    </cfRule>
  </conditionalFormatting>
  <conditionalFormatting sqref="D94 D96 D98 D100 D102 D104 D106">
    <cfRule type="cellIs" dxfId="864" priority="1741" operator="notEqual">
      <formula>0</formula>
    </cfRule>
  </conditionalFormatting>
  <conditionalFormatting sqref="E93 E95 E97 E99 E101 E103 E105">
    <cfRule type="cellIs" dxfId="863" priority="1740" operator="equal">
      <formula>0</formula>
    </cfRule>
  </conditionalFormatting>
  <conditionalFormatting sqref="E93 E95 E97 E99 E101 E103 E105">
    <cfRule type="cellIs" dxfId="862" priority="1739" operator="notEqual">
      <formula>0</formula>
    </cfRule>
  </conditionalFormatting>
  <conditionalFormatting sqref="E94 E96 E98 E100 E102 E104 E106">
    <cfRule type="cellIs" dxfId="861" priority="1738" operator="equal">
      <formula>0</formula>
    </cfRule>
  </conditionalFormatting>
  <conditionalFormatting sqref="E94 E96 E98 E100 E102 E104 E106">
    <cfRule type="cellIs" dxfId="860" priority="1737" operator="notEqual">
      <formula>0</formula>
    </cfRule>
  </conditionalFormatting>
  <conditionalFormatting sqref="F93 F95 F97 F99 F101 F103 F105">
    <cfRule type="cellIs" dxfId="859" priority="1736" operator="equal">
      <formula>0</formula>
    </cfRule>
  </conditionalFormatting>
  <conditionalFormatting sqref="F93 F95 F97 F99 F101 F103 F105">
    <cfRule type="cellIs" dxfId="858" priority="1735" operator="notEqual">
      <formula>0</formula>
    </cfRule>
  </conditionalFormatting>
  <conditionalFormatting sqref="D73">
    <cfRule type="cellIs" dxfId="857" priority="1852" operator="equal">
      <formula>0</formula>
    </cfRule>
  </conditionalFormatting>
  <conditionalFormatting sqref="D73">
    <cfRule type="cellIs" dxfId="856" priority="1851" operator="notEqual">
      <formula>0</formula>
    </cfRule>
  </conditionalFormatting>
  <conditionalFormatting sqref="D74">
    <cfRule type="cellIs" dxfId="855" priority="1850" operator="equal">
      <formula>0</formula>
    </cfRule>
  </conditionalFormatting>
  <conditionalFormatting sqref="D74">
    <cfRule type="cellIs" dxfId="854" priority="1849" operator="notEqual">
      <formula>0</formula>
    </cfRule>
  </conditionalFormatting>
  <conditionalFormatting sqref="E73">
    <cfRule type="cellIs" dxfId="853" priority="1848" operator="equal">
      <formula>0</formula>
    </cfRule>
  </conditionalFormatting>
  <conditionalFormatting sqref="E73">
    <cfRule type="cellIs" dxfId="852" priority="1847" operator="notEqual">
      <formula>0</formula>
    </cfRule>
  </conditionalFormatting>
  <conditionalFormatting sqref="E74">
    <cfRule type="cellIs" dxfId="851" priority="1846" operator="equal">
      <formula>0</formula>
    </cfRule>
  </conditionalFormatting>
  <conditionalFormatting sqref="E74">
    <cfRule type="cellIs" dxfId="850" priority="1845" operator="notEqual">
      <formula>0</formula>
    </cfRule>
  </conditionalFormatting>
  <conditionalFormatting sqref="F73">
    <cfRule type="cellIs" dxfId="849" priority="1844" operator="equal">
      <formula>0</formula>
    </cfRule>
  </conditionalFormatting>
  <conditionalFormatting sqref="F73">
    <cfRule type="cellIs" dxfId="848" priority="1843" operator="notEqual">
      <formula>0</formula>
    </cfRule>
  </conditionalFormatting>
  <conditionalFormatting sqref="F74">
    <cfRule type="cellIs" dxfId="847" priority="1842" operator="equal">
      <formula>0</formula>
    </cfRule>
  </conditionalFormatting>
  <conditionalFormatting sqref="F74">
    <cfRule type="cellIs" dxfId="846" priority="1841" operator="notEqual">
      <formula>0</formula>
    </cfRule>
  </conditionalFormatting>
  <conditionalFormatting sqref="D89">
    <cfRule type="cellIs" dxfId="845" priority="1701" operator="equal">
      <formula>0</formula>
    </cfRule>
  </conditionalFormatting>
  <conditionalFormatting sqref="D89">
    <cfRule type="cellIs" dxfId="844" priority="1700" operator="notEqual">
      <formula>0</formula>
    </cfRule>
  </conditionalFormatting>
  <conditionalFormatting sqref="D90">
    <cfRule type="cellIs" dxfId="843" priority="1699" operator="equal">
      <formula>0</formula>
    </cfRule>
  </conditionalFormatting>
  <conditionalFormatting sqref="D90">
    <cfRule type="cellIs" dxfId="842" priority="1698" operator="notEqual">
      <formula>0</formula>
    </cfRule>
  </conditionalFormatting>
  <conditionalFormatting sqref="E138">
    <cfRule type="cellIs" dxfId="841" priority="1629" operator="equal">
      <formula>0</formula>
    </cfRule>
  </conditionalFormatting>
  <conditionalFormatting sqref="E138">
    <cfRule type="cellIs" dxfId="840" priority="1628" operator="notEqual">
      <formula>0</formula>
    </cfRule>
  </conditionalFormatting>
  <conditionalFormatting sqref="F139">
    <cfRule type="cellIs" dxfId="839" priority="1611" operator="equal">
      <formula>0</formula>
    </cfRule>
  </conditionalFormatting>
  <conditionalFormatting sqref="F139">
    <cfRule type="cellIs" dxfId="838" priority="1610" operator="notEqual">
      <formula>0</formula>
    </cfRule>
  </conditionalFormatting>
  <conditionalFormatting sqref="D138">
    <cfRule type="cellIs" dxfId="837" priority="1633" operator="equal">
      <formula>0</formula>
    </cfRule>
  </conditionalFormatting>
  <conditionalFormatting sqref="D138">
    <cfRule type="cellIs" dxfId="836" priority="1632" operator="notEqual">
      <formula>0</formula>
    </cfRule>
  </conditionalFormatting>
  <conditionalFormatting sqref="F140">
    <cfRule type="cellIs" dxfId="835" priority="1609" operator="equal">
      <formula>0</formula>
    </cfRule>
  </conditionalFormatting>
  <conditionalFormatting sqref="F140">
    <cfRule type="cellIs" dxfId="834" priority="1608" operator="notEqual">
      <formula>0</formula>
    </cfRule>
  </conditionalFormatting>
  <conditionalFormatting sqref="E81 E83">
    <cfRule type="cellIs" dxfId="833" priority="1802" operator="equal">
      <formula>0</formula>
    </cfRule>
  </conditionalFormatting>
  <conditionalFormatting sqref="E81 E83">
    <cfRule type="cellIs" dxfId="832" priority="1801" operator="notEqual">
      <formula>0</formula>
    </cfRule>
  </conditionalFormatting>
  <conditionalFormatting sqref="F82 F84">
    <cfRule type="cellIs" dxfId="831" priority="1796" operator="equal">
      <formula>0</formula>
    </cfRule>
  </conditionalFormatting>
  <conditionalFormatting sqref="F82 F84">
    <cfRule type="cellIs" dxfId="830" priority="1795" operator="notEqual">
      <formula>0</formula>
    </cfRule>
  </conditionalFormatting>
  <conditionalFormatting sqref="D137">
    <cfRule type="cellIs" dxfId="829" priority="1635" operator="equal">
      <formula>0</formula>
    </cfRule>
  </conditionalFormatting>
  <conditionalFormatting sqref="D137">
    <cfRule type="cellIs" dxfId="828" priority="1634" operator="notEqual">
      <formula>0</formula>
    </cfRule>
  </conditionalFormatting>
  <conditionalFormatting sqref="F136">
    <cfRule type="cellIs" dxfId="827" priority="1641" operator="equal">
      <formula>0</formula>
    </cfRule>
  </conditionalFormatting>
  <conditionalFormatting sqref="F136">
    <cfRule type="cellIs" dxfId="826" priority="1640" operator="notEqual">
      <formula>0</formula>
    </cfRule>
  </conditionalFormatting>
  <conditionalFormatting sqref="D140">
    <cfRule type="cellIs" dxfId="825" priority="1617" operator="equal">
      <formula>0</formula>
    </cfRule>
  </conditionalFormatting>
  <conditionalFormatting sqref="D140">
    <cfRule type="cellIs" dxfId="824" priority="1616" operator="notEqual">
      <formula>0</formula>
    </cfRule>
  </conditionalFormatting>
  <conditionalFormatting sqref="D139">
    <cfRule type="cellIs" dxfId="823" priority="1619" operator="equal">
      <formula>0</formula>
    </cfRule>
  </conditionalFormatting>
  <conditionalFormatting sqref="D139">
    <cfRule type="cellIs" dxfId="822" priority="1618" operator="notEqual">
      <formula>0</formula>
    </cfRule>
  </conditionalFormatting>
  <conditionalFormatting sqref="D82 D84">
    <cfRule type="cellIs" dxfId="821" priority="1804" operator="equal">
      <formula>0</formula>
    </cfRule>
  </conditionalFormatting>
  <conditionalFormatting sqref="D82 D84">
    <cfRule type="cellIs" dxfId="820" priority="1803" operator="notEqual">
      <formula>0</formula>
    </cfRule>
  </conditionalFormatting>
  <conditionalFormatting sqref="F142">
    <cfRule type="cellIs" dxfId="819" priority="1593" operator="equal">
      <formula>0</formula>
    </cfRule>
  </conditionalFormatting>
  <conditionalFormatting sqref="F142">
    <cfRule type="cellIs" dxfId="818" priority="1592" operator="notEqual">
      <formula>0</formula>
    </cfRule>
  </conditionalFormatting>
  <conditionalFormatting sqref="D135">
    <cfRule type="cellIs" dxfId="817" priority="1651" operator="equal">
      <formula>0</formula>
    </cfRule>
  </conditionalFormatting>
  <conditionalFormatting sqref="D135">
    <cfRule type="cellIs" dxfId="816" priority="1650" operator="notEqual">
      <formula>0</formula>
    </cfRule>
  </conditionalFormatting>
  <conditionalFormatting sqref="D136">
    <cfRule type="cellIs" dxfId="815" priority="1649" operator="equal">
      <formula>0</formula>
    </cfRule>
  </conditionalFormatting>
  <conditionalFormatting sqref="D136">
    <cfRule type="cellIs" dxfId="814" priority="1648" operator="notEqual">
      <formula>0</formula>
    </cfRule>
  </conditionalFormatting>
  <conditionalFormatting sqref="E136">
    <cfRule type="cellIs" dxfId="813" priority="1645" operator="equal">
      <formula>0</formula>
    </cfRule>
  </conditionalFormatting>
  <conditionalFormatting sqref="E136">
    <cfRule type="cellIs" dxfId="812" priority="1644" operator="notEqual">
      <formula>0</formula>
    </cfRule>
  </conditionalFormatting>
  <conditionalFormatting sqref="F135">
    <cfRule type="cellIs" dxfId="811" priority="1643" operator="equal">
      <formula>0</formula>
    </cfRule>
  </conditionalFormatting>
  <conditionalFormatting sqref="F135">
    <cfRule type="cellIs" dxfId="810" priority="1642" operator="notEqual">
      <formula>0</formula>
    </cfRule>
  </conditionalFormatting>
  <conditionalFormatting sqref="D141">
    <cfRule type="cellIs" dxfId="809" priority="1603" operator="equal">
      <formula>0</formula>
    </cfRule>
  </conditionalFormatting>
  <conditionalFormatting sqref="D141">
    <cfRule type="cellIs" dxfId="808" priority="1602" operator="notEqual">
      <formula>0</formula>
    </cfRule>
  </conditionalFormatting>
  <conditionalFormatting sqref="D143">
    <cfRule type="cellIs" dxfId="807" priority="1587" operator="equal">
      <formula>0</formula>
    </cfRule>
  </conditionalFormatting>
  <conditionalFormatting sqref="D143">
    <cfRule type="cellIs" dxfId="806" priority="1586" operator="notEqual">
      <formula>0</formula>
    </cfRule>
  </conditionalFormatting>
  <conditionalFormatting sqref="D144">
    <cfRule type="cellIs" dxfId="805" priority="1585" operator="equal">
      <formula>0</formula>
    </cfRule>
  </conditionalFormatting>
  <conditionalFormatting sqref="D144">
    <cfRule type="cellIs" dxfId="804" priority="1584" operator="notEqual">
      <formula>0</formula>
    </cfRule>
  </conditionalFormatting>
  <conditionalFormatting sqref="F94 F96 F98 F100 F102 F104 F106">
    <cfRule type="cellIs" dxfId="803" priority="1734" operator="equal">
      <formula>0</formula>
    </cfRule>
  </conditionalFormatting>
  <conditionalFormatting sqref="F94 F96 F98 F100 F102 F104 F106">
    <cfRule type="cellIs" dxfId="802" priority="1733" operator="notEqual">
      <formula>0</formula>
    </cfRule>
  </conditionalFormatting>
  <conditionalFormatting sqref="E92">
    <cfRule type="cellIs" dxfId="801" priority="2530" operator="equal">
      <formula>0</formula>
    </cfRule>
  </conditionalFormatting>
  <conditionalFormatting sqref="F92">
    <cfRule type="cellIs" dxfId="800" priority="2528" operator="equal">
      <formula>0</formula>
    </cfRule>
  </conditionalFormatting>
  <conditionalFormatting sqref="D142">
    <cfRule type="cellIs" dxfId="799" priority="1601" operator="equal">
      <formula>0</formula>
    </cfRule>
  </conditionalFormatting>
  <conditionalFormatting sqref="D142">
    <cfRule type="cellIs" dxfId="798" priority="1600" operator="notEqual">
      <formula>0</formula>
    </cfRule>
  </conditionalFormatting>
  <conditionalFormatting sqref="E142">
    <cfRule type="cellIs" dxfId="797" priority="1597" operator="equal">
      <formula>0</formula>
    </cfRule>
  </conditionalFormatting>
  <conditionalFormatting sqref="E142">
    <cfRule type="cellIs" dxfId="796" priority="1596" operator="notEqual">
      <formula>0</formula>
    </cfRule>
  </conditionalFormatting>
  <conditionalFormatting sqref="F141">
    <cfRule type="cellIs" dxfId="795" priority="1595" operator="equal">
      <formula>0</formula>
    </cfRule>
  </conditionalFormatting>
  <conditionalFormatting sqref="F141">
    <cfRule type="cellIs" dxfId="794" priority="1594" operator="notEqual">
      <formula>0</formula>
    </cfRule>
  </conditionalFormatting>
  <conditionalFormatting sqref="E148">
    <cfRule type="cellIs" dxfId="793" priority="1549" operator="equal">
      <formula>0</formula>
    </cfRule>
  </conditionalFormatting>
  <conditionalFormatting sqref="E148">
    <cfRule type="cellIs" dxfId="792" priority="1548" operator="notEqual">
      <formula>0</formula>
    </cfRule>
  </conditionalFormatting>
  <conditionalFormatting sqref="F147">
    <cfRule type="cellIs" dxfId="791" priority="1547" operator="equal">
      <formula>0</formula>
    </cfRule>
  </conditionalFormatting>
  <conditionalFormatting sqref="F147">
    <cfRule type="cellIs" dxfId="790" priority="1546" operator="notEqual">
      <formula>0</formula>
    </cfRule>
  </conditionalFormatting>
  <conditionalFormatting sqref="F148">
    <cfRule type="cellIs" dxfId="789" priority="1545" operator="equal">
      <formula>0</formula>
    </cfRule>
  </conditionalFormatting>
  <conditionalFormatting sqref="F148">
    <cfRule type="cellIs" dxfId="788" priority="1544" operator="notEqual">
      <formula>0</formula>
    </cfRule>
  </conditionalFormatting>
  <conditionalFormatting sqref="D149">
    <cfRule type="cellIs" dxfId="787" priority="1539" operator="equal">
      <formula>0</formula>
    </cfRule>
  </conditionalFormatting>
  <conditionalFormatting sqref="D149">
    <cfRule type="cellIs" dxfId="786" priority="1538" operator="notEqual">
      <formula>0</formula>
    </cfRule>
  </conditionalFormatting>
  <conditionalFormatting sqref="D150">
    <cfRule type="cellIs" dxfId="785" priority="1537" operator="equal">
      <formula>0</formula>
    </cfRule>
  </conditionalFormatting>
  <conditionalFormatting sqref="D150">
    <cfRule type="cellIs" dxfId="784" priority="1536" operator="notEqual">
      <formula>0</formula>
    </cfRule>
  </conditionalFormatting>
  <conditionalFormatting sqref="E150">
    <cfRule type="cellIs" dxfId="783" priority="1533" operator="equal">
      <formula>0</formula>
    </cfRule>
  </conditionalFormatting>
  <conditionalFormatting sqref="E150">
    <cfRule type="cellIs" dxfId="782" priority="1532" operator="notEqual">
      <formula>0</formula>
    </cfRule>
  </conditionalFormatting>
  <conditionalFormatting sqref="F149">
    <cfRule type="cellIs" dxfId="781" priority="1531" operator="equal">
      <formula>0</formula>
    </cfRule>
  </conditionalFormatting>
  <conditionalFormatting sqref="F149">
    <cfRule type="cellIs" dxfId="780" priority="1530" operator="notEqual">
      <formula>0</formula>
    </cfRule>
  </conditionalFormatting>
  <conditionalFormatting sqref="F150">
    <cfRule type="cellIs" dxfId="779" priority="1529" operator="equal">
      <formula>0</formula>
    </cfRule>
  </conditionalFormatting>
  <conditionalFormatting sqref="F150">
    <cfRule type="cellIs" dxfId="778" priority="1528" operator="notEqual">
      <formula>0</formula>
    </cfRule>
  </conditionalFormatting>
  <conditionalFormatting sqref="D151">
    <cfRule type="cellIs" dxfId="777" priority="1523" operator="equal">
      <formula>0</formula>
    </cfRule>
  </conditionalFormatting>
  <conditionalFormatting sqref="D151">
    <cfRule type="cellIs" dxfId="776" priority="1522" operator="notEqual">
      <formula>0</formula>
    </cfRule>
  </conditionalFormatting>
  <conditionalFormatting sqref="D152">
    <cfRule type="cellIs" dxfId="775" priority="1521" operator="equal">
      <formula>0</formula>
    </cfRule>
  </conditionalFormatting>
  <conditionalFormatting sqref="D152">
    <cfRule type="cellIs" dxfId="774" priority="1520" operator="notEqual">
      <formula>0</formula>
    </cfRule>
  </conditionalFormatting>
  <conditionalFormatting sqref="E152">
    <cfRule type="cellIs" dxfId="773" priority="1517" operator="equal">
      <formula>0</formula>
    </cfRule>
  </conditionalFormatting>
  <conditionalFormatting sqref="E152">
    <cfRule type="cellIs" dxfId="772" priority="1516" operator="notEqual">
      <formula>0</formula>
    </cfRule>
  </conditionalFormatting>
  <conditionalFormatting sqref="F151">
    <cfRule type="cellIs" dxfId="771" priority="1515" operator="equal">
      <formula>0</formula>
    </cfRule>
  </conditionalFormatting>
  <conditionalFormatting sqref="F151">
    <cfRule type="cellIs" dxfId="770" priority="1514" operator="notEqual">
      <formula>0</formula>
    </cfRule>
  </conditionalFormatting>
  <conditionalFormatting sqref="D132">
    <cfRule type="cellIs" dxfId="769" priority="1681" operator="equal">
      <formula>0</formula>
    </cfRule>
  </conditionalFormatting>
  <conditionalFormatting sqref="D132">
    <cfRule type="cellIs" dxfId="768" priority="1680" operator="notEqual">
      <formula>0</formula>
    </cfRule>
  </conditionalFormatting>
  <conditionalFormatting sqref="E132">
    <cfRule type="cellIs" dxfId="767" priority="1677" operator="equal">
      <formula>0</formula>
    </cfRule>
  </conditionalFormatting>
  <conditionalFormatting sqref="E132">
    <cfRule type="cellIs" dxfId="766" priority="1676" operator="notEqual">
      <formula>0</formula>
    </cfRule>
  </conditionalFormatting>
  <conditionalFormatting sqref="F131">
    <cfRule type="cellIs" dxfId="765" priority="1675" operator="equal">
      <formula>0</formula>
    </cfRule>
  </conditionalFormatting>
  <conditionalFormatting sqref="F131">
    <cfRule type="cellIs" dxfId="764" priority="1674" operator="notEqual">
      <formula>0</formula>
    </cfRule>
  </conditionalFormatting>
  <conditionalFormatting sqref="F152">
    <cfRule type="cellIs" dxfId="763" priority="1513" operator="equal">
      <formula>0</formula>
    </cfRule>
  </conditionalFormatting>
  <conditionalFormatting sqref="F152">
    <cfRule type="cellIs" dxfId="762" priority="1512" operator="notEqual">
      <formula>0</formula>
    </cfRule>
  </conditionalFormatting>
  <conditionalFormatting sqref="D153">
    <cfRule type="cellIs" dxfId="761" priority="1507" operator="equal">
      <formula>0</formula>
    </cfRule>
  </conditionalFormatting>
  <conditionalFormatting sqref="D153">
    <cfRule type="cellIs" dxfId="760" priority="1506" operator="notEqual">
      <formula>0</formula>
    </cfRule>
  </conditionalFormatting>
  <conditionalFormatting sqref="D154">
    <cfRule type="cellIs" dxfId="759" priority="1505" operator="equal">
      <formula>0</formula>
    </cfRule>
  </conditionalFormatting>
  <conditionalFormatting sqref="D154">
    <cfRule type="cellIs" dxfId="758" priority="1504" operator="notEqual">
      <formula>0</formula>
    </cfRule>
  </conditionalFormatting>
  <conditionalFormatting sqref="F154">
    <cfRule type="cellIs" dxfId="757" priority="1497" operator="equal">
      <formula>0</formula>
    </cfRule>
  </conditionalFormatting>
  <conditionalFormatting sqref="F154">
    <cfRule type="cellIs" dxfId="756" priority="1496" operator="notEqual">
      <formula>0</formula>
    </cfRule>
  </conditionalFormatting>
  <conditionalFormatting sqref="D155">
    <cfRule type="cellIs" dxfId="755" priority="1491" operator="equal">
      <formula>0</formula>
    </cfRule>
  </conditionalFormatting>
  <conditionalFormatting sqref="D155">
    <cfRule type="cellIs" dxfId="754" priority="1490" operator="notEqual">
      <formula>0</formula>
    </cfRule>
  </conditionalFormatting>
  <conditionalFormatting sqref="D156">
    <cfRule type="cellIs" dxfId="753" priority="1489" operator="equal">
      <formula>0</formula>
    </cfRule>
  </conditionalFormatting>
  <conditionalFormatting sqref="D156">
    <cfRule type="cellIs" dxfId="752" priority="1488" operator="notEqual">
      <formula>0</formula>
    </cfRule>
  </conditionalFormatting>
  <conditionalFormatting sqref="D91:D92">
    <cfRule type="cellIs" dxfId="751" priority="2896" operator="equal">
      <formula>0</formula>
    </cfRule>
  </conditionalFormatting>
  <conditionalFormatting sqref="E146">
    <cfRule type="cellIs" dxfId="750" priority="1565" operator="equal">
      <formula>0</formula>
    </cfRule>
  </conditionalFormatting>
  <conditionalFormatting sqref="E146">
    <cfRule type="cellIs" dxfId="749" priority="1564" operator="notEqual">
      <formula>0</formula>
    </cfRule>
  </conditionalFormatting>
  <conditionalFormatting sqref="F145">
    <cfRule type="cellIs" dxfId="748" priority="1563" operator="equal">
      <formula>0</formula>
    </cfRule>
  </conditionalFormatting>
  <conditionalFormatting sqref="F145">
    <cfRule type="cellIs" dxfId="747" priority="1562" operator="notEqual">
      <formula>0</formula>
    </cfRule>
  </conditionalFormatting>
  <conditionalFormatting sqref="E91">
    <cfRule type="cellIs" dxfId="746" priority="2879" operator="equal">
      <formula>0</formula>
    </cfRule>
  </conditionalFormatting>
  <conditionalFormatting sqref="F91">
    <cfRule type="cellIs" dxfId="745" priority="2877" operator="equal">
      <formula>0</formula>
    </cfRule>
  </conditionalFormatting>
  <conditionalFormatting sqref="D75:D76">
    <cfRule type="cellIs" dxfId="744" priority="1836" operator="equal">
      <formula>0</formula>
    </cfRule>
  </conditionalFormatting>
  <conditionalFormatting sqref="D165:D166">
    <cfRule type="cellIs" dxfId="743" priority="2453" operator="equal">
      <formula>0</formula>
    </cfRule>
  </conditionalFormatting>
  <conditionalFormatting sqref="E154">
    <cfRule type="cellIs" dxfId="742" priority="1501" operator="equal">
      <formula>0</formula>
    </cfRule>
  </conditionalFormatting>
  <conditionalFormatting sqref="E154">
    <cfRule type="cellIs" dxfId="741" priority="1500" operator="notEqual">
      <formula>0</formula>
    </cfRule>
  </conditionalFormatting>
  <conditionalFormatting sqref="F153">
    <cfRule type="cellIs" dxfId="740" priority="1499" operator="equal">
      <formula>0</formula>
    </cfRule>
  </conditionalFormatting>
  <conditionalFormatting sqref="F153">
    <cfRule type="cellIs" dxfId="739" priority="1498" operator="notEqual">
      <formula>0</formula>
    </cfRule>
  </conditionalFormatting>
  <conditionalFormatting sqref="F146">
    <cfRule type="cellIs" dxfId="738" priority="1561" operator="equal">
      <formula>0</formula>
    </cfRule>
  </conditionalFormatting>
  <conditionalFormatting sqref="F146">
    <cfRule type="cellIs" dxfId="737" priority="1560" operator="notEqual">
      <formula>0</formula>
    </cfRule>
  </conditionalFormatting>
  <conditionalFormatting sqref="D148">
    <cfRule type="cellIs" dxfId="736" priority="1553" operator="equal">
      <formula>0</formula>
    </cfRule>
  </conditionalFormatting>
  <conditionalFormatting sqref="D148">
    <cfRule type="cellIs" dxfId="735" priority="1552" operator="notEqual">
      <formula>0</formula>
    </cfRule>
  </conditionalFormatting>
  <conditionalFormatting sqref="E144">
    <cfRule type="cellIs" dxfId="734" priority="1581" operator="equal">
      <formula>0</formula>
    </cfRule>
  </conditionalFormatting>
  <conditionalFormatting sqref="E144">
    <cfRule type="cellIs" dxfId="733" priority="1580" operator="notEqual">
      <formula>0</formula>
    </cfRule>
  </conditionalFormatting>
  <conditionalFormatting sqref="E156">
    <cfRule type="cellIs" dxfId="732" priority="1485" operator="equal">
      <formula>0</formula>
    </cfRule>
  </conditionalFormatting>
  <conditionalFormatting sqref="E156">
    <cfRule type="cellIs" dxfId="731" priority="1484" operator="notEqual">
      <formula>0</formula>
    </cfRule>
  </conditionalFormatting>
  <conditionalFormatting sqref="F143">
    <cfRule type="cellIs" dxfId="730" priority="1579" operator="equal">
      <formula>0</formula>
    </cfRule>
  </conditionalFormatting>
  <conditionalFormatting sqref="F143">
    <cfRule type="cellIs" dxfId="729" priority="1578" operator="notEqual">
      <formula>0</formula>
    </cfRule>
  </conditionalFormatting>
  <conditionalFormatting sqref="F144">
    <cfRule type="cellIs" dxfId="728" priority="1577" operator="equal">
      <formula>0</formula>
    </cfRule>
  </conditionalFormatting>
  <conditionalFormatting sqref="F144">
    <cfRule type="cellIs" dxfId="727" priority="1576" operator="notEqual">
      <formula>0</formula>
    </cfRule>
  </conditionalFormatting>
  <conditionalFormatting sqref="D147">
    <cfRule type="cellIs" dxfId="726" priority="1555" operator="equal">
      <formula>0</formula>
    </cfRule>
  </conditionalFormatting>
  <conditionalFormatting sqref="D147">
    <cfRule type="cellIs" dxfId="725" priority="1554" operator="notEqual">
      <formula>0</formula>
    </cfRule>
  </conditionalFormatting>
  <conditionalFormatting sqref="F157">
    <cfRule type="cellIs" dxfId="724" priority="1467" operator="equal">
      <formula>0</formula>
    </cfRule>
  </conditionalFormatting>
  <conditionalFormatting sqref="F157">
    <cfRule type="cellIs" dxfId="723" priority="1466" operator="notEqual">
      <formula>0</formula>
    </cfRule>
  </conditionalFormatting>
  <conditionalFormatting sqref="F158">
    <cfRule type="cellIs" dxfId="722" priority="1465" operator="equal">
      <formula>0</formula>
    </cfRule>
  </conditionalFormatting>
  <conditionalFormatting sqref="F158">
    <cfRule type="cellIs" dxfId="721" priority="1464" operator="notEqual">
      <formula>0</formula>
    </cfRule>
  </conditionalFormatting>
  <conditionalFormatting sqref="D145">
    <cfRule type="cellIs" dxfId="720" priority="1571" operator="equal">
      <formula>0</formula>
    </cfRule>
  </conditionalFormatting>
  <conditionalFormatting sqref="D145">
    <cfRule type="cellIs" dxfId="719" priority="1570" operator="notEqual">
      <formula>0</formula>
    </cfRule>
  </conditionalFormatting>
  <conditionalFormatting sqref="D146">
    <cfRule type="cellIs" dxfId="718" priority="1569" operator="equal">
      <formula>0</formula>
    </cfRule>
  </conditionalFormatting>
  <conditionalFormatting sqref="D146">
    <cfRule type="cellIs" dxfId="717" priority="1568" operator="notEqual">
      <formula>0</formula>
    </cfRule>
  </conditionalFormatting>
  <conditionalFormatting sqref="F130">
    <cfRule type="cellIs" dxfId="716" priority="1396" operator="equal">
      <formula>0</formula>
    </cfRule>
  </conditionalFormatting>
  <conditionalFormatting sqref="F162">
    <cfRule type="cellIs" dxfId="715" priority="1433" operator="equal">
      <formula>0</formula>
    </cfRule>
  </conditionalFormatting>
  <conditionalFormatting sqref="F162">
    <cfRule type="cellIs" dxfId="714" priority="1432" operator="notEqual">
      <formula>0</formula>
    </cfRule>
  </conditionalFormatting>
  <conditionalFormatting sqref="D163">
    <cfRule type="cellIs" dxfId="713" priority="1427" operator="equal">
      <formula>0</formula>
    </cfRule>
  </conditionalFormatting>
  <conditionalFormatting sqref="D163">
    <cfRule type="cellIs" dxfId="712" priority="1426" operator="notEqual">
      <formula>0</formula>
    </cfRule>
  </conditionalFormatting>
  <conditionalFormatting sqref="D164">
    <cfRule type="cellIs" dxfId="711" priority="1425" operator="equal">
      <formula>0</formula>
    </cfRule>
  </conditionalFormatting>
  <conditionalFormatting sqref="D164">
    <cfRule type="cellIs" dxfId="710" priority="1424" operator="notEqual">
      <formula>0</formula>
    </cfRule>
  </conditionalFormatting>
  <conditionalFormatting sqref="E163">
    <cfRule type="cellIs" dxfId="709" priority="1423" operator="equal">
      <formula>0</formula>
    </cfRule>
  </conditionalFormatting>
  <conditionalFormatting sqref="E163">
    <cfRule type="cellIs" dxfId="708" priority="1422" operator="notEqual">
      <formula>0</formula>
    </cfRule>
  </conditionalFormatting>
  <conditionalFormatting sqref="E164">
    <cfRule type="cellIs" dxfId="707" priority="1421" operator="equal">
      <formula>0</formula>
    </cfRule>
  </conditionalFormatting>
  <conditionalFormatting sqref="E164">
    <cfRule type="cellIs" dxfId="706" priority="1420" operator="notEqual">
      <formula>0</formula>
    </cfRule>
  </conditionalFormatting>
  <conditionalFormatting sqref="F163">
    <cfRule type="cellIs" dxfId="705" priority="1419" operator="equal">
      <formula>0</formula>
    </cfRule>
  </conditionalFormatting>
  <conditionalFormatting sqref="F163">
    <cfRule type="cellIs" dxfId="704" priority="1418" operator="notEqual">
      <formula>0</formula>
    </cfRule>
  </conditionalFormatting>
  <conditionalFormatting sqref="F164">
    <cfRule type="cellIs" dxfId="703" priority="1417" operator="equal">
      <formula>0</formula>
    </cfRule>
  </conditionalFormatting>
  <conditionalFormatting sqref="F164">
    <cfRule type="cellIs" dxfId="702" priority="1416" operator="notEqual">
      <formula>0</formula>
    </cfRule>
  </conditionalFormatting>
  <conditionalFormatting sqref="E166">
    <cfRule type="cellIs" dxfId="701" priority="1011" operator="equal">
      <formula>0</formula>
    </cfRule>
  </conditionalFormatting>
  <conditionalFormatting sqref="E130">
    <cfRule type="cellIs" dxfId="700" priority="1397" operator="equal">
      <formula>0</formula>
    </cfRule>
  </conditionalFormatting>
  <conditionalFormatting sqref="E79">
    <cfRule type="cellIs" dxfId="699" priority="1812" operator="equal">
      <formula>0</formula>
    </cfRule>
  </conditionalFormatting>
  <conditionalFormatting sqref="F72">
    <cfRule type="cellIs" dxfId="698" priority="2534" operator="equal">
      <formula>0</formula>
    </cfRule>
  </conditionalFormatting>
  <conditionalFormatting sqref="F79">
    <cfRule type="cellIs" dxfId="697" priority="1810" operator="equal">
      <formula>0</formula>
    </cfRule>
  </conditionalFormatting>
  <conditionalFormatting sqref="D157">
    <cfRule type="cellIs" dxfId="696" priority="1475" operator="equal">
      <formula>0</formula>
    </cfRule>
  </conditionalFormatting>
  <conditionalFormatting sqref="D157">
    <cfRule type="cellIs" dxfId="695" priority="1474" operator="notEqual">
      <formula>0</formula>
    </cfRule>
  </conditionalFormatting>
  <conditionalFormatting sqref="D107:D108">
    <cfRule type="cellIs" dxfId="694" priority="1728" operator="equal">
      <formula>0</formula>
    </cfRule>
  </conditionalFormatting>
  <conditionalFormatting sqref="E107">
    <cfRule type="cellIs" dxfId="693" priority="1727" operator="equal">
      <formula>0</formula>
    </cfRule>
  </conditionalFormatting>
  <conditionalFormatting sqref="C128">
    <cfRule type="cellIs" dxfId="692" priority="2460" operator="equal">
      <formula>0</formula>
    </cfRule>
  </conditionalFormatting>
  <conditionalFormatting sqref="D127">
    <cfRule type="cellIs" dxfId="691" priority="2458" operator="equal">
      <formula>0</formula>
    </cfRule>
  </conditionalFormatting>
  <conditionalFormatting sqref="D128">
    <cfRule type="cellIs" dxfId="690" priority="2457" operator="equal">
      <formula>0</formula>
    </cfRule>
  </conditionalFormatting>
  <conditionalFormatting sqref="E125:E126">
    <cfRule type="cellIs" dxfId="689" priority="2456" operator="equal">
      <formula>0</formula>
    </cfRule>
  </conditionalFormatting>
  <conditionalFormatting sqref="F125:F126">
    <cfRule type="cellIs" dxfId="688" priority="2454" operator="equal">
      <formula>0</formula>
    </cfRule>
  </conditionalFormatting>
  <conditionalFormatting sqref="E75">
    <cfRule type="cellIs" dxfId="687" priority="1835" operator="equal">
      <formula>0</formula>
    </cfRule>
  </conditionalFormatting>
  <conditionalFormatting sqref="F155">
    <cfRule type="cellIs" dxfId="686" priority="1483" operator="equal">
      <formula>0</formula>
    </cfRule>
  </conditionalFormatting>
  <conditionalFormatting sqref="F155">
    <cfRule type="cellIs" dxfId="685" priority="1482" operator="notEqual">
      <formula>0</formula>
    </cfRule>
  </conditionalFormatting>
  <conditionalFormatting sqref="F156">
    <cfRule type="cellIs" dxfId="684" priority="1481" operator="equal">
      <formula>0</formula>
    </cfRule>
  </conditionalFormatting>
  <conditionalFormatting sqref="F156">
    <cfRule type="cellIs" dxfId="683" priority="1480" operator="notEqual">
      <formula>0</formula>
    </cfRule>
  </conditionalFormatting>
  <conditionalFormatting sqref="D162">
    <cfRule type="cellIs" dxfId="682" priority="1441" operator="equal">
      <formula>0</formula>
    </cfRule>
  </conditionalFormatting>
  <conditionalFormatting sqref="D162">
    <cfRule type="cellIs" dxfId="681" priority="1440" operator="notEqual">
      <formula>0</formula>
    </cfRule>
  </conditionalFormatting>
  <conditionalFormatting sqref="E127">
    <cfRule type="cellIs" dxfId="680" priority="2436" operator="equal">
      <formula>0</formula>
    </cfRule>
  </conditionalFormatting>
  <conditionalFormatting sqref="F127">
    <cfRule type="cellIs" dxfId="679" priority="2434" operator="equal">
      <formula>0</formula>
    </cfRule>
  </conditionalFormatting>
  <conditionalFormatting sqref="D158">
    <cfRule type="cellIs" dxfId="678" priority="1473" operator="equal">
      <formula>0</formula>
    </cfRule>
  </conditionalFormatting>
  <conditionalFormatting sqref="D158">
    <cfRule type="cellIs" dxfId="677" priority="1472" operator="notEqual">
      <formula>0</formula>
    </cfRule>
  </conditionalFormatting>
  <conditionalFormatting sqref="E158">
    <cfRule type="cellIs" dxfId="676" priority="1469" operator="equal">
      <formula>0</formula>
    </cfRule>
  </conditionalFormatting>
  <conditionalFormatting sqref="E158">
    <cfRule type="cellIs" dxfId="675" priority="1468" operator="notEqual">
      <formula>0</formula>
    </cfRule>
  </conditionalFormatting>
  <conditionalFormatting sqref="E165">
    <cfRule type="cellIs" dxfId="674" priority="2225" operator="equal">
      <formula>0</formula>
    </cfRule>
  </conditionalFormatting>
  <conditionalFormatting sqref="F165">
    <cfRule type="cellIs" dxfId="673" priority="2223" operator="equal">
      <formula>0</formula>
    </cfRule>
  </conditionalFormatting>
  <conditionalFormatting sqref="F364">
    <cfRule type="cellIs" dxfId="672" priority="2207" operator="equal">
      <formula>0</formula>
    </cfRule>
  </conditionalFormatting>
  <conditionalFormatting sqref="C364">
    <cfRule type="cellIs" dxfId="671" priority="2219" operator="equal">
      <formula>0</formula>
    </cfRule>
  </conditionalFormatting>
  <conditionalFormatting sqref="E361:E362">
    <cfRule type="cellIs" dxfId="670" priority="2215" operator="equal">
      <formula>0</formula>
    </cfRule>
  </conditionalFormatting>
  <conditionalFormatting sqref="F361:F362">
    <cfRule type="cellIs" dxfId="669" priority="2213" operator="equal">
      <formula>0</formula>
    </cfRule>
  </conditionalFormatting>
  <conditionalFormatting sqref="E363">
    <cfRule type="cellIs" dxfId="668" priority="2212" operator="equal">
      <formula>0</formula>
    </cfRule>
  </conditionalFormatting>
  <conditionalFormatting sqref="F363">
    <cfRule type="cellIs" dxfId="667" priority="2210" operator="equal">
      <formula>0</formula>
    </cfRule>
  </conditionalFormatting>
  <conditionalFormatting sqref="E364">
    <cfRule type="cellIs" dxfId="666" priority="2209" operator="equal">
      <formula>0</formula>
    </cfRule>
  </conditionalFormatting>
  <conditionalFormatting sqref="D159">
    <cfRule type="cellIs" dxfId="665" priority="1459" operator="equal">
      <formula>0</formula>
    </cfRule>
  </conditionalFormatting>
  <conditionalFormatting sqref="D159">
    <cfRule type="cellIs" dxfId="664" priority="1458" operator="notEqual">
      <formula>0</formula>
    </cfRule>
  </conditionalFormatting>
  <conditionalFormatting sqref="D160">
    <cfRule type="cellIs" dxfId="663" priority="1457" operator="equal">
      <formula>0</formula>
    </cfRule>
  </conditionalFormatting>
  <conditionalFormatting sqref="D160">
    <cfRule type="cellIs" dxfId="662" priority="1456" operator="notEqual">
      <formula>0</formula>
    </cfRule>
  </conditionalFormatting>
  <conditionalFormatting sqref="E160">
    <cfRule type="cellIs" dxfId="661" priority="1453" operator="equal">
      <formula>0</formula>
    </cfRule>
  </conditionalFormatting>
  <conditionalFormatting sqref="E160">
    <cfRule type="cellIs" dxfId="660" priority="1452" operator="notEqual">
      <formula>0</formula>
    </cfRule>
  </conditionalFormatting>
  <conditionalFormatting sqref="D161">
    <cfRule type="cellIs" dxfId="659" priority="1443" operator="equal">
      <formula>0</formula>
    </cfRule>
  </conditionalFormatting>
  <conditionalFormatting sqref="D161">
    <cfRule type="cellIs" dxfId="658" priority="1442" operator="notEqual">
      <formula>0</formula>
    </cfRule>
  </conditionalFormatting>
  <conditionalFormatting sqref="F159">
    <cfRule type="cellIs" dxfId="657" priority="1451" operator="equal">
      <formula>0</formula>
    </cfRule>
  </conditionalFormatting>
  <conditionalFormatting sqref="F159">
    <cfRule type="cellIs" dxfId="656" priority="1450" operator="notEqual">
      <formula>0</formula>
    </cfRule>
  </conditionalFormatting>
  <conditionalFormatting sqref="F160">
    <cfRule type="cellIs" dxfId="655" priority="1449" operator="equal">
      <formula>0</formula>
    </cfRule>
  </conditionalFormatting>
  <conditionalFormatting sqref="F160">
    <cfRule type="cellIs" dxfId="654" priority="1448" operator="notEqual">
      <formula>0</formula>
    </cfRule>
  </conditionalFormatting>
  <conditionalFormatting sqref="F161">
    <cfRule type="cellIs" dxfId="653" priority="1435" operator="equal">
      <formula>0</formula>
    </cfRule>
  </conditionalFormatting>
  <conditionalFormatting sqref="F161">
    <cfRule type="cellIs" dxfId="652" priority="1434" operator="notEqual">
      <formula>0</formula>
    </cfRule>
  </conditionalFormatting>
  <conditionalFormatting sqref="C380">
    <cfRule type="cellIs" dxfId="651" priority="1989" operator="equal">
      <formula>0</formula>
    </cfRule>
  </conditionalFormatting>
  <conditionalFormatting sqref="E377:E378">
    <cfRule type="cellIs" dxfId="650" priority="1985" operator="equal">
      <formula>0</formula>
    </cfRule>
  </conditionalFormatting>
  <conditionalFormatting sqref="F377:F378">
    <cfRule type="cellIs" dxfId="649" priority="1983" operator="equal">
      <formula>0</formula>
    </cfRule>
  </conditionalFormatting>
  <conditionalFormatting sqref="E379">
    <cfRule type="cellIs" dxfId="648" priority="1982" operator="equal">
      <formula>0</formula>
    </cfRule>
  </conditionalFormatting>
  <conditionalFormatting sqref="F379">
    <cfRule type="cellIs" dxfId="647" priority="1980" operator="equal">
      <formula>0</formula>
    </cfRule>
  </conditionalFormatting>
  <conditionalFormatting sqref="E380">
    <cfRule type="cellIs" dxfId="646" priority="1979" operator="equal">
      <formula>0</formula>
    </cfRule>
  </conditionalFormatting>
  <conditionalFormatting sqref="F380">
    <cfRule type="cellIs" dxfId="645" priority="1977" operator="equal">
      <formula>0</formula>
    </cfRule>
  </conditionalFormatting>
  <conditionalFormatting sqref="E162">
    <cfRule type="cellIs" dxfId="644" priority="1437" operator="equal">
      <formula>0</formula>
    </cfRule>
  </conditionalFormatting>
  <conditionalFormatting sqref="E162">
    <cfRule type="cellIs" dxfId="643" priority="1436" operator="notEqual">
      <formula>0</formula>
    </cfRule>
  </conditionalFormatting>
  <conditionalFormatting sqref="F9:F10">
    <cfRule type="cellIs" dxfId="642" priority="1944" operator="equal">
      <formula>0</formula>
    </cfRule>
  </conditionalFormatting>
  <conditionalFormatting sqref="F9:F10">
    <cfRule type="cellIs" dxfId="641" priority="1943" operator="equal">
      <formula>0</formula>
    </cfRule>
  </conditionalFormatting>
  <conditionalFormatting sqref="F11">
    <cfRule type="cellIs" dxfId="640" priority="1942" operator="equal">
      <formula>0</formula>
    </cfRule>
  </conditionalFormatting>
  <conditionalFormatting sqref="F12">
    <cfRule type="cellIs" dxfId="639" priority="1941" operator="equal">
      <formula>0</formula>
    </cfRule>
  </conditionalFormatting>
  <conditionalFormatting sqref="D25:D26">
    <cfRule type="cellIs" dxfId="638" priority="1936" operator="equal">
      <formula>0</formula>
    </cfRule>
  </conditionalFormatting>
  <conditionalFormatting sqref="E25">
    <cfRule type="cellIs" dxfId="637" priority="1935" operator="equal">
      <formula>0</formula>
    </cfRule>
  </conditionalFormatting>
  <conditionalFormatting sqref="F37">
    <cfRule type="cellIs" dxfId="636" priority="1917" operator="equal">
      <formula>0</formula>
    </cfRule>
  </conditionalFormatting>
  <conditionalFormatting sqref="D37:D38">
    <cfRule type="cellIs" dxfId="635" priority="1916" operator="equal">
      <formula>0</formula>
    </cfRule>
  </conditionalFormatting>
  <conditionalFormatting sqref="E37">
    <cfRule type="cellIs" dxfId="634" priority="1915" operator="equal">
      <formula>0</formula>
    </cfRule>
  </conditionalFormatting>
  <conditionalFormatting sqref="E43:E44">
    <cfRule type="cellIs" dxfId="633" priority="1897" operator="equal">
      <formula>0</formula>
    </cfRule>
  </conditionalFormatting>
  <conditionalFormatting sqref="F43:F44">
    <cfRule type="cellIs" dxfId="632" priority="1895" operator="equal">
      <formula>0</formula>
    </cfRule>
  </conditionalFormatting>
  <conditionalFormatting sqref="D45">
    <cfRule type="cellIs" dxfId="631" priority="1893" operator="equal">
      <formula>0</formula>
    </cfRule>
  </conditionalFormatting>
  <conditionalFormatting sqref="C46">
    <cfRule type="cellIs" dxfId="630" priority="1894" operator="equal">
      <formula>0</formula>
    </cfRule>
  </conditionalFormatting>
  <conditionalFormatting sqref="D46">
    <cfRule type="cellIs" dxfId="629" priority="1892" operator="equal">
      <formula>0</formula>
    </cfRule>
  </conditionalFormatting>
  <conditionalFormatting sqref="E45">
    <cfRule type="cellIs" dxfId="628" priority="1891" operator="equal">
      <formula>0</formula>
    </cfRule>
  </conditionalFormatting>
  <conditionalFormatting sqref="F45">
    <cfRule type="cellIs" dxfId="627" priority="1887" operator="equal">
      <formula>0</formula>
    </cfRule>
  </conditionalFormatting>
  <conditionalFormatting sqref="D47:D48">
    <cfRule type="cellIs" dxfId="626" priority="1885" operator="equal">
      <formula>0</formula>
    </cfRule>
  </conditionalFormatting>
  <conditionalFormatting sqref="E47">
    <cfRule type="cellIs" dxfId="625" priority="1884" operator="equal">
      <formula>0</formula>
    </cfRule>
  </conditionalFormatting>
  <conditionalFormatting sqref="F47">
    <cfRule type="cellIs" dxfId="624" priority="1882" operator="equal">
      <formula>0</formula>
    </cfRule>
  </conditionalFormatting>
  <conditionalFormatting sqref="E67:E68">
    <cfRule type="cellIs" dxfId="623" priority="1864" operator="equal">
      <formula>0</formula>
    </cfRule>
  </conditionalFormatting>
  <conditionalFormatting sqref="F67:F68">
    <cfRule type="cellIs" dxfId="622" priority="1862" operator="equal">
      <formula>0</formula>
    </cfRule>
  </conditionalFormatting>
  <conditionalFormatting sqref="D69">
    <cfRule type="cellIs" dxfId="621" priority="1860" operator="equal">
      <formula>0</formula>
    </cfRule>
  </conditionalFormatting>
  <conditionalFormatting sqref="C70">
    <cfRule type="cellIs" dxfId="620" priority="1861" operator="equal">
      <formula>0</formula>
    </cfRule>
  </conditionalFormatting>
  <conditionalFormatting sqref="D70">
    <cfRule type="cellIs" dxfId="619" priority="1859" operator="equal">
      <formula>0</formula>
    </cfRule>
  </conditionalFormatting>
  <conditionalFormatting sqref="E69">
    <cfRule type="cellIs" dxfId="618" priority="1858" operator="equal">
      <formula>0</formula>
    </cfRule>
  </conditionalFormatting>
  <conditionalFormatting sqref="F69">
    <cfRule type="cellIs" dxfId="617" priority="1854" operator="equal">
      <formula>0</formula>
    </cfRule>
  </conditionalFormatting>
  <conditionalFormatting sqref="F76">
    <cfRule type="cellIs" dxfId="616" priority="1830" operator="equal">
      <formula>0</formula>
    </cfRule>
  </conditionalFormatting>
  <conditionalFormatting sqref="D79">
    <cfRule type="cellIs" dxfId="615" priority="1813" operator="equal">
      <formula>0</formula>
    </cfRule>
  </conditionalFormatting>
  <conditionalFormatting sqref="F263">
    <cfRule type="cellIs" dxfId="614" priority="1006" operator="equal">
      <formula>0</formula>
    </cfRule>
  </conditionalFormatting>
  <conditionalFormatting sqref="F277">
    <cfRule type="cellIs" dxfId="613" priority="908" operator="equal">
      <formula>0</formula>
    </cfRule>
  </conditionalFormatting>
  <conditionalFormatting sqref="E108">
    <cfRule type="cellIs" dxfId="612" priority="1703" operator="equal">
      <formula>0</formula>
    </cfRule>
  </conditionalFormatting>
  <conditionalFormatting sqref="F107">
    <cfRule type="cellIs" dxfId="611" priority="1725" operator="equal">
      <formula>0</formula>
    </cfRule>
  </conditionalFormatting>
  <conditionalFormatting sqref="F108">
    <cfRule type="cellIs" dxfId="610" priority="1702" operator="equal">
      <formula>0</formula>
    </cfRule>
  </conditionalFormatting>
  <conditionalFormatting sqref="E340">
    <cfRule type="cellIs" dxfId="609" priority="108" operator="equal">
      <formula>0</formula>
    </cfRule>
  </conditionalFormatting>
  <conditionalFormatting sqref="D85:D86">
    <cfRule type="cellIs" dxfId="608" priority="1751" operator="equal">
      <formula>0</formula>
    </cfRule>
  </conditionalFormatting>
  <conditionalFormatting sqref="E85">
    <cfRule type="cellIs" dxfId="607" priority="1750" operator="equal">
      <formula>0</formula>
    </cfRule>
  </conditionalFormatting>
  <conditionalFormatting sqref="F85">
    <cfRule type="cellIs" dxfId="606" priority="1748" operator="equal">
      <formula>0</formula>
    </cfRule>
  </conditionalFormatting>
  <conditionalFormatting sqref="F340">
    <cfRule type="cellIs" dxfId="605" priority="107" operator="equal">
      <formula>0</formula>
    </cfRule>
  </conditionalFormatting>
  <conditionalFormatting sqref="E70">
    <cfRule type="cellIs" dxfId="604" priority="1705" operator="equal">
      <formula>0</formula>
    </cfRule>
  </conditionalFormatting>
  <conditionalFormatting sqref="F70">
    <cfRule type="cellIs" dxfId="603" priority="1704" operator="equal">
      <formula>0</formula>
    </cfRule>
  </conditionalFormatting>
  <conditionalFormatting sqref="E86">
    <cfRule type="cellIs" dxfId="602" priority="1685" operator="equal">
      <formula>0</formula>
    </cfRule>
  </conditionalFormatting>
  <conditionalFormatting sqref="F86">
    <cfRule type="cellIs" dxfId="601" priority="1684" operator="equal">
      <formula>0</formula>
    </cfRule>
  </conditionalFormatting>
  <conditionalFormatting sqref="D168 D170 D172 D174 D176 D178 D180 D182 D184 D186 D188 D190 D192 D194 D196 D198 D200 D202 D204 D206 D208 D210 D212 D214 D216 D218 D220 D222 D224 D226 D228 D230 D232 D234 D236 D238 D240 D242 D244 D246 D248 D250 D252 D254 D256 D258 D260 D262">
    <cfRule type="cellIs" dxfId="600" priority="1025" operator="equal">
      <formula>0</formula>
    </cfRule>
  </conditionalFormatting>
  <conditionalFormatting sqref="D168 D170 D172 D174 D176 D178 D180 D182 D184 D186 D188 D190 D192 D194 D196 D198 D200 D202 D204 D206 D208 D210 D212 D214 D216 D218 D220 D222 D224 D226 D228 D230 D232 D234 D236 D238 D240 D242 D244 D246 D248 D250 D252 D254 D256 D258 D260 D262">
    <cfRule type="cellIs" dxfId="599" priority="1024" operator="notEqual">
      <formula>0</formula>
    </cfRule>
  </conditionalFormatting>
  <conditionalFormatting sqref="E261 E259 E257 E255 E253 E251 E249 E247 E245 E243 E241 E239 E237 E235 E233 E231 E229 E227 E225 E223 E221 E219 E217 E215 E213 E211 E209 E207 E205 E203 E201 E199 E197 E195 E193 E191 E189 E187 E185 E183 E181 E179 E177 E175 E173 E171 E169 E167">
    <cfRule type="cellIs" dxfId="598" priority="1023" operator="equal">
      <formula>0</formula>
    </cfRule>
  </conditionalFormatting>
  <conditionalFormatting sqref="E261 E259 E257 E255 E253 E251 E249 E247 E245 E243 E241 E239 E237 E235 E233 E231 E229 E227 E225 E223 E221 E219 E217 E215 E213 E211 E209 E207 E205 E203 E201 E199 E197 E195 E193 E191 E189 E187 E185 E183 E181 E179 E177 E175 E173 E171 E169 E167">
    <cfRule type="cellIs" dxfId="597" priority="1022" operator="notEqual">
      <formula>0</formula>
    </cfRule>
  </conditionalFormatting>
  <conditionalFormatting sqref="E168 E170 E172 E174 E176 E178 E180 E182 E184 E186 E188 E190 E192 E194 E196 E198 E200 E202 E204 E206 E208 E210 E212 E214 E216 E218 E220 E222 E224 E226 E228 E230 E232 E234 E236 E238 E240 E242 E244 E246 E248 E250 E252 E254 E256 E258 E260 E262">
    <cfRule type="cellIs" dxfId="596" priority="1021" operator="equal">
      <formula>0</formula>
    </cfRule>
  </conditionalFormatting>
  <conditionalFormatting sqref="E168 E170 E172 E174 E176 E178 E180 E182 E184 E186 E188 E190 E192 E194 E196 E198 E200 E202 E204 E206 E208 E210 E212 E214 E216 E218 E220 E222 E224 E226 E228 E230 E232 E234 E236 E238 E240 E242 E244 E246 E248 E250 E252 E254 E256 E258 E260 E262">
    <cfRule type="cellIs" dxfId="595" priority="1020" operator="notEqual">
      <formula>0</formula>
    </cfRule>
  </conditionalFormatting>
  <conditionalFormatting sqref="F167 F169 F171 F173 F175 F177 F179 F181 F183 F185 F187 F189 F191 F193 F195 F197 F199 F201 F203 F205 F207 F209 F211 F213 F215 F217 F219 F221 F223 F225 F227 F229 F231 F233 F235 F237 F239 F241 F243 F245 F247 F249 F251 F253 F255 F257 F259 F261">
    <cfRule type="cellIs" dxfId="594" priority="1019" operator="equal">
      <formula>0</formula>
    </cfRule>
  </conditionalFormatting>
  <conditionalFormatting sqref="F167 F169 F171 F173 F175 F177 F179 F181 F183 F185 F187 F189 F191 F193 F195 F197 F199 F201 F203 F205 F207 F209 F211 F213 F215 F217 F219 F221 F223 F225 F227 F229 F231 F233 F235 F237 F239 F241 F243 F245 F247 F249 F251 F253 F255 F257 F259 F261">
    <cfRule type="cellIs" dxfId="593" priority="1018" operator="notEqual">
      <formula>0</formula>
    </cfRule>
  </conditionalFormatting>
  <conditionalFormatting sqref="F168 F170 F172 F174 F176 F178 F180 F182 F184 F186 F188 F190 F192 F194 F196 F198 F200 F202 F204 F206 F208 F210 F212 F214 F216 F218 F220 F222 F224 F226 F228 F230 F232 F234 F236 F238 F240 F242 F244 F246 F248 F250 F252 F254 F256 F258 F260 F262">
    <cfRule type="cellIs" dxfId="592" priority="1017" operator="equal">
      <formula>0</formula>
    </cfRule>
  </conditionalFormatting>
  <conditionalFormatting sqref="F168 F170 F172 F174 F176 F178 F180 F182 F184 F186 F188 F190 F192 F194 F196 F198 F200 F202 F204 F206 F208 F210 F212 F214 F216 F218 F220 F222 F224 F226 F228 F230 F232 F234 F236 F238 F240 F242 F244 F246 F248 F250 F252 F254 F256 F258 F260 F262">
    <cfRule type="cellIs" dxfId="591" priority="1016" operator="notEqual">
      <formula>0</formula>
    </cfRule>
  </conditionalFormatting>
  <conditionalFormatting sqref="D265">
    <cfRule type="cellIs" dxfId="590" priority="1005" operator="equal">
      <formula>0</formula>
    </cfRule>
  </conditionalFormatting>
  <conditionalFormatting sqref="D265">
    <cfRule type="cellIs" dxfId="589" priority="1004" operator="notEqual">
      <formula>0</formula>
    </cfRule>
  </conditionalFormatting>
  <conditionalFormatting sqref="D266">
    <cfRule type="cellIs" dxfId="588" priority="1003" operator="equal">
      <formula>0</formula>
    </cfRule>
  </conditionalFormatting>
  <conditionalFormatting sqref="D266">
    <cfRule type="cellIs" dxfId="587" priority="1002" operator="notEqual">
      <formula>0</formula>
    </cfRule>
  </conditionalFormatting>
  <conditionalFormatting sqref="E265">
    <cfRule type="cellIs" dxfId="586" priority="1001" operator="equal">
      <formula>0</formula>
    </cfRule>
  </conditionalFormatting>
  <conditionalFormatting sqref="E265">
    <cfRule type="cellIs" dxfId="585" priority="1000" operator="notEqual">
      <formula>0</formula>
    </cfRule>
  </conditionalFormatting>
  <conditionalFormatting sqref="E266">
    <cfRule type="cellIs" dxfId="584" priority="999" operator="equal">
      <formula>0</formula>
    </cfRule>
  </conditionalFormatting>
  <conditionalFormatting sqref="E266">
    <cfRule type="cellIs" dxfId="583" priority="998" operator="notEqual">
      <formula>0</formula>
    </cfRule>
  </conditionalFormatting>
  <conditionalFormatting sqref="D167 D169 D171 D173 D175 D177 D179 D181 D183 D185 D187 D189 D191 D193 D195 D197 D199 D201 D203 D205 D207 D209 D211 D213 D215 D217 D219 D221 D223 D225 D227 D229 D231 D233 D235 D237 D239 D241 D243 D245 D247 D249 D251 D253 D255 D257 D259 D261">
    <cfRule type="cellIs" dxfId="582" priority="1027" operator="equal">
      <formula>0</formula>
    </cfRule>
  </conditionalFormatting>
  <conditionalFormatting sqref="D167 D169 D171 D173 D175 D177 D179 D181 D183 D185 D187 D189 D191 D193 D195 D197 D199 D201 D203 D205 D207 D209 D211 D213 D215 D217 D219 D221 D223 D225 D227 D229 D231 D233 D235 D237 D239 D241 D243 D245 D247 D249 D251 D253 D255 D257 D259 D261">
    <cfRule type="cellIs" dxfId="581" priority="1026" operator="notEqual">
      <formula>0</formula>
    </cfRule>
  </conditionalFormatting>
  <conditionalFormatting sqref="F265">
    <cfRule type="cellIs" dxfId="580" priority="997" operator="equal">
      <formula>0</formula>
    </cfRule>
  </conditionalFormatting>
  <conditionalFormatting sqref="F265">
    <cfRule type="cellIs" dxfId="579" priority="996" operator="notEqual">
      <formula>0</formula>
    </cfRule>
  </conditionalFormatting>
  <conditionalFormatting sqref="F266">
    <cfRule type="cellIs" dxfId="578" priority="995" operator="equal">
      <formula>0</formula>
    </cfRule>
  </conditionalFormatting>
  <conditionalFormatting sqref="F266">
    <cfRule type="cellIs" dxfId="577" priority="994" operator="notEqual">
      <formula>0</formula>
    </cfRule>
  </conditionalFormatting>
  <conditionalFormatting sqref="D269">
    <cfRule type="cellIs" dxfId="576" priority="981" operator="equal">
      <formula>0</formula>
    </cfRule>
  </conditionalFormatting>
  <conditionalFormatting sqref="D269">
    <cfRule type="cellIs" dxfId="575" priority="980" operator="notEqual">
      <formula>0</formula>
    </cfRule>
  </conditionalFormatting>
  <conditionalFormatting sqref="D270">
    <cfRule type="cellIs" dxfId="574" priority="979" operator="equal">
      <formula>0</formula>
    </cfRule>
  </conditionalFormatting>
  <conditionalFormatting sqref="D270">
    <cfRule type="cellIs" dxfId="573" priority="978" operator="notEqual">
      <formula>0</formula>
    </cfRule>
  </conditionalFormatting>
  <conditionalFormatting sqref="D303">
    <cfRule type="cellIs" dxfId="572" priority="713" operator="equal">
      <formula>0</formula>
    </cfRule>
  </conditionalFormatting>
  <conditionalFormatting sqref="D303">
    <cfRule type="cellIs" dxfId="571" priority="712" operator="notEqual">
      <formula>0</formula>
    </cfRule>
  </conditionalFormatting>
  <conditionalFormatting sqref="E269">
    <cfRule type="cellIs" dxfId="570" priority="977" operator="equal">
      <formula>0</formula>
    </cfRule>
  </conditionalFormatting>
  <conditionalFormatting sqref="E269">
    <cfRule type="cellIs" dxfId="569" priority="976" operator="notEqual">
      <formula>0</formula>
    </cfRule>
  </conditionalFormatting>
  <conditionalFormatting sqref="F301">
    <cfRule type="cellIs" dxfId="568" priority="721" operator="equal">
      <formula>0</formula>
    </cfRule>
  </conditionalFormatting>
  <conditionalFormatting sqref="F301">
    <cfRule type="cellIs" dxfId="567" priority="720" operator="notEqual">
      <formula>0</formula>
    </cfRule>
  </conditionalFormatting>
  <conditionalFormatting sqref="F302">
    <cfRule type="cellIs" dxfId="566" priority="719" operator="equal">
      <formula>0</formula>
    </cfRule>
  </conditionalFormatting>
  <conditionalFormatting sqref="F302">
    <cfRule type="cellIs" dxfId="565" priority="718" operator="notEqual">
      <formula>0</formula>
    </cfRule>
  </conditionalFormatting>
  <conditionalFormatting sqref="F129">
    <cfRule type="cellIs" dxfId="564" priority="1401" operator="equal">
      <formula>0</formula>
    </cfRule>
  </conditionalFormatting>
  <conditionalFormatting sqref="F339">
    <cfRule type="cellIs" dxfId="563" priority="258" operator="equal">
      <formula>0</formula>
    </cfRule>
  </conditionalFormatting>
  <conditionalFormatting sqref="E129">
    <cfRule type="cellIs" dxfId="562" priority="1403" operator="equal">
      <formula>0</formula>
    </cfRule>
  </conditionalFormatting>
  <conditionalFormatting sqref="D339:D340">
    <cfRule type="cellIs" dxfId="561" priority="261" operator="equal">
      <formula>0</formula>
    </cfRule>
  </conditionalFormatting>
  <conditionalFormatting sqref="E339">
    <cfRule type="cellIs" dxfId="560" priority="260" operator="equal">
      <formula>0</formula>
    </cfRule>
  </conditionalFormatting>
  <conditionalFormatting sqref="E264">
    <cfRule type="cellIs" dxfId="559" priority="987" operator="equal">
      <formula>0</formula>
    </cfRule>
  </conditionalFormatting>
  <conditionalFormatting sqref="D129:D130">
    <cfRule type="cellIs" dxfId="558" priority="1404" operator="equal">
      <formula>0</formula>
    </cfRule>
  </conditionalFormatting>
  <conditionalFormatting sqref="E278">
    <cfRule type="cellIs" dxfId="557" priority="697" operator="equal">
      <formula>0</formula>
    </cfRule>
  </conditionalFormatting>
  <conditionalFormatting sqref="F166">
    <cfRule type="cellIs" dxfId="556" priority="1010" operator="equal">
      <formula>0</formula>
    </cfRule>
  </conditionalFormatting>
  <conditionalFormatting sqref="F299">
    <cfRule type="cellIs" dxfId="555" priority="737" operator="equal">
      <formula>0</formula>
    </cfRule>
  </conditionalFormatting>
  <conditionalFormatting sqref="F299">
    <cfRule type="cellIs" dxfId="554" priority="736" operator="notEqual">
      <formula>0</formula>
    </cfRule>
  </conditionalFormatting>
  <conditionalFormatting sqref="F300">
    <cfRule type="cellIs" dxfId="553" priority="735" operator="equal">
      <formula>0</formula>
    </cfRule>
  </conditionalFormatting>
  <conditionalFormatting sqref="F300">
    <cfRule type="cellIs" dxfId="552" priority="734" operator="notEqual">
      <formula>0</formula>
    </cfRule>
  </conditionalFormatting>
  <conditionalFormatting sqref="D299">
    <cfRule type="cellIs" dxfId="551" priority="745" operator="equal">
      <formula>0</formula>
    </cfRule>
  </conditionalFormatting>
  <conditionalFormatting sqref="D299">
    <cfRule type="cellIs" dxfId="550" priority="744" operator="notEqual">
      <formula>0</formula>
    </cfRule>
  </conditionalFormatting>
  <conditionalFormatting sqref="D300">
    <cfRule type="cellIs" dxfId="549" priority="743" operator="equal">
      <formula>0</formula>
    </cfRule>
  </conditionalFormatting>
  <conditionalFormatting sqref="D300">
    <cfRule type="cellIs" dxfId="548" priority="742" operator="notEqual">
      <formula>0</formula>
    </cfRule>
  </conditionalFormatting>
  <conditionalFormatting sqref="E299">
    <cfRule type="cellIs" dxfId="547" priority="741" operator="equal">
      <formula>0</formula>
    </cfRule>
  </conditionalFormatting>
  <conditionalFormatting sqref="E299">
    <cfRule type="cellIs" dxfId="546" priority="740" operator="notEqual">
      <formula>0</formula>
    </cfRule>
  </conditionalFormatting>
  <conditionalFormatting sqref="E300">
    <cfRule type="cellIs" dxfId="545" priority="739" operator="equal">
      <formula>0</formula>
    </cfRule>
  </conditionalFormatting>
  <conditionalFormatting sqref="E300">
    <cfRule type="cellIs" dxfId="544" priority="738" operator="notEqual">
      <formula>0</formula>
    </cfRule>
  </conditionalFormatting>
  <conditionalFormatting sqref="F292">
    <cfRule type="cellIs" dxfId="543" priority="799" operator="equal">
      <formula>0</formula>
    </cfRule>
  </conditionalFormatting>
  <conditionalFormatting sqref="F292">
    <cfRule type="cellIs" dxfId="542" priority="798" operator="notEqual">
      <formula>0</formula>
    </cfRule>
  </conditionalFormatting>
  <conditionalFormatting sqref="E270">
    <cfRule type="cellIs" dxfId="541" priority="975" operator="equal">
      <formula>0</formula>
    </cfRule>
  </conditionalFormatting>
  <conditionalFormatting sqref="E270">
    <cfRule type="cellIs" dxfId="540" priority="974" operator="notEqual">
      <formula>0</formula>
    </cfRule>
  </conditionalFormatting>
  <conditionalFormatting sqref="D304">
    <cfRule type="cellIs" dxfId="539" priority="711" operator="equal">
      <formula>0</formula>
    </cfRule>
  </conditionalFormatting>
  <conditionalFormatting sqref="D304">
    <cfRule type="cellIs" dxfId="538" priority="710" operator="notEqual">
      <formula>0</formula>
    </cfRule>
  </conditionalFormatting>
  <conditionalFormatting sqref="D301">
    <cfRule type="cellIs" dxfId="537" priority="729" operator="equal">
      <formula>0</formula>
    </cfRule>
  </conditionalFormatting>
  <conditionalFormatting sqref="D301">
    <cfRule type="cellIs" dxfId="536" priority="728" operator="notEqual">
      <formula>0</formula>
    </cfRule>
  </conditionalFormatting>
  <conditionalFormatting sqref="D302">
    <cfRule type="cellIs" dxfId="535" priority="727" operator="equal">
      <formula>0</formula>
    </cfRule>
  </conditionalFormatting>
  <conditionalFormatting sqref="D302">
    <cfRule type="cellIs" dxfId="534" priority="726" operator="notEqual">
      <formula>0</formula>
    </cfRule>
  </conditionalFormatting>
  <conditionalFormatting sqref="E301">
    <cfRule type="cellIs" dxfId="533" priority="725" operator="equal">
      <formula>0</formula>
    </cfRule>
  </conditionalFormatting>
  <conditionalFormatting sqref="E301">
    <cfRule type="cellIs" dxfId="532" priority="724" operator="notEqual">
      <formula>0</formula>
    </cfRule>
  </conditionalFormatting>
  <conditionalFormatting sqref="E302">
    <cfRule type="cellIs" dxfId="531" priority="723" operator="equal">
      <formula>0</formula>
    </cfRule>
  </conditionalFormatting>
  <conditionalFormatting sqref="E302">
    <cfRule type="cellIs" dxfId="530" priority="722" operator="notEqual">
      <formula>0</formula>
    </cfRule>
  </conditionalFormatting>
  <conditionalFormatting sqref="F269">
    <cfRule type="cellIs" dxfId="529" priority="973" operator="equal">
      <formula>0</formula>
    </cfRule>
  </conditionalFormatting>
  <conditionalFormatting sqref="F269">
    <cfRule type="cellIs" dxfId="528" priority="972" operator="notEqual">
      <formula>0</formula>
    </cfRule>
  </conditionalFormatting>
  <conditionalFormatting sqref="E303">
    <cfRule type="cellIs" dxfId="527" priority="709" operator="equal">
      <formula>0</formula>
    </cfRule>
  </conditionalFormatting>
  <conditionalFormatting sqref="E303">
    <cfRule type="cellIs" dxfId="526" priority="708" operator="notEqual">
      <formula>0</formula>
    </cfRule>
  </conditionalFormatting>
  <conditionalFormatting sqref="E304">
    <cfRule type="cellIs" dxfId="525" priority="707" operator="equal">
      <formula>0</formula>
    </cfRule>
  </conditionalFormatting>
  <conditionalFormatting sqref="E304">
    <cfRule type="cellIs" dxfId="524" priority="706" operator="notEqual">
      <formula>0</formula>
    </cfRule>
  </conditionalFormatting>
  <conditionalFormatting sqref="F303">
    <cfRule type="cellIs" dxfId="523" priority="705" operator="equal">
      <formula>0</formula>
    </cfRule>
  </conditionalFormatting>
  <conditionalFormatting sqref="F303">
    <cfRule type="cellIs" dxfId="522" priority="704" operator="notEqual">
      <formula>0</formula>
    </cfRule>
  </conditionalFormatting>
  <conditionalFormatting sqref="F304">
    <cfRule type="cellIs" dxfId="521" priority="703" operator="equal">
      <formula>0</formula>
    </cfRule>
  </conditionalFormatting>
  <conditionalFormatting sqref="F304">
    <cfRule type="cellIs" dxfId="520" priority="702" operator="notEqual">
      <formula>0</formula>
    </cfRule>
  </conditionalFormatting>
  <conditionalFormatting sqref="F270">
    <cfRule type="cellIs" dxfId="519" priority="971" operator="equal">
      <formula>0</formula>
    </cfRule>
  </conditionalFormatting>
  <conditionalFormatting sqref="F270">
    <cfRule type="cellIs" dxfId="518" priority="970" operator="notEqual">
      <formula>0</formula>
    </cfRule>
  </conditionalFormatting>
  <conditionalFormatting sqref="D327">
    <cfRule type="cellIs" dxfId="517" priority="398" operator="equal">
      <formula>0</formula>
    </cfRule>
  </conditionalFormatting>
  <conditionalFormatting sqref="D327">
    <cfRule type="cellIs" dxfId="516" priority="397" operator="notEqual">
      <formula>0</formula>
    </cfRule>
  </conditionalFormatting>
  <conditionalFormatting sqref="D271">
    <cfRule type="cellIs" dxfId="515" priority="963" operator="equal">
      <formula>0</formula>
    </cfRule>
  </conditionalFormatting>
  <conditionalFormatting sqref="D271">
    <cfRule type="cellIs" dxfId="514" priority="962" operator="notEqual">
      <formula>0</formula>
    </cfRule>
  </conditionalFormatting>
  <conditionalFormatting sqref="D272">
    <cfRule type="cellIs" dxfId="513" priority="961" operator="equal">
      <formula>0</formula>
    </cfRule>
  </conditionalFormatting>
  <conditionalFormatting sqref="D272">
    <cfRule type="cellIs" dxfId="512" priority="960" operator="notEqual">
      <formula>0</formula>
    </cfRule>
  </conditionalFormatting>
  <conditionalFormatting sqref="E271">
    <cfRule type="cellIs" dxfId="511" priority="959" operator="equal">
      <formula>0</formula>
    </cfRule>
  </conditionalFormatting>
  <conditionalFormatting sqref="E271">
    <cfRule type="cellIs" dxfId="510" priority="958" operator="notEqual">
      <formula>0</formula>
    </cfRule>
  </conditionalFormatting>
  <conditionalFormatting sqref="E272">
    <cfRule type="cellIs" dxfId="509" priority="957" operator="equal">
      <formula>0</formula>
    </cfRule>
  </conditionalFormatting>
  <conditionalFormatting sqref="E272">
    <cfRule type="cellIs" dxfId="508" priority="956" operator="notEqual">
      <formula>0</formula>
    </cfRule>
  </conditionalFormatting>
  <conditionalFormatting sqref="F271">
    <cfRule type="cellIs" dxfId="507" priority="955" operator="equal">
      <formula>0</formula>
    </cfRule>
  </conditionalFormatting>
  <conditionalFormatting sqref="F271">
    <cfRule type="cellIs" dxfId="506" priority="954" operator="notEqual">
      <formula>0</formula>
    </cfRule>
  </conditionalFormatting>
  <conditionalFormatting sqref="F272">
    <cfRule type="cellIs" dxfId="505" priority="953" operator="equal">
      <formula>0</formula>
    </cfRule>
  </conditionalFormatting>
  <conditionalFormatting sqref="F272">
    <cfRule type="cellIs" dxfId="504" priority="952" operator="notEqual">
      <formula>0</formula>
    </cfRule>
  </conditionalFormatting>
  <conditionalFormatting sqref="D273">
    <cfRule type="cellIs" dxfId="503" priority="947" operator="equal">
      <formula>0</formula>
    </cfRule>
  </conditionalFormatting>
  <conditionalFormatting sqref="D273">
    <cfRule type="cellIs" dxfId="502" priority="946" operator="notEqual">
      <formula>0</formula>
    </cfRule>
  </conditionalFormatting>
  <conditionalFormatting sqref="D274">
    <cfRule type="cellIs" dxfId="501" priority="945" operator="equal">
      <formula>0</formula>
    </cfRule>
  </conditionalFormatting>
  <conditionalFormatting sqref="D274">
    <cfRule type="cellIs" dxfId="500" priority="944" operator="notEqual">
      <formula>0</formula>
    </cfRule>
  </conditionalFormatting>
  <conditionalFormatting sqref="E273">
    <cfRule type="cellIs" dxfId="499" priority="943" operator="equal">
      <formula>0</formula>
    </cfRule>
  </conditionalFormatting>
  <conditionalFormatting sqref="E273">
    <cfRule type="cellIs" dxfId="498" priority="942" operator="notEqual">
      <formula>0</formula>
    </cfRule>
  </conditionalFormatting>
  <conditionalFormatting sqref="E274">
    <cfRule type="cellIs" dxfId="497" priority="941" operator="equal">
      <formula>0</formula>
    </cfRule>
  </conditionalFormatting>
  <conditionalFormatting sqref="E274">
    <cfRule type="cellIs" dxfId="496" priority="940" operator="notEqual">
      <formula>0</formula>
    </cfRule>
  </conditionalFormatting>
  <conditionalFormatting sqref="F273">
    <cfRule type="cellIs" dxfId="495" priority="939" operator="equal">
      <formula>0</formula>
    </cfRule>
  </conditionalFormatting>
  <conditionalFormatting sqref="F273">
    <cfRule type="cellIs" dxfId="494" priority="938" operator="notEqual">
      <formula>0</formula>
    </cfRule>
  </conditionalFormatting>
  <conditionalFormatting sqref="F274">
    <cfRule type="cellIs" dxfId="493" priority="937" operator="equal">
      <formula>0</formula>
    </cfRule>
  </conditionalFormatting>
  <conditionalFormatting sqref="F274">
    <cfRule type="cellIs" dxfId="492" priority="936" operator="notEqual">
      <formula>0</formula>
    </cfRule>
  </conditionalFormatting>
  <conditionalFormatting sqref="D275">
    <cfRule type="cellIs" dxfId="491" priority="929" operator="equal">
      <formula>0</formula>
    </cfRule>
  </conditionalFormatting>
  <conditionalFormatting sqref="D275">
    <cfRule type="cellIs" dxfId="490" priority="928" operator="notEqual">
      <formula>0</formula>
    </cfRule>
  </conditionalFormatting>
  <conditionalFormatting sqref="D276">
    <cfRule type="cellIs" dxfId="489" priority="927" operator="equal">
      <formula>0</formula>
    </cfRule>
  </conditionalFormatting>
  <conditionalFormatting sqref="D276">
    <cfRule type="cellIs" dxfId="488" priority="926" operator="notEqual">
      <formula>0</formula>
    </cfRule>
  </conditionalFormatting>
  <conditionalFormatting sqref="E275">
    <cfRule type="cellIs" dxfId="487" priority="925" operator="equal">
      <formula>0</formula>
    </cfRule>
  </conditionalFormatting>
  <conditionalFormatting sqref="E275">
    <cfRule type="cellIs" dxfId="486" priority="924" operator="notEqual">
      <formula>0</formula>
    </cfRule>
  </conditionalFormatting>
  <conditionalFormatting sqref="E276">
    <cfRule type="cellIs" dxfId="485" priority="923" operator="equal">
      <formula>0</formula>
    </cfRule>
  </conditionalFormatting>
  <conditionalFormatting sqref="E276">
    <cfRule type="cellIs" dxfId="484" priority="922" operator="notEqual">
      <formula>0</formula>
    </cfRule>
  </conditionalFormatting>
  <conditionalFormatting sqref="F275">
    <cfRule type="cellIs" dxfId="483" priority="921" operator="equal">
      <formula>0</formula>
    </cfRule>
  </conditionalFormatting>
  <conditionalFormatting sqref="F275">
    <cfRule type="cellIs" dxfId="482" priority="920" operator="notEqual">
      <formula>0</formula>
    </cfRule>
  </conditionalFormatting>
  <conditionalFormatting sqref="D279">
    <cfRule type="cellIs" dxfId="481" priority="905" operator="equal">
      <formula>0</formula>
    </cfRule>
  </conditionalFormatting>
  <conditionalFormatting sqref="D279">
    <cfRule type="cellIs" dxfId="480" priority="904" operator="notEqual">
      <formula>0</formula>
    </cfRule>
  </conditionalFormatting>
  <conditionalFormatting sqref="E279">
    <cfRule type="cellIs" dxfId="479" priority="901" operator="equal">
      <formula>0</formula>
    </cfRule>
  </conditionalFormatting>
  <conditionalFormatting sqref="E279">
    <cfRule type="cellIs" dxfId="478" priority="900" operator="notEqual">
      <formula>0</formula>
    </cfRule>
  </conditionalFormatting>
  <conditionalFormatting sqref="D328">
    <cfRule type="cellIs" dxfId="477" priority="396" operator="equal">
      <formula>0</formula>
    </cfRule>
  </conditionalFormatting>
  <conditionalFormatting sqref="D328">
    <cfRule type="cellIs" dxfId="476" priority="395" operator="notEqual">
      <formula>0</formula>
    </cfRule>
  </conditionalFormatting>
  <conditionalFormatting sqref="D311">
    <cfRule type="cellIs" dxfId="475" priority="663" operator="equal">
      <formula>0</formula>
    </cfRule>
  </conditionalFormatting>
  <conditionalFormatting sqref="D311">
    <cfRule type="cellIs" dxfId="474" priority="662" operator="notEqual">
      <formula>0</formula>
    </cfRule>
  </conditionalFormatting>
  <conditionalFormatting sqref="D312">
    <cfRule type="cellIs" dxfId="473" priority="661" operator="equal">
      <formula>0</formula>
    </cfRule>
  </conditionalFormatting>
  <conditionalFormatting sqref="D312">
    <cfRule type="cellIs" dxfId="472" priority="660" operator="notEqual">
      <formula>0</formula>
    </cfRule>
  </conditionalFormatting>
  <conditionalFormatting sqref="E311">
    <cfRule type="cellIs" dxfId="471" priority="659" operator="equal">
      <formula>0</formula>
    </cfRule>
  </conditionalFormatting>
  <conditionalFormatting sqref="E311">
    <cfRule type="cellIs" dxfId="470" priority="658" operator="notEqual">
      <formula>0</formula>
    </cfRule>
  </conditionalFormatting>
  <conditionalFormatting sqref="E312">
    <cfRule type="cellIs" dxfId="469" priority="657" operator="equal">
      <formula>0</formula>
    </cfRule>
  </conditionalFormatting>
  <conditionalFormatting sqref="E312">
    <cfRule type="cellIs" dxfId="468" priority="656" operator="notEqual">
      <formula>0</formula>
    </cfRule>
  </conditionalFormatting>
  <conditionalFormatting sqref="F311">
    <cfRule type="cellIs" dxfId="467" priority="655" operator="equal">
      <formula>0</formula>
    </cfRule>
  </conditionalFormatting>
  <conditionalFormatting sqref="F311">
    <cfRule type="cellIs" dxfId="466" priority="654" operator="notEqual">
      <formula>0</formula>
    </cfRule>
  </conditionalFormatting>
  <conditionalFormatting sqref="D280">
    <cfRule type="cellIs" dxfId="465" priority="903" operator="equal">
      <formula>0</formula>
    </cfRule>
  </conditionalFormatting>
  <conditionalFormatting sqref="D280">
    <cfRule type="cellIs" dxfId="464" priority="902" operator="notEqual">
      <formula>0</formula>
    </cfRule>
  </conditionalFormatting>
  <conditionalFormatting sqref="E282">
    <cfRule type="cellIs" dxfId="463" priority="883" operator="equal">
      <formula>0</formula>
    </cfRule>
  </conditionalFormatting>
  <conditionalFormatting sqref="E282">
    <cfRule type="cellIs" dxfId="462" priority="882" operator="notEqual">
      <formula>0</formula>
    </cfRule>
  </conditionalFormatting>
  <conditionalFormatting sqref="F312">
    <cfRule type="cellIs" dxfId="461" priority="653" operator="equal">
      <formula>0</formula>
    </cfRule>
  </conditionalFormatting>
  <conditionalFormatting sqref="F312">
    <cfRule type="cellIs" dxfId="460" priority="652" operator="notEqual">
      <formula>0</formula>
    </cfRule>
  </conditionalFormatting>
  <conditionalFormatting sqref="D315 D317 D325">
    <cfRule type="cellIs" dxfId="459" priority="510" operator="equal">
      <formula>0</formula>
    </cfRule>
  </conditionalFormatting>
  <conditionalFormatting sqref="D315 D317 D325">
    <cfRule type="cellIs" dxfId="458" priority="509" operator="notEqual">
      <formula>0</formula>
    </cfRule>
  </conditionalFormatting>
  <conditionalFormatting sqref="D316 D318 D326">
    <cfRule type="cellIs" dxfId="457" priority="508" operator="equal">
      <formula>0</formula>
    </cfRule>
  </conditionalFormatting>
  <conditionalFormatting sqref="D316 D318 D326">
    <cfRule type="cellIs" dxfId="456" priority="507" operator="notEqual">
      <formula>0</formula>
    </cfRule>
  </conditionalFormatting>
  <conditionalFormatting sqref="E315 E317 E325">
    <cfRule type="cellIs" dxfId="455" priority="506" operator="equal">
      <formula>0</formula>
    </cfRule>
  </conditionalFormatting>
  <conditionalFormatting sqref="E315 E317 E325">
    <cfRule type="cellIs" dxfId="454" priority="505" operator="notEqual">
      <formula>0</formula>
    </cfRule>
  </conditionalFormatting>
  <conditionalFormatting sqref="E316 E318 E326">
    <cfRule type="cellIs" dxfId="453" priority="504" operator="equal">
      <formula>0</formula>
    </cfRule>
  </conditionalFormatting>
  <conditionalFormatting sqref="E316 E318 E326">
    <cfRule type="cellIs" dxfId="452" priority="503" operator="notEqual">
      <formula>0</formula>
    </cfRule>
  </conditionalFormatting>
  <conditionalFormatting sqref="F315 F317 F325">
    <cfRule type="cellIs" dxfId="451" priority="502" operator="equal">
      <formula>0</formula>
    </cfRule>
  </conditionalFormatting>
  <conditionalFormatting sqref="F315 F317 F325">
    <cfRule type="cellIs" dxfId="450" priority="501" operator="notEqual">
      <formula>0</formula>
    </cfRule>
  </conditionalFormatting>
  <conditionalFormatting sqref="F316 F318 F326">
    <cfRule type="cellIs" dxfId="449" priority="500" operator="equal">
      <formula>0</formula>
    </cfRule>
  </conditionalFormatting>
  <conditionalFormatting sqref="F316 F318 F326">
    <cfRule type="cellIs" dxfId="448" priority="499" operator="notEqual">
      <formula>0</formula>
    </cfRule>
  </conditionalFormatting>
  <conditionalFormatting sqref="F285">
    <cfRule type="cellIs" dxfId="447" priority="849" operator="equal">
      <formula>0</formula>
    </cfRule>
  </conditionalFormatting>
  <conditionalFormatting sqref="F285">
    <cfRule type="cellIs" dxfId="446" priority="848" operator="notEqual">
      <formula>0</formula>
    </cfRule>
  </conditionalFormatting>
  <conditionalFormatting sqref="F276">
    <cfRule type="cellIs" dxfId="445" priority="919" operator="equal">
      <formula>0</formula>
    </cfRule>
  </conditionalFormatting>
  <conditionalFormatting sqref="F276">
    <cfRule type="cellIs" dxfId="444" priority="918" operator="notEqual">
      <formula>0</formula>
    </cfRule>
  </conditionalFormatting>
  <conditionalFormatting sqref="F288">
    <cfRule type="cellIs" dxfId="443" priority="831" operator="equal">
      <formula>0</formula>
    </cfRule>
  </conditionalFormatting>
  <conditionalFormatting sqref="F288">
    <cfRule type="cellIs" dxfId="442" priority="830" operator="notEqual">
      <formula>0</formula>
    </cfRule>
  </conditionalFormatting>
  <conditionalFormatting sqref="D289">
    <cfRule type="cellIs" dxfId="441" priority="825" operator="equal">
      <formula>0</formula>
    </cfRule>
  </conditionalFormatting>
  <conditionalFormatting sqref="D289">
    <cfRule type="cellIs" dxfId="440" priority="824" operator="notEqual">
      <formula>0</formula>
    </cfRule>
  </conditionalFormatting>
  <conditionalFormatting sqref="D321">
    <cfRule type="cellIs" dxfId="439" priority="462" operator="equal">
      <formula>0</formula>
    </cfRule>
  </conditionalFormatting>
  <conditionalFormatting sqref="D321">
    <cfRule type="cellIs" dxfId="438" priority="461" operator="notEqual">
      <formula>0</formula>
    </cfRule>
  </conditionalFormatting>
  <conditionalFormatting sqref="D322">
    <cfRule type="cellIs" dxfId="437" priority="460" operator="equal">
      <formula>0</formula>
    </cfRule>
  </conditionalFormatting>
  <conditionalFormatting sqref="D322">
    <cfRule type="cellIs" dxfId="436" priority="459" operator="notEqual">
      <formula>0</formula>
    </cfRule>
  </conditionalFormatting>
  <conditionalFormatting sqref="E280">
    <cfRule type="cellIs" dxfId="435" priority="899" operator="equal">
      <formula>0</formula>
    </cfRule>
  </conditionalFormatting>
  <conditionalFormatting sqref="E280">
    <cfRule type="cellIs" dxfId="434" priority="898" operator="notEqual">
      <formula>0</formula>
    </cfRule>
  </conditionalFormatting>
  <conditionalFormatting sqref="F279">
    <cfRule type="cellIs" dxfId="433" priority="897" operator="equal">
      <formula>0</formula>
    </cfRule>
  </conditionalFormatting>
  <conditionalFormatting sqref="F279">
    <cfRule type="cellIs" dxfId="432" priority="896" operator="notEqual">
      <formula>0</formula>
    </cfRule>
  </conditionalFormatting>
  <conditionalFormatting sqref="F280">
    <cfRule type="cellIs" dxfId="431" priority="895" operator="equal">
      <formula>0</formula>
    </cfRule>
  </conditionalFormatting>
  <conditionalFormatting sqref="F280">
    <cfRule type="cellIs" dxfId="430" priority="894" operator="notEqual">
      <formula>0</formula>
    </cfRule>
  </conditionalFormatting>
  <conditionalFormatting sqref="D282">
    <cfRule type="cellIs" dxfId="429" priority="887" operator="equal">
      <formula>0</formula>
    </cfRule>
  </conditionalFormatting>
  <conditionalFormatting sqref="D282">
    <cfRule type="cellIs" dxfId="428" priority="886" operator="notEqual">
      <formula>0</formula>
    </cfRule>
  </conditionalFormatting>
  <conditionalFormatting sqref="E281">
    <cfRule type="cellIs" dxfId="427" priority="885" operator="equal">
      <formula>0</formula>
    </cfRule>
  </conditionalFormatting>
  <conditionalFormatting sqref="E281">
    <cfRule type="cellIs" dxfId="426" priority="884" operator="notEqual">
      <formula>0</formula>
    </cfRule>
  </conditionalFormatting>
  <conditionalFormatting sqref="E323">
    <cfRule type="cellIs" dxfId="425" priority="442" operator="equal">
      <formula>0</formula>
    </cfRule>
  </conditionalFormatting>
  <conditionalFormatting sqref="E323">
    <cfRule type="cellIs" dxfId="424" priority="441" operator="notEqual">
      <formula>0</formula>
    </cfRule>
  </conditionalFormatting>
  <conditionalFormatting sqref="F281">
    <cfRule type="cellIs" dxfId="423" priority="881" operator="equal">
      <formula>0</formula>
    </cfRule>
  </conditionalFormatting>
  <conditionalFormatting sqref="F281">
    <cfRule type="cellIs" dxfId="422" priority="880" operator="notEqual">
      <formula>0</formula>
    </cfRule>
  </conditionalFormatting>
  <conditionalFormatting sqref="F282">
    <cfRule type="cellIs" dxfId="421" priority="879" operator="equal">
      <formula>0</formula>
    </cfRule>
  </conditionalFormatting>
  <conditionalFormatting sqref="F282">
    <cfRule type="cellIs" dxfId="420" priority="878" operator="notEqual">
      <formula>0</formula>
    </cfRule>
  </conditionalFormatting>
  <conditionalFormatting sqref="D281">
    <cfRule type="cellIs" dxfId="419" priority="889" operator="equal">
      <formula>0</formula>
    </cfRule>
  </conditionalFormatting>
  <conditionalFormatting sqref="D281">
    <cfRule type="cellIs" dxfId="418" priority="888" operator="notEqual">
      <formula>0</formula>
    </cfRule>
  </conditionalFormatting>
  <conditionalFormatting sqref="D284">
    <cfRule type="cellIs" dxfId="417" priority="871" operator="equal">
      <formula>0</formula>
    </cfRule>
  </conditionalFormatting>
  <conditionalFormatting sqref="D284">
    <cfRule type="cellIs" dxfId="416" priority="870" operator="notEqual">
      <formula>0</formula>
    </cfRule>
  </conditionalFormatting>
  <conditionalFormatting sqref="E283">
    <cfRule type="cellIs" dxfId="415" priority="869" operator="equal">
      <formula>0</formula>
    </cfRule>
  </conditionalFormatting>
  <conditionalFormatting sqref="E283">
    <cfRule type="cellIs" dxfId="414" priority="868" operator="notEqual">
      <formula>0</formula>
    </cfRule>
  </conditionalFormatting>
  <conditionalFormatting sqref="E284">
    <cfRule type="cellIs" dxfId="413" priority="867" operator="equal">
      <formula>0</formula>
    </cfRule>
  </conditionalFormatting>
  <conditionalFormatting sqref="E284">
    <cfRule type="cellIs" dxfId="412" priority="866" operator="notEqual">
      <formula>0</formula>
    </cfRule>
  </conditionalFormatting>
  <conditionalFormatting sqref="F283">
    <cfRule type="cellIs" dxfId="411" priority="865" operator="equal">
      <formula>0</formula>
    </cfRule>
  </conditionalFormatting>
  <conditionalFormatting sqref="F283">
    <cfRule type="cellIs" dxfId="410" priority="864" operator="notEqual">
      <formula>0</formula>
    </cfRule>
  </conditionalFormatting>
  <conditionalFormatting sqref="F284">
    <cfRule type="cellIs" dxfId="409" priority="863" operator="equal">
      <formula>0</formula>
    </cfRule>
  </conditionalFormatting>
  <conditionalFormatting sqref="F284">
    <cfRule type="cellIs" dxfId="408" priority="862" operator="notEqual">
      <formula>0</formula>
    </cfRule>
  </conditionalFormatting>
  <conditionalFormatting sqref="D283">
    <cfRule type="cellIs" dxfId="407" priority="873" operator="equal">
      <formula>0</formula>
    </cfRule>
  </conditionalFormatting>
  <conditionalFormatting sqref="D283">
    <cfRule type="cellIs" dxfId="406" priority="872" operator="notEqual">
      <formula>0</formula>
    </cfRule>
  </conditionalFormatting>
  <conditionalFormatting sqref="D286">
    <cfRule type="cellIs" dxfId="405" priority="855" operator="equal">
      <formula>0</formula>
    </cfRule>
  </conditionalFormatting>
  <conditionalFormatting sqref="D286">
    <cfRule type="cellIs" dxfId="404" priority="854" operator="notEqual">
      <formula>0</formula>
    </cfRule>
  </conditionalFormatting>
  <conditionalFormatting sqref="E285">
    <cfRule type="cellIs" dxfId="403" priority="853" operator="equal">
      <formula>0</formula>
    </cfRule>
  </conditionalFormatting>
  <conditionalFormatting sqref="E285">
    <cfRule type="cellIs" dxfId="402" priority="852" operator="notEqual">
      <formula>0</formula>
    </cfRule>
  </conditionalFormatting>
  <conditionalFormatting sqref="E286">
    <cfRule type="cellIs" dxfId="401" priority="851" operator="equal">
      <formula>0</formula>
    </cfRule>
  </conditionalFormatting>
  <conditionalFormatting sqref="E286">
    <cfRule type="cellIs" dxfId="400" priority="850" operator="notEqual">
      <formula>0</formula>
    </cfRule>
  </conditionalFormatting>
  <conditionalFormatting sqref="E330">
    <cfRule type="cellIs" dxfId="399" priority="408" operator="equal">
      <formula>0</formula>
    </cfRule>
  </conditionalFormatting>
  <conditionalFormatting sqref="E330">
    <cfRule type="cellIs" dxfId="398" priority="407" operator="notEqual">
      <formula>0</formula>
    </cfRule>
  </conditionalFormatting>
  <conditionalFormatting sqref="F286">
    <cfRule type="cellIs" dxfId="397" priority="847" operator="equal">
      <formula>0</formula>
    </cfRule>
  </conditionalFormatting>
  <conditionalFormatting sqref="F286">
    <cfRule type="cellIs" dxfId="396" priority="846" operator="notEqual">
      <formula>0</formula>
    </cfRule>
  </conditionalFormatting>
  <conditionalFormatting sqref="D285">
    <cfRule type="cellIs" dxfId="395" priority="857" operator="equal">
      <formula>0</formula>
    </cfRule>
  </conditionalFormatting>
  <conditionalFormatting sqref="D285">
    <cfRule type="cellIs" dxfId="394" priority="856" operator="notEqual">
      <formula>0</formula>
    </cfRule>
  </conditionalFormatting>
  <conditionalFormatting sqref="E295">
    <cfRule type="cellIs" dxfId="393" priority="773" operator="equal">
      <formula>0</formula>
    </cfRule>
  </conditionalFormatting>
  <conditionalFormatting sqref="E295">
    <cfRule type="cellIs" dxfId="392" priority="772" operator="notEqual">
      <formula>0</formula>
    </cfRule>
  </conditionalFormatting>
  <conditionalFormatting sqref="E296">
    <cfRule type="cellIs" dxfId="391" priority="771" operator="equal">
      <formula>0</formula>
    </cfRule>
  </conditionalFormatting>
  <conditionalFormatting sqref="E296">
    <cfRule type="cellIs" dxfId="390" priority="770" operator="notEqual">
      <formula>0</formula>
    </cfRule>
  </conditionalFormatting>
  <conditionalFormatting sqref="F295">
    <cfRule type="cellIs" dxfId="389" priority="769" operator="equal">
      <formula>0</formula>
    </cfRule>
  </conditionalFormatting>
  <conditionalFormatting sqref="F295">
    <cfRule type="cellIs" dxfId="388" priority="768" operator="notEqual">
      <formula>0</formula>
    </cfRule>
  </conditionalFormatting>
  <conditionalFormatting sqref="F296">
    <cfRule type="cellIs" dxfId="387" priority="767" operator="equal">
      <formula>0</formula>
    </cfRule>
  </conditionalFormatting>
  <conditionalFormatting sqref="F296">
    <cfRule type="cellIs" dxfId="386" priority="766" operator="notEqual">
      <formula>0</formula>
    </cfRule>
  </conditionalFormatting>
  <conditionalFormatting sqref="D297">
    <cfRule type="cellIs" dxfId="385" priority="761" operator="equal">
      <formula>0</formula>
    </cfRule>
  </conditionalFormatting>
  <conditionalFormatting sqref="D297">
    <cfRule type="cellIs" dxfId="384" priority="760" operator="notEqual">
      <formula>0</formula>
    </cfRule>
  </conditionalFormatting>
  <conditionalFormatting sqref="D296">
    <cfRule type="cellIs" dxfId="383" priority="775" operator="equal">
      <formula>0</formula>
    </cfRule>
  </conditionalFormatting>
  <conditionalFormatting sqref="D296">
    <cfRule type="cellIs" dxfId="382" priority="774" operator="notEqual">
      <formula>0</formula>
    </cfRule>
  </conditionalFormatting>
  <conditionalFormatting sqref="D288">
    <cfRule type="cellIs" dxfId="381" priority="839" operator="equal">
      <formula>0</formula>
    </cfRule>
  </conditionalFormatting>
  <conditionalFormatting sqref="D288">
    <cfRule type="cellIs" dxfId="380" priority="838" operator="notEqual">
      <formula>0</formula>
    </cfRule>
  </conditionalFormatting>
  <conditionalFormatting sqref="E287">
    <cfRule type="cellIs" dxfId="379" priority="837" operator="equal">
      <formula>0</formula>
    </cfRule>
  </conditionalFormatting>
  <conditionalFormatting sqref="E287">
    <cfRule type="cellIs" dxfId="378" priority="836" operator="notEqual">
      <formula>0</formula>
    </cfRule>
  </conditionalFormatting>
  <conditionalFormatting sqref="E288">
    <cfRule type="cellIs" dxfId="377" priority="835" operator="equal">
      <formula>0</formula>
    </cfRule>
  </conditionalFormatting>
  <conditionalFormatting sqref="E288">
    <cfRule type="cellIs" dxfId="376" priority="834" operator="notEqual">
      <formula>0</formula>
    </cfRule>
  </conditionalFormatting>
  <conditionalFormatting sqref="F287">
    <cfRule type="cellIs" dxfId="375" priority="833" operator="equal">
      <formula>0</formula>
    </cfRule>
  </conditionalFormatting>
  <conditionalFormatting sqref="F287">
    <cfRule type="cellIs" dxfId="374" priority="832" operator="notEqual">
      <formula>0</formula>
    </cfRule>
  </conditionalFormatting>
  <conditionalFormatting sqref="F327">
    <cfRule type="cellIs" dxfId="373" priority="390" operator="equal">
      <formula>0</formula>
    </cfRule>
  </conditionalFormatting>
  <conditionalFormatting sqref="F327">
    <cfRule type="cellIs" dxfId="372" priority="389" operator="notEqual">
      <formula>0</formula>
    </cfRule>
  </conditionalFormatting>
  <conditionalFormatting sqref="F328">
    <cfRule type="cellIs" dxfId="371" priority="388" operator="equal">
      <formula>0</formula>
    </cfRule>
  </conditionalFormatting>
  <conditionalFormatting sqref="F328">
    <cfRule type="cellIs" dxfId="370" priority="387" operator="notEqual">
      <formula>0</formula>
    </cfRule>
  </conditionalFormatting>
  <conditionalFormatting sqref="D287">
    <cfRule type="cellIs" dxfId="369" priority="841" operator="equal">
      <formula>0</formula>
    </cfRule>
  </conditionalFormatting>
  <conditionalFormatting sqref="D287">
    <cfRule type="cellIs" dxfId="368" priority="840" operator="notEqual">
      <formula>0</formula>
    </cfRule>
  </conditionalFormatting>
  <conditionalFormatting sqref="D290">
    <cfRule type="cellIs" dxfId="367" priority="823" operator="equal">
      <formula>0</formula>
    </cfRule>
  </conditionalFormatting>
  <conditionalFormatting sqref="D290">
    <cfRule type="cellIs" dxfId="366" priority="822" operator="notEqual">
      <formula>0</formula>
    </cfRule>
  </conditionalFormatting>
  <conditionalFormatting sqref="E289">
    <cfRule type="cellIs" dxfId="365" priority="821" operator="equal">
      <formula>0</formula>
    </cfRule>
  </conditionalFormatting>
  <conditionalFormatting sqref="E289">
    <cfRule type="cellIs" dxfId="364" priority="820" operator="notEqual">
      <formula>0</formula>
    </cfRule>
  </conditionalFormatting>
  <conditionalFormatting sqref="E290">
    <cfRule type="cellIs" dxfId="363" priority="819" operator="equal">
      <formula>0</formula>
    </cfRule>
  </conditionalFormatting>
  <conditionalFormatting sqref="E290">
    <cfRule type="cellIs" dxfId="362" priority="818" operator="notEqual">
      <formula>0</formula>
    </cfRule>
  </conditionalFormatting>
  <conditionalFormatting sqref="F289">
    <cfRule type="cellIs" dxfId="361" priority="817" operator="equal">
      <formula>0</formula>
    </cfRule>
  </conditionalFormatting>
  <conditionalFormatting sqref="F289">
    <cfRule type="cellIs" dxfId="360" priority="816" operator="notEqual">
      <formula>0</formula>
    </cfRule>
  </conditionalFormatting>
  <conditionalFormatting sqref="F290">
    <cfRule type="cellIs" dxfId="359" priority="815" operator="equal">
      <formula>0</formula>
    </cfRule>
  </conditionalFormatting>
  <conditionalFormatting sqref="F290">
    <cfRule type="cellIs" dxfId="358" priority="814" operator="notEqual">
      <formula>0</formula>
    </cfRule>
  </conditionalFormatting>
  <conditionalFormatting sqref="E292">
    <cfRule type="cellIs" dxfId="357" priority="803" operator="equal">
      <formula>0</formula>
    </cfRule>
  </conditionalFormatting>
  <conditionalFormatting sqref="E292">
    <cfRule type="cellIs" dxfId="356" priority="802" operator="notEqual">
      <formula>0</formula>
    </cfRule>
  </conditionalFormatting>
  <conditionalFormatting sqref="F291">
    <cfRule type="cellIs" dxfId="355" priority="801" operator="equal">
      <formula>0</formula>
    </cfRule>
  </conditionalFormatting>
  <conditionalFormatting sqref="F291">
    <cfRule type="cellIs" dxfId="354" priority="800" operator="notEqual">
      <formula>0</formula>
    </cfRule>
  </conditionalFormatting>
  <conditionalFormatting sqref="D292">
    <cfRule type="cellIs" dxfId="353" priority="807" operator="equal">
      <formula>0</formula>
    </cfRule>
  </conditionalFormatting>
  <conditionalFormatting sqref="D292">
    <cfRule type="cellIs" dxfId="352" priority="806" operator="notEqual">
      <formula>0</formula>
    </cfRule>
  </conditionalFormatting>
  <conditionalFormatting sqref="E291">
    <cfRule type="cellIs" dxfId="351" priority="805" operator="equal">
      <formula>0</formula>
    </cfRule>
  </conditionalFormatting>
  <conditionalFormatting sqref="E291">
    <cfRule type="cellIs" dxfId="350" priority="804" operator="notEqual">
      <formula>0</formula>
    </cfRule>
  </conditionalFormatting>
  <conditionalFormatting sqref="F322">
    <cfRule type="cellIs" dxfId="349" priority="452" operator="equal">
      <formula>0</formula>
    </cfRule>
  </conditionalFormatting>
  <conditionalFormatting sqref="F322">
    <cfRule type="cellIs" dxfId="348" priority="451" operator="notEqual">
      <formula>0</formula>
    </cfRule>
  </conditionalFormatting>
  <conditionalFormatting sqref="D323">
    <cfRule type="cellIs" dxfId="347" priority="446" operator="equal">
      <formula>0</formula>
    </cfRule>
  </conditionalFormatting>
  <conditionalFormatting sqref="D323">
    <cfRule type="cellIs" dxfId="346" priority="445" operator="notEqual">
      <formula>0</formula>
    </cfRule>
  </conditionalFormatting>
  <conditionalFormatting sqref="D324">
    <cfRule type="cellIs" dxfId="345" priority="444" operator="equal">
      <formula>0</formula>
    </cfRule>
  </conditionalFormatting>
  <conditionalFormatting sqref="D324">
    <cfRule type="cellIs" dxfId="344" priority="443" operator="notEqual">
      <formula>0</formula>
    </cfRule>
  </conditionalFormatting>
  <conditionalFormatting sqref="D291">
    <cfRule type="cellIs" dxfId="343" priority="809" operator="equal">
      <formula>0</formula>
    </cfRule>
  </conditionalFormatting>
  <conditionalFormatting sqref="D291">
    <cfRule type="cellIs" dxfId="342" priority="808" operator="notEqual">
      <formula>0</formula>
    </cfRule>
  </conditionalFormatting>
  <conditionalFormatting sqref="D320">
    <cfRule type="cellIs" dxfId="341" priority="476" operator="equal">
      <formula>0</formula>
    </cfRule>
  </conditionalFormatting>
  <conditionalFormatting sqref="D320">
    <cfRule type="cellIs" dxfId="340" priority="475" operator="notEqual">
      <formula>0</formula>
    </cfRule>
  </conditionalFormatting>
  <conditionalFormatting sqref="E319">
    <cfRule type="cellIs" dxfId="339" priority="474" operator="equal">
      <formula>0</formula>
    </cfRule>
  </conditionalFormatting>
  <conditionalFormatting sqref="E319">
    <cfRule type="cellIs" dxfId="338" priority="473" operator="notEqual">
      <formula>0</formula>
    </cfRule>
  </conditionalFormatting>
  <conditionalFormatting sqref="E320">
    <cfRule type="cellIs" dxfId="337" priority="472" operator="equal">
      <formula>0</formula>
    </cfRule>
  </conditionalFormatting>
  <conditionalFormatting sqref="E320">
    <cfRule type="cellIs" dxfId="336" priority="471" operator="notEqual">
      <formula>0</formula>
    </cfRule>
  </conditionalFormatting>
  <conditionalFormatting sqref="E321">
    <cfRule type="cellIs" dxfId="335" priority="458" operator="equal">
      <formula>0</formula>
    </cfRule>
  </conditionalFormatting>
  <conditionalFormatting sqref="E321">
    <cfRule type="cellIs" dxfId="334" priority="457" operator="notEqual">
      <formula>0</formula>
    </cfRule>
  </conditionalFormatting>
  <conditionalFormatting sqref="F319">
    <cfRule type="cellIs" dxfId="333" priority="470" operator="equal">
      <formula>0</formula>
    </cfRule>
  </conditionalFormatting>
  <conditionalFormatting sqref="F319">
    <cfRule type="cellIs" dxfId="332" priority="469" operator="notEqual">
      <formula>0</formula>
    </cfRule>
  </conditionalFormatting>
  <conditionalFormatting sqref="E322">
    <cfRule type="cellIs" dxfId="331" priority="456" operator="equal">
      <formula>0</formula>
    </cfRule>
  </conditionalFormatting>
  <conditionalFormatting sqref="E322">
    <cfRule type="cellIs" dxfId="330" priority="455" operator="notEqual">
      <formula>0</formula>
    </cfRule>
  </conditionalFormatting>
  <conditionalFormatting sqref="F321">
    <cfRule type="cellIs" dxfId="329" priority="454" operator="equal">
      <formula>0</formula>
    </cfRule>
  </conditionalFormatting>
  <conditionalFormatting sqref="F321">
    <cfRule type="cellIs" dxfId="328" priority="453" operator="notEqual">
      <formula>0</formula>
    </cfRule>
  </conditionalFormatting>
  <conditionalFormatting sqref="D319">
    <cfRule type="cellIs" dxfId="327" priority="478" operator="equal">
      <formula>0</formula>
    </cfRule>
  </conditionalFormatting>
  <conditionalFormatting sqref="D319">
    <cfRule type="cellIs" dxfId="326" priority="477" operator="notEqual">
      <formula>0</formula>
    </cfRule>
  </conditionalFormatting>
  <conditionalFormatting sqref="D293">
    <cfRule type="cellIs" dxfId="325" priority="793" operator="equal">
      <formula>0</formula>
    </cfRule>
  </conditionalFormatting>
  <conditionalFormatting sqref="D293">
    <cfRule type="cellIs" dxfId="324" priority="792" operator="notEqual">
      <formula>0</formula>
    </cfRule>
  </conditionalFormatting>
  <conditionalFormatting sqref="D294">
    <cfRule type="cellIs" dxfId="323" priority="791" operator="equal">
      <formula>0</formula>
    </cfRule>
  </conditionalFormatting>
  <conditionalFormatting sqref="D294">
    <cfRule type="cellIs" dxfId="322" priority="790" operator="notEqual">
      <formula>0</formula>
    </cfRule>
  </conditionalFormatting>
  <conditionalFormatting sqref="E293">
    <cfRule type="cellIs" dxfId="321" priority="789" operator="equal">
      <formula>0</formula>
    </cfRule>
  </conditionalFormatting>
  <conditionalFormatting sqref="E293">
    <cfRule type="cellIs" dxfId="320" priority="788" operator="notEqual">
      <formula>0</formula>
    </cfRule>
  </conditionalFormatting>
  <conditionalFormatting sqref="E294">
    <cfRule type="cellIs" dxfId="319" priority="787" operator="equal">
      <formula>0</formula>
    </cfRule>
  </conditionalFormatting>
  <conditionalFormatting sqref="E294">
    <cfRule type="cellIs" dxfId="318" priority="786" operator="notEqual">
      <formula>0</formula>
    </cfRule>
  </conditionalFormatting>
  <conditionalFormatting sqref="F293">
    <cfRule type="cellIs" dxfId="317" priority="785" operator="equal">
      <formula>0</formula>
    </cfRule>
  </conditionalFormatting>
  <conditionalFormatting sqref="F293">
    <cfRule type="cellIs" dxfId="316" priority="784" operator="notEqual">
      <formula>0</formula>
    </cfRule>
  </conditionalFormatting>
  <conditionalFormatting sqref="F320">
    <cfRule type="cellIs" dxfId="315" priority="468" operator="equal">
      <formula>0</formula>
    </cfRule>
  </conditionalFormatting>
  <conditionalFormatting sqref="F320">
    <cfRule type="cellIs" dxfId="314" priority="467" operator="notEqual">
      <formula>0</formula>
    </cfRule>
  </conditionalFormatting>
  <conditionalFormatting sqref="E336">
    <cfRule type="cellIs" dxfId="313" priority="263" operator="equal">
      <formula>0</formula>
    </cfRule>
  </conditionalFormatting>
  <conditionalFormatting sqref="F264">
    <cfRule type="cellIs" dxfId="312" priority="986" operator="equal">
      <formula>0</formula>
    </cfRule>
  </conditionalFormatting>
  <conditionalFormatting sqref="D263:D264">
    <cfRule type="cellIs" dxfId="311" priority="1009" operator="equal">
      <formula>0</formula>
    </cfRule>
  </conditionalFormatting>
  <conditionalFormatting sqref="E263">
    <cfRule type="cellIs" dxfId="310" priority="1008" operator="equal">
      <formula>0</formula>
    </cfRule>
  </conditionalFormatting>
  <conditionalFormatting sqref="F323">
    <cfRule type="cellIs" dxfId="309" priority="438" operator="equal">
      <formula>0</formula>
    </cfRule>
  </conditionalFormatting>
  <conditionalFormatting sqref="F323">
    <cfRule type="cellIs" dxfId="308" priority="437" operator="notEqual">
      <formula>0</formula>
    </cfRule>
  </conditionalFormatting>
  <conditionalFormatting sqref="E324">
    <cfRule type="cellIs" dxfId="307" priority="440" operator="equal">
      <formula>0</formula>
    </cfRule>
  </conditionalFormatting>
  <conditionalFormatting sqref="E324">
    <cfRule type="cellIs" dxfId="306" priority="439" operator="notEqual">
      <formula>0</formula>
    </cfRule>
  </conditionalFormatting>
  <conditionalFormatting sqref="E328">
    <cfRule type="cellIs" dxfId="305" priority="392" operator="equal">
      <formula>0</formula>
    </cfRule>
  </conditionalFormatting>
  <conditionalFormatting sqref="E328">
    <cfRule type="cellIs" dxfId="304" priority="391" operator="notEqual">
      <formula>0</formula>
    </cfRule>
  </conditionalFormatting>
  <conditionalFormatting sqref="F324">
    <cfRule type="cellIs" dxfId="303" priority="436" operator="equal">
      <formula>0</formula>
    </cfRule>
  </conditionalFormatting>
  <conditionalFormatting sqref="F324">
    <cfRule type="cellIs" dxfId="302" priority="435" operator="notEqual">
      <formula>0</formula>
    </cfRule>
  </conditionalFormatting>
  <conditionalFormatting sqref="F294">
    <cfRule type="cellIs" dxfId="301" priority="783" operator="equal">
      <formula>0</formula>
    </cfRule>
  </conditionalFormatting>
  <conditionalFormatting sqref="F294">
    <cfRule type="cellIs" dxfId="300" priority="782" operator="notEqual">
      <formula>0</formula>
    </cfRule>
  </conditionalFormatting>
  <conditionalFormatting sqref="E38">
    <cfRule type="cellIs" dxfId="299" priority="62" operator="equal">
      <formula>0</formula>
    </cfRule>
  </conditionalFormatting>
  <conditionalFormatting sqref="F278">
    <cfRule type="cellIs" dxfId="298" priority="696" operator="equal">
      <formula>0</formula>
    </cfRule>
  </conditionalFormatting>
  <conditionalFormatting sqref="F267">
    <cfRule type="cellIs" dxfId="297" priority="982" operator="equal">
      <formula>0</formula>
    </cfRule>
  </conditionalFormatting>
  <conditionalFormatting sqref="F329">
    <cfRule type="cellIs" dxfId="296" priority="406" operator="equal">
      <formula>0</formula>
    </cfRule>
  </conditionalFormatting>
  <conditionalFormatting sqref="F329">
    <cfRule type="cellIs" dxfId="295" priority="405" operator="notEqual">
      <formula>0</formula>
    </cfRule>
  </conditionalFormatting>
  <conditionalFormatting sqref="D349">
    <cfRule type="cellIs" dxfId="294" priority="254" operator="equal">
      <formula>0</formula>
    </cfRule>
  </conditionalFormatting>
  <conditionalFormatting sqref="D349">
    <cfRule type="cellIs" dxfId="293" priority="253" operator="notEqual">
      <formula>0</formula>
    </cfRule>
  </conditionalFormatting>
  <conditionalFormatting sqref="F330">
    <cfRule type="cellIs" dxfId="292" priority="404" operator="equal">
      <formula>0</formula>
    </cfRule>
  </conditionalFormatting>
  <conditionalFormatting sqref="F330">
    <cfRule type="cellIs" dxfId="291" priority="403" operator="notEqual">
      <formula>0</formula>
    </cfRule>
  </conditionalFormatting>
  <conditionalFormatting sqref="E327">
    <cfRule type="cellIs" dxfId="290" priority="394" operator="equal">
      <formula>0</formula>
    </cfRule>
  </conditionalFormatting>
  <conditionalFormatting sqref="E327">
    <cfRule type="cellIs" dxfId="289" priority="393" operator="notEqual">
      <formula>0</formula>
    </cfRule>
  </conditionalFormatting>
  <conditionalFormatting sqref="D267:D268">
    <cfRule type="cellIs" dxfId="288" priority="985" operator="equal">
      <formula>0</formula>
    </cfRule>
  </conditionalFormatting>
  <conditionalFormatting sqref="E267">
    <cfRule type="cellIs" dxfId="287" priority="984" operator="equal">
      <formula>0</formula>
    </cfRule>
  </conditionalFormatting>
  <conditionalFormatting sqref="D329">
    <cfRule type="cellIs" dxfId="286" priority="414" operator="equal">
      <formula>0</formula>
    </cfRule>
  </conditionalFormatting>
  <conditionalFormatting sqref="D329">
    <cfRule type="cellIs" dxfId="285" priority="413" operator="notEqual">
      <formula>0</formula>
    </cfRule>
  </conditionalFormatting>
  <conditionalFormatting sqref="D352">
    <cfRule type="cellIs" dxfId="284" priority="236" operator="equal">
      <formula>0</formula>
    </cfRule>
  </conditionalFormatting>
  <conditionalFormatting sqref="D352">
    <cfRule type="cellIs" dxfId="283" priority="235" operator="notEqual">
      <formula>0</formula>
    </cfRule>
  </conditionalFormatting>
  <conditionalFormatting sqref="E351">
    <cfRule type="cellIs" dxfId="282" priority="234" operator="equal">
      <formula>0</formula>
    </cfRule>
  </conditionalFormatting>
  <conditionalFormatting sqref="E351">
    <cfRule type="cellIs" dxfId="281" priority="233" operator="notEqual">
      <formula>0</formula>
    </cfRule>
  </conditionalFormatting>
  <conditionalFormatting sqref="E352">
    <cfRule type="cellIs" dxfId="280" priority="232" operator="equal">
      <formula>0</formula>
    </cfRule>
  </conditionalFormatting>
  <conditionalFormatting sqref="E352">
    <cfRule type="cellIs" dxfId="279" priority="231" operator="notEqual">
      <formula>0</formula>
    </cfRule>
  </conditionalFormatting>
  <conditionalFormatting sqref="F351">
    <cfRule type="cellIs" dxfId="278" priority="230" operator="equal">
      <formula>0</formula>
    </cfRule>
  </conditionalFormatting>
  <conditionalFormatting sqref="F351">
    <cfRule type="cellIs" dxfId="277" priority="229" operator="notEqual">
      <formula>0</formula>
    </cfRule>
  </conditionalFormatting>
  <conditionalFormatting sqref="F352">
    <cfRule type="cellIs" dxfId="276" priority="228" operator="equal">
      <formula>0</formula>
    </cfRule>
  </conditionalFormatting>
  <conditionalFormatting sqref="F352">
    <cfRule type="cellIs" dxfId="275" priority="227" operator="notEqual">
      <formula>0</formula>
    </cfRule>
  </conditionalFormatting>
  <conditionalFormatting sqref="D350">
    <cfRule type="cellIs" dxfId="274" priority="252" operator="equal">
      <formula>0</formula>
    </cfRule>
  </conditionalFormatting>
  <conditionalFormatting sqref="D350">
    <cfRule type="cellIs" dxfId="273" priority="251" operator="notEqual">
      <formula>0</formula>
    </cfRule>
  </conditionalFormatting>
  <conditionalFormatting sqref="D330">
    <cfRule type="cellIs" dxfId="272" priority="412" operator="equal">
      <formula>0</formula>
    </cfRule>
  </conditionalFormatting>
  <conditionalFormatting sqref="D330">
    <cfRule type="cellIs" dxfId="271" priority="411" operator="notEqual">
      <formula>0</formula>
    </cfRule>
  </conditionalFormatting>
  <conditionalFormatting sqref="E329">
    <cfRule type="cellIs" dxfId="270" priority="410" operator="equal">
      <formula>0</formula>
    </cfRule>
  </conditionalFormatting>
  <conditionalFormatting sqref="E329">
    <cfRule type="cellIs" dxfId="269" priority="409" operator="notEqual">
      <formula>0</formula>
    </cfRule>
  </conditionalFormatting>
  <conditionalFormatting sqref="E268">
    <cfRule type="cellIs" dxfId="268" priority="913" operator="equal">
      <formula>0</formula>
    </cfRule>
  </conditionalFormatting>
  <conditionalFormatting sqref="F268">
    <cfRule type="cellIs" dxfId="267" priority="912" operator="equal">
      <formula>0</formula>
    </cfRule>
  </conditionalFormatting>
  <conditionalFormatting sqref="F314">
    <cfRule type="cellIs" dxfId="266" priority="380" operator="equal">
      <formula>0</formula>
    </cfRule>
  </conditionalFormatting>
  <conditionalFormatting sqref="F336">
    <cfRule type="cellIs" dxfId="265" priority="262" operator="equal">
      <formula>0</formula>
    </cfRule>
  </conditionalFormatting>
  <conditionalFormatting sqref="F38">
    <cfRule type="cellIs" dxfId="264" priority="61" operator="equal">
      <formula>0</formula>
    </cfRule>
  </conditionalFormatting>
  <conditionalFormatting sqref="D277:D278">
    <cfRule type="cellIs" dxfId="263" priority="911" operator="equal">
      <formula>0</formula>
    </cfRule>
  </conditionalFormatting>
  <conditionalFormatting sqref="E277">
    <cfRule type="cellIs" dxfId="262" priority="910" operator="equal">
      <formula>0</formula>
    </cfRule>
  </conditionalFormatting>
  <conditionalFormatting sqref="D309">
    <cfRule type="cellIs" dxfId="261" priority="686" operator="equal">
      <formula>0</formula>
    </cfRule>
  </conditionalFormatting>
  <conditionalFormatting sqref="D309">
    <cfRule type="cellIs" dxfId="260" priority="685" operator="notEqual">
      <formula>0</formula>
    </cfRule>
  </conditionalFormatting>
  <conditionalFormatting sqref="D310">
    <cfRule type="cellIs" dxfId="259" priority="684" operator="equal">
      <formula>0</formula>
    </cfRule>
  </conditionalFormatting>
  <conditionalFormatting sqref="D310">
    <cfRule type="cellIs" dxfId="258" priority="683" operator="notEqual">
      <formula>0</formula>
    </cfRule>
  </conditionalFormatting>
  <conditionalFormatting sqref="E310">
    <cfRule type="cellIs" dxfId="257" priority="680" operator="equal">
      <formula>0</formula>
    </cfRule>
  </conditionalFormatting>
  <conditionalFormatting sqref="E310">
    <cfRule type="cellIs" dxfId="256" priority="679" operator="notEqual">
      <formula>0</formula>
    </cfRule>
  </conditionalFormatting>
  <conditionalFormatting sqref="F309">
    <cfRule type="cellIs" dxfId="255" priority="678" operator="equal">
      <formula>0</formula>
    </cfRule>
  </conditionalFormatting>
  <conditionalFormatting sqref="F309">
    <cfRule type="cellIs" dxfId="254" priority="677" operator="notEqual">
      <formula>0</formula>
    </cfRule>
  </conditionalFormatting>
  <conditionalFormatting sqref="F310">
    <cfRule type="cellIs" dxfId="253" priority="676" operator="equal">
      <formula>0</formula>
    </cfRule>
  </conditionalFormatting>
  <conditionalFormatting sqref="F310">
    <cfRule type="cellIs" dxfId="252" priority="675" operator="notEqual">
      <formula>0</formula>
    </cfRule>
  </conditionalFormatting>
  <conditionalFormatting sqref="E309">
    <cfRule type="cellIs" dxfId="251" priority="682" operator="equal">
      <formula>0</formula>
    </cfRule>
  </conditionalFormatting>
  <conditionalFormatting sqref="E309">
    <cfRule type="cellIs" dxfId="250" priority="681" operator="notEqual">
      <formula>0</formula>
    </cfRule>
  </conditionalFormatting>
  <conditionalFormatting sqref="D353">
    <cfRule type="cellIs" dxfId="249" priority="222" operator="equal">
      <formula>0</formula>
    </cfRule>
  </conditionalFormatting>
  <conditionalFormatting sqref="D353">
    <cfRule type="cellIs" dxfId="248" priority="221" operator="notEqual">
      <formula>0</formula>
    </cfRule>
  </conditionalFormatting>
  <conditionalFormatting sqref="D354">
    <cfRule type="cellIs" dxfId="247" priority="220" operator="equal">
      <formula>0</formula>
    </cfRule>
  </conditionalFormatting>
  <conditionalFormatting sqref="D354">
    <cfRule type="cellIs" dxfId="246" priority="219" operator="notEqual">
      <formula>0</formula>
    </cfRule>
  </conditionalFormatting>
  <conditionalFormatting sqref="E354">
    <cfRule type="cellIs" dxfId="245" priority="216" operator="equal">
      <formula>0</formula>
    </cfRule>
  </conditionalFormatting>
  <conditionalFormatting sqref="E354">
    <cfRule type="cellIs" dxfId="244" priority="215" operator="notEqual">
      <formula>0</formula>
    </cfRule>
  </conditionalFormatting>
  <conditionalFormatting sqref="F353">
    <cfRule type="cellIs" dxfId="243" priority="214" operator="equal">
      <formula>0</formula>
    </cfRule>
  </conditionalFormatting>
  <conditionalFormatting sqref="F353">
    <cfRule type="cellIs" dxfId="242" priority="213" operator="notEqual">
      <formula>0</formula>
    </cfRule>
  </conditionalFormatting>
  <conditionalFormatting sqref="F354">
    <cfRule type="cellIs" dxfId="241" priority="212" operator="equal">
      <formula>0</formula>
    </cfRule>
  </conditionalFormatting>
  <conditionalFormatting sqref="F354">
    <cfRule type="cellIs" dxfId="240" priority="211" operator="notEqual">
      <formula>0</formula>
    </cfRule>
  </conditionalFormatting>
  <conditionalFormatting sqref="E353">
    <cfRule type="cellIs" dxfId="239" priority="218" operator="equal">
      <formula>0</formula>
    </cfRule>
  </conditionalFormatting>
  <conditionalFormatting sqref="E353">
    <cfRule type="cellIs" dxfId="238" priority="217" operator="notEqual">
      <formula>0</formula>
    </cfRule>
  </conditionalFormatting>
  <conditionalFormatting sqref="F350">
    <cfRule type="cellIs" dxfId="237" priority="244" operator="equal">
      <formula>0</formula>
    </cfRule>
  </conditionalFormatting>
  <conditionalFormatting sqref="F350">
    <cfRule type="cellIs" dxfId="236" priority="243" operator="notEqual">
      <formula>0</formula>
    </cfRule>
  </conditionalFormatting>
  <conditionalFormatting sqref="D295">
    <cfRule type="cellIs" dxfId="235" priority="777" operator="equal">
      <formula>0</formula>
    </cfRule>
  </conditionalFormatting>
  <conditionalFormatting sqref="D295">
    <cfRule type="cellIs" dxfId="234" priority="776" operator="notEqual">
      <formula>0</formula>
    </cfRule>
  </conditionalFormatting>
  <conditionalFormatting sqref="D341">
    <cfRule type="cellIs" dxfId="233" priority="327" operator="equal">
      <formula>0</formula>
    </cfRule>
  </conditionalFormatting>
  <conditionalFormatting sqref="D341">
    <cfRule type="cellIs" dxfId="232" priority="326" operator="notEqual">
      <formula>0</formula>
    </cfRule>
  </conditionalFormatting>
  <conditionalFormatting sqref="D298">
    <cfRule type="cellIs" dxfId="231" priority="759" operator="equal">
      <formula>0</formula>
    </cfRule>
  </conditionalFormatting>
  <conditionalFormatting sqref="D298">
    <cfRule type="cellIs" dxfId="230" priority="758" operator="notEqual">
      <formula>0</formula>
    </cfRule>
  </conditionalFormatting>
  <conditionalFormatting sqref="E297">
    <cfRule type="cellIs" dxfId="229" priority="757" operator="equal">
      <formula>0</formula>
    </cfRule>
  </conditionalFormatting>
  <conditionalFormatting sqref="E297">
    <cfRule type="cellIs" dxfId="228" priority="756" operator="notEqual">
      <formula>0</formula>
    </cfRule>
  </conditionalFormatting>
  <conditionalFormatting sqref="F297">
    <cfRule type="cellIs" dxfId="227" priority="753" operator="equal">
      <formula>0</formula>
    </cfRule>
  </conditionalFormatting>
  <conditionalFormatting sqref="F297">
    <cfRule type="cellIs" dxfId="226" priority="752" operator="notEqual">
      <formula>0</formula>
    </cfRule>
  </conditionalFormatting>
  <conditionalFormatting sqref="F298">
    <cfRule type="cellIs" dxfId="225" priority="751" operator="equal">
      <formula>0</formula>
    </cfRule>
  </conditionalFormatting>
  <conditionalFormatting sqref="F298">
    <cfRule type="cellIs" dxfId="224" priority="750" operator="notEqual">
      <formula>0</formula>
    </cfRule>
  </conditionalFormatting>
  <conditionalFormatting sqref="E298">
    <cfRule type="cellIs" dxfId="223" priority="755" operator="equal">
      <formula>0</formula>
    </cfRule>
  </conditionalFormatting>
  <conditionalFormatting sqref="E298">
    <cfRule type="cellIs" dxfId="222" priority="754" operator="notEqual">
      <formula>0</formula>
    </cfRule>
  </conditionalFormatting>
  <conditionalFormatting sqref="E349">
    <cfRule type="cellIs" dxfId="221" priority="250" operator="equal">
      <formula>0</formula>
    </cfRule>
  </conditionalFormatting>
  <conditionalFormatting sqref="E349">
    <cfRule type="cellIs" dxfId="220" priority="249" operator="notEqual">
      <formula>0</formula>
    </cfRule>
  </conditionalFormatting>
  <conditionalFormatting sqref="F349">
    <cfRule type="cellIs" dxfId="219" priority="246" operator="equal">
      <formula>0</formula>
    </cfRule>
  </conditionalFormatting>
  <conditionalFormatting sqref="F349">
    <cfRule type="cellIs" dxfId="218" priority="245" operator="notEqual">
      <formula>0</formula>
    </cfRule>
  </conditionalFormatting>
  <conditionalFormatting sqref="E350">
    <cfRule type="cellIs" dxfId="217" priority="248" operator="equal">
      <formula>0</formula>
    </cfRule>
  </conditionalFormatting>
  <conditionalFormatting sqref="E350">
    <cfRule type="cellIs" dxfId="216" priority="247" operator="notEqual">
      <formula>0</formula>
    </cfRule>
  </conditionalFormatting>
  <conditionalFormatting sqref="D351">
    <cfRule type="cellIs" dxfId="215" priority="238" operator="equal">
      <formula>0</formula>
    </cfRule>
  </conditionalFormatting>
  <conditionalFormatting sqref="D351">
    <cfRule type="cellIs" dxfId="214" priority="237" operator="notEqual">
      <formula>0</formula>
    </cfRule>
  </conditionalFormatting>
  <conditionalFormatting sqref="D338">
    <cfRule type="cellIs" dxfId="213" priority="341" operator="equal">
      <formula>0</formula>
    </cfRule>
  </conditionalFormatting>
  <conditionalFormatting sqref="D338">
    <cfRule type="cellIs" dxfId="212" priority="340" operator="notEqual">
      <formula>0</formula>
    </cfRule>
  </conditionalFormatting>
  <conditionalFormatting sqref="E337">
    <cfRule type="cellIs" dxfId="211" priority="339" operator="equal">
      <formula>0</formula>
    </cfRule>
  </conditionalFormatting>
  <conditionalFormatting sqref="E337">
    <cfRule type="cellIs" dxfId="210" priority="338" operator="notEqual">
      <formula>0</formula>
    </cfRule>
  </conditionalFormatting>
  <conditionalFormatting sqref="E338">
    <cfRule type="cellIs" dxfId="209" priority="337" operator="equal">
      <formula>0</formula>
    </cfRule>
  </conditionalFormatting>
  <conditionalFormatting sqref="E338">
    <cfRule type="cellIs" dxfId="208" priority="336" operator="notEqual">
      <formula>0</formula>
    </cfRule>
  </conditionalFormatting>
  <conditionalFormatting sqref="F337">
    <cfRule type="cellIs" dxfId="207" priority="335" operator="equal">
      <formula>0</formula>
    </cfRule>
  </conditionalFormatting>
  <conditionalFormatting sqref="F337">
    <cfRule type="cellIs" dxfId="206" priority="334" operator="notEqual">
      <formula>0</formula>
    </cfRule>
  </conditionalFormatting>
  <conditionalFormatting sqref="F358">
    <cfRule type="cellIs" dxfId="205" priority="180" operator="equal">
      <formula>0</formula>
    </cfRule>
  </conditionalFormatting>
  <conditionalFormatting sqref="F358">
    <cfRule type="cellIs" dxfId="204" priority="179" operator="notEqual">
      <formula>0</formula>
    </cfRule>
  </conditionalFormatting>
  <conditionalFormatting sqref="F338">
    <cfRule type="cellIs" dxfId="203" priority="333" operator="equal">
      <formula>0</formula>
    </cfRule>
  </conditionalFormatting>
  <conditionalFormatting sqref="F338">
    <cfRule type="cellIs" dxfId="202" priority="332" operator="notEqual">
      <formula>0</formula>
    </cfRule>
  </conditionalFormatting>
  <conditionalFormatting sqref="D342">
    <cfRule type="cellIs" dxfId="201" priority="325" operator="equal">
      <formula>0</formula>
    </cfRule>
  </conditionalFormatting>
  <conditionalFormatting sqref="D342">
    <cfRule type="cellIs" dxfId="200" priority="324" operator="notEqual">
      <formula>0</formula>
    </cfRule>
  </conditionalFormatting>
  <conditionalFormatting sqref="E341">
    <cfRule type="cellIs" dxfId="199" priority="323" operator="equal">
      <formula>0</formula>
    </cfRule>
  </conditionalFormatting>
  <conditionalFormatting sqref="E341">
    <cfRule type="cellIs" dxfId="198" priority="322" operator="notEqual">
      <formula>0</formula>
    </cfRule>
  </conditionalFormatting>
  <conditionalFormatting sqref="E342">
    <cfRule type="cellIs" dxfId="197" priority="321" operator="equal">
      <formula>0</formula>
    </cfRule>
  </conditionalFormatting>
  <conditionalFormatting sqref="E342">
    <cfRule type="cellIs" dxfId="196" priority="320" operator="notEqual">
      <formula>0</formula>
    </cfRule>
  </conditionalFormatting>
  <conditionalFormatting sqref="F341">
    <cfRule type="cellIs" dxfId="195" priority="319" operator="equal">
      <formula>0</formula>
    </cfRule>
  </conditionalFormatting>
  <conditionalFormatting sqref="F341">
    <cfRule type="cellIs" dxfId="194" priority="318" operator="notEqual">
      <formula>0</formula>
    </cfRule>
  </conditionalFormatting>
  <conditionalFormatting sqref="F342">
    <cfRule type="cellIs" dxfId="193" priority="317" operator="equal">
      <formula>0</formula>
    </cfRule>
  </conditionalFormatting>
  <conditionalFormatting sqref="F342">
    <cfRule type="cellIs" dxfId="192" priority="316" operator="notEqual">
      <formula>0</formula>
    </cfRule>
  </conditionalFormatting>
  <conditionalFormatting sqref="D343">
    <cfRule type="cellIs" dxfId="191" priority="311" operator="equal">
      <formula>0</formula>
    </cfRule>
  </conditionalFormatting>
  <conditionalFormatting sqref="D343">
    <cfRule type="cellIs" dxfId="190" priority="310" operator="notEqual">
      <formula>0</formula>
    </cfRule>
  </conditionalFormatting>
  <conditionalFormatting sqref="D355">
    <cfRule type="cellIs" dxfId="189" priority="206" operator="equal">
      <formula>0</formula>
    </cfRule>
  </conditionalFormatting>
  <conditionalFormatting sqref="D355">
    <cfRule type="cellIs" dxfId="188" priority="205" operator="notEqual">
      <formula>0</formula>
    </cfRule>
  </conditionalFormatting>
  <conditionalFormatting sqref="D356">
    <cfRule type="cellIs" dxfId="187" priority="204" operator="equal">
      <formula>0</formula>
    </cfRule>
  </conditionalFormatting>
  <conditionalFormatting sqref="D356">
    <cfRule type="cellIs" dxfId="186" priority="203" operator="notEqual">
      <formula>0</formula>
    </cfRule>
  </conditionalFormatting>
  <conditionalFormatting sqref="E355">
    <cfRule type="cellIs" dxfId="185" priority="202" operator="equal">
      <formula>0</formula>
    </cfRule>
  </conditionalFormatting>
  <conditionalFormatting sqref="E355">
    <cfRule type="cellIs" dxfId="184" priority="201" operator="notEqual">
      <formula>0</formula>
    </cfRule>
  </conditionalFormatting>
  <conditionalFormatting sqref="E356">
    <cfRule type="cellIs" dxfId="183" priority="200" operator="equal">
      <formula>0</formula>
    </cfRule>
  </conditionalFormatting>
  <conditionalFormatting sqref="E356">
    <cfRule type="cellIs" dxfId="182" priority="199" operator="notEqual">
      <formula>0</formula>
    </cfRule>
  </conditionalFormatting>
  <conditionalFormatting sqref="F355">
    <cfRule type="cellIs" dxfId="181" priority="198" operator="equal">
      <formula>0</formula>
    </cfRule>
  </conditionalFormatting>
  <conditionalFormatting sqref="F355">
    <cfRule type="cellIs" dxfId="180" priority="197" operator="notEqual">
      <formula>0</formula>
    </cfRule>
  </conditionalFormatting>
  <conditionalFormatting sqref="D347">
    <cfRule type="cellIs" dxfId="179" priority="279" operator="equal">
      <formula>0</formula>
    </cfRule>
  </conditionalFormatting>
  <conditionalFormatting sqref="D347">
    <cfRule type="cellIs" dxfId="178" priority="278" operator="notEqual">
      <formula>0</formula>
    </cfRule>
  </conditionalFormatting>
  <conditionalFormatting sqref="C306">
    <cfRule type="cellIs" dxfId="177" priority="695" operator="equal">
      <formula>0</formula>
    </cfRule>
  </conditionalFormatting>
  <conditionalFormatting sqref="D305">
    <cfRule type="cellIs" dxfId="176" priority="694" operator="equal">
      <formula>0</formula>
    </cfRule>
  </conditionalFormatting>
  <conditionalFormatting sqref="D306">
    <cfRule type="cellIs" dxfId="175" priority="693" operator="equal">
      <formula>0</formula>
    </cfRule>
  </conditionalFormatting>
  <conditionalFormatting sqref="E305">
    <cfRule type="cellIs" dxfId="174" priority="692" operator="equal">
      <formula>0</formula>
    </cfRule>
  </conditionalFormatting>
  <conditionalFormatting sqref="F305">
    <cfRule type="cellIs" dxfId="173" priority="690" operator="equal">
      <formula>0</formula>
    </cfRule>
  </conditionalFormatting>
  <conditionalFormatting sqref="F307">
    <cfRule type="cellIs" dxfId="172" priority="667" operator="equal">
      <formula>0</formula>
    </cfRule>
  </conditionalFormatting>
  <conditionalFormatting sqref="E307">
    <cfRule type="cellIs" dxfId="171" priority="669" operator="equal">
      <formula>0</formula>
    </cfRule>
  </conditionalFormatting>
  <conditionalFormatting sqref="D307:D308 E308">
    <cfRule type="cellIs" dxfId="170" priority="670" operator="equal">
      <formula>0</formula>
    </cfRule>
  </conditionalFormatting>
  <conditionalFormatting sqref="F308">
    <cfRule type="cellIs" dxfId="169" priority="645" operator="equal">
      <formula>0</formula>
    </cfRule>
  </conditionalFormatting>
  <conditionalFormatting sqref="F356">
    <cfRule type="cellIs" dxfId="168" priority="196" operator="equal">
      <formula>0</formula>
    </cfRule>
  </conditionalFormatting>
  <conditionalFormatting sqref="F356">
    <cfRule type="cellIs" dxfId="167" priority="195" operator="notEqual">
      <formula>0</formula>
    </cfRule>
  </conditionalFormatting>
  <conditionalFormatting sqref="F357">
    <cfRule type="cellIs" dxfId="166" priority="182" operator="equal">
      <formula>0</formula>
    </cfRule>
  </conditionalFormatting>
  <conditionalFormatting sqref="F357">
    <cfRule type="cellIs" dxfId="165" priority="181" operator="notEqual">
      <formula>0</formula>
    </cfRule>
  </conditionalFormatting>
  <conditionalFormatting sqref="D337">
    <cfRule type="cellIs" dxfId="164" priority="343" operator="equal">
      <formula>0</formula>
    </cfRule>
  </conditionalFormatting>
  <conditionalFormatting sqref="D337">
    <cfRule type="cellIs" dxfId="163" priority="342" operator="notEqual">
      <formula>0</formula>
    </cfRule>
  </conditionalFormatting>
  <conditionalFormatting sqref="D357">
    <cfRule type="cellIs" dxfId="162" priority="190" operator="equal">
      <formula>0</formula>
    </cfRule>
  </conditionalFormatting>
  <conditionalFormatting sqref="D357">
    <cfRule type="cellIs" dxfId="161" priority="189" operator="notEqual">
      <formula>0</formula>
    </cfRule>
  </conditionalFormatting>
  <conditionalFormatting sqref="D358">
    <cfRule type="cellIs" dxfId="160" priority="188" operator="equal">
      <formula>0</formula>
    </cfRule>
  </conditionalFormatting>
  <conditionalFormatting sqref="D358">
    <cfRule type="cellIs" dxfId="159" priority="187" operator="notEqual">
      <formula>0</formula>
    </cfRule>
  </conditionalFormatting>
  <conditionalFormatting sqref="E357">
    <cfRule type="cellIs" dxfId="158" priority="186" operator="equal">
      <formula>0</formula>
    </cfRule>
  </conditionalFormatting>
  <conditionalFormatting sqref="E357">
    <cfRule type="cellIs" dxfId="157" priority="185" operator="notEqual">
      <formula>0</formula>
    </cfRule>
  </conditionalFormatting>
  <conditionalFormatting sqref="E358">
    <cfRule type="cellIs" dxfId="156" priority="184" operator="equal">
      <formula>0</formula>
    </cfRule>
  </conditionalFormatting>
  <conditionalFormatting sqref="E358">
    <cfRule type="cellIs" dxfId="155" priority="183" operator="notEqual">
      <formula>0</formula>
    </cfRule>
  </conditionalFormatting>
  <conditionalFormatting sqref="F313">
    <cfRule type="cellIs" dxfId="154" priority="625" operator="equal">
      <formula>0</formula>
    </cfRule>
  </conditionalFormatting>
  <conditionalFormatting sqref="E313">
    <cfRule type="cellIs" dxfId="153" priority="627" operator="equal">
      <formula>0</formula>
    </cfRule>
  </conditionalFormatting>
  <conditionalFormatting sqref="D313:D314 E314">
    <cfRule type="cellIs" dxfId="152" priority="628" operator="equal">
      <formula>0</formula>
    </cfRule>
  </conditionalFormatting>
  <conditionalFormatting sqref="D344">
    <cfRule type="cellIs" dxfId="151" priority="309" operator="equal">
      <formula>0</formula>
    </cfRule>
  </conditionalFormatting>
  <conditionalFormatting sqref="D344">
    <cfRule type="cellIs" dxfId="150" priority="308" operator="notEqual">
      <formula>0</formula>
    </cfRule>
  </conditionalFormatting>
  <conditionalFormatting sqref="D345">
    <cfRule type="cellIs" dxfId="149" priority="295" operator="equal">
      <formula>0</formula>
    </cfRule>
  </conditionalFormatting>
  <conditionalFormatting sqref="D345">
    <cfRule type="cellIs" dxfId="148" priority="294" operator="notEqual">
      <formula>0</formula>
    </cfRule>
  </conditionalFormatting>
  <conditionalFormatting sqref="E343">
    <cfRule type="cellIs" dxfId="147" priority="307" operator="equal">
      <formula>0</formula>
    </cfRule>
  </conditionalFormatting>
  <conditionalFormatting sqref="E343">
    <cfRule type="cellIs" dxfId="146" priority="306" operator="notEqual">
      <formula>0</formula>
    </cfRule>
  </conditionalFormatting>
  <conditionalFormatting sqref="E344">
    <cfRule type="cellIs" dxfId="145" priority="305" operator="equal">
      <formula>0</formula>
    </cfRule>
  </conditionalFormatting>
  <conditionalFormatting sqref="E344">
    <cfRule type="cellIs" dxfId="144" priority="304" operator="notEqual">
      <formula>0</formula>
    </cfRule>
  </conditionalFormatting>
  <conditionalFormatting sqref="F343">
    <cfRule type="cellIs" dxfId="143" priority="303" operator="equal">
      <formula>0</formula>
    </cfRule>
  </conditionalFormatting>
  <conditionalFormatting sqref="F343">
    <cfRule type="cellIs" dxfId="142" priority="302" operator="notEqual">
      <formula>0</formula>
    </cfRule>
  </conditionalFormatting>
  <conditionalFormatting sqref="F344">
    <cfRule type="cellIs" dxfId="141" priority="301" operator="equal">
      <formula>0</formula>
    </cfRule>
  </conditionalFormatting>
  <conditionalFormatting sqref="F344">
    <cfRule type="cellIs" dxfId="140" priority="300" operator="notEqual">
      <formula>0</formula>
    </cfRule>
  </conditionalFormatting>
  <conditionalFormatting sqref="D346">
    <cfRule type="cellIs" dxfId="139" priority="293" operator="equal">
      <formula>0</formula>
    </cfRule>
  </conditionalFormatting>
  <conditionalFormatting sqref="D346">
    <cfRule type="cellIs" dxfId="138" priority="292" operator="notEqual">
      <formula>0</formula>
    </cfRule>
  </conditionalFormatting>
  <conditionalFormatting sqref="E345">
    <cfRule type="cellIs" dxfId="137" priority="291" operator="equal">
      <formula>0</formula>
    </cfRule>
  </conditionalFormatting>
  <conditionalFormatting sqref="E345">
    <cfRule type="cellIs" dxfId="136" priority="290" operator="notEqual">
      <formula>0</formula>
    </cfRule>
  </conditionalFormatting>
  <conditionalFormatting sqref="E346">
    <cfRule type="cellIs" dxfId="135" priority="289" operator="equal">
      <formula>0</formula>
    </cfRule>
  </conditionalFormatting>
  <conditionalFormatting sqref="E346">
    <cfRule type="cellIs" dxfId="134" priority="288" operator="notEqual">
      <formula>0</formula>
    </cfRule>
  </conditionalFormatting>
  <conditionalFormatting sqref="F345">
    <cfRule type="cellIs" dxfId="133" priority="287" operator="equal">
      <formula>0</formula>
    </cfRule>
  </conditionalFormatting>
  <conditionalFormatting sqref="F345">
    <cfRule type="cellIs" dxfId="132" priority="286" operator="notEqual">
      <formula>0</formula>
    </cfRule>
  </conditionalFormatting>
  <conditionalFormatting sqref="F346">
    <cfRule type="cellIs" dxfId="131" priority="285" operator="equal">
      <formula>0</formula>
    </cfRule>
  </conditionalFormatting>
  <conditionalFormatting sqref="F346">
    <cfRule type="cellIs" dxfId="130" priority="284" operator="notEqual">
      <formula>0</formula>
    </cfRule>
  </conditionalFormatting>
  <conditionalFormatting sqref="F381 F383">
    <cfRule type="cellIs" dxfId="129" priority="82" operator="equal">
      <formula>0</formula>
    </cfRule>
  </conditionalFormatting>
  <conditionalFormatting sqref="F381 F383">
    <cfRule type="cellIs" dxfId="128" priority="81" operator="notEqual">
      <formula>0</formula>
    </cfRule>
  </conditionalFormatting>
  <conditionalFormatting sqref="F382 F384">
    <cfRule type="cellIs" dxfId="127" priority="80" operator="equal">
      <formula>0</formula>
    </cfRule>
  </conditionalFormatting>
  <conditionalFormatting sqref="F382 F384">
    <cfRule type="cellIs" dxfId="126" priority="79" operator="notEqual">
      <formula>0</formula>
    </cfRule>
  </conditionalFormatting>
  <conditionalFormatting sqref="D348">
    <cfRule type="cellIs" dxfId="125" priority="277" operator="equal">
      <formula>0</formula>
    </cfRule>
  </conditionalFormatting>
  <conditionalFormatting sqref="D348">
    <cfRule type="cellIs" dxfId="124" priority="276" operator="notEqual">
      <formula>0</formula>
    </cfRule>
  </conditionalFormatting>
  <conditionalFormatting sqref="E347">
    <cfRule type="cellIs" dxfId="123" priority="275" operator="equal">
      <formula>0</formula>
    </cfRule>
  </conditionalFormatting>
  <conditionalFormatting sqref="E347">
    <cfRule type="cellIs" dxfId="122" priority="274" operator="notEqual">
      <formula>0</formula>
    </cfRule>
  </conditionalFormatting>
  <conditionalFormatting sqref="E348">
    <cfRule type="cellIs" dxfId="121" priority="273" operator="equal">
      <formula>0</formula>
    </cfRule>
  </conditionalFormatting>
  <conditionalFormatting sqref="E348">
    <cfRule type="cellIs" dxfId="120" priority="272" operator="notEqual">
      <formula>0</formula>
    </cfRule>
  </conditionalFormatting>
  <conditionalFormatting sqref="F347">
    <cfRule type="cellIs" dxfId="119" priority="271" operator="equal">
      <formula>0</formula>
    </cfRule>
  </conditionalFormatting>
  <conditionalFormatting sqref="F347">
    <cfRule type="cellIs" dxfId="118" priority="270" operator="notEqual">
      <formula>0</formula>
    </cfRule>
  </conditionalFormatting>
  <conditionalFormatting sqref="F348">
    <cfRule type="cellIs" dxfId="117" priority="269" operator="equal">
      <formula>0</formula>
    </cfRule>
  </conditionalFormatting>
  <conditionalFormatting sqref="F348">
    <cfRule type="cellIs" dxfId="116" priority="268" operator="notEqual">
      <formula>0</formula>
    </cfRule>
  </conditionalFormatting>
  <conditionalFormatting sqref="D365 D367 D369 D371 D373 D375">
    <cfRule type="cellIs" dxfId="115" priority="106" operator="equal">
      <formula>0</formula>
    </cfRule>
  </conditionalFormatting>
  <conditionalFormatting sqref="D365 D367 D369 D371 D373 D375">
    <cfRule type="cellIs" dxfId="114" priority="105" operator="notEqual">
      <formula>0</formula>
    </cfRule>
  </conditionalFormatting>
  <conditionalFormatting sqref="E365 E367 E369 E371 E373 E375">
    <cfRule type="cellIs" dxfId="113" priority="102" operator="equal">
      <formula>0</formula>
    </cfRule>
  </conditionalFormatting>
  <conditionalFormatting sqref="E365 E367 E369 E371 E373 E375">
    <cfRule type="cellIs" dxfId="112" priority="101" operator="notEqual">
      <formula>0</formula>
    </cfRule>
  </conditionalFormatting>
  <conditionalFormatting sqref="E366 E368 E370 E372 E374 E376">
    <cfRule type="cellIs" dxfId="111" priority="100" operator="equal">
      <formula>0</formula>
    </cfRule>
  </conditionalFormatting>
  <conditionalFormatting sqref="E366 E368 E370 E372 E374 E376">
    <cfRule type="cellIs" dxfId="110" priority="99" operator="notEqual">
      <formula>0</formula>
    </cfRule>
  </conditionalFormatting>
  <conditionalFormatting sqref="D366 D368 D370 D372 D374 D376">
    <cfRule type="cellIs" dxfId="109" priority="104" operator="equal">
      <formula>0</formula>
    </cfRule>
  </conditionalFormatting>
  <conditionalFormatting sqref="D366 D368 D370 D372 D374 D376">
    <cfRule type="cellIs" dxfId="108" priority="103" operator="notEqual">
      <formula>0</formula>
    </cfRule>
  </conditionalFormatting>
  <conditionalFormatting sqref="F365 F367 F369 F371 F373 F375">
    <cfRule type="cellIs" dxfId="107" priority="98" operator="equal">
      <formula>0</formula>
    </cfRule>
  </conditionalFormatting>
  <conditionalFormatting sqref="F365 F367 F369 F371 F373 F375">
    <cfRule type="cellIs" dxfId="106" priority="97" operator="notEqual">
      <formula>0</formula>
    </cfRule>
  </conditionalFormatting>
  <conditionalFormatting sqref="F366 F368 F370 F372 F374 F376">
    <cfRule type="cellIs" dxfId="105" priority="96" operator="equal">
      <formula>0</formula>
    </cfRule>
  </conditionalFormatting>
  <conditionalFormatting sqref="F366 F368 F370 F372 F374 F376">
    <cfRule type="cellIs" dxfId="104" priority="95" operator="notEqual">
      <formula>0</formula>
    </cfRule>
  </conditionalFormatting>
  <conditionalFormatting sqref="D381 D383">
    <cfRule type="cellIs" dxfId="103" priority="90" operator="equal">
      <formula>0</formula>
    </cfRule>
  </conditionalFormatting>
  <conditionalFormatting sqref="D381 D383">
    <cfRule type="cellIs" dxfId="102" priority="89" operator="notEqual">
      <formula>0</formula>
    </cfRule>
  </conditionalFormatting>
  <conditionalFormatting sqref="E381 E383">
    <cfRule type="cellIs" dxfId="101" priority="86" operator="equal">
      <formula>0</formula>
    </cfRule>
  </conditionalFormatting>
  <conditionalFormatting sqref="E381 E383">
    <cfRule type="cellIs" dxfId="100" priority="85" operator="notEqual">
      <formula>0</formula>
    </cfRule>
  </conditionalFormatting>
  <conditionalFormatting sqref="E382 E384">
    <cfRule type="cellIs" dxfId="99" priority="84" operator="equal">
      <formula>0</formula>
    </cfRule>
  </conditionalFormatting>
  <conditionalFormatting sqref="E382 E384">
    <cfRule type="cellIs" dxfId="98" priority="83" operator="notEqual">
      <formula>0</formula>
    </cfRule>
  </conditionalFormatting>
  <conditionalFormatting sqref="D382 D384">
    <cfRule type="cellIs" dxfId="97" priority="88" operator="equal">
      <formula>0</formula>
    </cfRule>
  </conditionalFormatting>
  <conditionalFormatting sqref="D382 D384">
    <cfRule type="cellIs" dxfId="96" priority="87" operator="notEqual">
      <formula>0</formula>
    </cfRule>
  </conditionalFormatting>
  <conditionalFormatting sqref="D359">
    <cfRule type="cellIs" dxfId="95" priority="174" operator="equal">
      <formula>0</formula>
    </cfRule>
  </conditionalFormatting>
  <conditionalFormatting sqref="D359">
    <cfRule type="cellIs" dxfId="94" priority="173" operator="notEqual">
      <formula>0</formula>
    </cfRule>
  </conditionalFormatting>
  <conditionalFormatting sqref="E359">
    <cfRule type="cellIs" dxfId="93" priority="170" operator="equal">
      <formula>0</formula>
    </cfRule>
  </conditionalFormatting>
  <conditionalFormatting sqref="E359">
    <cfRule type="cellIs" dxfId="92" priority="169" operator="notEqual">
      <formula>0</formula>
    </cfRule>
  </conditionalFormatting>
  <conditionalFormatting sqref="E360">
    <cfRule type="cellIs" dxfId="91" priority="168" operator="equal">
      <formula>0</formula>
    </cfRule>
  </conditionalFormatting>
  <conditionalFormatting sqref="E360">
    <cfRule type="cellIs" dxfId="90" priority="167" operator="notEqual">
      <formula>0</formula>
    </cfRule>
  </conditionalFormatting>
  <conditionalFormatting sqref="F359">
    <cfRule type="cellIs" dxfId="89" priority="166" operator="equal">
      <formula>0</formula>
    </cfRule>
  </conditionalFormatting>
  <conditionalFormatting sqref="F359">
    <cfRule type="cellIs" dxfId="88" priority="165" operator="notEqual">
      <formula>0</formula>
    </cfRule>
  </conditionalFormatting>
  <conditionalFormatting sqref="F360">
    <cfRule type="cellIs" dxfId="87" priority="164" operator="equal">
      <formula>0</formula>
    </cfRule>
  </conditionalFormatting>
  <conditionalFormatting sqref="F360">
    <cfRule type="cellIs" dxfId="86" priority="163" operator="notEqual">
      <formula>0</formula>
    </cfRule>
  </conditionalFormatting>
  <conditionalFormatting sqref="D360">
    <cfRule type="cellIs" dxfId="85" priority="172" operator="equal">
      <formula>0</formula>
    </cfRule>
  </conditionalFormatting>
  <conditionalFormatting sqref="D360">
    <cfRule type="cellIs" dxfId="84" priority="171" operator="notEqual">
      <formula>0</formula>
    </cfRule>
  </conditionalFormatting>
  <conditionalFormatting sqref="E306">
    <cfRule type="cellIs" dxfId="83" priority="382" operator="equal">
      <formula>0</formula>
    </cfRule>
  </conditionalFormatting>
  <conditionalFormatting sqref="F306">
    <cfRule type="cellIs" dxfId="82" priority="381" operator="equal">
      <formula>0</formula>
    </cfRule>
  </conditionalFormatting>
  <conditionalFormatting sqref="C334">
    <cfRule type="cellIs" dxfId="81" priority="379" operator="equal">
      <formula>0</formula>
    </cfRule>
  </conditionalFormatting>
  <conditionalFormatting sqref="D333">
    <cfRule type="cellIs" dxfId="80" priority="377" operator="equal">
      <formula>0</formula>
    </cfRule>
  </conditionalFormatting>
  <conditionalFormatting sqref="D334">
    <cfRule type="cellIs" dxfId="79" priority="376" operator="equal">
      <formula>0</formula>
    </cfRule>
  </conditionalFormatting>
  <conditionalFormatting sqref="E331:E332">
    <cfRule type="cellIs" dxfId="78" priority="375" operator="equal">
      <formula>0</formula>
    </cfRule>
  </conditionalFormatting>
  <conditionalFormatting sqref="F331:F332">
    <cfRule type="cellIs" dxfId="77" priority="373" operator="equal">
      <formula>0</formula>
    </cfRule>
  </conditionalFormatting>
  <conditionalFormatting sqref="E333">
    <cfRule type="cellIs" dxfId="76" priority="372" operator="equal">
      <formula>0</formula>
    </cfRule>
  </conditionalFormatting>
  <conditionalFormatting sqref="F333">
    <cfRule type="cellIs" dxfId="75" priority="370" operator="equal">
      <formula>0</formula>
    </cfRule>
  </conditionalFormatting>
  <conditionalFormatting sqref="F335">
    <cfRule type="cellIs" dxfId="74" priority="363" operator="equal">
      <formula>0</formula>
    </cfRule>
  </conditionalFormatting>
  <conditionalFormatting sqref="E335">
    <cfRule type="cellIs" dxfId="73" priority="365" operator="equal">
      <formula>0</formula>
    </cfRule>
  </conditionalFormatting>
  <conditionalFormatting sqref="D335:D336">
    <cfRule type="cellIs" dxfId="72" priority="366" operator="equal">
      <formula>0</formula>
    </cfRule>
  </conditionalFormatting>
  <conditionalFormatting sqref="F26">
    <cfRule type="cellIs" dxfId="71" priority="65" operator="equal">
      <formula>0</formula>
    </cfRule>
  </conditionalFormatting>
  <conditionalFormatting sqref="E26">
    <cfRule type="cellIs" dxfId="70" priority="66" operator="equal">
      <formula>0</formula>
    </cfRule>
  </conditionalFormatting>
  <conditionalFormatting sqref="F48">
    <cfRule type="cellIs" dxfId="69" priority="67" operator="equal">
      <formula>0</formula>
    </cfRule>
  </conditionalFormatting>
  <conditionalFormatting sqref="E334">
    <cfRule type="cellIs" dxfId="68" priority="110" operator="equal">
      <formula>0</formula>
    </cfRule>
  </conditionalFormatting>
  <conditionalFormatting sqref="F334">
    <cfRule type="cellIs" dxfId="67" priority="109" operator="equal">
      <formula>0</formula>
    </cfRule>
  </conditionalFormatting>
  <conditionalFormatting sqref="E128">
    <cfRule type="cellIs" dxfId="66" priority="74" operator="equal">
      <formula>0</formula>
    </cfRule>
  </conditionalFormatting>
  <conditionalFormatting sqref="F128">
    <cfRule type="cellIs" dxfId="65" priority="73" operator="equal">
      <formula>0</formula>
    </cfRule>
  </conditionalFormatting>
  <conditionalFormatting sqref="E46">
    <cfRule type="cellIs" dxfId="64" priority="70" operator="equal">
      <formula>0</formula>
    </cfRule>
  </conditionalFormatting>
  <conditionalFormatting sqref="F46">
    <cfRule type="cellIs" dxfId="63" priority="69" operator="equal">
      <formula>0</formula>
    </cfRule>
  </conditionalFormatting>
  <conditionalFormatting sqref="E48">
    <cfRule type="cellIs" dxfId="62" priority="68" operator="equal">
      <formula>0</formula>
    </cfRule>
  </conditionalFormatting>
  <conditionalFormatting sqref="E24">
    <cfRule type="cellIs" dxfId="61" priority="64" operator="equal">
      <formula>0</formula>
    </cfRule>
  </conditionalFormatting>
  <conditionalFormatting sqref="F24">
    <cfRule type="cellIs" dxfId="60" priority="63" operator="equal">
      <formula>0</formula>
    </cfRule>
  </conditionalFormatting>
  <conditionalFormatting sqref="D111">
    <cfRule type="cellIs" dxfId="59" priority="60" operator="equal">
      <formula>0</formula>
    </cfRule>
  </conditionalFormatting>
  <conditionalFormatting sqref="D111">
    <cfRule type="cellIs" dxfId="58" priority="59" operator="notEqual">
      <formula>0</formula>
    </cfRule>
  </conditionalFormatting>
  <conditionalFormatting sqref="E111">
    <cfRule type="cellIs" dxfId="57" priority="58" operator="equal">
      <formula>0</formula>
    </cfRule>
  </conditionalFormatting>
  <conditionalFormatting sqref="E111">
    <cfRule type="cellIs" dxfId="56" priority="57" operator="notEqual">
      <formula>0</formula>
    </cfRule>
  </conditionalFormatting>
  <conditionalFormatting sqref="D113">
    <cfRule type="cellIs" dxfId="55" priority="56" operator="equal">
      <formula>0</formula>
    </cfRule>
  </conditionalFormatting>
  <conditionalFormatting sqref="D113">
    <cfRule type="cellIs" dxfId="54" priority="55" operator="notEqual">
      <formula>0</formula>
    </cfRule>
  </conditionalFormatting>
  <conditionalFormatting sqref="E113">
    <cfRule type="cellIs" dxfId="53" priority="54" operator="equal">
      <formula>0</formula>
    </cfRule>
  </conditionalFormatting>
  <conditionalFormatting sqref="E113">
    <cfRule type="cellIs" dxfId="52" priority="53" operator="notEqual">
      <formula>0</formula>
    </cfRule>
  </conditionalFormatting>
  <conditionalFormatting sqref="D115">
    <cfRule type="cellIs" dxfId="51" priority="52" operator="equal">
      <formula>0</formula>
    </cfRule>
  </conditionalFormatting>
  <conditionalFormatting sqref="D115">
    <cfRule type="cellIs" dxfId="50" priority="51" operator="notEqual">
      <formula>0</formula>
    </cfRule>
  </conditionalFormatting>
  <conditionalFormatting sqref="E115">
    <cfRule type="cellIs" dxfId="49" priority="50" operator="equal">
      <formula>0</formula>
    </cfRule>
  </conditionalFormatting>
  <conditionalFormatting sqref="E115">
    <cfRule type="cellIs" dxfId="48" priority="49" operator="notEqual">
      <formula>0</formula>
    </cfRule>
  </conditionalFormatting>
  <conditionalFormatting sqref="D117">
    <cfRule type="cellIs" dxfId="47" priority="48" operator="equal">
      <formula>0</formula>
    </cfRule>
  </conditionalFormatting>
  <conditionalFormatting sqref="D117">
    <cfRule type="cellIs" dxfId="46" priority="47" operator="notEqual">
      <formula>0</formula>
    </cfRule>
  </conditionalFormatting>
  <conditionalFormatting sqref="E117">
    <cfRule type="cellIs" dxfId="45" priority="46" operator="equal">
      <formula>0</formula>
    </cfRule>
  </conditionalFormatting>
  <conditionalFormatting sqref="E117">
    <cfRule type="cellIs" dxfId="44" priority="45" operator="notEqual">
      <formula>0</formula>
    </cfRule>
  </conditionalFormatting>
  <conditionalFormatting sqref="D119">
    <cfRule type="cellIs" dxfId="43" priority="44" operator="equal">
      <formula>0</formula>
    </cfRule>
  </conditionalFormatting>
  <conditionalFormatting sqref="D119">
    <cfRule type="cellIs" dxfId="42" priority="43" operator="notEqual">
      <formula>0</formula>
    </cfRule>
  </conditionalFormatting>
  <conditionalFormatting sqref="E119">
    <cfRule type="cellIs" dxfId="41" priority="42" operator="equal">
      <formula>0</formula>
    </cfRule>
  </conditionalFormatting>
  <conditionalFormatting sqref="E119">
    <cfRule type="cellIs" dxfId="40" priority="41" operator="notEqual">
      <formula>0</formula>
    </cfRule>
  </conditionalFormatting>
  <conditionalFormatting sqref="D121">
    <cfRule type="cellIs" dxfId="39" priority="40" operator="equal">
      <formula>0</formula>
    </cfRule>
  </conditionalFormatting>
  <conditionalFormatting sqref="D121">
    <cfRule type="cellIs" dxfId="38" priority="39" operator="notEqual">
      <formula>0</formula>
    </cfRule>
  </conditionalFormatting>
  <conditionalFormatting sqref="E121">
    <cfRule type="cellIs" dxfId="37" priority="38" operator="equal">
      <formula>0</formula>
    </cfRule>
  </conditionalFormatting>
  <conditionalFormatting sqref="E121">
    <cfRule type="cellIs" dxfId="36" priority="37" operator="notEqual">
      <formula>0</formula>
    </cfRule>
  </conditionalFormatting>
  <conditionalFormatting sqref="D123">
    <cfRule type="cellIs" dxfId="35" priority="36" operator="equal">
      <formula>0</formula>
    </cfRule>
  </conditionalFormatting>
  <conditionalFormatting sqref="D123">
    <cfRule type="cellIs" dxfId="34" priority="35" operator="notEqual">
      <formula>0</formula>
    </cfRule>
  </conditionalFormatting>
  <conditionalFormatting sqref="E123">
    <cfRule type="cellIs" dxfId="33" priority="34" operator="equal">
      <formula>0</formula>
    </cfRule>
  </conditionalFormatting>
  <conditionalFormatting sqref="E123">
    <cfRule type="cellIs" dxfId="32" priority="33" operator="notEqual">
      <formula>0</formula>
    </cfRule>
  </conditionalFormatting>
  <conditionalFormatting sqref="E161">
    <cfRule type="cellIs" dxfId="31" priority="32" operator="equal">
      <formula>0</formula>
    </cfRule>
  </conditionalFormatting>
  <conditionalFormatting sqref="E161">
    <cfRule type="cellIs" dxfId="30" priority="31" operator="notEqual">
      <formula>0</formula>
    </cfRule>
  </conditionalFormatting>
  <conditionalFormatting sqref="E159">
    <cfRule type="cellIs" dxfId="29" priority="30" operator="equal">
      <formula>0</formula>
    </cfRule>
  </conditionalFormatting>
  <conditionalFormatting sqref="E159">
    <cfRule type="cellIs" dxfId="28" priority="29" operator="notEqual">
      <formula>0</formula>
    </cfRule>
  </conditionalFormatting>
  <conditionalFormatting sqref="E157">
    <cfRule type="cellIs" dxfId="27" priority="28" operator="equal">
      <formula>0</formula>
    </cfRule>
  </conditionalFormatting>
  <conditionalFormatting sqref="E157">
    <cfRule type="cellIs" dxfId="26" priority="27" operator="notEqual">
      <formula>0</formula>
    </cfRule>
  </conditionalFormatting>
  <conditionalFormatting sqref="E155">
    <cfRule type="cellIs" dxfId="25" priority="26" operator="equal">
      <formula>0</formula>
    </cfRule>
  </conditionalFormatting>
  <conditionalFormatting sqref="E155">
    <cfRule type="cellIs" dxfId="24" priority="25" operator="notEqual">
      <formula>0</formula>
    </cfRule>
  </conditionalFormatting>
  <conditionalFormatting sqref="E153">
    <cfRule type="cellIs" dxfId="23" priority="24" operator="equal">
      <formula>0</formula>
    </cfRule>
  </conditionalFormatting>
  <conditionalFormatting sqref="E153">
    <cfRule type="cellIs" dxfId="22" priority="23" operator="notEqual">
      <formula>0</formula>
    </cfRule>
  </conditionalFormatting>
  <conditionalFormatting sqref="E151">
    <cfRule type="cellIs" dxfId="21" priority="22" operator="equal">
      <formula>0</formula>
    </cfRule>
  </conditionalFormatting>
  <conditionalFormatting sqref="E151">
    <cfRule type="cellIs" dxfId="20" priority="21" operator="notEqual">
      <formula>0</formula>
    </cfRule>
  </conditionalFormatting>
  <conditionalFormatting sqref="E149">
    <cfRule type="cellIs" dxfId="19" priority="20" operator="equal">
      <formula>0</formula>
    </cfRule>
  </conditionalFormatting>
  <conditionalFormatting sqref="E149">
    <cfRule type="cellIs" dxfId="18" priority="19" operator="notEqual">
      <formula>0</formula>
    </cfRule>
  </conditionalFormatting>
  <conditionalFormatting sqref="E147">
    <cfRule type="cellIs" dxfId="17" priority="18" operator="equal">
      <formula>0</formula>
    </cfRule>
  </conditionalFormatting>
  <conditionalFormatting sqref="E147">
    <cfRule type="cellIs" dxfId="16" priority="17" operator="notEqual">
      <formula>0</formula>
    </cfRule>
  </conditionalFormatting>
  <conditionalFormatting sqref="E145">
    <cfRule type="cellIs" dxfId="15" priority="16" operator="equal">
      <formula>0</formula>
    </cfRule>
  </conditionalFormatting>
  <conditionalFormatting sqref="E145">
    <cfRule type="cellIs" dxfId="14" priority="15" operator="notEqual">
      <formula>0</formula>
    </cfRule>
  </conditionalFormatting>
  <conditionalFormatting sqref="E143">
    <cfRule type="cellIs" dxfId="13" priority="14" operator="equal">
      <formula>0</formula>
    </cfRule>
  </conditionalFormatting>
  <conditionalFormatting sqref="E143">
    <cfRule type="cellIs" dxfId="12" priority="13" operator="notEqual">
      <formula>0</formula>
    </cfRule>
  </conditionalFormatting>
  <conditionalFormatting sqref="E141">
    <cfRule type="cellIs" dxfId="11" priority="12" operator="equal">
      <formula>0</formula>
    </cfRule>
  </conditionalFormatting>
  <conditionalFormatting sqref="E141">
    <cfRule type="cellIs" dxfId="10" priority="11" operator="notEqual">
      <formula>0</formula>
    </cfRule>
  </conditionalFormatting>
  <conditionalFormatting sqref="E139">
    <cfRule type="cellIs" dxfId="9" priority="10" operator="equal">
      <formula>0</formula>
    </cfRule>
  </conditionalFormatting>
  <conditionalFormatting sqref="E139">
    <cfRule type="cellIs" dxfId="8" priority="9" operator="notEqual">
      <formula>0</formula>
    </cfRule>
  </conditionalFormatting>
  <conditionalFormatting sqref="E137">
    <cfRule type="cellIs" dxfId="7" priority="8" operator="equal">
      <formula>0</formula>
    </cfRule>
  </conditionalFormatting>
  <conditionalFormatting sqref="E137">
    <cfRule type="cellIs" dxfId="6" priority="7" operator="notEqual">
      <formula>0</formula>
    </cfRule>
  </conditionalFormatting>
  <conditionalFormatting sqref="E135">
    <cfRule type="cellIs" dxfId="5" priority="6" operator="equal">
      <formula>0</formula>
    </cfRule>
  </conditionalFormatting>
  <conditionalFormatting sqref="E135">
    <cfRule type="cellIs" dxfId="4" priority="5" operator="notEqual">
      <formula>0</formula>
    </cfRule>
  </conditionalFormatting>
  <conditionalFormatting sqref="E133">
    <cfRule type="cellIs" dxfId="3" priority="4" operator="equal">
      <formula>0</formula>
    </cfRule>
  </conditionalFormatting>
  <conditionalFormatting sqref="E133">
    <cfRule type="cellIs" dxfId="2" priority="3" operator="notEqual">
      <formula>0</formula>
    </cfRule>
  </conditionalFormatting>
  <conditionalFormatting sqref="E131">
    <cfRule type="cellIs" dxfId="1" priority="2" operator="equal">
      <formula>0</formula>
    </cfRule>
  </conditionalFormatting>
  <conditionalFormatting sqref="E131">
    <cfRule type="cellIs" dxfId="0" priority="1" operator="notEqual">
      <formula>0</formula>
    </cfRule>
  </conditionalFormatting>
  <printOptions horizontalCentered="1"/>
  <pageMargins left="0.59055118110236227" right="0.59055118110236227" top="0.59055118110236227" bottom="0.59055118110236227" header="0.19685039370078741" footer="0.19685039370078741"/>
  <pageSetup paperSize="9" scale="6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11</vt:i4>
      </vt:variant>
    </vt:vector>
  </HeadingPairs>
  <TitlesOfParts>
    <vt:vector size="19" baseType="lpstr">
      <vt:lpstr>Instruções de Preenchimeto</vt:lpstr>
      <vt:lpstr>Resumo</vt:lpstr>
      <vt:lpstr>Orçamento Sintético</vt:lpstr>
      <vt:lpstr>Orçamento Analítico</vt:lpstr>
      <vt:lpstr>Insumos e Serviços</vt:lpstr>
      <vt:lpstr>Composição de BDI</vt:lpstr>
      <vt:lpstr>Enc. Sociais</vt:lpstr>
      <vt:lpstr>Cronograma</vt:lpstr>
      <vt:lpstr>'Composição de BDI'!Area_de_impressao</vt:lpstr>
      <vt:lpstr>Cronograma!Area_de_impressao</vt:lpstr>
      <vt:lpstr>'Enc. Sociais'!Area_de_impressao</vt:lpstr>
      <vt:lpstr>'Insumos e Serviços'!Area_de_impressao</vt:lpstr>
      <vt:lpstr>'Orçamento Analítico'!Area_de_impressao</vt:lpstr>
      <vt:lpstr>'Orçamento Sintético'!Area_de_impressao</vt:lpstr>
      <vt:lpstr>Resumo!Area_de_impressao</vt:lpstr>
      <vt:lpstr>Cronograma!Titulos_de_impressao</vt:lpstr>
      <vt:lpstr>'Insumos e Serviços'!Titulos_de_impressao</vt:lpstr>
      <vt:lpstr>'Orçamento Analítico'!Titulos_de_impressao</vt:lpstr>
      <vt:lpstr>'Orçamento Sintético'!Titulos_de_impressao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AnaCZ</cp:lastModifiedBy>
  <cp:revision>0</cp:revision>
  <cp:lastPrinted>2021-08-05T15:58:15Z</cp:lastPrinted>
  <dcterms:created xsi:type="dcterms:W3CDTF">2021-08-02T18:41:53Z</dcterms:created>
  <dcterms:modified xsi:type="dcterms:W3CDTF">2021-08-05T16:13:32Z</dcterms:modified>
</cp:coreProperties>
</file>