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WILAG\Documents\Trabalhos\MPDFT\ORÇ 029_2021 PJBSI\"/>
    </mc:Choice>
  </mc:AlternateContent>
  <xr:revisionPtr revIDLastSave="0" documentId="13_ncr:1_{A8B3E8AA-B5C5-45CA-81FA-68AB1217E144}" xr6:coauthVersionLast="47" xr6:coauthVersionMax="47" xr10:uidLastSave="{00000000-0000-0000-0000-000000000000}"/>
  <bookViews>
    <workbookView xWindow="720" yWindow="705" windowWidth="20460" windowHeight="10890" xr2:uid="{00000000-000D-0000-FFFF-FFFF00000000}"/>
  </bookViews>
  <sheets>
    <sheet name="Instruções de Preenchimento" sheetId="10" r:id="rId1"/>
    <sheet name="Resumo do Orçamento" sheetId="2" r:id="rId2"/>
    <sheet name="Orçamento Sintético" sheetId="1" r:id="rId3"/>
    <sheet name="Orçamento Analítico" sheetId="3" r:id="rId4"/>
    <sheet name="Insumos e Serviços" sheetId="12" r:id="rId5"/>
    <sheet name="Composição de BDI" sheetId="7" r:id="rId6"/>
    <sheet name="Composição de Encargos Sociais" sheetId="8" r:id="rId7"/>
    <sheet name="Cronograma" sheetId="6" r:id="rId8"/>
  </sheets>
  <externalReferences>
    <externalReference r:id="rId9"/>
    <externalReference r:id="rId10"/>
  </externalReferences>
  <definedNames>
    <definedName name="_10Excel_BuiltIn_Print_Area_3_1_1_3_1">"#ref!"</definedName>
    <definedName name="_11Excel_BuiltIn_Print_Area_3_1_3_1">"#ref!"</definedName>
    <definedName name="_12Excel_BuiltIn_Print_Area_5_1_1">"#ref!"</definedName>
    <definedName name="_13Excel_BuiltIn_Print_Area_5_1_1_1">"#ref!"</definedName>
    <definedName name="_14Excel_BuiltIn_Print_Titles_2_1_1">"#ref!"</definedName>
    <definedName name="_15Excel_BuiltIn_Print_Titles_2_1_1_1">"#ref!"</definedName>
    <definedName name="_16Excel_BuiltIn_Print_Titles_3_1_3_1">"#ref!"</definedName>
    <definedName name="_1Excel_BuiltIn_Print_Area_1_1">"#ref!"</definedName>
    <definedName name="_2Excel_BuiltIn_Print_Area_2_1">"#ref!"</definedName>
    <definedName name="_3Excel_BuiltIn_Print_Area_2_1_1">"#ref!"</definedName>
    <definedName name="_4Excel_BuiltIn_Print_Area_2_1_1_1">"#ref!"</definedName>
    <definedName name="_5Excel_BuiltIn_Print_Area_3_1_1_1">"#ref!"</definedName>
    <definedName name="_6Excel_BuiltIn_Print_Area_3_1_1_1_1">"#ref!"</definedName>
    <definedName name="_7Excel_BuiltIn_Print_Area_3_1_1_1_1_1">"#ref!"</definedName>
    <definedName name="_8Excel_BuiltIn_Print_Area_3_1_1_1_1_3_1">"#ref!"</definedName>
    <definedName name="_9Excel_BuiltIn_Print_Area_3_1_1_1_3_1">"#ref!"</definedName>
    <definedName name="_Toc162077558_1" localSheetId="0">#REF!</definedName>
    <definedName name="_Toc162077558_1">#REF!</definedName>
    <definedName name="_xlnm.Print_Area" localSheetId="5">'Composição de BDI'!$A$1:$D$23</definedName>
    <definedName name="_xlnm.Print_Area" localSheetId="7">Cronograma!$A$1:$F$136</definedName>
    <definedName name="_xlnm.Print_Area" localSheetId="4">'Insumos e Serviços'!$A$1:$H$56</definedName>
    <definedName name="_xlnm.Print_Area" localSheetId="3">'Orçamento Analítico'!$A$1:$H$106</definedName>
    <definedName name="_xlnm.Print_Area" localSheetId="2">'Orçamento Sintético'!$A$1:$H$72</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1_1_1" localSheetId="0">#REF!</definedName>
    <definedName name="Excel_BuiltIn_Print_Area_1_1_1">#REF!</definedName>
    <definedName name="Excel_BuiltIn_Print_Area_1_1_1_1" localSheetId="0">#REF!</definedName>
    <definedName name="Excel_BuiltIn_Print_Area_1_1_1_1">#REF!</definedName>
    <definedName name="Excel_BuiltIn_Print_Area_1_1_1_1_1" localSheetId="0">#REF!</definedName>
    <definedName name="Excel_BuiltIn_Print_Area_1_1_1_1_1">#REF!</definedName>
    <definedName name="Excel_BuiltIn_Print_Area_1_1_1_1_1_1" localSheetId="0">#REF!</definedName>
    <definedName name="Excel_BuiltIn_Print_Area_1_1_1_1_1_1">#REF!</definedName>
    <definedName name="Excel_BuiltIn_Print_Area_1_1_1_1_1_1_1_1" localSheetId="0">#REF!</definedName>
    <definedName name="Excel_BuiltIn_Print_Area_1_1_1_1_1_1_1_1">#REF!</definedName>
    <definedName name="Excel_BuiltIn_Print_Area_1_1_1_1_5" localSheetId="0">#REF!</definedName>
    <definedName name="Excel_BuiltIn_Print_Area_1_1_1_1_5">#REF!</definedName>
    <definedName name="Excel_BuiltIn_Print_Area_1_1_1_5" localSheetId="0">#REF!</definedName>
    <definedName name="Excel_BuiltIn_Print_Area_1_1_1_5">#REF!</definedName>
    <definedName name="Excel_BuiltIn_Print_Area_1_1_5" localSheetId="0">#REF!</definedName>
    <definedName name="Excel_BuiltIn_Print_Area_1_1_5">#REF!</definedName>
    <definedName name="Excel_BuiltIn_Print_Area_2" localSheetId="0">#REF!</definedName>
    <definedName name="Excel_BuiltIn_Print_Area_2">#REF!</definedName>
    <definedName name="Excel_BuiltIn_Print_Area_2_1" localSheetId="0">#REF!</definedName>
    <definedName name="Excel_BuiltIn_Print_Area_2_1">#REF!</definedName>
    <definedName name="Excel_BuiltIn_Print_Area_2_1_1" localSheetId="0">#REF!</definedName>
    <definedName name="Excel_BuiltIn_Print_Area_2_1_1">#REF!</definedName>
    <definedName name="Excel_BuiltIn_Print_Area_2_1_1_1" localSheetId="0">#REF!</definedName>
    <definedName name="Excel_BuiltIn_Print_Area_2_1_1_1">#REF!</definedName>
    <definedName name="Excel_BuiltIn_Print_Area_2_1_1_1_1" localSheetId="0">#REF!</definedName>
    <definedName name="Excel_BuiltIn_Print_Area_2_1_1_1_1">#REF!</definedName>
    <definedName name="Excel_BuiltIn_Print_Area_2_1_1_1_3">"#ref!"</definedName>
    <definedName name="Excel_BuiltIn_Print_Area_2_1_1_1_4">"#ref!"</definedName>
    <definedName name="Excel_BuiltIn_Print_Area_2_1_1_3">"#ref!"</definedName>
    <definedName name="Excel_BuiltIn_Print_Area_2_1_1_4">"#ref!"</definedName>
    <definedName name="Excel_BuiltIn_Print_Area_2_1_5" localSheetId="0">#REF!</definedName>
    <definedName name="Excel_BuiltIn_Print_Area_2_1_5">#REF!</definedName>
    <definedName name="Excel_BuiltIn_Print_Area_2_5" localSheetId="0">#REF!</definedName>
    <definedName name="Excel_BuiltIn_Print_Area_2_5">#REF!</definedName>
    <definedName name="Excel_BuiltIn_Print_Area_3_1" localSheetId="0">#REF!</definedName>
    <definedName name="Excel_BuiltIn_Print_Area_3_1">"#ref!"</definedName>
    <definedName name="Excel_BuiltIn_Print_Area_3_1_1">#REF!</definedName>
    <definedName name="Excel_BuiltIn_Print_Area_3_1_1_1" localSheetId="0">#REF!</definedName>
    <definedName name="Excel_BuiltIn_Print_Area_3_1_1_1_1" localSheetId="0">#REF!</definedName>
    <definedName name="Excel_BuiltIn_Print_Area_3_1_1_1_1_3" localSheetId="0">#REF!</definedName>
    <definedName name="Excel_BuiltIn_Print_Area_3_1_1_1_1_3">#REF!</definedName>
    <definedName name="Excel_BuiltIn_Print_Area_3_1_1_1_1_4">#REF!</definedName>
    <definedName name="Excel_BuiltIn_Print_Area_3_1_1_1_3" localSheetId="0">#REF!</definedName>
    <definedName name="Excel_BuiltIn_Print_Area_3_1_1_1_3">#REF!</definedName>
    <definedName name="Excel_BuiltIn_Print_Area_3_1_1_1_4">#REF!</definedName>
    <definedName name="Excel_BuiltIn_Print_Area_3_1_1_3" localSheetId="0">#REF!</definedName>
    <definedName name="Excel_BuiltIn_Print_Area_3_1_1_3">#REF!</definedName>
    <definedName name="Excel_BuiltIn_Print_Area_3_1_1_4">#REF!</definedName>
    <definedName name="Excel_BuiltIn_Print_Area_3_1_3" localSheetId="0">#REF!</definedName>
    <definedName name="Excel_BuiltIn_Print_Area_3_1_3">#REF!</definedName>
    <definedName name="Excel_BuiltIn_Print_Area_3_1_4">#REF!</definedName>
    <definedName name="Excel_BuiltIn_Print_Area_4_1" localSheetId="0">#REF!</definedName>
    <definedName name="Excel_BuiltIn_Print_Area_4_1">#REF!</definedName>
    <definedName name="Excel_BuiltIn_Print_Area_4_1_1" localSheetId="0">#REF!</definedName>
    <definedName name="Excel_BuiltIn_Print_Area_4_1_1">#REF!</definedName>
    <definedName name="Excel_BuiltIn_Print_Area_4_1_1_1" localSheetId="0">#REF!</definedName>
    <definedName name="Excel_BuiltIn_Print_Area_4_1_1_1">#REF!</definedName>
    <definedName name="Excel_BuiltIn_Print_Area_4_1_1_1_5" localSheetId="0">#REF!</definedName>
    <definedName name="Excel_BuiltIn_Print_Area_4_1_1_1_5">#REF!</definedName>
    <definedName name="Excel_BuiltIn_Print_Area_4_1_1_5" localSheetId="0">#REF!</definedName>
    <definedName name="Excel_BuiltIn_Print_Area_4_1_1_5">#REF!</definedName>
    <definedName name="Excel_BuiltIn_Print_Area_4_1_5" localSheetId="0">#REF!</definedName>
    <definedName name="Excel_BuiltIn_Print_Area_4_1_5">#REF!</definedName>
    <definedName name="Excel_BuiltIn_Print_Area_5_1" localSheetId="0">#REF!</definedName>
    <definedName name="Excel_BuiltIn_Print_Area_5_1">#REF!</definedName>
    <definedName name="Excel_BuiltIn_Print_Area_5_1_1" localSheetId="0">#REF!</definedName>
    <definedName name="Excel_BuiltIn_Print_Area_5_1_1">#REF!</definedName>
    <definedName name="Excel_BuiltIn_Print_Area_5_1_1_1" localSheetId="0">#REF!</definedName>
    <definedName name="Excel_BuiltIn_Print_Area_5_1_1_1">#REF!</definedName>
    <definedName name="Excel_BuiltIn_Print_Area_5_1_1_5" localSheetId="0">#REF!</definedName>
    <definedName name="Excel_BuiltIn_Print_Area_5_1_1_5">#REF!</definedName>
    <definedName name="Excel_BuiltIn_Print_Area_5_1_5" localSheetId="0">#REF!</definedName>
    <definedName name="Excel_BuiltIn_Print_Area_5_1_5">#REF!</definedName>
    <definedName name="Excel_BuiltIn_Print_Area_6_1" localSheetId="0">#REF!</definedName>
    <definedName name="Excel_BuiltIn_Print_Area_6_1">#REF!</definedName>
    <definedName name="Excel_BuiltIn_Print_Titles_1" localSheetId="0">#REF!</definedName>
    <definedName name="Excel_BuiltIn_Print_Titles_1">#REF!</definedName>
    <definedName name="Excel_BuiltIn_Print_Titles_1_1" localSheetId="0">#REF!</definedName>
    <definedName name="Excel_BuiltIn_Print_Titles_1_1">#REF!</definedName>
    <definedName name="Excel_BuiltIn_Print_Titles_1_1_1" localSheetId="0">#REF!</definedName>
    <definedName name="Excel_BuiltIn_Print_Titles_1_1_1">#REF!</definedName>
    <definedName name="Excel_BuiltIn_Print_Titles_1_1_5" localSheetId="0">#REF!</definedName>
    <definedName name="Excel_BuiltIn_Print_Titles_1_1_5">#REF!</definedName>
    <definedName name="Excel_BuiltIn_Print_Titles_2" localSheetId="0">#REF!</definedName>
    <definedName name="Excel_BuiltIn_Print_Titles_2">#REF!</definedName>
    <definedName name="Excel_BuiltIn_Print_Titles_2_1" localSheetId="0">#REF!</definedName>
    <definedName name="Excel_BuiltIn_Print_Titles_2_1">#REF!</definedName>
    <definedName name="Excel_BuiltIn_Print_Titles_2_1_1" localSheetId="0">#REF!</definedName>
    <definedName name="Excel_BuiltIn_Print_Titles_2_1_1">#REF!</definedName>
    <definedName name="Excel_BuiltIn_Print_Titles_2_1_1_1" localSheetId="0">#REF!</definedName>
    <definedName name="Excel_BuiltIn_Print_Titles_2_1_1_1">#REF!</definedName>
    <definedName name="Excel_BuiltIn_Print_Titles_2_1_1_1_1" localSheetId="0">#REF!</definedName>
    <definedName name="Excel_BuiltIn_Print_Titles_2_1_1_1_1">#REF!</definedName>
    <definedName name="Excel_BuiltIn_Print_Titles_2_1_1_1_1_1" localSheetId="0">#REF!</definedName>
    <definedName name="Excel_BuiltIn_Print_Titles_2_1_1_1_1_1">#REF!</definedName>
    <definedName name="Excel_BuiltIn_Print_Titles_2_1_1_1_5" localSheetId="0">#REF!</definedName>
    <definedName name="Excel_BuiltIn_Print_Titles_2_1_1_1_5">#REF!</definedName>
    <definedName name="Excel_BuiltIn_Print_Titles_2_1_1_5" localSheetId="0">#REF!</definedName>
    <definedName name="Excel_BuiltIn_Print_Titles_2_1_1_5">#REF!</definedName>
    <definedName name="Excel_BuiltIn_Print_Titles_2_1_5" localSheetId="0">#REF!</definedName>
    <definedName name="Excel_BuiltIn_Print_Titles_2_1_5">#REF!</definedName>
    <definedName name="Excel_BuiltIn_Print_Titles_2_5" localSheetId="0">#REF!</definedName>
    <definedName name="Excel_BuiltIn_Print_Titles_2_5">#REF!</definedName>
    <definedName name="Excel_BuiltIn_Print_Titles_3_1" localSheetId="0">#REF!</definedName>
    <definedName name="Excel_BuiltIn_Print_Titles_3_1">'[2]Planilha Sintética'!#REF!</definedName>
    <definedName name="Excel_BuiltIn_Print_Titles_3_1_3" localSheetId="0">#REF!</definedName>
    <definedName name="Excel_BuiltIn_Print_Titles_3_1_3">#REF!</definedName>
    <definedName name="Excel_BuiltIn_Print_Titles_3_1_4">#N/A</definedName>
    <definedName name="Excel_BuiltIn_Print_Titles_4" localSheetId="0">#REF!</definedName>
    <definedName name="Excel_BuiltIn_Print_Titles_4">#REF!</definedName>
    <definedName name="Excel_BuiltIn_Print_Titles_4_1" localSheetId="0">#REF!</definedName>
    <definedName name="Excel_BuiltIn_Print_Titles_4_1">#REF!</definedName>
    <definedName name="Excel_BuiltIn_Print_Titles_4_1_5" localSheetId="0">#REF!</definedName>
    <definedName name="Excel_BuiltIn_Print_Titles_4_1_5">#REF!</definedName>
    <definedName name="Excel_BuiltIn_Print_Titles_5" localSheetId="0">#REF!</definedName>
    <definedName name="Excel_BuiltIn_Print_Titles_5">#REF!</definedName>
    <definedName name="Excel_BuiltIn_Print_Titles_5_1" localSheetId="0">#REF!</definedName>
    <definedName name="Excel_BuiltIn_Print_Titles_5_1">#REF!</definedName>
    <definedName name="Excel_BuiltIn_Print_Titles_5_5" localSheetId="0">#REF!</definedName>
    <definedName name="Excel_BuiltIn_Print_Titles_5_5">#REF!</definedName>
    <definedName name="_xlnm.Print_Titles" localSheetId="7">Cronograma!$1:$8</definedName>
    <definedName name="_xlnm.Print_Titles" localSheetId="3">'Orçamento Analítico'!$1:$8</definedName>
    <definedName name="_xlnm.Print_Titles" localSheetId="2">'Orçamento Sintético'!$1:$8</definedName>
  </definedNames>
  <calcPr calcId="191029"/>
</workbook>
</file>

<file path=xl/calcChain.xml><?xml version="1.0" encoding="utf-8"?>
<calcChain xmlns="http://schemas.openxmlformats.org/spreadsheetml/2006/main">
  <c r="F86" i="6" l="1"/>
  <c r="E86" i="6"/>
  <c r="F116" i="6"/>
  <c r="E116" i="6"/>
  <c r="F124" i="6"/>
  <c r="E124" i="6"/>
  <c r="F108" i="6" l="1"/>
  <c r="F107" i="6" s="1"/>
  <c r="E108" i="6"/>
  <c r="E107" i="6"/>
  <c r="D108" i="6"/>
  <c r="F104" i="6"/>
  <c r="F103" i="6"/>
  <c r="E104" i="6"/>
  <c r="E103" i="6" s="1"/>
  <c r="D104" i="6"/>
  <c r="E50" i="6"/>
  <c r="F42" i="6"/>
  <c r="E42" i="6"/>
  <c r="D42" i="6"/>
  <c r="F30" i="6"/>
  <c r="F24" i="6" s="1"/>
  <c r="F23" i="6" s="1"/>
  <c r="E30" i="6"/>
  <c r="D30" i="6"/>
  <c r="F26" i="6"/>
  <c r="E26" i="6"/>
  <c r="D26" i="6"/>
  <c r="E24" i="6"/>
  <c r="E23" i="6" s="1"/>
  <c r="D24" i="6"/>
  <c r="C24" i="6"/>
  <c r="B23" i="6"/>
  <c r="C108" i="6"/>
  <c r="B107" i="6"/>
  <c r="C104" i="6"/>
  <c r="B103" i="6"/>
  <c r="C94" i="6"/>
  <c r="B93" i="6"/>
  <c r="C88" i="6"/>
  <c r="B87" i="6"/>
  <c r="C68" i="6"/>
  <c r="B67" i="6"/>
  <c r="C58" i="6"/>
  <c r="B57" i="6"/>
  <c r="C50" i="6"/>
  <c r="B49" i="6"/>
  <c r="C46" i="6"/>
  <c r="B45" i="6"/>
  <c r="C42" i="6"/>
  <c r="B41" i="6"/>
  <c r="C30" i="6"/>
  <c r="B29" i="6"/>
  <c r="C26" i="6"/>
  <c r="F25" i="6" s="1"/>
  <c r="B25" i="6"/>
  <c r="C128" i="6"/>
  <c r="B127" i="6"/>
  <c r="C122" i="6"/>
  <c r="D122" i="6" s="1"/>
  <c r="B121" i="6"/>
  <c r="E120" i="6"/>
  <c r="C120" i="6"/>
  <c r="D120" i="6" s="1"/>
  <c r="B119" i="6"/>
  <c r="B113" i="6"/>
  <c r="C112" i="6"/>
  <c r="B111" i="6"/>
  <c r="C110" i="6"/>
  <c r="B109" i="6"/>
  <c r="C106" i="6"/>
  <c r="B105" i="6"/>
  <c r="B101" i="6"/>
  <c r="B99" i="6"/>
  <c r="B97" i="6"/>
  <c r="B95" i="6"/>
  <c r="B91" i="6"/>
  <c r="B89" i="6"/>
  <c r="C82" i="6"/>
  <c r="B81" i="6"/>
  <c r="C80" i="6"/>
  <c r="B79" i="6"/>
  <c r="C78" i="6"/>
  <c r="B77" i="6"/>
  <c r="B75" i="6"/>
  <c r="B73" i="6"/>
  <c r="B71" i="6"/>
  <c r="B69" i="6"/>
  <c r="C66" i="6"/>
  <c r="B65" i="6"/>
  <c r="C64" i="6"/>
  <c r="B63" i="6"/>
  <c r="B61" i="6"/>
  <c r="B59" i="6"/>
  <c r="C52" i="6"/>
  <c r="B51" i="6"/>
  <c r="C48" i="6"/>
  <c r="B47" i="6"/>
  <c r="C44" i="6"/>
  <c r="B43" i="6"/>
  <c r="B35" i="6"/>
  <c r="C34" i="6"/>
  <c r="B33" i="6"/>
  <c r="B31" i="6"/>
  <c r="C28" i="6"/>
  <c r="B27" i="6"/>
  <c r="C22" i="6"/>
  <c r="B21" i="6"/>
  <c r="C20" i="6"/>
  <c r="B19" i="6"/>
  <c r="F120" i="6" l="1"/>
  <c r="F119" i="6" s="1"/>
  <c r="D118" i="6"/>
  <c r="D116" i="6" s="1"/>
  <c r="F29" i="6"/>
  <c r="D23" i="6"/>
  <c r="D107" i="6"/>
  <c r="D103" i="6"/>
  <c r="D29" i="6"/>
  <c r="E29" i="6"/>
  <c r="D25" i="6"/>
  <c r="E25" i="6"/>
  <c r="E122" i="6"/>
  <c r="D128" i="6"/>
  <c r="E128" i="6"/>
  <c r="E126" i="6" s="1"/>
  <c r="D112" i="6"/>
  <c r="F112" i="6" s="1"/>
  <c r="F111" i="6" s="1"/>
  <c r="E112" i="6"/>
  <c r="D110" i="6"/>
  <c r="E110" i="6"/>
  <c r="D106" i="6"/>
  <c r="F106" i="6" s="1"/>
  <c r="F105" i="6" s="1"/>
  <c r="E106" i="6"/>
  <c r="D82" i="6"/>
  <c r="E82" i="6"/>
  <c r="D80" i="6"/>
  <c r="E80" i="6"/>
  <c r="D78" i="6"/>
  <c r="E78" i="6"/>
  <c r="D66" i="6"/>
  <c r="F66" i="6" s="1"/>
  <c r="F65" i="6" s="1"/>
  <c r="E66" i="6"/>
  <c r="D64" i="6"/>
  <c r="E64" i="6"/>
  <c r="D52" i="6"/>
  <c r="E52" i="6"/>
  <c r="E48" i="6"/>
  <c r="E46" i="6" s="1"/>
  <c r="E40" i="6" s="1"/>
  <c r="E39" i="6" s="1"/>
  <c r="D48" i="6"/>
  <c r="D44" i="6"/>
  <c r="F44" i="6" s="1"/>
  <c r="F43" i="6" s="1"/>
  <c r="E44" i="6"/>
  <c r="E34" i="6"/>
  <c r="D34" i="6"/>
  <c r="D28" i="6"/>
  <c r="F28" i="6" s="1"/>
  <c r="F27" i="6" s="1"/>
  <c r="E28" i="6"/>
  <c r="D22" i="6"/>
  <c r="D20" i="6" s="1"/>
  <c r="E22" i="6"/>
  <c r="E20" i="6" s="1"/>
  <c r="C126" i="6"/>
  <c r="B125" i="6"/>
  <c r="C124" i="6"/>
  <c r="B123" i="6"/>
  <c r="C118" i="6"/>
  <c r="B117" i="6"/>
  <c r="C116" i="6"/>
  <c r="B115" i="6"/>
  <c r="B85" i="6"/>
  <c r="B83" i="6"/>
  <c r="B55" i="6"/>
  <c r="B53" i="6"/>
  <c r="C40" i="6"/>
  <c r="B39" i="6"/>
  <c r="C38" i="6"/>
  <c r="B37" i="6"/>
  <c r="C18" i="6"/>
  <c r="B17" i="6"/>
  <c r="B15" i="6"/>
  <c r="B13" i="6"/>
  <c r="B11" i="6"/>
  <c r="B9" i="6"/>
  <c r="C6" i="6"/>
  <c r="B6" i="6"/>
  <c r="A6" i="6"/>
  <c r="C5" i="6"/>
  <c r="B5" i="6"/>
  <c r="A5" i="6"/>
  <c r="C4" i="6"/>
  <c r="B4" i="6"/>
  <c r="A4" i="6"/>
  <c r="C3" i="6"/>
  <c r="B3" i="6"/>
  <c r="A3" i="6"/>
  <c r="C2" i="6"/>
  <c r="B2" i="6"/>
  <c r="A2" i="6"/>
  <c r="C1" i="6"/>
  <c r="B1" i="6"/>
  <c r="A1" i="6"/>
  <c r="A1" i="2"/>
  <c r="C18" i="2"/>
  <c r="C14" i="2"/>
  <c r="B14" i="2"/>
  <c r="C15" i="2"/>
  <c r="B15" i="2"/>
  <c r="B13" i="2"/>
  <c r="B12" i="2"/>
  <c r="C11" i="2"/>
  <c r="B11" i="2"/>
  <c r="B10" i="2"/>
  <c r="B9" i="2"/>
  <c r="C6" i="2"/>
  <c r="B6" i="2"/>
  <c r="A6" i="2"/>
  <c r="C5" i="2"/>
  <c r="B5" i="2"/>
  <c r="A5" i="2"/>
  <c r="C4" i="2"/>
  <c r="B4" i="2"/>
  <c r="A4" i="2"/>
  <c r="C3" i="2"/>
  <c r="B3" i="2"/>
  <c r="A3" i="2"/>
  <c r="C2" i="2"/>
  <c r="B2" i="2"/>
  <c r="A2" i="2"/>
  <c r="C1" i="2"/>
  <c r="B1" i="2"/>
  <c r="F122" i="6" l="1"/>
  <c r="F121" i="6" s="1"/>
  <c r="E118" i="6"/>
  <c r="F118" i="6"/>
  <c r="F117" i="6" s="1"/>
  <c r="F80" i="6"/>
  <c r="F79" i="6" s="1"/>
  <c r="F52" i="6"/>
  <c r="D50" i="6"/>
  <c r="F48" i="6"/>
  <c r="D46" i="6"/>
  <c r="D40" i="6" s="1"/>
  <c r="D38" i="6" s="1"/>
  <c r="D37" i="6" s="1"/>
  <c r="F128" i="6"/>
  <c r="F127" i="6" s="1"/>
  <c r="E38" i="6"/>
  <c r="E37" i="6" s="1"/>
  <c r="E45" i="6"/>
  <c r="E49" i="6"/>
  <c r="D49" i="6"/>
  <c r="F34" i="6"/>
  <c r="F33" i="6" s="1"/>
  <c r="F22" i="6"/>
  <c r="F64" i="6"/>
  <c r="F63" i="6" s="1"/>
  <c r="F78" i="6"/>
  <c r="F77" i="6" s="1"/>
  <c r="F82" i="6"/>
  <c r="F81" i="6" s="1"/>
  <c r="F110" i="6"/>
  <c r="F109" i="6" s="1"/>
  <c r="D126" i="6"/>
  <c r="D124" i="6" s="1"/>
  <c r="F126" i="6"/>
  <c r="E123" i="6"/>
  <c r="D123" i="6"/>
  <c r="D125" i="6"/>
  <c r="E125" i="6"/>
  <c r="D115" i="6"/>
  <c r="D117" i="6"/>
  <c r="F115" i="6" l="1"/>
  <c r="E117" i="6"/>
  <c r="E115" i="6"/>
  <c r="F51" i="6"/>
  <c r="F50" i="6"/>
  <c r="F49" i="6" s="1"/>
  <c r="D39" i="6"/>
  <c r="F47" i="6"/>
  <c r="F46" i="6"/>
  <c r="D45" i="6"/>
  <c r="F21" i="6"/>
  <c r="F20" i="6"/>
  <c r="F123" i="6"/>
  <c r="F125" i="6"/>
  <c r="F41" i="6"/>
  <c r="F40" i="6" l="1"/>
  <c r="F39" i="6" s="1"/>
  <c r="F45" i="6"/>
  <c r="F38" i="6"/>
  <c r="F37" i="6" s="1"/>
  <c r="H81" i="3" l="1"/>
  <c r="D21" i="7" l="1"/>
  <c r="B70" i="1"/>
  <c r="H67" i="1"/>
  <c r="H66" i="1" s="1"/>
  <c r="H63" i="1"/>
  <c r="H62" i="1"/>
  <c r="H56" i="1"/>
  <c r="H29" i="1"/>
  <c r="H27" i="1"/>
  <c r="H25" i="1"/>
  <c r="H17" i="1"/>
  <c r="H14" i="1"/>
  <c r="H13" i="1" s="1"/>
  <c r="G61" i="1"/>
  <c r="H61" i="1" s="1"/>
  <c r="G55" i="1"/>
  <c r="H55" i="1" s="1"/>
  <c r="C102" i="6" s="1"/>
  <c r="G54" i="1"/>
  <c r="H54" i="1" s="1"/>
  <c r="C100" i="6" s="1"/>
  <c r="G53" i="1"/>
  <c r="H53" i="1" s="1"/>
  <c r="C98" i="6" s="1"/>
  <c r="G52" i="1"/>
  <c r="H52" i="1" s="1"/>
  <c r="C96" i="6" s="1"/>
  <c r="G50" i="1"/>
  <c r="H50" i="1" s="1"/>
  <c r="C92" i="6" s="1"/>
  <c r="G49" i="1"/>
  <c r="H49" i="1" s="1"/>
  <c r="C90" i="6" s="1"/>
  <c r="G42" i="1"/>
  <c r="H42" i="1" s="1"/>
  <c r="C76" i="6" s="1"/>
  <c r="G41" i="1"/>
  <c r="H41" i="1" s="1"/>
  <c r="C74" i="6" s="1"/>
  <c r="G40" i="1"/>
  <c r="H40" i="1" s="1"/>
  <c r="C72" i="6" s="1"/>
  <c r="G39" i="1"/>
  <c r="H39" i="1" s="1"/>
  <c r="C70" i="6" s="1"/>
  <c r="G35" i="1"/>
  <c r="H35" i="1" s="1"/>
  <c r="C62" i="6" s="1"/>
  <c r="G34" i="1"/>
  <c r="H34" i="1" s="1"/>
  <c r="C60" i="6" s="1"/>
  <c r="G22" i="1"/>
  <c r="H22" i="1" s="1"/>
  <c r="C36" i="6" s="1"/>
  <c r="G20" i="1"/>
  <c r="H20" i="1" s="1"/>
  <c r="C32" i="6" s="1"/>
  <c r="G11" i="1"/>
  <c r="D74" i="6" l="1"/>
  <c r="F74" i="6" s="1"/>
  <c r="F73" i="6" s="1"/>
  <c r="E74" i="6"/>
  <c r="D62" i="6"/>
  <c r="E62" i="6"/>
  <c r="D76" i="6"/>
  <c r="F76" i="6" s="1"/>
  <c r="F75" i="6" s="1"/>
  <c r="E76" i="6"/>
  <c r="E98" i="6"/>
  <c r="D98" i="6"/>
  <c r="F98" i="6" s="1"/>
  <c r="F97" i="6" s="1"/>
  <c r="D60" i="6"/>
  <c r="E60" i="6"/>
  <c r="E58" i="6" s="1"/>
  <c r="H58" i="1"/>
  <c r="C114" i="6"/>
  <c r="E32" i="6"/>
  <c r="D32" i="6"/>
  <c r="E70" i="6"/>
  <c r="D70" i="6"/>
  <c r="E90" i="6"/>
  <c r="D90" i="6"/>
  <c r="E100" i="6"/>
  <c r="D100" i="6"/>
  <c r="E96" i="6"/>
  <c r="D96" i="6"/>
  <c r="D36" i="6"/>
  <c r="E36" i="6"/>
  <c r="F36" i="6" s="1"/>
  <c r="F35" i="6" s="1"/>
  <c r="D72" i="6"/>
  <c r="E72" i="6"/>
  <c r="D92" i="6"/>
  <c r="E92" i="6"/>
  <c r="D102" i="6"/>
  <c r="E102" i="6"/>
  <c r="H33" i="1"/>
  <c r="H51" i="1"/>
  <c r="H48" i="1"/>
  <c r="H38" i="1"/>
  <c r="H24" i="1"/>
  <c r="H23" i="1" s="1"/>
  <c r="H19" i="1"/>
  <c r="H16" i="1" s="1"/>
  <c r="H12" i="1" s="1"/>
  <c r="G68" i="1"/>
  <c r="H68" i="1" s="1"/>
  <c r="G65" i="1"/>
  <c r="H65" i="1" s="1"/>
  <c r="G64" i="1"/>
  <c r="H64" i="1" s="1"/>
  <c r="G60" i="1"/>
  <c r="H60" i="1" s="1"/>
  <c r="G59" i="1"/>
  <c r="H59" i="1" s="1"/>
  <c r="G57" i="1"/>
  <c r="H57" i="1" s="1"/>
  <c r="G45" i="1"/>
  <c r="H45" i="1" s="1"/>
  <c r="G44" i="1"/>
  <c r="H44" i="1" s="1"/>
  <c r="G43" i="1"/>
  <c r="H43" i="1" s="1"/>
  <c r="G37" i="1"/>
  <c r="H37" i="1" s="1"/>
  <c r="G36" i="1"/>
  <c r="H36" i="1" s="1"/>
  <c r="G30" i="1"/>
  <c r="H30" i="1" s="1"/>
  <c r="G28" i="1"/>
  <c r="H28" i="1" s="1"/>
  <c r="G26" i="1"/>
  <c r="H26" i="1" s="1"/>
  <c r="G21" i="1"/>
  <c r="H21" i="1" s="1"/>
  <c r="G18" i="1"/>
  <c r="H18" i="1" s="1"/>
  <c r="E68" i="1"/>
  <c r="D68" i="1"/>
  <c r="C68" i="1"/>
  <c r="E65" i="1"/>
  <c r="D65" i="1"/>
  <c r="C65" i="1"/>
  <c r="E64" i="1"/>
  <c r="D64" i="1"/>
  <c r="C64" i="1"/>
  <c r="E60" i="1"/>
  <c r="D60" i="1"/>
  <c r="C60" i="1"/>
  <c r="E57" i="1"/>
  <c r="D57" i="1"/>
  <c r="C57" i="1"/>
  <c r="E59" i="1"/>
  <c r="D59" i="1"/>
  <c r="C59" i="1"/>
  <c r="E45" i="1"/>
  <c r="D45" i="1"/>
  <c r="C45" i="1"/>
  <c r="E44" i="1"/>
  <c r="D44" i="1"/>
  <c r="C44" i="1"/>
  <c r="E43" i="1"/>
  <c r="D43" i="1"/>
  <c r="C43" i="1"/>
  <c r="E36" i="1"/>
  <c r="D36" i="1"/>
  <c r="C36" i="1"/>
  <c r="E37" i="1"/>
  <c r="D37" i="1"/>
  <c r="C37" i="1"/>
  <c r="E30" i="1"/>
  <c r="D30" i="1"/>
  <c r="C30" i="1"/>
  <c r="E28" i="1"/>
  <c r="D28" i="1"/>
  <c r="C28" i="1"/>
  <c r="E26" i="1"/>
  <c r="D26" i="1"/>
  <c r="C26" i="1"/>
  <c r="E21" i="1"/>
  <c r="D21" i="1"/>
  <c r="C21" i="1"/>
  <c r="E18" i="1"/>
  <c r="D18" i="1"/>
  <c r="C18" i="1"/>
  <c r="G15" i="1"/>
  <c r="H15" i="1" s="1"/>
  <c r="E15" i="1"/>
  <c r="D15" i="1"/>
  <c r="C15" i="1"/>
  <c r="H11" i="1"/>
  <c r="E102" i="3"/>
  <c r="D102" i="3"/>
  <c r="C102" i="3"/>
  <c r="B102" i="3"/>
  <c r="E97" i="3"/>
  <c r="D97" i="3"/>
  <c r="C97" i="3"/>
  <c r="B97" i="3"/>
  <c r="E91" i="3"/>
  <c r="D91" i="3"/>
  <c r="C91" i="3"/>
  <c r="B91" i="3"/>
  <c r="E86" i="3"/>
  <c r="D86" i="3"/>
  <c r="C86" i="3"/>
  <c r="B86" i="3"/>
  <c r="E81" i="3"/>
  <c r="D81" i="3"/>
  <c r="C81" i="3"/>
  <c r="B81" i="3"/>
  <c r="E75" i="3"/>
  <c r="D75" i="3"/>
  <c r="C75" i="3"/>
  <c r="B75" i="3"/>
  <c r="E69" i="3"/>
  <c r="D69" i="3"/>
  <c r="C69" i="3"/>
  <c r="B69" i="3"/>
  <c r="E60" i="3"/>
  <c r="D60" i="3"/>
  <c r="C60" i="3"/>
  <c r="B60" i="3"/>
  <c r="E54" i="3"/>
  <c r="D54" i="3"/>
  <c r="C54" i="3"/>
  <c r="B54" i="3"/>
  <c r="E47" i="3"/>
  <c r="D47" i="3"/>
  <c r="C47" i="3"/>
  <c r="B47" i="3"/>
  <c r="E40" i="3"/>
  <c r="D40" i="3"/>
  <c r="C40" i="3"/>
  <c r="B40" i="3"/>
  <c r="E33" i="3"/>
  <c r="D33" i="3"/>
  <c r="C33" i="3"/>
  <c r="B33" i="3"/>
  <c r="E28" i="3"/>
  <c r="D28" i="3"/>
  <c r="C28" i="3"/>
  <c r="B28" i="3"/>
  <c r="E21" i="3"/>
  <c r="D21" i="3"/>
  <c r="C21" i="3"/>
  <c r="B21" i="3"/>
  <c r="E17" i="3"/>
  <c r="D17" i="3"/>
  <c r="C17" i="3"/>
  <c r="B17" i="3"/>
  <c r="H11" i="3"/>
  <c r="E11" i="3"/>
  <c r="D11" i="3"/>
  <c r="C11" i="3"/>
  <c r="B11" i="3"/>
  <c r="A87" i="3"/>
  <c r="G106" i="3"/>
  <c r="H106" i="3" s="1"/>
  <c r="G105" i="3"/>
  <c r="H105" i="3" s="1"/>
  <c r="G104" i="3"/>
  <c r="H104" i="3" s="1"/>
  <c r="G103" i="3"/>
  <c r="H103" i="3" s="1"/>
  <c r="G100" i="3"/>
  <c r="H100" i="3" s="1"/>
  <c r="G99" i="3"/>
  <c r="H99" i="3" s="1"/>
  <c r="G98" i="3"/>
  <c r="H98" i="3" s="1"/>
  <c r="G95" i="3"/>
  <c r="H95" i="3" s="1"/>
  <c r="G94" i="3"/>
  <c r="H94" i="3" s="1"/>
  <c r="G93" i="3"/>
  <c r="H93" i="3" s="1"/>
  <c r="G92" i="3"/>
  <c r="H92" i="3" s="1"/>
  <c r="G89" i="3"/>
  <c r="H89" i="3" s="1"/>
  <c r="G88" i="3"/>
  <c r="H88" i="3" s="1"/>
  <c r="G87" i="3"/>
  <c r="H87" i="3" s="1"/>
  <c r="G84" i="3"/>
  <c r="H84" i="3" s="1"/>
  <c r="G83" i="3"/>
  <c r="H83" i="3" s="1"/>
  <c r="G82" i="3"/>
  <c r="H82" i="3" s="1"/>
  <c r="G78" i="3"/>
  <c r="H78" i="3" s="1"/>
  <c r="G77" i="3"/>
  <c r="H77" i="3" s="1"/>
  <c r="G76" i="3"/>
  <c r="H76" i="3" s="1"/>
  <c r="G73" i="3"/>
  <c r="H73" i="3" s="1"/>
  <c r="G72" i="3"/>
  <c r="H72" i="3" s="1"/>
  <c r="G71" i="3"/>
  <c r="H71" i="3" s="1"/>
  <c r="G70" i="3"/>
  <c r="H70" i="3" s="1"/>
  <c r="G64" i="3"/>
  <c r="H64" i="3" s="1"/>
  <c r="G63" i="3"/>
  <c r="H63" i="3" s="1"/>
  <c r="G62" i="3"/>
  <c r="H62" i="3" s="1"/>
  <c r="G61" i="3"/>
  <c r="H61" i="3" s="1"/>
  <c r="G58" i="3"/>
  <c r="H58" i="3" s="1"/>
  <c r="G57" i="3"/>
  <c r="H57" i="3" s="1"/>
  <c r="G56" i="3"/>
  <c r="H56" i="3" s="1"/>
  <c r="G55" i="3"/>
  <c r="H55" i="3" s="1"/>
  <c r="G52" i="3"/>
  <c r="H52" i="3" s="1"/>
  <c r="G51" i="3"/>
  <c r="H51" i="3" s="1"/>
  <c r="G50" i="3"/>
  <c r="H50" i="3" s="1"/>
  <c r="G49" i="3"/>
  <c r="H49" i="3" s="1"/>
  <c r="G48" i="3"/>
  <c r="H48" i="3" s="1"/>
  <c r="G45" i="3"/>
  <c r="H45" i="3" s="1"/>
  <c r="G44" i="3"/>
  <c r="H44" i="3" s="1"/>
  <c r="G43" i="3"/>
  <c r="H43" i="3" s="1"/>
  <c r="G42" i="3"/>
  <c r="H42" i="3" s="1"/>
  <c r="G41" i="3"/>
  <c r="H41" i="3" s="1"/>
  <c r="G37" i="3"/>
  <c r="H37" i="3" s="1"/>
  <c r="G36" i="3"/>
  <c r="H36" i="3" s="1"/>
  <c r="G35" i="3"/>
  <c r="H35" i="3" s="1"/>
  <c r="G34" i="3"/>
  <c r="H34" i="3" s="1"/>
  <c r="G31" i="3"/>
  <c r="H31" i="3" s="1"/>
  <c r="G30" i="3"/>
  <c r="H30" i="3" s="1"/>
  <c r="G29" i="3"/>
  <c r="H29" i="3" s="1"/>
  <c r="G23" i="3"/>
  <c r="H23" i="3" s="1"/>
  <c r="G22" i="3"/>
  <c r="H22" i="3" s="1"/>
  <c r="H21" i="3" s="1"/>
  <c r="G19" i="3"/>
  <c r="H19" i="3" s="1"/>
  <c r="G18" i="3"/>
  <c r="H18" i="3" s="1"/>
  <c r="A106" i="3"/>
  <c r="A105" i="3"/>
  <c r="A104" i="3"/>
  <c r="A103" i="3"/>
  <c r="A100" i="3"/>
  <c r="A99" i="3"/>
  <c r="A98" i="3"/>
  <c r="A95" i="3"/>
  <c r="A94" i="3"/>
  <c r="A93" i="3"/>
  <c r="A92" i="3"/>
  <c r="A89" i="3"/>
  <c r="A88" i="3"/>
  <c r="A84" i="3"/>
  <c r="A83" i="3"/>
  <c r="A82" i="3"/>
  <c r="A78" i="3"/>
  <c r="A77" i="3"/>
  <c r="A76" i="3"/>
  <c r="A73" i="3"/>
  <c r="A72" i="3"/>
  <c r="A71" i="3"/>
  <c r="A70" i="3"/>
  <c r="A64" i="3"/>
  <c r="A63" i="3"/>
  <c r="A62" i="3"/>
  <c r="A61" i="3"/>
  <c r="A58" i="3"/>
  <c r="A57" i="3"/>
  <c r="A56" i="3"/>
  <c r="A55" i="3"/>
  <c r="A52" i="3"/>
  <c r="A51" i="3"/>
  <c r="A50" i="3"/>
  <c r="A49" i="3"/>
  <c r="A48" i="3"/>
  <c r="A45" i="3"/>
  <c r="A44" i="3"/>
  <c r="A43" i="3"/>
  <c r="A42" i="3"/>
  <c r="A41" i="3"/>
  <c r="A37" i="3"/>
  <c r="A36" i="3"/>
  <c r="A35" i="3"/>
  <c r="A34" i="3"/>
  <c r="A31" i="3"/>
  <c r="A30" i="3"/>
  <c r="A29" i="3"/>
  <c r="A23" i="3"/>
  <c r="A22" i="3"/>
  <c r="A19" i="3"/>
  <c r="A18" i="3"/>
  <c r="E106" i="3"/>
  <c r="D106" i="3"/>
  <c r="C106" i="3"/>
  <c r="E105" i="3"/>
  <c r="D105" i="3"/>
  <c r="C105" i="3"/>
  <c r="E104" i="3"/>
  <c r="D104" i="3"/>
  <c r="C104" i="3"/>
  <c r="E103" i="3"/>
  <c r="D103" i="3"/>
  <c r="C103" i="3"/>
  <c r="E100" i="3"/>
  <c r="D100" i="3"/>
  <c r="C100" i="3"/>
  <c r="E99" i="3"/>
  <c r="D99" i="3"/>
  <c r="C99" i="3"/>
  <c r="E98" i="3"/>
  <c r="D98" i="3"/>
  <c r="C98" i="3"/>
  <c r="E95" i="3"/>
  <c r="D95" i="3"/>
  <c r="C95" i="3"/>
  <c r="E94" i="3"/>
  <c r="D94" i="3"/>
  <c r="C94" i="3"/>
  <c r="E93" i="3"/>
  <c r="D93" i="3"/>
  <c r="C93" i="3"/>
  <c r="E92" i="3"/>
  <c r="D92" i="3"/>
  <c r="C92" i="3"/>
  <c r="E89" i="3"/>
  <c r="D89" i="3"/>
  <c r="C89" i="3"/>
  <c r="E88" i="3"/>
  <c r="D88" i="3"/>
  <c r="C88" i="3"/>
  <c r="E87" i="3"/>
  <c r="D87" i="3"/>
  <c r="C87" i="3"/>
  <c r="E84" i="3"/>
  <c r="D84" i="3"/>
  <c r="C84" i="3"/>
  <c r="E83" i="3"/>
  <c r="D83" i="3"/>
  <c r="C83" i="3"/>
  <c r="E82" i="3"/>
  <c r="D82" i="3"/>
  <c r="C82" i="3"/>
  <c r="E78" i="3"/>
  <c r="D78" i="3"/>
  <c r="C78" i="3"/>
  <c r="E77" i="3"/>
  <c r="D77" i="3"/>
  <c r="C77" i="3"/>
  <c r="E76" i="3"/>
  <c r="D76" i="3"/>
  <c r="C76" i="3"/>
  <c r="E73" i="3"/>
  <c r="D73" i="3"/>
  <c r="C73" i="3"/>
  <c r="E72" i="3"/>
  <c r="D72" i="3"/>
  <c r="C72" i="3"/>
  <c r="E71" i="3"/>
  <c r="D71" i="3"/>
  <c r="C71" i="3"/>
  <c r="E70" i="3"/>
  <c r="D70" i="3"/>
  <c r="C70" i="3"/>
  <c r="E64" i="3"/>
  <c r="D64" i="3"/>
  <c r="C64" i="3"/>
  <c r="E63" i="3"/>
  <c r="D63" i="3"/>
  <c r="C63" i="3"/>
  <c r="E62" i="3"/>
  <c r="D62" i="3"/>
  <c r="C62" i="3"/>
  <c r="E61" i="3"/>
  <c r="D61" i="3"/>
  <c r="C61" i="3"/>
  <c r="E58" i="3"/>
  <c r="D58" i="3"/>
  <c r="C58" i="3"/>
  <c r="E57" i="3"/>
  <c r="D57" i="3"/>
  <c r="C57" i="3"/>
  <c r="E56" i="3"/>
  <c r="D56" i="3"/>
  <c r="C56" i="3"/>
  <c r="E55" i="3"/>
  <c r="D55" i="3"/>
  <c r="C55" i="3"/>
  <c r="E52" i="3"/>
  <c r="D52" i="3"/>
  <c r="C52" i="3"/>
  <c r="E51" i="3"/>
  <c r="D51" i="3"/>
  <c r="C51" i="3"/>
  <c r="E50" i="3"/>
  <c r="D50" i="3"/>
  <c r="C50" i="3"/>
  <c r="E49" i="3"/>
  <c r="D49" i="3"/>
  <c r="C49" i="3"/>
  <c r="E48" i="3"/>
  <c r="D48" i="3"/>
  <c r="C48" i="3"/>
  <c r="E45" i="3"/>
  <c r="D45" i="3"/>
  <c r="C45" i="3"/>
  <c r="E44" i="3"/>
  <c r="D44" i="3"/>
  <c r="C44" i="3"/>
  <c r="E43" i="3"/>
  <c r="D43" i="3"/>
  <c r="C43" i="3"/>
  <c r="E42" i="3"/>
  <c r="D42" i="3"/>
  <c r="C42" i="3"/>
  <c r="E41" i="3"/>
  <c r="D41" i="3"/>
  <c r="C41" i="3"/>
  <c r="E37" i="3"/>
  <c r="D37" i="3"/>
  <c r="C37" i="3"/>
  <c r="E36" i="3"/>
  <c r="D36" i="3"/>
  <c r="C36" i="3"/>
  <c r="E35" i="3"/>
  <c r="D35" i="3"/>
  <c r="C35" i="3"/>
  <c r="E34" i="3"/>
  <c r="D34" i="3"/>
  <c r="C34" i="3"/>
  <c r="E31" i="3"/>
  <c r="D31" i="3"/>
  <c r="C31" i="3"/>
  <c r="E30" i="3"/>
  <c r="D30" i="3"/>
  <c r="C30" i="3"/>
  <c r="E29" i="3"/>
  <c r="D29" i="3"/>
  <c r="C29" i="3"/>
  <c r="E23" i="3"/>
  <c r="D23" i="3"/>
  <c r="C23" i="3"/>
  <c r="E22" i="3"/>
  <c r="D22" i="3"/>
  <c r="C22" i="3"/>
  <c r="E19" i="3"/>
  <c r="D19" i="3"/>
  <c r="C19" i="3"/>
  <c r="E18" i="3"/>
  <c r="D18" i="3"/>
  <c r="C18" i="3"/>
  <c r="G12" i="3"/>
  <c r="H12" i="3" s="1"/>
  <c r="E12" i="3"/>
  <c r="D12" i="3"/>
  <c r="C12" i="3"/>
  <c r="E6" i="3"/>
  <c r="C6" i="3"/>
  <c r="A6" i="3"/>
  <c r="E5" i="3"/>
  <c r="C5" i="3"/>
  <c r="A5" i="3"/>
  <c r="E4" i="3"/>
  <c r="C4" i="3"/>
  <c r="A4" i="3"/>
  <c r="E3" i="3"/>
  <c r="C3" i="3"/>
  <c r="A3" i="3"/>
  <c r="E2" i="3"/>
  <c r="D2" i="3"/>
  <c r="C2" i="3"/>
  <c r="A2" i="3"/>
  <c r="E1" i="3"/>
  <c r="D1" i="3"/>
  <c r="C1" i="3"/>
  <c r="A1" i="3"/>
  <c r="A12" i="3"/>
  <c r="E6" i="12"/>
  <c r="C6" i="12"/>
  <c r="A6" i="12"/>
  <c r="E5" i="12"/>
  <c r="C5" i="12"/>
  <c r="A5" i="12"/>
  <c r="E4" i="12"/>
  <c r="C4" i="12"/>
  <c r="A4" i="12"/>
  <c r="E3" i="12"/>
  <c r="C3" i="12"/>
  <c r="A3" i="12"/>
  <c r="E2" i="12"/>
  <c r="D2" i="12"/>
  <c r="C2" i="12"/>
  <c r="A2" i="12"/>
  <c r="E1" i="12"/>
  <c r="D1" i="12"/>
  <c r="C1" i="12"/>
  <c r="A1" i="12"/>
  <c r="F102" i="6" l="1"/>
  <c r="F101" i="6" s="1"/>
  <c r="F100" i="6"/>
  <c r="F99" i="6" s="1"/>
  <c r="E94" i="6"/>
  <c r="E93" i="6" s="1"/>
  <c r="D94" i="6"/>
  <c r="D93" i="6" s="1"/>
  <c r="F96" i="6"/>
  <c r="E88" i="6"/>
  <c r="F90" i="6"/>
  <c r="D88" i="6"/>
  <c r="E84" i="6"/>
  <c r="E130" i="6" s="1"/>
  <c r="E87" i="6"/>
  <c r="E68" i="6"/>
  <c r="E67" i="6" s="1"/>
  <c r="F70" i="6"/>
  <c r="D68" i="6"/>
  <c r="D67" i="6" s="1"/>
  <c r="E57" i="6"/>
  <c r="E56" i="6"/>
  <c r="F60" i="6"/>
  <c r="D58" i="6"/>
  <c r="D114" i="6"/>
  <c r="F114" i="6" s="1"/>
  <c r="F113" i="6" s="1"/>
  <c r="E114" i="6"/>
  <c r="F92" i="6"/>
  <c r="F91" i="6" s="1"/>
  <c r="F62" i="6"/>
  <c r="F61" i="6" s="1"/>
  <c r="F32" i="6"/>
  <c r="F31" i="6" s="1"/>
  <c r="F72" i="6"/>
  <c r="F71" i="6" s="1"/>
  <c r="H10" i="1"/>
  <c r="C14" i="6"/>
  <c r="C16" i="6"/>
  <c r="C10" i="2"/>
  <c r="H32" i="1"/>
  <c r="H47" i="1"/>
  <c r="H102" i="3"/>
  <c r="H97" i="3"/>
  <c r="H91" i="3"/>
  <c r="H86" i="3"/>
  <c r="H75" i="3"/>
  <c r="H69" i="3"/>
  <c r="H60" i="3"/>
  <c r="H54" i="3"/>
  <c r="H47" i="3"/>
  <c r="H40" i="3"/>
  <c r="H33" i="3"/>
  <c r="H28" i="3"/>
  <c r="H17" i="3"/>
  <c r="F95" i="6" l="1"/>
  <c r="F94" i="6"/>
  <c r="F93" i="6" s="1"/>
  <c r="D86" i="6"/>
  <c r="D84" i="6" s="1"/>
  <c r="D87" i="6"/>
  <c r="F89" i="6"/>
  <c r="F88" i="6"/>
  <c r="F69" i="6"/>
  <c r="F68" i="6"/>
  <c r="F67" i="6" s="1"/>
  <c r="E55" i="6"/>
  <c r="E54" i="6"/>
  <c r="E41" i="6" s="1"/>
  <c r="D56" i="6"/>
  <c r="D54" i="6" s="1"/>
  <c r="D41" i="6" s="1"/>
  <c r="D57" i="6"/>
  <c r="F59" i="6"/>
  <c r="F58" i="6"/>
  <c r="D14" i="6"/>
  <c r="D12" i="6" s="1"/>
  <c r="E14" i="6"/>
  <c r="E12" i="6" s="1"/>
  <c r="H46" i="1"/>
  <c r="C86" i="6"/>
  <c r="H31" i="1"/>
  <c r="C56" i="6"/>
  <c r="H9" i="1"/>
  <c r="C12" i="6"/>
  <c r="F87" i="6" l="1"/>
  <c r="F84" i="6"/>
  <c r="F130" i="6" s="1"/>
  <c r="F57" i="6"/>
  <c r="F56" i="6"/>
  <c r="G70" i="1"/>
  <c r="G71" i="1" s="1"/>
  <c r="F14" i="6"/>
  <c r="F13" i="6" s="1"/>
  <c r="C54" i="6"/>
  <c r="C12" i="2"/>
  <c r="D85" i="6"/>
  <c r="E85" i="6"/>
  <c r="F85" i="6"/>
  <c r="C10" i="6"/>
  <c r="C9" i="2"/>
  <c r="C13" i="2"/>
  <c r="C84" i="6"/>
  <c r="E11" i="6"/>
  <c r="E10" i="6"/>
  <c r="D55" i="6"/>
  <c r="D10" i="6"/>
  <c r="D11" i="6"/>
  <c r="G72" i="1"/>
  <c r="D38" i="8"/>
  <c r="D31" i="8"/>
  <c r="D19" i="8"/>
  <c r="D40" i="8" s="1"/>
  <c r="D18" i="7"/>
  <c r="D23" i="7" s="1"/>
  <c r="E71" i="1" s="1"/>
  <c r="D10" i="7"/>
  <c r="F55" i="6" l="1"/>
  <c r="F54" i="6"/>
  <c r="F53" i="6" s="1"/>
  <c r="F12" i="6"/>
  <c r="F11" i="6" s="1"/>
  <c r="D9" i="6"/>
  <c r="E9" i="6"/>
  <c r="D17" i="2"/>
  <c r="F83" i="6"/>
  <c r="E83" i="6"/>
  <c r="D83" i="6"/>
  <c r="D53" i="6"/>
  <c r="E53" i="6"/>
  <c r="D41" i="8"/>
  <c r="D42" i="8" s="1"/>
  <c r="D44" i="8" s="1"/>
  <c r="C6" i="8"/>
  <c r="A6" i="8"/>
  <c r="C5" i="8"/>
  <c r="A5" i="8"/>
  <c r="C2" i="8"/>
  <c r="B2" i="8"/>
  <c r="C1" i="8"/>
  <c r="B1" i="8"/>
  <c r="A1" i="8"/>
  <c r="C6" i="7"/>
  <c r="A6" i="7"/>
  <c r="C5" i="7"/>
  <c r="A5" i="7"/>
  <c r="C2" i="7"/>
  <c r="B2" i="7"/>
  <c r="C1" i="7"/>
  <c r="B1" i="7"/>
  <c r="A1" i="7"/>
  <c r="F10" i="6" l="1"/>
  <c r="F9" i="6" s="1"/>
  <c r="D14" i="2"/>
  <c r="D11" i="2"/>
  <c r="D18" i="2"/>
  <c r="D19" i="2" s="1"/>
  <c r="D15" i="2"/>
  <c r="D10" i="2"/>
  <c r="D12" i="2"/>
  <c r="D9" i="2"/>
  <c r="D13" i="2"/>
  <c r="D18" i="6"/>
  <c r="D16" i="6" s="1"/>
  <c r="F19" i="6" l="1"/>
  <c r="F18" i="6"/>
  <c r="F16" i="6" s="1"/>
  <c r="D17" i="6"/>
  <c r="E18" i="6"/>
  <c r="E16" i="6" s="1"/>
  <c r="E19" i="6"/>
  <c r="D19" i="6"/>
  <c r="E15" i="6" l="1"/>
  <c r="F15" i="6"/>
  <c r="E17" i="6"/>
  <c r="D15" i="6"/>
  <c r="D130" i="6"/>
  <c r="F17" i="6"/>
  <c r="D131" i="6" l="1"/>
  <c r="D132" i="6" s="1"/>
  <c r="D135" i="6" s="1"/>
  <c r="D134" i="6"/>
  <c r="E134" i="6" l="1"/>
  <c r="F134" i="6" s="1"/>
  <c r="F129" i="6" s="1"/>
  <c r="F131" i="6"/>
  <c r="F132" i="6" s="1"/>
  <c r="E131" i="6"/>
  <c r="E132" i="6" s="1"/>
  <c r="E135" i="6" s="1"/>
  <c r="D129" i="6" l="1"/>
  <c r="D133" i="6" s="1"/>
  <c r="E129" i="6"/>
  <c r="C23" i="6"/>
  <c r="C107" i="6"/>
  <c r="C93" i="6"/>
  <c r="C103" i="6"/>
  <c r="C57" i="6"/>
  <c r="C67" i="6"/>
  <c r="C87" i="6"/>
  <c r="C45" i="6"/>
  <c r="C49" i="6"/>
  <c r="C127" i="6"/>
  <c r="C41" i="6"/>
  <c r="C25" i="6"/>
  <c r="C29" i="6"/>
  <c r="C121" i="6"/>
  <c r="C21" i="6"/>
  <c r="C119" i="6"/>
  <c r="C113" i="6"/>
  <c r="C101" i="6"/>
  <c r="C91" i="6"/>
  <c r="C77" i="6"/>
  <c r="C35" i="6"/>
  <c r="C33" i="6"/>
  <c r="C105" i="6"/>
  <c r="C97" i="6"/>
  <c r="C95" i="6"/>
  <c r="C79" i="6"/>
  <c r="C71" i="6"/>
  <c r="C59" i="6"/>
  <c r="C47" i="6"/>
  <c r="C43" i="6"/>
  <c r="C31" i="6"/>
  <c r="C27" i="6"/>
  <c r="C109" i="6"/>
  <c r="C81" i="6"/>
  <c r="C73" i="6"/>
  <c r="C63" i="6"/>
  <c r="C61" i="6"/>
  <c r="C111" i="6"/>
  <c r="C99" i="6"/>
  <c r="C89" i="6"/>
  <c r="C75" i="6"/>
  <c r="C69" i="6"/>
  <c r="C65" i="6"/>
  <c r="C51" i="6"/>
  <c r="C19" i="6"/>
  <c r="F135" i="6"/>
  <c r="C85" i="6"/>
  <c r="C11" i="6"/>
  <c r="C125" i="6"/>
  <c r="C55" i="6"/>
  <c r="C39" i="6"/>
  <c r="C123" i="6"/>
  <c r="C117" i="6"/>
  <c r="C83" i="6"/>
  <c r="C15" i="6"/>
  <c r="C53" i="6"/>
  <c r="C9" i="6"/>
  <c r="C37" i="6"/>
  <c r="C13" i="6"/>
  <c r="C115" i="6"/>
  <c r="C17" i="6"/>
  <c r="E133" i="6" l="1"/>
  <c r="F133" i="6" s="1"/>
</calcChain>
</file>

<file path=xl/sharedStrings.xml><?xml version="1.0" encoding="utf-8"?>
<sst xmlns="http://schemas.openxmlformats.org/spreadsheetml/2006/main" count="859" uniqueCount="405">
  <si>
    <t>Item</t>
  </si>
  <si>
    <t>Código</t>
  </si>
  <si>
    <t>Banco</t>
  </si>
  <si>
    <t>Descrição</t>
  </si>
  <si>
    <t>Und</t>
  </si>
  <si>
    <t>Quant.</t>
  </si>
  <si>
    <t>Valor Unit</t>
  </si>
  <si>
    <t>Total</t>
  </si>
  <si>
    <t xml:space="preserve"> 01 </t>
  </si>
  <si>
    <t>SERVIÇOS TÉCNICOS-PROFISSIONAIS</t>
  </si>
  <si>
    <t xml:space="preserve"> 01.08 </t>
  </si>
  <si>
    <t>TAXAS E EMOLUMENTOS</t>
  </si>
  <si>
    <t xml:space="preserve"> 01.08.1 </t>
  </si>
  <si>
    <t xml:space="preserve"> MPDFT0009 </t>
  </si>
  <si>
    <t>Próprio</t>
  </si>
  <si>
    <t>Registro do contrato junto ao conselho de classe (ART)</t>
  </si>
  <si>
    <t>vb</t>
  </si>
  <si>
    <t xml:space="preserve"> 02 </t>
  </si>
  <si>
    <t>SERVIÇOS PRELIMINARES</t>
  </si>
  <si>
    <t xml:space="preserve"> 02.01 </t>
  </si>
  <si>
    <t>CANTEIRO DE OBRAS</t>
  </si>
  <si>
    <t xml:space="preserve"> 02.01.400 </t>
  </si>
  <si>
    <t>Proteção e Sinalização</t>
  </si>
  <si>
    <t xml:space="preserve"> 02.01.400.1 </t>
  </si>
  <si>
    <t>SINAPI</t>
  </si>
  <si>
    <t>m²</t>
  </si>
  <si>
    <t xml:space="preserve"> 02.02 </t>
  </si>
  <si>
    <t>DEMOLIÇÃO</t>
  </si>
  <si>
    <t xml:space="preserve"> 02.02.100 </t>
  </si>
  <si>
    <t>Demolição Convencional</t>
  </si>
  <si>
    <t xml:space="preserve"> 02.02.100.1 </t>
  </si>
  <si>
    <t>m³</t>
  </si>
  <si>
    <t xml:space="preserve"> 02.02.300 </t>
  </si>
  <si>
    <t>Remoções</t>
  </si>
  <si>
    <t xml:space="preserve"> 02.02.300.1 </t>
  </si>
  <si>
    <t xml:space="preserve"> MPDFT0894 </t>
  </si>
  <si>
    <t>Copia da SIURB (176093) - RETIRADA DE DUTO DE EXAUSTÃO</t>
  </si>
  <si>
    <t>M</t>
  </si>
  <si>
    <t xml:space="preserve"> 02.02.300.2 </t>
  </si>
  <si>
    <t xml:space="preserve"> 97641 </t>
  </si>
  <si>
    <t>REMOÇÃO DE FORRO DE GESSO, DE FORMA MANUAL, SEM REAPROVEITAMENTO. AF_12/2017</t>
  </si>
  <si>
    <t xml:space="preserve"> 02.02.300.3 </t>
  </si>
  <si>
    <t xml:space="preserve"> MPDFT0117 </t>
  </si>
  <si>
    <t>Copia da IOPES (010224) - Retirada de grades, gradis, alambrados, cercas e/ou portões, de forma manual</t>
  </si>
  <si>
    <t xml:space="preserve"> 04 </t>
  </si>
  <si>
    <t>ARQUITETURA E ELEMENTOS DE URBANISMO</t>
  </si>
  <si>
    <t xml:space="preserve"> 04.01 </t>
  </si>
  <si>
    <t>ARQUITETURA</t>
  </si>
  <si>
    <t xml:space="preserve"> 04.01.210 </t>
  </si>
  <si>
    <t>Esquadria de ferro</t>
  </si>
  <si>
    <t xml:space="preserve"> 04.01.210.1 </t>
  </si>
  <si>
    <t xml:space="preserve"> 99861 </t>
  </si>
  <si>
    <t>GRADIL EM FERRO FIXADO EM VÃOS DE JANELAS, FORMADO POR BARRAS CHATAS DE 25X4,8 MM. AF_04/2019</t>
  </si>
  <si>
    <t xml:space="preserve"> 04.01.550 </t>
  </si>
  <si>
    <t>Revestimentos de forro</t>
  </si>
  <si>
    <t xml:space="preserve"> 04.01.550.1 </t>
  </si>
  <si>
    <t xml:space="preserve"> 96114 </t>
  </si>
  <si>
    <t>FORRO EM DRYWALL, PARA AMBIENTES COMERCIAIS, INCLUSIVE ESTRUTURA DE FIXAÇÃO. AF_05/2017_P</t>
  </si>
  <si>
    <t xml:space="preserve"> 04.01.700 </t>
  </si>
  <si>
    <t>Acabamentos e Arremates</t>
  </si>
  <si>
    <t xml:space="preserve"> 04.01.700.1 </t>
  </si>
  <si>
    <t xml:space="preserve"> 94228 </t>
  </si>
  <si>
    <t>CALHA EM CHAPA DE AÇO GALVANIZADO NÚMERO 24, DESENVOLVIMENTO DE 50 CM, INCLUSO TRANSPORTE VERTICAL. AF_07/2019</t>
  </si>
  <si>
    <t xml:space="preserve"> 06 </t>
  </si>
  <si>
    <t>INSTALAÇÕES ELÉTRICAS E ELETRÔNICAS</t>
  </si>
  <si>
    <t xml:space="preserve"> 06.01 </t>
  </si>
  <si>
    <t>INSTALAÇÕES ELÉTRICAS</t>
  </si>
  <si>
    <t xml:space="preserve"> 06.01.100 </t>
  </si>
  <si>
    <t>Quadros Elétricos</t>
  </si>
  <si>
    <t xml:space="preserve"> 06.01.100.1 </t>
  </si>
  <si>
    <t xml:space="preserve"> MPDFT0153 </t>
  </si>
  <si>
    <t>QE-CAG - PJBSI - Reforma de quadro elétrico para Central de água gelada do retrofit AC do auditório do Ed. Sede</t>
  </si>
  <si>
    <t>un</t>
  </si>
  <si>
    <t xml:space="preserve"> 06.01.100.2 </t>
  </si>
  <si>
    <t xml:space="preserve"> MPDFT0155 </t>
  </si>
  <si>
    <t>QE-CAG-B - PJBSI - Quadro elétrico para Central de água gelada 'B" do retrofit AC do auditório do Ed. Sede (novo)</t>
  </si>
  <si>
    <t xml:space="preserve"> 06.01.100.3 </t>
  </si>
  <si>
    <t>UN</t>
  </si>
  <si>
    <t xml:space="preserve"> 06.01.300 </t>
  </si>
  <si>
    <t>Rede Elétrica Primária</t>
  </si>
  <si>
    <t xml:space="preserve"> 06.01.300.1 </t>
  </si>
  <si>
    <t xml:space="preserve"> MPDFT0800 </t>
  </si>
  <si>
    <t>Copia da SINAPI (95748) - Eletroduto rígido de aço carbono, sem costura, com revestimento protetor de zinco aplicado à quente, extremidades rosqueadas, classe pesada, Ø50 mm (2" BSPP), fab. Apolo - fornecimento e instalação</t>
  </si>
  <si>
    <t xml:space="preserve"> 06.01.300.2 </t>
  </si>
  <si>
    <t xml:space="preserve"> MPDFT0150 </t>
  </si>
  <si>
    <t>Copia da SBC (061169) - ELETRODUTO FERRO GALVANIZADO ROSCÁVEL 1.1/2"" COM CONEXÕES</t>
  </si>
  <si>
    <t>m</t>
  </si>
  <si>
    <t xml:space="preserve"> 06.01.300.3 </t>
  </si>
  <si>
    <t xml:space="preserve"> MPDFT0152 </t>
  </si>
  <si>
    <t>Copia da SINAPI (95791) - Condulete de alumínio, tipo LR, para eletroduto de aço galvanizado dn 50mm (2''), aparente - fornecimento e instalação</t>
  </si>
  <si>
    <t xml:space="preserve"> 06.01.300.4 </t>
  </si>
  <si>
    <t xml:space="preserve"> MPDFT0151 </t>
  </si>
  <si>
    <t>Copia da SINAPI (95791) - Condulete de alumínio, tipo LR, para eletroduto de aço galvanizado dn 40 mm (1 1/2''), aparente - fornecimento e instalação</t>
  </si>
  <si>
    <t xml:space="preserve"> 06.01.300.5 </t>
  </si>
  <si>
    <t xml:space="preserve"> 91929 </t>
  </si>
  <si>
    <t>CABO DE COBRE FLEXÍVEL ISOLADO, 4 MM², ANTI-CHAMA 0,6/1,0 KV, PARA CIRCUITOS TERMINAIS - FORNECIMENTO E INSTALAÇÃO. AF_12/2015</t>
  </si>
  <si>
    <t xml:space="preserve"> 06.01.300.6 </t>
  </si>
  <si>
    <t xml:space="preserve"> 91931 </t>
  </si>
  <si>
    <t>CABO DE COBRE FLEXÍVEL ISOLADO, 6 MM², ANTI-CHAMA 0,6/1,0 KV, PARA CIRCUITOS TERMINAIS - FORNECIMENTO E INSTALAÇÃO. AF_12/2015</t>
  </si>
  <si>
    <t xml:space="preserve"> 06.01.300.7 </t>
  </si>
  <si>
    <t xml:space="preserve"> 91186 </t>
  </si>
  <si>
    <t>FIXAÇÃO DE TUBOS HORIZONTAIS DE PVC, CPVC OU COBRE DIÂMETROS MAIORES QUE 40 MM E MENORES OU IGUAIS A 75 MM COM ABRAÇADEIRA METÁLICA FLEXÍVEL 18 MM, FIXADA DIRETAMENTE NA LAJE. AF_05/2015</t>
  </si>
  <si>
    <t xml:space="preserve"> 07 </t>
  </si>
  <si>
    <t>INSTALAÇÕES MECÂNICAS E DE UTILIDADES</t>
  </si>
  <si>
    <t xml:space="preserve"> 07.02 </t>
  </si>
  <si>
    <t>AR CONDICIONADO CENTRAL</t>
  </si>
  <si>
    <t xml:space="preserve"> 07.02.200 </t>
  </si>
  <si>
    <t>Condicionadores</t>
  </si>
  <si>
    <t xml:space="preserve"> 07.02.200.1 </t>
  </si>
  <si>
    <t xml:space="preserve"> MPDFT1100 </t>
  </si>
  <si>
    <t>Cópia da SBC (070908) - Unidade condensadora de aparelho de ar condicionado de expansão direta tipo “splitão” inverter (VRF), tipo de ciclo “somente frio”, capacidade térmica nominal de 24,0 TRs, COP 3,47, alimentação elétrica trifásica, 380V, corrente nominal 36,9A, corrente de partida 20A, corrente máxima 58,5 A, potência elétrica 21,69kW, nível de pressão sonora 68 dB(A), dimensões 1675x1600x765 mm, peso 365kg, gás refrigerante R-410A, controle por válvula de expansão eletrônica, trocador de calor tipo corrente cruzada, com aletas de alumínio e tubos de cobre, tubulação de gás refrigerante 19,05mm (3/4”) e 31,75mm (1 – 1/4”), vazão de ar 405 m³/min (24300m³/h), incluindo kit válvula DXF-30.0A1 e kit acionamento KCO0053 - JCI – Hitachi RAS28FSNC7B1</t>
  </si>
  <si>
    <t xml:space="preserve"> 07.02.200.2 </t>
  </si>
  <si>
    <t xml:space="preserve"> MPDFT1101 </t>
  </si>
  <si>
    <t>Cópia da CPOS (61.20.130) - Unidade evaporadora com módulo ventilador aparelho de ar condicionado de expansão direta tipo “splitão”, montagem na posição vertical, descarga de ar "para cima", com vazão de ar 17000 m³/h, pressão estática até 45mmca, dimensões 710x1900x710mm, alimentação elétrica trifásica, 380V, corrente elétrica 11,77 A, potência elétrica 7,54kW, motor elétrico 7,5 CV, módulo trocador de calor dimensões 1300x1900x710mm, incluindo controle remoto com fio HCWA10NEGQ e caixa de mistura com damper de ar externo CXMT250CNP - JCI – Hitachi RVT250CXM+RTCIV250CNP</t>
  </si>
  <si>
    <t xml:space="preserve"> 07.02.300 </t>
  </si>
  <si>
    <t>Redes de Dutos</t>
  </si>
  <si>
    <t xml:space="preserve"> 07.02.300.1 </t>
  </si>
  <si>
    <t xml:space="preserve"> MPDFT1094 </t>
  </si>
  <si>
    <t>Cópia da SBC (070087) - Damper de sobre pressão dimensão 400x400mm, em chapa de aço galvanizado, com aletas em alumínio, eixos em aço, buchas em latão, para fluxo não equalizado, incluindo contra moldura - Tropical DSP30 - 400x400 - contra moldura</t>
  </si>
  <si>
    <t xml:space="preserve"> 07.02.300.2 </t>
  </si>
  <si>
    <t xml:space="preserve"> MPDFT1098 </t>
  </si>
  <si>
    <t>Cópia da SBC (070087) -  Damper de sobre pressão dimensão 400x350mm, em chapa de aço galvanizado, com aletas em alumínio, eixos em aço, buchas em latão, para fluxo não equalizado, incluindo contra moldura - Tropical DSP30 - 400x350 - contra moldura</t>
  </si>
  <si>
    <t xml:space="preserve"> 07.02.300.3 </t>
  </si>
  <si>
    <t xml:space="preserve"> MPDFT1122 </t>
  </si>
  <si>
    <t>Cópia Orse (9840) - Duto em chapa de aço galvanizado #16 (espessura de parede 1,55mm), grau B, com revestimento de 250g/m² de zinco, conforme ABNT NBR 7008, incluindo junta TDC, tirantes, reforços e suportes, conforme ABNT 16401.</t>
  </si>
  <si>
    <t xml:space="preserve"> 07.02.300.4 </t>
  </si>
  <si>
    <t xml:space="preserve"> MPDFT0060 </t>
  </si>
  <si>
    <t>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t>
  </si>
  <si>
    <t xml:space="preserve"> 07.02.420 </t>
  </si>
  <si>
    <t>Tubulações e Conexões de PVC Rígido</t>
  </si>
  <si>
    <t xml:space="preserve"> 07.02.420.1 </t>
  </si>
  <si>
    <t xml:space="preserve"> 91785 </t>
  </si>
  <si>
    <t>(COMPOSIÇÃO REPRESENTATIVA) DO SERVIÇO DE INSTALAÇÃO DE TUBOS DE PVC, SOLDÁVEL, ÁGUA FRIA, DN 25 MM (INSTALADO EM RAMAL, SUB-RAMAL, RAMAL DE DISTRIBUIÇÃO OU PRUMADA), INCLUSIVE CONEXÕES, CORTES E FIXAÇÕES, PARA PRÉDIOS. AF_10/2015</t>
  </si>
  <si>
    <t xml:space="preserve"> 07.02.430 </t>
  </si>
  <si>
    <t>Tubulações e Conexões de Cobre</t>
  </si>
  <si>
    <t xml:space="preserve"> 07.02.430.1 </t>
  </si>
  <si>
    <t xml:space="preserve"> 92324 </t>
  </si>
  <si>
    <t>TUBO EM COBRE RÍGIDO, DN 22 MM, CLASSE E, COM ISOLAMENTO, INSTALADO EM RAMAL E SUB-RAMAL  FORNECIMENTO E INSTALAÇÃO. AF_12/2015</t>
  </si>
  <si>
    <t xml:space="preserve"> 07.02.430.2 </t>
  </si>
  <si>
    <t xml:space="preserve"> 92283 </t>
  </si>
  <si>
    <t>TUBO EM COBRE RÍGIDO, DN 35 MM, CLASSE E, COM ISOLAMENTO, INSTALADO EM PRUMADA  FORNECIMENTO E INSTALAÇÃO. AF_12/2015</t>
  </si>
  <si>
    <t xml:space="preserve"> 07.02.430.3 </t>
  </si>
  <si>
    <t xml:space="preserve"> MPDFT1102 </t>
  </si>
  <si>
    <t>Cópia da CPOS (47.20.180) - Filtro Y 8" fabricado com corpo em ferro fundido, filtro removível em aço inoxidável AISI-304, com furação de 1,2mm, com as extremidades flangeadas - NIAGARA</t>
  </si>
  <si>
    <t xml:space="preserve"> 09.02 </t>
  </si>
  <si>
    <t>LIMPEZA DE OBRAS</t>
  </si>
  <si>
    <t xml:space="preserve"> 09.02.1 </t>
  </si>
  <si>
    <t xml:space="preserve"> 99811 </t>
  </si>
  <si>
    <t>LIMPEZA DE CONTRAPISO COM VASSOURA A SECO. AF_04/2019</t>
  </si>
  <si>
    <t xml:space="preserve"> 09.02.2 </t>
  </si>
  <si>
    <t xml:space="preserve"> 99803 </t>
  </si>
  <si>
    <t>LIMPEZA DE PISO CERÂMICO OU PORCELANATO COM PANO ÚMIDO. AF_04/2019</t>
  </si>
  <si>
    <t>Total sem BDI</t>
  </si>
  <si>
    <t>Total do BDI</t>
  </si>
  <si>
    <t>Total Geral</t>
  </si>
  <si>
    <t>SERVIÇOS COMPLEMENTARES</t>
  </si>
  <si>
    <t>Data:</t>
  </si>
  <si>
    <t>Planilha Orçamentária Resumida</t>
  </si>
  <si>
    <t xml:space="preserve"> 09 </t>
  </si>
  <si>
    <t>Planilha Orçamentária Analítica</t>
  </si>
  <si>
    <t>Composição</t>
  </si>
  <si>
    <t>Insumo</t>
  </si>
  <si>
    <t xml:space="preserve"> CM0645 </t>
  </si>
  <si>
    <t>Anotação de Resposanbilidade Técnica (Faixa 3 - Tabela A - CONFEA)</t>
  </si>
  <si>
    <t>H</t>
  </si>
  <si>
    <t>Material</t>
  </si>
  <si>
    <t xml:space="preserve"> 88315 </t>
  </si>
  <si>
    <t>SERRALHEIRO COM ENCARGOS COMPLEMENTARES</t>
  </si>
  <si>
    <t xml:space="preserve"> 88251 </t>
  </si>
  <si>
    <t>AUXILIAR DE SERRALHEIRO COM ENCARGOS COMPLEMENTARES</t>
  </si>
  <si>
    <t xml:space="preserve"> 88316 </t>
  </si>
  <si>
    <t>SERVENTE COM ENCARGOS COMPLEMENTARES</t>
  </si>
  <si>
    <t>KG</t>
  </si>
  <si>
    <t xml:space="preserve"> 88264 </t>
  </si>
  <si>
    <t>ELETRICISTA COM ENCARGOS COMPLEMENTARES</t>
  </si>
  <si>
    <t xml:space="preserve"> 91677 </t>
  </si>
  <si>
    <t>ENGENHEIRO ELETRICISTA COM ENCARGOS COMPLEMENTARES</t>
  </si>
  <si>
    <t xml:space="preserve"> 88247 </t>
  </si>
  <si>
    <t>AUXILIAR DE ELETRICISTA COM ENCARGOS COMPLEMENTARES</t>
  </si>
  <si>
    <t xml:space="preserve"> 95756 </t>
  </si>
  <si>
    <t>LUVA DE EMENDA PARA ELETRODUTO, AÇO GALVANIZADO, DN 40 MM (1 1/2''), APARENTE, INSTALADA EM TETO - FORNECIMENTO E INSTALAÇÃO. AF_11/2016_P</t>
  </si>
  <si>
    <t xml:space="preserve"> 91171 </t>
  </si>
  <si>
    <t>FIXAÇÃO DE TUBOS HORIZONTAIS DE PVC, CPVC OU COBRE DIÂMETROS MAIORES QUE 40 MM E MENORES OU IGUAIS A 75 MM COM ABRAÇADEIRA METÁLICA RÍGIDA TIPO D 1 1/2", FIXADA EM PERFILADO EM LAJE. AF_05/2015</t>
  </si>
  <si>
    <t xml:space="preserve"> CM0913 </t>
  </si>
  <si>
    <t>Eletroduto de 50mm em aço carbono sem costura, parede classe pesada de espessura ≥1,5mm, com revestimento protetor de zinco aplicado a quente, extremidades com rosa BSP. Fabricação Apolo Tubos e Equipamentos*.</t>
  </si>
  <si>
    <t xml:space="preserve"> 00002632 </t>
  </si>
  <si>
    <t>CURVA 90 GRAUS, PARA ELETRODUTO, EM ACO GALVANIZADO ELETROLITICO, DIAMETRO DE 40 MM (1 1/2")</t>
  </si>
  <si>
    <t xml:space="preserve"> 00002644 </t>
  </si>
  <si>
    <t>LUVA PARA ELETRODUTO, EM ACO GALVANIZADO ELETROLITICO, DIAMETRO DE 40 MM (1 1/2")</t>
  </si>
  <si>
    <t xml:space="preserve"> CM0187 </t>
  </si>
  <si>
    <t>Eletroduto rígido de aço carbono, ø 1.1/2" (38,10mm), sem costura, revestimento protetor de zinco aplicado a quente, em barras de 3000mm, extremidades rosqueadas, fornecido com uma luva na extremidade, rosca cilíndrica BSP, paredes com espessura de classe pesada, conforme norma NBR 5598, instalação enterrada</t>
  </si>
  <si>
    <t xml:space="preserve"> 00011950 </t>
  </si>
  <si>
    <t>BUCHA DE NYLON SEM ABA S6, COM PARAFUSO DE 4,20 X 40 MM EM ACO ZINCADO COM ROSCA SOBERBA, CABECA CHATA E FENDA PHILLIPS</t>
  </si>
  <si>
    <t xml:space="preserve"> 00002571 </t>
  </si>
  <si>
    <t>CONDULETE DE ALUMINIO TIPO LR, PARA ELETRODUTO ROSCAVEL DE 2", COM TAMPA CEGA</t>
  </si>
  <si>
    <t xml:space="preserve"> 00002587 </t>
  </si>
  <si>
    <t>CONDULETE DE ALUMINIO TIPO LR, PARA ELETRODUTO ROSCAVEL DE 1 1/2", COM TAMPA CEGA</t>
  </si>
  <si>
    <t xml:space="preserve"> 88267 </t>
  </si>
  <si>
    <t>ENCANADOR OU BOMBEIRO HIDRÁULICO COM ENCARGOS COMPLEMENTARES</t>
  </si>
  <si>
    <t xml:space="preserve"> 88248 </t>
  </si>
  <si>
    <t>AUXILIAR DE ENCANADOR OU BOMBEIRO HIDRÁULICO COM ENCARGOS COMPLEMENTARES</t>
  </si>
  <si>
    <t xml:space="preserve"> 88250 </t>
  </si>
  <si>
    <t>AUXILIAR DE MECÂNICO COM ENCARGOS COMPLEMENTARES</t>
  </si>
  <si>
    <t xml:space="preserve"> 88275 </t>
  </si>
  <si>
    <t>MECÃNICO DE EQUIPAMENTOS PESADOS COM ENCARGOS COMPLEMENTARES</t>
  </si>
  <si>
    <t xml:space="preserve"> CM1781 </t>
  </si>
  <si>
    <t>Unidade condensadora de aparelho de ar condicionado de expansão direta tipo “splitão” inverter (VRF), tipo de ciclo “somente frio”, capacidade térmica nominal de 24,0 TRs, COP 3,47, alimentação elétrica trifásica, 380V, corrente nominal 36,9A, corrente de partida 20A, corrente máxima 58,5 A, potência elétrica 21,69kW, nível de pressão sonora 68 dB(A), dimensões 1675x1600x765 mm, peso 365kg, gás refrigerante R-410A, controle por válvula de expansão eletrônica, trocador de calor tipo corrente cruzada, com aletas de alumínio e tubos de cobre, tubulação de gás refrigerante 19,05mm (3/4”) e 31,75mm (1 – 1/4”), vazão de ar 405 m³/min (24300m³/h), incluindo kit válvula DXF-30.0A1 e kit acionamento KCO0053 - JCI – Hitachi RAS28FSNC7B1</t>
  </si>
  <si>
    <t xml:space="preserve"> CM1782 </t>
  </si>
  <si>
    <t>Unidade evaporadora com módulo ventilador aparelho de ar condicionado de expansão direta tipo “splitão”, montagem na posição vertical, descarga de ar "para cima", com vazão de ar 17000 m³/h, pressão estática até 45mmca, dimensões 710x1900x710mm, alimentação elétrica trifásica, 380V, corrente elétrica 11,77 A, potência elétrica 7,54kW, motor elétrico 7,5 CV, módulo trocador de calor dimensões 1300x1900x710mm, incluindo controle remoto com fio HCWA10NEGQ e caixa de mistura com damper de ar externo CXMT250CNP - JCI – Hitachi RVT250CXM+RTCIV250CNP</t>
  </si>
  <si>
    <t xml:space="preserve"> CM1778 </t>
  </si>
  <si>
    <t>Damper de sobre pressão dimensão 400x400mm, em chapa de aço galvanizado, com aletas em alumínio, eixos em aço, buchas em latão, para fluxo não equalizado, incluindo contra moldura - Tropical DSP30 - 400x400 - contra moldura</t>
  </si>
  <si>
    <t xml:space="preserve"> CM1779 </t>
  </si>
  <si>
    <t>Damper de sobre pressão dimensão 400x350mm, em chapa de aço galvanizado, com aletas em alumínio, eixos em aço, buchas em latão, para fluxo não equalizado, incluindo contra moldura - Tropical DSP30 - 400x350 - contra moldura</t>
  </si>
  <si>
    <t xml:space="preserve"> 96561 </t>
  </si>
  <si>
    <t>SUPORTE PARA DUTO EM CHAPA GALVANIZADA BITOLA 22, ESPAÇADO A CADA 1 M, EM PERFILADO DE SEÇÃO 38X76 MM, POR ÁREA DE DUTO FIXADO. AF_07/2017</t>
  </si>
  <si>
    <t xml:space="preserve"> 00011027 </t>
  </si>
  <si>
    <t>CHAPA DE ACO GALVANIZADA BITOLA GSG 16, E = 1,55 MM (12,40 KG/M2)</t>
  </si>
  <si>
    <t xml:space="preserve"> 88277 </t>
  </si>
  <si>
    <t>MONTADOR (TUBO AÇO/EQUIPAMENTOS) COM ENCARGOS COMPLEMENTARES</t>
  </si>
  <si>
    <t xml:space="preserve"> 88243 </t>
  </si>
  <si>
    <t>AJUDANTE ESPECIALIZADO COM ENCARGOS COMPLEMENTARES</t>
  </si>
  <si>
    <t xml:space="preserve"> CM0433 </t>
  </si>
  <si>
    <t>Painel  MPU, pré-isolado de poli-isocianurato, revestido com duas lâminas de alumínio gofrado, (esp. 20mm) – ref. Multivac (inclusive perdas, acessórios de conexão, de vedação e de reforço)</t>
  </si>
  <si>
    <t xml:space="preserve"> CM1783 </t>
  </si>
  <si>
    <t>Filtro Y 8" fabricado com corpo em ferro fundido, filtro removível em aço inoxidável AISI-304, com furação de 1,2mm, com as extremidades flangeadas - NIAGARA</t>
  </si>
  <si>
    <t xml:space="preserve"> 00000319 </t>
  </si>
  <si>
    <t>ANEL BORRACHA, PARA TUBO PVC DEFOFO, DN 200 MM (NBR 7665)</t>
  </si>
  <si>
    <t>Valor Acumulado</t>
  </si>
  <si>
    <t>Mão de Obra</t>
  </si>
  <si>
    <t>Cronograma Físico e Financeiro</t>
  </si>
  <si>
    <t>Total Por Etapa</t>
  </si>
  <si>
    <t>30 DIAS</t>
  </si>
  <si>
    <t>60 DIAS</t>
  </si>
  <si>
    <t>90 DIAS</t>
  </si>
  <si>
    <t>Porcentagem</t>
  </si>
  <si>
    <t>Custo</t>
  </si>
  <si>
    <t>Porcentagem Acumulado</t>
  </si>
  <si>
    <t>Custo Acumulado</t>
  </si>
  <si>
    <t>Valor Mensal</t>
  </si>
  <si>
    <t>Composição de BDI</t>
  </si>
  <si>
    <t>%</t>
  </si>
  <si>
    <t>Grupo A</t>
  </si>
  <si>
    <t>% em relação ao custo direto CD</t>
  </si>
  <si>
    <t>A1</t>
  </si>
  <si>
    <t>Despesas Indiretas</t>
  </si>
  <si>
    <t>a1</t>
  </si>
  <si>
    <t>Administração Central</t>
  </si>
  <si>
    <t>a2</t>
  </si>
  <si>
    <t>Seguro + garantia</t>
  </si>
  <si>
    <t>a3</t>
  </si>
  <si>
    <t>Risco</t>
  </si>
  <si>
    <t>a4</t>
  </si>
  <si>
    <t>Despesa Financeira</t>
  </si>
  <si>
    <t>a5</t>
  </si>
  <si>
    <t>Lucro</t>
  </si>
  <si>
    <t>Grupo B</t>
  </si>
  <si>
    <t>% em relação ao valor total VT</t>
  </si>
  <si>
    <t>B1</t>
  </si>
  <si>
    <t>Tributos</t>
  </si>
  <si>
    <t>Pis</t>
  </si>
  <si>
    <t>Cofins</t>
  </si>
  <si>
    <t>BDI</t>
  </si>
  <si>
    <t>BDI = [(((1+(a1+a2+a3))*(1+a4)*(1+a5)))/(1-B1)-1]</t>
  </si>
  <si>
    <t>Composição de Encargos Sociais</t>
  </si>
  <si>
    <t>GRUPO A</t>
  </si>
  <si>
    <t>INSS</t>
  </si>
  <si>
    <t>A2</t>
  </si>
  <si>
    <t>SESI</t>
  </si>
  <si>
    <t>A3</t>
  </si>
  <si>
    <t>SENAI</t>
  </si>
  <si>
    <t>A4</t>
  </si>
  <si>
    <t>INCRA</t>
  </si>
  <si>
    <t>A5</t>
  </si>
  <si>
    <t>SEBRAE</t>
  </si>
  <si>
    <t>A6</t>
  </si>
  <si>
    <t>Salário-Educação</t>
  </si>
  <si>
    <t>A7</t>
  </si>
  <si>
    <t>Seguro Contra Acidentes Trabalho</t>
  </si>
  <si>
    <t>A8</t>
  </si>
  <si>
    <t>Fundo de Garantia por Tempo de Serviços</t>
  </si>
  <si>
    <t>A9</t>
  </si>
  <si>
    <t>SECONCI</t>
  </si>
  <si>
    <t>A</t>
  </si>
  <si>
    <t xml:space="preserve"> Total dos Encargos Sociais Básicos</t>
  </si>
  <si>
    <t>GRUPO B</t>
  </si>
  <si>
    <t>Repouso Semanal Remunerado</t>
  </si>
  <si>
    <t>B2</t>
  </si>
  <si>
    <t>Feriados</t>
  </si>
  <si>
    <t>B3</t>
  </si>
  <si>
    <t>Auxílio-enfermidade</t>
  </si>
  <si>
    <t>B4</t>
  </si>
  <si>
    <t>13º Salário</t>
  </si>
  <si>
    <t>B5</t>
  </si>
  <si>
    <t>Licença-paternidade</t>
  </si>
  <si>
    <t>B6</t>
  </si>
  <si>
    <t>Faltas justificadas</t>
  </si>
  <si>
    <t>B7</t>
  </si>
  <si>
    <t>Dias de chuva</t>
  </si>
  <si>
    <t>B8</t>
  </si>
  <si>
    <t>Auxílio acidente de trabalho</t>
  </si>
  <si>
    <t>B9</t>
  </si>
  <si>
    <t>Férias gozadas</t>
  </si>
  <si>
    <t>B10</t>
  </si>
  <si>
    <t>Salário maternidade</t>
  </si>
  <si>
    <t>B</t>
  </si>
  <si>
    <t>Total de Encargos Sociais que recebem incidências de A</t>
  </si>
  <si>
    <t>GRUPO C</t>
  </si>
  <si>
    <t>C1</t>
  </si>
  <si>
    <t>Aviso prévio indenizado</t>
  </si>
  <si>
    <t>C2</t>
  </si>
  <si>
    <t>Aviso prévio trabalhado</t>
  </si>
  <si>
    <t>C3</t>
  </si>
  <si>
    <t>Férias indenizadas (inclusive 1/3)</t>
  </si>
  <si>
    <t>C4</t>
  </si>
  <si>
    <t>Depósito rescisão sem justa causa</t>
  </si>
  <si>
    <t>C5</t>
  </si>
  <si>
    <t>Indenização adicional</t>
  </si>
  <si>
    <t>C</t>
  </si>
  <si>
    <t>GRUPO D</t>
  </si>
  <si>
    <t>D1</t>
  </si>
  <si>
    <t>Reincidência de A sobre B</t>
  </si>
  <si>
    <t>D2</t>
  </si>
  <si>
    <t>Reincidência do FGTS sobre API e Grupo A sobre APT</t>
  </si>
  <si>
    <t xml:space="preserve">D </t>
  </si>
  <si>
    <t>Total das Taxas incidências e reincidências</t>
  </si>
  <si>
    <t>Total das taxas incidências e reincidências</t>
  </si>
  <si>
    <t>APLICAÇÃO DE LONA PLÁSTICA PARA EXECUÇÃO DE PAVIMENTOS DE CONCRETO. AF_11/2017</t>
  </si>
  <si>
    <t>DEMOLIÇÃO DE ALVENARIA DE BLOCO FURADO, DE FORMA MANUAL, SEM REAPROVEITAMENTO. AF_12/2017</t>
  </si>
  <si>
    <t>DISJUNTOR TRIPOLAR TIPO DIN, CORRENTE NOMINAL DE 10A - FORNECIMENTO E INSTALAÇÃO. AF_10/2020</t>
  </si>
  <si>
    <t xml:space="preserve"> 06.01.100.4 </t>
  </si>
  <si>
    <t>DISJUNTOR TRIPOLAR TIPO DIN, CORRENTE NOMINAL DE 40A - FORNECIMENTO E INSTALAÇÃO. AF_10/2020</t>
  </si>
  <si>
    <t xml:space="preserve"> 10.01 </t>
  </si>
  <si>
    <t xml:space="preserve"> 97113 </t>
  </si>
  <si>
    <t xml:space="preserve"> 97622 </t>
  </si>
  <si>
    <t xml:space="preserve"> 93667 </t>
  </si>
  <si>
    <t xml:space="preserve"> 93672 </t>
  </si>
  <si>
    <t xml:space="preserve"> CM1807 </t>
  </si>
  <si>
    <t>QE-CAG-B - PJBSI - Quadro elétrico para Central de água gelada 'B" do retrofit AC do auditório do Ed. Sede</t>
  </si>
  <si>
    <t>Discriminação</t>
  </si>
  <si>
    <t>Planilha Orçamentária Sintética</t>
  </si>
  <si>
    <t>Instruções de Preenchimento do Modelo de Proposta</t>
  </si>
  <si>
    <t>CONSIDERAÇÕES GERAIS</t>
  </si>
  <si>
    <r>
      <t xml:space="preserve">O cabeçalho deverá ser preenchido somente na </t>
    </r>
    <r>
      <rPr>
        <b/>
        <sz val="8"/>
        <color indexed="10"/>
        <rFont val="Arial"/>
        <family val="2"/>
      </rPr>
      <t>PLANILHA DE ORÇAMENTO SINTÉTICO</t>
    </r>
    <r>
      <rPr>
        <sz val="8"/>
        <rFont val="Arial"/>
        <family val="2"/>
      </rPr>
      <t>, pois será repetido automaticamente nas demais planilhas. Para isso, o mouse deverá ser posicionado sobre a célula que contem a informação, e posteriormente pressionado F2</t>
    </r>
  </si>
  <si>
    <t>Sugerimos a seguinte sequência de preenchimento de planilhas:</t>
  </si>
  <si>
    <t>2.1</t>
  </si>
  <si>
    <r>
      <t xml:space="preserve">Valide os valores constantes na </t>
    </r>
    <r>
      <rPr>
        <b/>
        <sz val="8"/>
        <rFont val="Arial"/>
        <family val="2"/>
      </rPr>
      <t>Planilha de Insumos</t>
    </r>
    <r>
      <rPr>
        <sz val="8"/>
        <rFont val="Arial"/>
        <family val="2"/>
      </rPr>
      <t xml:space="preserve"> </t>
    </r>
    <r>
      <rPr>
        <b/>
        <sz val="8"/>
        <rFont val="Arial"/>
        <family val="2"/>
      </rPr>
      <t>e Serviços</t>
    </r>
    <r>
      <rPr>
        <sz val="8"/>
        <rFont val="Arial"/>
        <family val="2"/>
      </rPr>
      <t>, observando as orientações contidas no edital no tocante aos valores máximos.</t>
    </r>
  </si>
  <si>
    <t>2.2</t>
  </si>
  <si>
    <r>
      <t xml:space="preserve">Valide os coeficientes de participação dos insumos, constantes na </t>
    </r>
    <r>
      <rPr>
        <b/>
        <sz val="8"/>
        <rFont val="Arial"/>
        <family val="2"/>
      </rPr>
      <t>Planilha de Orçamento Analítico</t>
    </r>
    <r>
      <rPr>
        <sz val="8"/>
        <rFont val="Arial"/>
        <family val="2"/>
      </rPr>
      <t>.</t>
    </r>
  </si>
  <si>
    <t>2.3</t>
  </si>
  <si>
    <r>
      <t xml:space="preserve">Preencha os coeficientes relativo à cada item da </t>
    </r>
    <r>
      <rPr>
        <b/>
        <sz val="8"/>
        <rFont val="Arial"/>
        <family val="2"/>
      </rPr>
      <t xml:space="preserve">Planilha de Composição do BDI, </t>
    </r>
    <r>
      <rPr>
        <sz val="8"/>
        <rFont val="Arial"/>
        <family val="2"/>
      </rPr>
      <t>realizando os ajustes que julgar necessário, observando as orientações sobre esta planilha, que estão descritas abaixo;</t>
    </r>
  </si>
  <si>
    <t>2.4</t>
  </si>
  <si>
    <t>2.5</t>
  </si>
  <si>
    <r>
      <t xml:space="preserve">Neste momento o valor final da proposta já será conhecido. Preencha a </t>
    </r>
    <r>
      <rPr>
        <b/>
        <sz val="8"/>
        <rFont val="Arial"/>
        <family val="2"/>
      </rPr>
      <t>Planilha de Composição de Encargos Sociais</t>
    </r>
    <r>
      <rPr>
        <sz val="8"/>
        <rFont val="Arial"/>
        <family val="2"/>
      </rPr>
      <t xml:space="preserve"> com os percentuais de cada item que a compoe.</t>
    </r>
  </si>
  <si>
    <r>
      <t xml:space="preserve">A Planilha Orçamentária </t>
    </r>
    <r>
      <rPr>
        <b/>
        <u/>
        <sz val="8"/>
        <color indexed="10"/>
        <rFont val="Arial"/>
        <family val="2"/>
      </rPr>
      <t>não</t>
    </r>
    <r>
      <rPr>
        <sz val="8"/>
        <rFont val="Arial"/>
        <family val="2"/>
      </rPr>
      <t xml:space="preserve"> poderá sofrer alterações em sua estrutura (adição ou subtração de serviços, ou mesmo alteração na quantidade dos itens);</t>
    </r>
  </si>
  <si>
    <r>
      <t xml:space="preserve">Os preços unitários desta planilha estão vinculados, por dependência, às demais planilhas (Orçamento Analítico, Insumos e Serviços). Desta forma </t>
    </r>
    <r>
      <rPr>
        <b/>
        <u/>
        <sz val="8"/>
        <color indexed="10"/>
        <rFont val="Arial"/>
        <family val="2"/>
      </rPr>
      <t>NENHUM</t>
    </r>
    <r>
      <rPr>
        <sz val="8"/>
        <rFont val="Arial"/>
        <family val="2"/>
      </rPr>
      <t xml:space="preserve"> valor unitário deverá ser preenchido diretamente nesta planilha;</t>
    </r>
  </si>
  <si>
    <r>
      <t xml:space="preserve">Esta planilha é referencial, portanto os </t>
    </r>
    <r>
      <rPr>
        <b/>
        <sz val="8"/>
        <rFont val="Arial"/>
        <family val="2"/>
      </rPr>
      <t xml:space="preserve">coeficientes </t>
    </r>
    <r>
      <rPr>
        <sz val="8"/>
        <rFont val="Arial"/>
        <family val="2"/>
      </rPr>
      <t>de participação dos insumos poderão sofrer alterações;</t>
    </r>
  </si>
  <si>
    <t>Esta planilha contem vínculos. Tornando-se dependente dos preços, descrições e unidades constantes tanto na Planilha de Insumos e Serviços quanto na Planilha de Orçamento Sintético;</t>
  </si>
  <si>
    <t>Os valores unitários de serviços compostos nesta planilha, são transportados automaticamente para a Planilha de Orçamento Sintético;</t>
  </si>
  <si>
    <t>SOBRE A PLANILHA DE INSUMOS E SERVIÇOS</t>
  </si>
  <si>
    <t>Esta planilha constitui a base para estruturação dos preços unitários e totais.</t>
  </si>
  <si>
    <t>Valide os valores constantes nesta planilha, observando as orientações contidas no edital no tocante aos valores máximos.</t>
  </si>
  <si>
    <r>
      <t>Os valores unitários deverão ser preenchidos com</t>
    </r>
    <r>
      <rPr>
        <b/>
        <u/>
        <sz val="8"/>
        <color rgb="FFFF0000"/>
        <rFont val="Arial"/>
        <family val="2"/>
      </rPr>
      <t xml:space="preserve"> no máximo duas casas decimais</t>
    </r>
    <r>
      <rPr>
        <sz val="8"/>
        <rFont val="Arial"/>
        <family val="2"/>
      </rPr>
      <t>. Caso opte por aplicar um percentual lde desconto, certifique-se de utilizar fórmula de arredondamento ou truncamento respeitando este limite.</t>
    </r>
  </si>
  <si>
    <r>
      <t xml:space="preserve">Indique a marca e modelo dos itens (quando aplicável). </t>
    </r>
    <r>
      <rPr>
        <b/>
        <u/>
        <sz val="8"/>
        <color indexed="10"/>
        <rFont val="Arial"/>
        <family val="2"/>
      </rPr>
      <t>A não indicação  de marca e ou modelo de referência constitui afronta ao edital, sob pena de desclassificação da proposta.</t>
    </r>
  </si>
  <si>
    <t>D</t>
  </si>
  <si>
    <t>SOBRE A PLANILHA DE COMPOSIÇÃO DE BDI</t>
  </si>
  <si>
    <t>Os itens constantes nesta planilha foram adotados por este Órgão com base no decreto 7.983 de 8 de abril de 2013. Os percentuais são referenciais e foram baseados no Acórdão TCU 2622/2013-Plenário. É de responsabilidade da licitante o preenchimento dos percetuais desta planilha, em conformidade com sua realidade;</t>
  </si>
  <si>
    <t>O percentual aplicável do ISS está vinculado ao percentual de mão de obra informado na Planilha de Composição de Custo Total, e será automaticamente ajustado quando executado a orientação contida em 2.4;</t>
  </si>
  <si>
    <t>D3</t>
  </si>
  <si>
    <t>O valor final da composição do BDI está vinculado, por precedência, à Planilha de Orçamento Sintético.</t>
  </si>
  <si>
    <t>E</t>
  </si>
  <si>
    <t>SOBRE A PLANILHA DE COMPOSIÇÃO DE ENCARGOS SOCIAIS</t>
  </si>
  <si>
    <t>E1</t>
  </si>
  <si>
    <t>Esta planilha é meramente demonstrativa (não influi sobre o valor final do orçamento).</t>
  </si>
  <si>
    <t>F</t>
  </si>
  <si>
    <t>SOBRE O CRONOGRAMA FÍSICO-FINANCEIRO</t>
  </si>
  <si>
    <t>F.1</t>
  </si>
  <si>
    <t>Os itens e valores desta planiha são provenientes da Planilha de Orçamento Sintético;</t>
  </si>
  <si>
    <t>F.2</t>
  </si>
  <si>
    <r>
      <t xml:space="preserve">Os </t>
    </r>
    <r>
      <rPr>
        <b/>
        <sz val="8"/>
        <color rgb="FFFF0000"/>
        <rFont val="Arial"/>
        <family val="2"/>
      </rPr>
      <t>serviços</t>
    </r>
    <r>
      <rPr>
        <sz val="8"/>
        <rFont val="Arial"/>
        <family val="2"/>
      </rPr>
      <t xml:space="preserve"> a serem executados mensalmente, deverão ser informadas na</t>
    </r>
    <r>
      <rPr>
        <b/>
        <sz val="8"/>
        <color rgb="FFFF0000"/>
        <rFont val="Arial"/>
        <family val="2"/>
      </rPr>
      <t xml:space="preserve"> linha do percentual</t>
    </r>
    <r>
      <rPr>
        <sz val="8"/>
        <rFont val="Arial"/>
        <family val="2"/>
      </rPr>
      <t>, e os valores serão preenchidos automaticamente, inclusive nas etapas macro;</t>
    </r>
  </si>
  <si>
    <t>F.3</t>
  </si>
  <si>
    <t>O ajuste final (última etapa) de um determinado item, deverá respeitar a fórmula inserida no último mês do cronograma, transportando-a quando necessário.</t>
  </si>
  <si>
    <t>P. Execução:</t>
  </si>
  <si>
    <t>Licitação:</t>
  </si>
  <si>
    <t>P. Validade:</t>
  </si>
  <si>
    <t>Razão Social:</t>
  </si>
  <si>
    <t>Telefone:</t>
  </si>
  <si>
    <t>P. Garantia:</t>
  </si>
  <si>
    <t>CNPJ:</t>
  </si>
  <si>
    <t>E-mail:</t>
  </si>
  <si>
    <t>G</t>
  </si>
  <si>
    <t>SOBRE A PLANILHA ORÇAMENTÁRIA SINTÉTICA</t>
  </si>
  <si>
    <t>SOBRE A PLANILHA ORÇAMENTÁRIA ANALÍTICA</t>
  </si>
  <si>
    <r>
      <rPr>
        <b/>
        <sz val="8"/>
        <color indexed="8"/>
        <rFont val="Arial"/>
        <family val="2"/>
      </rPr>
      <t xml:space="preserve">Objeto: </t>
    </r>
    <r>
      <rPr>
        <sz val="8"/>
        <color rgb="FF000000"/>
        <rFont val="Arial"/>
        <family val="2"/>
      </rPr>
      <t>Implantação de sistema VRF no auditório ed. Sede</t>
    </r>
  </si>
  <si>
    <r>
      <rPr>
        <b/>
        <sz val="8"/>
        <color indexed="8"/>
        <rFont val="Arial"/>
        <family val="2"/>
      </rPr>
      <t>Local:</t>
    </r>
    <r>
      <rPr>
        <sz val="8"/>
        <color indexed="8"/>
        <rFont val="Arial"/>
        <family val="2"/>
      </rPr>
      <t xml:space="preserve"> Praça do Buriti Bloco A, Lote 2 - Zona Cívico-Administrativa - Brasília / DF</t>
    </r>
  </si>
  <si>
    <t>Insumos e Serviços</t>
  </si>
  <si>
    <t>Classificação</t>
  </si>
  <si>
    <t>Marca</t>
  </si>
  <si>
    <t>Modelo</t>
  </si>
  <si>
    <t>************</t>
  </si>
  <si>
    <t>ISS (2% após desconto das mercadorias aplicadas)</t>
  </si>
  <si>
    <t>Pessoal</t>
  </si>
  <si>
    <t>SERVIÇOS AUXILIARES E ADMINISTRATIVOS</t>
  </si>
  <si>
    <r>
      <t xml:space="preserve">Preencha o percentual referente à mão-de-obra na célula </t>
    </r>
    <r>
      <rPr>
        <b/>
        <sz val="8"/>
        <color indexed="10"/>
        <rFont val="Arial"/>
        <family val="2"/>
      </rPr>
      <t xml:space="preserve">B71 </t>
    </r>
    <r>
      <rPr>
        <sz val="8"/>
        <rFont val="Arial"/>
        <family val="2"/>
      </rPr>
      <t xml:space="preserve">da </t>
    </r>
    <r>
      <rPr>
        <b/>
        <sz val="8"/>
        <rFont val="Arial"/>
        <family val="2"/>
      </rPr>
      <t>Planilha de Orçamento Sintético</t>
    </r>
    <r>
      <rPr>
        <sz val="8"/>
        <rFont val="Arial"/>
        <family val="2"/>
      </rPr>
      <t>;</t>
    </r>
  </si>
  <si>
    <t xml:space="preserve"> 10 </t>
  </si>
  <si>
    <t xml:space="preserve"> 10.01.1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</si>
</sst>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5" formatCode="0.0000"/>
    <numFmt numFmtId="166" formatCode="#,##0.00\ %"/>
  </numFmts>
  <fonts count="34" x14ac:knownFonts="1">
    <font>
      <sz val="11"/>
      <name val="Arial"/>
      <family val="1"/>
    </font>
    <font>
      <b/>
      <sz val="11"/>
      <name val="Arial"/>
      <family val="1"/>
    </font>
    <font>
      <b/>
      <sz val="10"/>
      <name val="Arial"/>
      <family val="1"/>
    </font>
    <font>
      <b/>
      <sz val="8"/>
      <name val="Arial"/>
      <family val="1"/>
    </font>
    <font>
      <sz val="8"/>
      <name val="Arial"/>
      <family val="1"/>
    </font>
    <font>
      <b/>
      <sz val="8"/>
      <color rgb="FF000000"/>
      <name val="Arial"/>
      <family val="1"/>
    </font>
    <font>
      <sz val="8"/>
      <color rgb="FF000000"/>
      <name val="Arial"/>
      <family val="2"/>
    </font>
    <font>
      <sz val="8"/>
      <name val="Arial"/>
      <family val="2"/>
    </font>
    <font>
      <b/>
      <sz val="8"/>
      <color rgb="FF000000"/>
      <name val="Arial"/>
      <family val="2"/>
    </font>
    <font>
      <b/>
      <sz val="8"/>
      <name val="Arial"/>
      <family val="2"/>
    </font>
    <font>
      <sz val="8"/>
      <color rgb="FF000000"/>
      <name val="Arial"/>
      <family val="1"/>
    </font>
    <font>
      <b/>
      <sz val="12"/>
      <name val="Arial"/>
      <family val="1"/>
    </font>
    <font>
      <sz val="11"/>
      <name val="Arial"/>
      <family val="1"/>
    </font>
    <font>
      <b/>
      <sz val="11"/>
      <color indexed="8"/>
      <name val="Arial"/>
      <family val="2"/>
      <charset val="1"/>
    </font>
    <font>
      <sz val="10"/>
      <name val="Arial"/>
      <family val="2"/>
      <charset val="1"/>
    </font>
    <font>
      <sz val="10"/>
      <name val="Arial"/>
      <family val="2"/>
    </font>
    <font>
      <sz val="8"/>
      <color indexed="8"/>
      <name val="Arial"/>
      <family val="2"/>
    </font>
    <font>
      <b/>
      <sz val="11"/>
      <color indexed="8"/>
      <name val="Arial"/>
      <family val="2"/>
    </font>
    <font>
      <sz val="10"/>
      <color indexed="8"/>
      <name val="Arial"/>
      <family val="2"/>
      <charset val="1"/>
    </font>
    <font>
      <sz val="10"/>
      <name val="Tahoma"/>
      <family val="2"/>
    </font>
    <font>
      <b/>
      <sz val="8"/>
      <name val="Arial"/>
      <family val="2"/>
      <charset val="1"/>
    </font>
    <font>
      <sz val="8"/>
      <name val="Arial"/>
      <family val="2"/>
      <charset val="1"/>
    </font>
    <font>
      <b/>
      <sz val="11"/>
      <name val="Arial"/>
      <family val="2"/>
    </font>
    <font>
      <b/>
      <sz val="10"/>
      <name val="Arial"/>
      <family val="2"/>
    </font>
    <font>
      <sz val="4"/>
      <name val="Arial"/>
      <family val="2"/>
    </font>
    <font>
      <b/>
      <sz val="8"/>
      <color indexed="8"/>
      <name val="Arial"/>
      <family val="2"/>
    </font>
    <font>
      <b/>
      <sz val="8"/>
      <color indexed="10"/>
      <name val="Arial"/>
      <family val="2"/>
    </font>
    <font>
      <b/>
      <u/>
      <sz val="8"/>
      <color indexed="10"/>
      <name val="Arial"/>
      <family val="2"/>
    </font>
    <font>
      <b/>
      <u/>
      <sz val="8"/>
      <color rgb="FFFF0000"/>
      <name val="Arial"/>
      <family val="2"/>
    </font>
    <font>
      <b/>
      <sz val="8"/>
      <color rgb="FFFF0000"/>
      <name val="Arial"/>
      <family val="2"/>
    </font>
    <font>
      <sz val="11"/>
      <name val="Arial"/>
      <family val="2"/>
    </font>
    <font>
      <b/>
      <i/>
      <sz val="8"/>
      <color rgb="FF000000"/>
      <name val="Arial"/>
      <family val="1"/>
    </font>
    <font>
      <b/>
      <i/>
      <sz val="8"/>
      <color rgb="FF000000"/>
      <name val="Arial"/>
      <family val="2"/>
    </font>
    <font>
      <i/>
      <sz val="8"/>
      <color rgb="FF000000"/>
      <name val="Arial"/>
      <family val="2"/>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theme="8" tint="0.79998168889431442"/>
        <bgColor indexed="64"/>
      </patternFill>
    </fill>
    <fill>
      <patternFill patternType="solid">
        <fgColor rgb="FFEFEFEF"/>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D8ECF6"/>
        <bgColor indexed="64"/>
      </patternFill>
    </fill>
    <fill>
      <patternFill patternType="solid">
        <fgColor theme="0" tint="-0.14996795556505021"/>
        <bgColor indexed="64"/>
      </patternFill>
    </fill>
    <fill>
      <patternFill patternType="solid">
        <fgColor indexed="22"/>
        <bgColor indexed="64"/>
      </patternFill>
    </fill>
    <fill>
      <patternFill patternType="solid">
        <fgColor theme="0" tint="-4.9989318521683403E-2"/>
        <bgColor indexed="64"/>
      </patternFill>
    </fill>
    <fill>
      <patternFill patternType="solid">
        <fgColor rgb="FFD8ECF6"/>
      </patternFill>
    </fill>
  </fills>
  <borders count="36">
    <border>
      <left/>
      <right/>
      <top/>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ck">
        <color rgb="FF000000"/>
      </top>
      <bottom/>
      <diagonal/>
    </border>
    <border>
      <left style="thin">
        <color indexed="64"/>
      </left>
      <right style="thin">
        <color indexed="64"/>
      </right>
      <top/>
      <bottom/>
      <diagonal/>
    </border>
    <border>
      <left/>
      <right/>
      <top style="thin">
        <color indexed="64"/>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rgb="FFCCCCCC"/>
      </top>
      <bottom style="thin">
        <color rgb="FFCCCCCC"/>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thin">
        <color rgb="FFCCCC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s>
  <cellStyleXfs count="10">
    <xf numFmtId="0" fontId="0" fillId="0" borderId="0"/>
    <xf numFmtId="9" fontId="12" fillId="0" borderId="0" applyFont="0" applyFill="0" applyBorder="0" applyAlignment="0" applyProtection="0"/>
    <xf numFmtId="0" fontId="15" fillId="0" borderId="0"/>
    <xf numFmtId="0" fontId="15" fillId="0" borderId="0"/>
    <xf numFmtId="0" fontId="15" fillId="0" borderId="0"/>
    <xf numFmtId="0" fontId="19" fillId="0" borderId="0"/>
    <xf numFmtId="43" fontId="12" fillId="0" borderId="0" applyFont="0" applyFill="0" applyBorder="0" applyAlignment="0" applyProtection="0"/>
    <xf numFmtId="0" fontId="15" fillId="0" borderId="0"/>
    <xf numFmtId="0" fontId="15" fillId="0" borderId="0"/>
    <xf numFmtId="0" fontId="15" fillId="0" borderId="0"/>
  </cellStyleXfs>
  <cellXfs count="259">
    <xf numFmtId="0" fontId="0" fillId="0" borderId="0" xfId="0"/>
    <xf numFmtId="0" fontId="0" fillId="0" borderId="0" xfId="0"/>
    <xf numFmtId="0" fontId="4" fillId="0" borderId="0" xfId="0" applyFont="1"/>
    <xf numFmtId="0" fontId="4" fillId="0" borderId="0" xfId="0" applyFont="1"/>
    <xf numFmtId="0" fontId="5" fillId="8" borderId="2" xfId="0" applyFont="1" applyFill="1" applyBorder="1" applyAlignment="1">
      <alignment horizontal="left" vertical="center" wrapText="1"/>
    </xf>
    <xf numFmtId="0" fontId="5" fillId="8" borderId="2" xfId="0" applyFont="1" applyFill="1" applyBorder="1" applyAlignment="1">
      <alignment horizontal="right" vertical="center" wrapText="1"/>
    </xf>
    <xf numFmtId="4" fontId="5" fillId="8" borderId="2" xfId="0" applyNumberFormat="1" applyFont="1" applyFill="1" applyBorder="1" applyAlignment="1">
      <alignment horizontal="right" vertical="center" wrapText="1"/>
    </xf>
    <xf numFmtId="0" fontId="4" fillId="7" borderId="0" xfId="0" applyFont="1" applyFill="1" applyAlignment="1">
      <alignment horizontal="center" vertical="top" wrapText="1"/>
    </xf>
    <xf numFmtId="14" fontId="4" fillId="7" borderId="8" xfId="0" applyNumberFormat="1" applyFont="1" applyFill="1" applyBorder="1" applyAlignment="1">
      <alignment horizontal="center" vertical="center" wrapText="1"/>
    </xf>
    <xf numFmtId="0" fontId="4" fillId="7" borderId="9" xfId="0" applyFont="1" applyFill="1" applyBorder="1" applyAlignment="1">
      <alignment vertical="top" wrapText="1"/>
    </xf>
    <xf numFmtId="0" fontId="3" fillId="7" borderId="5" xfId="0" applyFont="1" applyFill="1" applyBorder="1" applyAlignment="1">
      <alignment vertical="center" wrapText="1"/>
    </xf>
    <xf numFmtId="0" fontId="3" fillId="7" borderId="4" xfId="0" applyFont="1" applyFill="1" applyBorder="1" applyAlignment="1">
      <alignment vertical="center" wrapText="1"/>
    </xf>
    <xf numFmtId="0" fontId="0" fillId="0" borderId="0" xfId="0"/>
    <xf numFmtId="0" fontId="4" fillId="0" borderId="0" xfId="0" applyFont="1"/>
    <xf numFmtId="0" fontId="3" fillId="7" borderId="3" xfId="0" applyFont="1" applyFill="1" applyBorder="1" applyAlignment="1">
      <alignment vertical="center" wrapText="1"/>
    </xf>
    <xf numFmtId="0" fontId="3" fillId="7" borderId="14" xfId="0" applyFont="1" applyFill="1" applyBorder="1" applyAlignment="1">
      <alignment vertical="center" wrapText="1"/>
    </xf>
    <xf numFmtId="0" fontId="14" fillId="0" borderId="0" xfId="0" applyFont="1"/>
    <xf numFmtId="0" fontId="2" fillId="10" borderId="2" xfId="0" applyFont="1" applyFill="1" applyBorder="1" applyAlignment="1">
      <alignment horizontal="center" vertical="top" wrapText="1"/>
    </xf>
    <xf numFmtId="0" fontId="4" fillId="0" borderId="2" xfId="0" applyFont="1" applyBorder="1" applyAlignment="1">
      <alignment horizontal="center" vertical="top" wrapText="1"/>
    </xf>
    <xf numFmtId="0" fontId="4" fillId="0" borderId="16" xfId="0" applyFont="1" applyBorder="1" applyAlignment="1">
      <alignment vertical="top"/>
    </xf>
    <xf numFmtId="0" fontId="4" fillId="0" borderId="17" xfId="0" applyFont="1" applyBorder="1" applyAlignment="1">
      <alignment vertical="top"/>
    </xf>
    <xf numFmtId="10" fontId="4" fillId="0" borderId="2" xfId="1" applyNumberFormat="1" applyFont="1" applyFill="1" applyBorder="1" applyAlignment="1">
      <alignment horizontal="center" vertical="top" wrapText="1"/>
    </xf>
    <xf numFmtId="0" fontId="16" fillId="0" borderId="0" xfId="2" applyFont="1"/>
    <xf numFmtId="0" fontId="7" fillId="0" borderId="0" xfId="3" applyFont="1"/>
    <xf numFmtId="0" fontId="18" fillId="0" borderId="0" xfId="2" applyFont="1"/>
    <xf numFmtId="0" fontId="14" fillId="0" borderId="0" xfId="3" applyFont="1"/>
    <xf numFmtId="0" fontId="7" fillId="0" borderId="2" xfId="0" applyFont="1" applyBorder="1" applyAlignment="1">
      <alignment horizontal="center" vertical="top" wrapText="1"/>
    </xf>
    <xf numFmtId="0" fontId="7" fillId="0" borderId="16" xfId="0" applyFont="1" applyBorder="1" applyAlignment="1">
      <alignment vertical="top"/>
    </xf>
    <xf numFmtId="0" fontId="7" fillId="0" borderId="17" xfId="0" applyFont="1" applyBorder="1" applyAlignment="1">
      <alignment vertical="top"/>
    </xf>
    <xf numFmtId="10" fontId="7" fillId="0" borderId="2" xfId="1" applyNumberFormat="1" applyFont="1" applyFill="1" applyBorder="1" applyAlignment="1">
      <alignment horizontal="center" vertical="top" wrapText="1"/>
    </xf>
    <xf numFmtId="0" fontId="9" fillId="0" borderId="2" xfId="0" applyFont="1" applyBorder="1" applyAlignment="1">
      <alignment horizontal="center" vertical="top" wrapText="1"/>
    </xf>
    <xf numFmtId="0" fontId="9" fillId="0" borderId="16" xfId="0" applyFont="1" applyBorder="1" applyAlignment="1">
      <alignment vertical="top"/>
    </xf>
    <xf numFmtId="0" fontId="9" fillId="0" borderId="17" xfId="0" applyFont="1" applyBorder="1" applyAlignment="1">
      <alignment vertical="top"/>
    </xf>
    <xf numFmtId="10" fontId="9" fillId="0" borderId="2" xfId="1" applyNumberFormat="1" applyFont="1" applyFill="1" applyBorder="1" applyAlignment="1">
      <alignment horizontal="center" vertical="top" wrapText="1"/>
    </xf>
    <xf numFmtId="0" fontId="21" fillId="0" borderId="2" xfId="0" applyFont="1" applyBorder="1" applyAlignment="1">
      <alignment horizontal="center" vertical="top" wrapText="1"/>
    </xf>
    <xf numFmtId="0" fontId="21" fillId="0" borderId="16" xfId="0" applyFont="1" applyBorder="1" applyAlignment="1">
      <alignment vertical="top"/>
    </xf>
    <xf numFmtId="0" fontId="21" fillId="0" borderId="17" xfId="0" applyFont="1" applyBorder="1" applyAlignment="1">
      <alignment vertical="top"/>
    </xf>
    <xf numFmtId="0" fontId="20" fillId="0" borderId="2" xfId="0" applyFont="1" applyBorder="1" applyAlignment="1">
      <alignment horizontal="center" vertical="top" wrapText="1"/>
    </xf>
    <xf numFmtId="0" fontId="20" fillId="0" borderId="16" xfId="0" applyFont="1" applyBorder="1" applyAlignment="1">
      <alignment vertical="top"/>
    </xf>
    <xf numFmtId="0" fontId="20" fillId="0" borderId="17" xfId="0" applyFont="1" applyBorder="1" applyAlignment="1">
      <alignment vertical="top"/>
    </xf>
    <xf numFmtId="10" fontId="21" fillId="0" borderId="2" xfId="1" applyNumberFormat="1" applyFont="1" applyFill="1" applyBorder="1" applyAlignment="1">
      <alignment horizontal="center" vertical="top" wrapText="1"/>
    </xf>
    <xf numFmtId="10" fontId="20" fillId="0" borderId="2" xfId="1" applyNumberFormat="1" applyFont="1" applyFill="1" applyBorder="1" applyAlignment="1">
      <alignment horizontal="center" vertical="top" wrapText="1"/>
    </xf>
    <xf numFmtId="0" fontId="0" fillId="0" borderId="0" xfId="3" applyFont="1"/>
    <xf numFmtId="0" fontId="0" fillId="0" borderId="0" xfId="3" applyFont="1" applyAlignment="1">
      <alignment wrapText="1"/>
    </xf>
    <xf numFmtId="0" fontId="0" fillId="0" borderId="0" xfId="3" applyFont="1" applyAlignment="1">
      <alignment horizontal="center"/>
    </xf>
    <xf numFmtId="0" fontId="15" fillId="0" borderId="0" xfId="3"/>
    <xf numFmtId="0" fontId="4" fillId="7" borderId="7" xfId="0" applyFont="1" applyFill="1" applyBorder="1" applyAlignment="1">
      <alignment vertical="top" wrapText="1"/>
    </xf>
    <xf numFmtId="0" fontId="4" fillId="7" borderId="14" xfId="0" applyFont="1" applyFill="1" applyBorder="1" applyAlignment="1">
      <alignment vertical="top" wrapText="1"/>
    </xf>
    <xf numFmtId="0" fontId="4" fillId="0" borderId="0" xfId="0" applyFont="1"/>
    <xf numFmtId="0" fontId="5" fillId="7" borderId="0" xfId="0" applyFont="1" applyFill="1" applyBorder="1" applyAlignment="1">
      <alignment horizontal="left" vertical="top" wrapText="1"/>
    </xf>
    <xf numFmtId="0" fontId="5" fillId="7" borderId="0" xfId="0" applyFont="1" applyFill="1" applyBorder="1" applyAlignment="1">
      <alignment horizontal="right" vertical="top" wrapText="1"/>
    </xf>
    <xf numFmtId="0" fontId="10" fillId="7" borderId="0" xfId="0" applyFont="1" applyFill="1" applyBorder="1" applyAlignment="1">
      <alignment horizontal="right" vertical="top" wrapText="1"/>
    </xf>
    <xf numFmtId="0" fontId="5" fillId="6" borderId="2" xfId="0" applyFont="1" applyFill="1" applyBorder="1" applyAlignment="1">
      <alignment horizontal="left" vertical="top" wrapText="1"/>
    </xf>
    <xf numFmtId="0" fontId="4" fillId="0" borderId="0" xfId="0" applyFont="1"/>
    <xf numFmtId="0" fontId="0" fillId="0" borderId="0" xfId="0"/>
    <xf numFmtId="0" fontId="6" fillId="2" borderId="0" xfId="0" applyFont="1" applyFill="1" applyBorder="1" applyAlignment="1">
      <alignment horizontal="left" vertical="top" wrapText="1"/>
    </xf>
    <xf numFmtId="0" fontId="6" fillId="4" borderId="0" xfId="0" applyFont="1" applyFill="1" applyBorder="1" applyAlignment="1">
      <alignment horizontal="right" vertical="top" wrapText="1"/>
    </xf>
    <xf numFmtId="0" fontId="6" fillId="3" borderId="0" xfId="0" applyFont="1" applyFill="1" applyBorder="1" applyAlignment="1">
      <alignment horizontal="center" vertical="top" wrapText="1"/>
    </xf>
    <xf numFmtId="4" fontId="6" fillId="5" borderId="0" xfId="0" applyNumberFormat="1" applyFont="1" applyFill="1" applyBorder="1" applyAlignment="1">
      <alignment horizontal="right" vertical="top" wrapText="1"/>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right" vertical="top" wrapText="1"/>
    </xf>
    <xf numFmtId="4" fontId="5" fillId="0" borderId="2" xfId="0" applyNumberFormat="1" applyFont="1" applyBorder="1" applyAlignment="1">
      <alignment horizontal="right" vertical="top" wrapText="1"/>
    </xf>
    <xf numFmtId="0" fontId="3" fillId="11" borderId="1" xfId="0" applyFont="1" applyFill="1" applyBorder="1" applyAlignment="1">
      <alignment horizontal="right" vertical="top" wrapText="1"/>
    </xf>
    <xf numFmtId="0" fontId="5" fillId="7" borderId="0" xfId="0" applyFont="1" applyFill="1" applyBorder="1" applyAlignment="1">
      <alignment horizontal="justify" vertical="top" wrapText="1"/>
    </xf>
    <xf numFmtId="0" fontId="4" fillId="0" borderId="0" xfId="0" applyFont="1" applyAlignment="1">
      <alignment horizontal="justify" wrapText="1"/>
    </xf>
    <xf numFmtId="0" fontId="3" fillId="7" borderId="5" xfId="0" applyFont="1" applyFill="1" applyBorder="1" applyAlignment="1">
      <alignment horizontal="left" vertical="top" wrapText="1"/>
    </xf>
    <xf numFmtId="0" fontId="4" fillId="7" borderId="9" xfId="0" applyFont="1" applyFill="1" applyBorder="1" applyAlignment="1">
      <alignment horizontal="left" vertical="top" wrapText="1"/>
    </xf>
    <xf numFmtId="0" fontId="4" fillId="7" borderId="8" xfId="0" applyFont="1" applyFill="1" applyBorder="1" applyAlignment="1">
      <alignment horizontal="left" vertical="top" wrapText="1"/>
    </xf>
    <xf numFmtId="0" fontId="3" fillId="7" borderId="4" xfId="0" applyFont="1" applyFill="1" applyBorder="1" applyAlignment="1">
      <alignment horizontal="left" vertical="top" wrapText="1"/>
    </xf>
    <xf numFmtId="0" fontId="1" fillId="7" borderId="0" xfId="0" applyFont="1" applyFill="1" applyAlignment="1">
      <alignment horizontal="center" wrapText="1"/>
    </xf>
    <xf numFmtId="0" fontId="0" fillId="0" borderId="0" xfId="0"/>
    <xf numFmtId="0" fontId="11" fillId="7" borderId="3"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3" fillId="0" borderId="15" xfId="0" applyFont="1" applyBorder="1" applyAlignment="1">
      <alignment horizontal="center" vertical="center" wrapText="1"/>
    </xf>
    <xf numFmtId="0" fontId="2" fillId="10" borderId="16" xfId="0" applyFont="1" applyFill="1" applyBorder="1" applyAlignment="1">
      <alignment horizontal="center" vertical="top"/>
    </xf>
    <xf numFmtId="0" fontId="2" fillId="10" borderId="17" xfId="0" applyFont="1" applyFill="1" applyBorder="1" applyAlignment="1">
      <alignment horizontal="center" vertical="top"/>
    </xf>
    <xf numFmtId="0" fontId="17" fillId="0" borderId="15" xfId="4" applyFont="1" applyBorder="1" applyAlignment="1">
      <alignment horizontal="center" vertical="center"/>
    </xf>
    <xf numFmtId="0" fontId="9" fillId="12" borderId="16" xfId="5" applyFont="1" applyFill="1" applyBorder="1" applyAlignment="1">
      <alignment horizontal="center" vertical="distributed" wrapText="1"/>
    </xf>
    <xf numFmtId="0" fontId="9" fillId="12" borderId="18" xfId="5" applyFont="1" applyFill="1" applyBorder="1" applyAlignment="1">
      <alignment horizontal="justify" vertical="distributed" wrapText="1"/>
    </xf>
    <xf numFmtId="10" fontId="20" fillId="12" borderId="17" xfId="1" applyNumberFormat="1" applyFont="1" applyFill="1" applyBorder="1" applyAlignment="1">
      <alignment horizontal="center" vertical="distributed" wrapText="1"/>
    </xf>
    <xf numFmtId="0" fontId="9" fillId="13" borderId="16" xfId="5" applyFont="1" applyFill="1" applyBorder="1" applyAlignment="1">
      <alignment horizontal="center" vertical="distributed" wrapText="1"/>
    </xf>
    <xf numFmtId="0" fontId="9" fillId="13" borderId="18" xfId="5" applyFont="1" applyFill="1" applyBorder="1" applyAlignment="1">
      <alignment horizontal="justify" vertical="distributed" wrapText="1"/>
    </xf>
    <xf numFmtId="10" fontId="20" fillId="13" borderId="17" xfId="1" applyNumberFormat="1" applyFont="1" applyFill="1" applyBorder="1" applyAlignment="1">
      <alignment horizontal="center" vertical="distributed" wrapText="1"/>
    </xf>
    <xf numFmtId="0" fontId="9" fillId="14" borderId="16" xfId="5" applyFont="1" applyFill="1" applyBorder="1" applyAlignment="1">
      <alignment horizontal="center" vertical="distributed" wrapText="1"/>
    </xf>
    <xf numFmtId="0" fontId="9" fillId="14" borderId="18" xfId="5" applyFont="1" applyFill="1" applyBorder="1" applyAlignment="1">
      <alignment horizontal="justify" vertical="distributed" wrapText="1"/>
    </xf>
    <xf numFmtId="10" fontId="20" fillId="14" borderId="17" xfId="1" applyNumberFormat="1" applyFont="1" applyFill="1" applyBorder="1" applyAlignment="1">
      <alignment horizontal="center" vertical="distributed" wrapText="1"/>
    </xf>
    <xf numFmtId="0" fontId="9" fillId="13" borderId="16" xfId="5" applyFont="1" applyFill="1" applyBorder="1" applyAlignment="1">
      <alignment horizontal="center" vertical="distributed" wrapText="1"/>
    </xf>
    <xf numFmtId="0" fontId="9" fillId="13" borderId="18" xfId="5" applyFont="1" applyFill="1" applyBorder="1" applyAlignment="1">
      <alignment horizontal="center" vertical="distributed" wrapText="1"/>
    </xf>
    <xf numFmtId="0" fontId="9" fillId="13" borderId="17" xfId="5" applyFont="1" applyFill="1" applyBorder="1" applyAlignment="1">
      <alignment horizontal="center" vertical="distributed" wrapText="1"/>
    </xf>
    <xf numFmtId="0" fontId="9" fillId="14" borderId="16" xfId="5" applyFont="1" applyFill="1" applyBorder="1" applyAlignment="1">
      <alignment horizontal="center" vertical="distributed" wrapText="1"/>
    </xf>
    <xf numFmtId="0" fontId="9" fillId="14" borderId="18" xfId="5" applyFont="1" applyFill="1" applyBorder="1" applyAlignment="1">
      <alignment horizontal="center" vertical="distributed" wrapText="1"/>
    </xf>
    <xf numFmtId="0" fontId="0" fillId="0" borderId="0" xfId="0" applyFont="1"/>
    <xf numFmtId="0" fontId="22" fillId="7" borderId="0" xfId="0" applyFont="1" applyFill="1" applyAlignment="1">
      <alignment horizontal="center" wrapText="1"/>
    </xf>
    <xf numFmtId="0" fontId="11" fillId="7" borderId="10" xfId="0" applyFont="1" applyFill="1" applyBorder="1" applyAlignment="1">
      <alignment horizontal="center" vertical="center" wrapText="1"/>
    </xf>
    <xf numFmtId="14" fontId="4" fillId="7" borderId="11" xfId="0" applyNumberFormat="1" applyFont="1" applyFill="1" applyBorder="1" applyAlignment="1">
      <alignment horizontal="center" vertical="center" wrapText="1"/>
    </xf>
    <xf numFmtId="0" fontId="4" fillId="7" borderId="10" xfId="0" applyFont="1" applyFill="1" applyBorder="1" applyAlignment="1">
      <alignment vertical="top" wrapText="1"/>
    </xf>
    <xf numFmtId="0" fontId="23" fillId="15" borderId="23" xfId="7" applyFont="1" applyFill="1" applyBorder="1" applyAlignment="1">
      <alignment horizontal="center"/>
    </xf>
    <xf numFmtId="0" fontId="23" fillId="15" borderId="24" xfId="7" applyFont="1" applyFill="1" applyBorder="1" applyAlignment="1">
      <alignment horizontal="center"/>
    </xf>
    <xf numFmtId="0" fontId="24" fillId="0" borderId="5" xfId="7" applyFont="1" applyBorder="1"/>
    <xf numFmtId="0" fontId="24" fillId="0" borderId="4" xfId="7" applyFont="1" applyBorder="1"/>
    <xf numFmtId="0" fontId="9" fillId="12" borderId="25" xfId="7" applyFont="1" applyFill="1" applyBorder="1" applyAlignment="1">
      <alignment horizontal="center"/>
    </xf>
    <xf numFmtId="0" fontId="25" fillId="12" borderId="26" xfId="8" applyFont="1" applyFill="1" applyBorder="1" applyAlignment="1">
      <alignment vertical="distributed" wrapText="1"/>
    </xf>
    <xf numFmtId="0" fontId="7" fillId="0" borderId="27" xfId="7" applyFont="1" applyBorder="1" applyAlignment="1">
      <alignment horizontal="center"/>
    </xf>
    <xf numFmtId="0" fontId="7" fillId="0" borderId="28" xfId="7" applyFont="1" applyBorder="1" applyAlignment="1">
      <alignment horizontal="justify" vertical="distributed" wrapText="1"/>
    </xf>
    <xf numFmtId="0" fontId="7" fillId="0" borderId="29" xfId="7" applyFont="1" applyBorder="1" applyAlignment="1">
      <alignment horizontal="center"/>
    </xf>
    <xf numFmtId="0" fontId="7" fillId="0" borderId="30" xfId="7" applyFont="1" applyBorder="1" applyAlignment="1">
      <alignment horizontal="justify" vertical="distributed" wrapText="1"/>
    </xf>
    <xf numFmtId="0" fontId="15" fillId="0" borderId="10" xfId="7" applyBorder="1"/>
    <xf numFmtId="0" fontId="15" fillId="0" borderId="11" xfId="7" applyBorder="1"/>
    <xf numFmtId="0" fontId="9" fillId="12" borderId="27" xfId="7" applyFont="1" applyFill="1" applyBorder="1" applyAlignment="1">
      <alignment horizontal="center"/>
    </xf>
    <xf numFmtId="0" fontId="25" fillId="12" borderId="28" xfId="8" applyFont="1" applyFill="1" applyBorder="1" applyAlignment="1">
      <alignment vertical="distributed" wrapText="1"/>
    </xf>
    <xf numFmtId="0" fontId="9" fillId="12" borderId="27" xfId="0" applyFont="1" applyFill="1" applyBorder="1" applyAlignment="1">
      <alignment horizontal="center"/>
    </xf>
    <xf numFmtId="0" fontId="25" fillId="12" borderId="28" xfId="4" applyFont="1" applyFill="1" applyBorder="1" applyAlignment="1">
      <alignment vertical="distributed" wrapText="1"/>
    </xf>
    <xf numFmtId="0" fontId="7" fillId="0" borderId="27" xfId="0" applyFont="1" applyBorder="1" applyAlignment="1">
      <alignment horizontal="center"/>
    </xf>
    <xf numFmtId="0" fontId="7" fillId="0" borderId="28" xfId="0" applyFont="1" applyBorder="1" applyAlignment="1">
      <alignment horizontal="justify" vertical="distributed" wrapText="1"/>
    </xf>
    <xf numFmtId="0" fontId="7" fillId="0" borderId="29" xfId="0" applyFont="1" applyBorder="1" applyAlignment="1">
      <alignment horizontal="center"/>
    </xf>
    <xf numFmtId="0" fontId="7" fillId="0" borderId="30" xfId="0" applyFont="1" applyBorder="1" applyAlignment="1">
      <alignment horizontal="justify" vertical="distributed" wrapText="1"/>
    </xf>
    <xf numFmtId="0" fontId="3" fillId="11" borderId="16" xfId="0" applyFont="1" applyFill="1" applyBorder="1" applyAlignment="1">
      <alignment horizontal="center" vertical="top" wrapText="1"/>
    </xf>
    <xf numFmtId="0" fontId="16" fillId="0" borderId="5" xfId="9" applyFont="1" applyBorder="1" applyAlignment="1">
      <alignment horizontal="left" vertical="center"/>
    </xf>
    <xf numFmtId="0" fontId="16" fillId="0" borderId="3" xfId="0" applyFont="1" applyBorder="1" applyAlignment="1">
      <alignment vertical="center"/>
    </xf>
    <xf numFmtId="0" fontId="16" fillId="0" borderId="3" xfId="9" applyFont="1" applyBorder="1" applyAlignment="1">
      <alignment horizontal="left" vertical="center"/>
    </xf>
    <xf numFmtId="0" fontId="0" fillId="0" borderId="3" xfId="0" applyBorder="1" applyAlignment="1">
      <alignment horizontal="center" vertical="center"/>
    </xf>
    <xf numFmtId="0" fontId="25" fillId="0" borderId="9" xfId="9" applyFont="1" applyBorder="1" applyAlignment="1">
      <alignment horizontal="center" vertical="center"/>
    </xf>
    <xf numFmtId="0" fontId="16" fillId="0" borderId="7" xfId="0" applyFont="1" applyBorder="1" applyAlignment="1">
      <alignment vertical="center"/>
    </xf>
    <xf numFmtId="0" fontId="25" fillId="0" borderId="7" xfId="0" applyFont="1" applyBorder="1" applyAlignment="1">
      <alignment horizontal="center" vertical="center"/>
    </xf>
    <xf numFmtId="0" fontId="0" fillId="0" borderId="14" xfId="0" applyBorder="1" applyAlignment="1">
      <alignment horizontal="center" vertical="center"/>
    </xf>
    <xf numFmtId="17" fontId="16" fillId="0" borderId="5" xfId="9" applyNumberFormat="1" applyFont="1" applyBorder="1" applyAlignment="1">
      <alignment horizontal="left" vertical="center"/>
    </xf>
    <xf numFmtId="14" fontId="25" fillId="0" borderId="9" xfId="9" applyNumberFormat="1" applyFont="1" applyBorder="1" applyAlignment="1">
      <alignment horizontal="center" vertical="center"/>
    </xf>
    <xf numFmtId="0" fontId="0" fillId="0" borderId="7" xfId="0" applyBorder="1" applyAlignment="1">
      <alignment horizontal="center" vertical="center"/>
    </xf>
    <xf numFmtId="0" fontId="16" fillId="0" borderId="31" xfId="9" applyFont="1" applyBorder="1" applyAlignment="1">
      <alignment horizontal="left" vertical="center"/>
    </xf>
    <xf numFmtId="4" fontId="7" fillId="0" borderId="6" xfId="0" applyNumberFormat="1" applyFont="1" applyBorder="1" applyAlignment="1">
      <alignment vertical="center"/>
    </xf>
    <xf numFmtId="0" fontId="25" fillId="0" borderId="5" xfId="4" applyFont="1" applyBorder="1" applyAlignment="1">
      <alignment horizontal="center" vertical="center"/>
    </xf>
    <xf numFmtId="0" fontId="25" fillId="0" borderId="4" xfId="4" applyFont="1" applyBorder="1" applyAlignment="1">
      <alignment horizontal="center" vertical="center"/>
    </xf>
    <xf numFmtId="0" fontId="25" fillId="0" borderId="9" xfId="9" applyFont="1" applyBorder="1" applyAlignment="1">
      <alignment horizontal="center" vertical="center"/>
    </xf>
    <xf numFmtId="0" fontId="25" fillId="0" borderId="8" xfId="9" applyFont="1" applyBorder="1" applyAlignment="1">
      <alignment horizontal="center" vertical="center"/>
    </xf>
    <xf numFmtId="14" fontId="25" fillId="0" borderId="9" xfId="4" applyNumberFormat="1" applyFont="1" applyBorder="1" applyAlignment="1">
      <alignment horizontal="center" vertical="center"/>
    </xf>
    <xf numFmtId="14" fontId="25" fillId="0" borderId="12" xfId="4" applyNumberFormat="1" applyFont="1" applyBorder="1" applyAlignment="1">
      <alignment horizontal="center" vertical="center"/>
    </xf>
    <xf numFmtId="0" fontId="25" fillId="0" borderId="10" xfId="4" applyFont="1" applyBorder="1" applyAlignment="1">
      <alignment horizontal="center" vertical="center"/>
    </xf>
    <xf numFmtId="0" fontId="25" fillId="0" borderId="11" xfId="4" applyFont="1" applyBorder="1" applyAlignment="1">
      <alignment horizontal="center" vertical="center"/>
    </xf>
    <xf numFmtId="17" fontId="16" fillId="0" borderId="5" xfId="9" applyNumberFormat="1" applyFont="1" applyBorder="1" applyAlignment="1">
      <alignment horizontal="justify" vertical="center"/>
    </xf>
    <xf numFmtId="17" fontId="16" fillId="0" borderId="4" xfId="9" applyNumberFormat="1" applyFont="1" applyBorder="1" applyAlignment="1">
      <alignment horizontal="justify" vertical="center"/>
    </xf>
    <xf numFmtId="0" fontId="16" fillId="0" borderId="6" xfId="9" applyFont="1" applyBorder="1" applyAlignment="1">
      <alignment horizontal="left" vertical="center"/>
    </xf>
    <xf numFmtId="0" fontId="7" fillId="0" borderId="10" xfId="4" applyFont="1" applyBorder="1" applyAlignment="1">
      <alignment horizontal="left" vertical="center"/>
    </xf>
    <xf numFmtId="0" fontId="16" fillId="0" borderId="11" xfId="9" applyFont="1" applyBorder="1" applyAlignment="1">
      <alignment horizontal="left" vertical="center"/>
    </xf>
    <xf numFmtId="0" fontId="25" fillId="0" borderId="12" xfId="9" applyFont="1" applyBorder="1" applyAlignment="1">
      <alignment horizontal="center" vertical="center"/>
    </xf>
    <xf numFmtId="0" fontId="7" fillId="0" borderId="5" xfId="4" applyFont="1" applyBorder="1" applyAlignment="1">
      <alignment horizontal="left" vertical="center"/>
    </xf>
    <xf numFmtId="0" fontId="16" fillId="0" borderId="4" xfId="9" applyFont="1" applyBorder="1" applyAlignment="1">
      <alignment horizontal="left" vertical="center"/>
    </xf>
    <xf numFmtId="0" fontId="25" fillId="0" borderId="9" xfId="4" applyFont="1" applyBorder="1" applyAlignment="1">
      <alignment horizontal="center" vertical="center"/>
    </xf>
    <xf numFmtId="0" fontId="25" fillId="0" borderId="8" xfId="4" applyFont="1" applyBorder="1" applyAlignment="1">
      <alignment horizontal="center" vertical="center"/>
    </xf>
    <xf numFmtId="0" fontId="30" fillId="0" borderId="0" xfId="0" applyFont="1"/>
    <xf numFmtId="0" fontId="22" fillId="0" borderId="0" xfId="0" applyFont="1"/>
    <xf numFmtId="0" fontId="22" fillId="0" borderId="0" xfId="0" applyFont="1" applyFill="1"/>
    <xf numFmtId="0" fontId="30" fillId="0" borderId="0" xfId="0" applyFont="1" applyFill="1"/>
    <xf numFmtId="4" fontId="2" fillId="10" borderId="2" xfId="0" applyNumberFormat="1" applyFont="1" applyFill="1" applyBorder="1" applyAlignment="1">
      <alignment horizontal="center" vertical="top" wrapText="1"/>
    </xf>
    <xf numFmtId="0" fontId="8" fillId="8" borderId="2" xfId="0" applyFont="1" applyFill="1" applyBorder="1" applyAlignment="1">
      <alignment horizontal="left" vertical="center" wrapText="1"/>
    </xf>
    <xf numFmtId="4" fontId="8" fillId="8" borderId="2" xfId="0" applyNumberFormat="1" applyFont="1" applyFill="1" applyBorder="1" applyAlignment="1">
      <alignment horizontal="right" vertical="center" wrapText="1"/>
    </xf>
    <xf numFmtId="0" fontId="5" fillId="12" borderId="2" xfId="0" applyFont="1" applyFill="1" applyBorder="1" applyAlignment="1">
      <alignment horizontal="left" vertical="center" wrapText="1"/>
    </xf>
    <xf numFmtId="4" fontId="5" fillId="12" borderId="2" xfId="0" applyNumberFormat="1" applyFont="1" applyFill="1" applyBorder="1" applyAlignment="1">
      <alignment horizontal="right"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0" fontId="10" fillId="0" borderId="2" xfId="0" applyFont="1" applyBorder="1" applyAlignment="1">
      <alignment horizontal="justify" vertical="center" wrapText="1"/>
    </xf>
    <xf numFmtId="43" fontId="10" fillId="0" borderId="2" xfId="6" applyFont="1" applyFill="1" applyBorder="1" applyAlignment="1">
      <alignment horizontal="right" vertical="center" wrapText="1"/>
    </xf>
    <xf numFmtId="4" fontId="10" fillId="0" borderId="2" xfId="0" applyNumberFormat="1" applyFont="1" applyBorder="1" applyAlignment="1">
      <alignment horizontal="right" vertical="center" wrapText="1"/>
    </xf>
    <xf numFmtId="0" fontId="25" fillId="0" borderId="32" xfId="4" applyFont="1" applyBorder="1" applyAlignment="1">
      <alignment horizontal="center" vertical="center"/>
    </xf>
    <xf numFmtId="14" fontId="25" fillId="0" borderId="9" xfId="9" applyNumberFormat="1" applyFont="1" applyBorder="1" applyAlignment="1">
      <alignment horizontal="center" vertical="center"/>
    </xf>
    <xf numFmtId="14" fontId="25" fillId="0" borderId="8" xfId="9" applyNumberFormat="1" applyFont="1" applyBorder="1" applyAlignment="1">
      <alignment horizontal="center" vertical="center"/>
    </xf>
    <xf numFmtId="17" fontId="16" fillId="0" borderId="6" xfId="9" applyNumberFormat="1" applyFont="1" applyBorder="1" applyAlignment="1">
      <alignment horizontal="left" vertical="center"/>
    </xf>
    <xf numFmtId="0" fontId="22" fillId="7" borderId="15" xfId="0" applyFont="1" applyFill="1" applyBorder="1" applyAlignment="1">
      <alignment horizontal="center" wrapText="1"/>
    </xf>
    <xf numFmtId="0" fontId="22" fillId="10" borderId="2" xfId="0" applyFont="1" applyFill="1" applyBorder="1" applyAlignment="1">
      <alignment horizontal="center" vertical="top" wrapText="1"/>
    </xf>
    <xf numFmtId="0" fontId="30" fillId="0" borderId="0" xfId="0" applyFont="1"/>
    <xf numFmtId="0" fontId="4" fillId="0" borderId="2" xfId="0" applyFont="1" applyBorder="1" applyAlignment="1">
      <alignment horizontal="center" vertical="center" wrapText="1"/>
    </xf>
    <xf numFmtId="165" fontId="16" fillId="0" borderId="31" xfId="9" applyNumberFormat="1" applyFont="1" applyBorder="1" applyAlignment="1">
      <alignment horizontal="left" vertical="center"/>
    </xf>
    <xf numFmtId="0" fontId="9" fillId="9" borderId="2" xfId="0" applyFont="1" applyFill="1" applyBorder="1" applyAlignment="1">
      <alignment vertical="center" wrapText="1"/>
    </xf>
    <xf numFmtId="165" fontId="7" fillId="16" borderId="2" xfId="0" applyNumberFormat="1" applyFont="1" applyFill="1" applyBorder="1" applyAlignment="1">
      <alignment horizontal="right" vertical="center" wrapText="1"/>
    </xf>
    <xf numFmtId="0" fontId="7" fillId="16" borderId="2" xfId="0" applyFont="1" applyFill="1" applyBorder="1" applyAlignment="1">
      <alignment horizontal="right" vertical="center" wrapText="1"/>
    </xf>
    <xf numFmtId="4" fontId="3" fillId="16" borderId="2" xfId="0" applyNumberFormat="1" applyFont="1" applyFill="1" applyBorder="1" applyAlignment="1">
      <alignment horizontal="right" vertical="center" wrapText="1"/>
    </xf>
    <xf numFmtId="0" fontId="23" fillId="10" borderId="2" xfId="0" applyFont="1" applyFill="1" applyBorder="1" applyAlignment="1">
      <alignment horizontal="center" vertical="center" wrapText="1"/>
    </xf>
    <xf numFmtId="165" fontId="23" fillId="10" borderId="2" xfId="0" applyNumberFormat="1" applyFont="1" applyFill="1" applyBorder="1" applyAlignment="1">
      <alignment horizontal="center" vertical="center" wrapText="1"/>
    </xf>
    <xf numFmtId="0" fontId="8" fillId="6" borderId="2" xfId="0" applyFont="1" applyFill="1" applyBorder="1" applyAlignment="1">
      <alignment horizontal="left" vertical="top" wrapText="1"/>
    </xf>
    <xf numFmtId="0" fontId="8" fillId="6" borderId="2" xfId="0" applyFont="1" applyFill="1" applyBorder="1" applyAlignment="1">
      <alignment horizontal="justify" vertical="top" wrapText="1"/>
    </xf>
    <xf numFmtId="0" fontId="8" fillId="6" borderId="2" xfId="0" applyFont="1" applyFill="1" applyBorder="1" applyAlignment="1">
      <alignment horizontal="right" vertical="top" wrapText="1"/>
    </xf>
    <xf numFmtId="4" fontId="8" fillId="6" borderId="2" xfId="0" applyNumberFormat="1" applyFont="1" applyFill="1" applyBorder="1" applyAlignment="1">
      <alignment horizontal="right" vertical="top" wrapText="1"/>
    </xf>
    <xf numFmtId="0" fontId="8" fillId="8" borderId="2" xfId="0" applyFont="1" applyFill="1" applyBorder="1" applyAlignment="1">
      <alignment horizontal="justify" vertical="center" wrapText="1"/>
    </xf>
    <xf numFmtId="0" fontId="9" fillId="16" borderId="2" xfId="0" applyFont="1" applyFill="1" applyBorder="1" applyAlignment="1">
      <alignment horizontal="center" vertical="center" wrapText="1"/>
    </xf>
    <xf numFmtId="0" fontId="9" fillId="16" borderId="2" xfId="0" applyFont="1" applyFill="1" applyBorder="1" applyAlignment="1">
      <alignment horizontal="justify" vertical="center" wrapText="1"/>
    </xf>
    <xf numFmtId="0" fontId="6" fillId="0" borderId="2" xfId="0" applyFont="1" applyBorder="1" applyAlignment="1">
      <alignment horizontal="justify"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0" fontId="8" fillId="0" borderId="13" xfId="0" applyFont="1" applyBorder="1" applyAlignment="1">
      <alignment horizontal="left" vertical="top" wrapText="1"/>
    </xf>
    <xf numFmtId="0" fontId="8" fillId="0" borderId="13" xfId="0" applyFont="1" applyBorder="1" applyAlignment="1">
      <alignment horizontal="justify" vertical="top" wrapText="1"/>
    </xf>
    <xf numFmtId="0" fontId="8" fillId="8" borderId="2" xfId="0" applyFont="1" applyFill="1" applyBorder="1" applyAlignment="1">
      <alignment horizontal="left" vertical="top" wrapText="1"/>
    </xf>
    <xf numFmtId="0" fontId="8" fillId="8" borderId="2" xfId="0" applyFont="1" applyFill="1" applyBorder="1" applyAlignment="1">
      <alignment horizontal="justify" vertical="top" wrapText="1"/>
    </xf>
    <xf numFmtId="0" fontId="8" fillId="8" borderId="2" xfId="0" applyFont="1" applyFill="1" applyBorder="1" applyAlignment="1">
      <alignment horizontal="right" vertical="top" wrapText="1"/>
    </xf>
    <xf numFmtId="4" fontId="8" fillId="8" borderId="2" xfId="0" applyNumberFormat="1" applyFont="1" applyFill="1" applyBorder="1" applyAlignment="1">
      <alignment horizontal="right" vertical="top" wrapText="1"/>
    </xf>
    <xf numFmtId="0" fontId="8" fillId="0" borderId="2" xfId="0" applyFont="1" applyBorder="1" applyAlignment="1">
      <alignment horizontal="left" vertical="top" wrapText="1"/>
    </xf>
    <xf numFmtId="0" fontId="8" fillId="0" borderId="2" xfId="0" applyFont="1" applyBorder="1" applyAlignment="1">
      <alignment horizontal="justify" vertical="top" wrapText="1"/>
    </xf>
    <xf numFmtId="0" fontId="8" fillId="0" borderId="2" xfId="0" applyFont="1" applyBorder="1" applyAlignment="1">
      <alignment horizontal="right" vertical="top" wrapText="1"/>
    </xf>
    <xf numFmtId="4" fontId="8" fillId="0" borderId="2" xfId="0" applyNumberFormat="1" applyFont="1" applyBorder="1" applyAlignment="1">
      <alignment horizontal="right" vertical="top" wrapText="1"/>
    </xf>
    <xf numFmtId="0" fontId="3" fillId="10" borderId="19" xfId="0" applyFont="1" applyFill="1" applyBorder="1" applyAlignment="1">
      <alignment horizontal="center" vertical="top" wrapText="1"/>
    </xf>
    <xf numFmtId="9" fontId="3" fillId="10" borderId="19" xfId="1" applyFont="1" applyFill="1" applyBorder="1" applyAlignment="1">
      <alignment horizontal="center" vertical="top" wrapText="1"/>
    </xf>
    <xf numFmtId="0" fontId="3" fillId="10" borderId="0" xfId="0" applyFont="1" applyFill="1" applyAlignment="1">
      <alignment horizontal="right" vertical="top" wrapText="1"/>
    </xf>
    <xf numFmtId="0" fontId="3" fillId="10" borderId="0" xfId="0" applyFont="1" applyFill="1" applyAlignment="1">
      <alignment horizontal="right" vertical="top"/>
    </xf>
    <xf numFmtId="43" fontId="3" fillId="10" borderId="0" xfId="6" applyFont="1" applyFill="1" applyAlignment="1">
      <alignment vertical="top" wrapText="1"/>
    </xf>
    <xf numFmtId="43" fontId="3" fillId="10" borderId="0" xfId="6" applyFont="1" applyFill="1" applyAlignment="1">
      <alignment horizontal="center" vertical="top" wrapText="1"/>
    </xf>
    <xf numFmtId="0" fontId="3" fillId="10" borderId="20" xfId="0" applyFont="1" applyFill="1" applyBorder="1" applyAlignment="1">
      <alignment horizontal="center" vertical="top" wrapText="1"/>
    </xf>
    <xf numFmtId="9" fontId="3" fillId="10" borderId="20" xfId="1" applyFont="1" applyFill="1" applyBorder="1" applyAlignment="1">
      <alignment horizontal="center" vertical="top" wrapText="1"/>
    </xf>
    <xf numFmtId="0" fontId="3" fillId="10" borderId="21" xfId="0" applyFont="1" applyFill="1" applyBorder="1" applyAlignment="1">
      <alignment horizontal="center" vertical="top" wrapText="1"/>
    </xf>
    <xf numFmtId="9" fontId="3" fillId="10" borderId="21" xfId="1" applyFont="1" applyFill="1" applyBorder="1" applyAlignment="1">
      <alignment horizontal="center" vertical="top" wrapText="1"/>
    </xf>
    <xf numFmtId="0" fontId="5" fillId="12" borderId="16" xfId="0" applyFont="1" applyFill="1" applyBorder="1" applyAlignment="1">
      <alignment horizontal="left" vertical="top" wrapText="1"/>
    </xf>
    <xf numFmtId="4" fontId="5" fillId="12" borderId="2" xfId="0" applyNumberFormat="1" applyFont="1" applyFill="1" applyBorder="1" applyAlignment="1">
      <alignment horizontal="right" vertical="top" wrapText="1"/>
    </xf>
    <xf numFmtId="166" fontId="5" fillId="12" borderId="2" xfId="0" applyNumberFormat="1" applyFont="1" applyFill="1" applyBorder="1" applyAlignment="1">
      <alignment horizontal="right" vertical="top" wrapText="1"/>
    </xf>
    <xf numFmtId="43" fontId="9" fillId="10" borderId="0" xfId="6" applyFont="1" applyFill="1" applyAlignment="1">
      <alignment vertical="top" wrapText="1"/>
    </xf>
    <xf numFmtId="43" fontId="9" fillId="10" borderId="0" xfId="6" applyFont="1" applyFill="1" applyAlignment="1">
      <alignment horizontal="center" vertical="top" wrapText="1"/>
    </xf>
    <xf numFmtId="0" fontId="0" fillId="0" borderId="5" xfId="0" applyBorder="1" applyAlignment="1">
      <alignment vertical="center"/>
    </xf>
    <xf numFmtId="0" fontId="0" fillId="0" borderId="6" xfId="0" applyBorder="1" applyAlignment="1">
      <alignment vertical="center"/>
    </xf>
    <xf numFmtId="0" fontId="25" fillId="0" borderId="9" xfId="0" applyFont="1"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9" fillId="7" borderId="33" xfId="0" applyFont="1" applyFill="1" applyBorder="1" applyAlignment="1">
      <alignment horizontal="right" vertical="top" wrapText="1"/>
    </xf>
    <xf numFmtId="0" fontId="9" fillId="7" borderId="0" xfId="0" applyFont="1" applyFill="1" applyAlignment="1">
      <alignment horizontal="right" vertical="top" wrapText="1"/>
    </xf>
    <xf numFmtId="0" fontId="9" fillId="7" borderId="22" xfId="0" applyFont="1" applyFill="1" applyBorder="1" applyAlignment="1">
      <alignment horizontal="right" vertical="top" wrapText="1"/>
    </xf>
    <xf numFmtId="0" fontId="8" fillId="17" borderId="16" xfId="0" applyFont="1" applyFill="1" applyBorder="1" applyAlignment="1">
      <alignment horizontal="left" vertical="top" wrapText="1"/>
    </xf>
    <xf numFmtId="0" fontId="8" fillId="17" borderId="17" xfId="0" applyFont="1" applyFill="1" applyBorder="1" applyAlignment="1">
      <alignment horizontal="right" vertical="top" wrapText="1"/>
    </xf>
    <xf numFmtId="10" fontId="9" fillId="7" borderId="0" xfId="1" applyNumberFormat="1" applyFont="1" applyFill="1" applyAlignment="1">
      <alignment horizontal="right" vertical="top" wrapText="1"/>
    </xf>
    <xf numFmtId="4" fontId="9" fillId="7" borderId="0" xfId="0" applyNumberFormat="1" applyFont="1" applyFill="1" applyAlignment="1">
      <alignment horizontal="right" vertical="top" wrapText="1"/>
    </xf>
    <xf numFmtId="43" fontId="9" fillId="7" borderId="0" xfId="6" applyFont="1" applyFill="1" applyAlignment="1">
      <alignment horizontal="right" vertical="top" wrapText="1"/>
    </xf>
    <xf numFmtId="43" fontId="8" fillId="17" borderId="2" xfId="6" applyFont="1" applyFill="1" applyBorder="1" applyAlignment="1">
      <alignment horizontal="right" vertical="top" wrapText="1"/>
    </xf>
    <xf numFmtId="0" fontId="5" fillId="12" borderId="2" xfId="0" applyFont="1" applyFill="1" applyBorder="1" applyAlignment="1">
      <alignment horizontal="justify" vertical="top" wrapText="1"/>
    </xf>
    <xf numFmtId="10" fontId="31" fillId="12" borderId="34" xfId="1" applyNumberFormat="1" applyFont="1" applyFill="1" applyBorder="1" applyAlignment="1">
      <alignment horizontal="right" vertical="top" wrapText="1"/>
    </xf>
    <xf numFmtId="10" fontId="32" fillId="12" borderId="34" xfId="1" applyNumberFormat="1" applyFont="1" applyFill="1" applyBorder="1" applyAlignment="1">
      <alignment horizontal="right" vertical="top" wrapText="1"/>
    </xf>
    <xf numFmtId="43" fontId="5" fillId="12" borderId="35" xfId="6" applyFont="1" applyFill="1" applyBorder="1" applyAlignment="1">
      <alignment horizontal="right" vertical="top" wrapText="1"/>
    </xf>
    <xf numFmtId="43" fontId="8" fillId="12" borderId="35" xfId="6" applyFont="1" applyFill="1" applyBorder="1" applyAlignment="1">
      <alignment horizontal="right" vertical="top" wrapText="1"/>
    </xf>
    <xf numFmtId="0" fontId="5" fillId="12" borderId="2" xfId="0" applyFont="1" applyFill="1" applyBorder="1" applyAlignment="1">
      <alignment vertical="top" wrapText="1"/>
    </xf>
    <xf numFmtId="0" fontId="5" fillId="17" borderId="2" xfId="0" applyFont="1" applyFill="1" applyBorder="1" applyAlignment="1">
      <alignment vertical="top" wrapText="1"/>
    </xf>
    <xf numFmtId="0" fontId="6" fillId="0" borderId="2" xfId="0" applyFont="1" applyBorder="1" applyAlignment="1">
      <alignment horizontal="justify" vertical="top" wrapText="1"/>
    </xf>
    <xf numFmtId="0" fontId="5" fillId="17" borderId="2" xfId="0" applyFont="1" applyFill="1" applyBorder="1" applyAlignment="1">
      <alignment horizontal="justify" vertical="top" wrapText="1"/>
    </xf>
    <xf numFmtId="10" fontId="32" fillId="17" borderId="34" xfId="1" applyNumberFormat="1" applyFont="1" applyFill="1" applyBorder="1" applyAlignment="1">
      <alignment horizontal="right" vertical="top" wrapText="1"/>
    </xf>
    <xf numFmtId="43" fontId="8" fillId="17" borderId="35" xfId="6" applyFont="1" applyFill="1" applyBorder="1" applyAlignment="1">
      <alignment horizontal="right" vertical="top" wrapText="1"/>
    </xf>
    <xf numFmtId="0" fontId="6" fillId="0" borderId="34" xfId="0" applyFont="1" applyBorder="1" applyAlignment="1">
      <alignment horizontal="justify" vertical="top" wrapText="1"/>
    </xf>
    <xf numFmtId="10" fontId="33" fillId="0" borderId="34" xfId="1" applyNumberFormat="1" applyFont="1" applyFill="1" applyBorder="1" applyAlignment="1">
      <alignment horizontal="right" vertical="top" wrapText="1"/>
    </xf>
    <xf numFmtId="0" fontId="6" fillId="0" borderId="35" xfId="0" applyFont="1" applyBorder="1" applyAlignment="1">
      <alignment horizontal="justify" vertical="top" wrapText="1"/>
    </xf>
    <xf numFmtId="43" fontId="6" fillId="0" borderId="35" xfId="6" applyFont="1" applyFill="1" applyBorder="1" applyAlignment="1">
      <alignment horizontal="right" vertical="top" wrapText="1"/>
    </xf>
    <xf numFmtId="0" fontId="5" fillId="12" borderId="34" xfId="0" applyFont="1" applyFill="1" applyBorder="1" applyAlignment="1">
      <alignment vertical="top" wrapText="1"/>
    </xf>
    <xf numFmtId="0" fontId="5" fillId="12" borderId="35" xfId="0" applyFont="1" applyFill="1" applyBorder="1" applyAlignment="1">
      <alignment vertical="top" wrapText="1"/>
    </xf>
    <xf numFmtId="0" fontId="5" fillId="16" borderId="2" xfId="0" applyFont="1" applyFill="1" applyBorder="1" applyAlignment="1">
      <alignment horizontal="justify" vertical="top" wrapText="1"/>
    </xf>
    <xf numFmtId="0" fontId="8" fillId="16" borderId="2" xfId="0" applyFont="1" applyFill="1" applyBorder="1" applyAlignment="1">
      <alignment horizontal="justify" vertical="top" wrapText="1"/>
    </xf>
    <xf numFmtId="10" fontId="31" fillId="16" borderId="34" xfId="1" applyNumberFormat="1" applyFont="1" applyFill="1" applyBorder="1" applyAlignment="1">
      <alignment horizontal="right" vertical="top" wrapText="1"/>
    </xf>
    <xf numFmtId="10" fontId="32" fillId="16" borderId="34" xfId="1" applyNumberFormat="1" applyFont="1" applyFill="1" applyBorder="1" applyAlignment="1">
      <alignment horizontal="right" vertical="top" wrapText="1"/>
    </xf>
    <xf numFmtId="43" fontId="5" fillId="16" borderId="35" xfId="6" applyFont="1" applyFill="1" applyBorder="1" applyAlignment="1">
      <alignment horizontal="right" vertical="top" wrapText="1"/>
    </xf>
    <xf numFmtId="43" fontId="8" fillId="16" borderId="35" xfId="6" applyFont="1" applyFill="1" applyBorder="1" applyAlignment="1">
      <alignment horizontal="right" vertical="top" wrapText="1"/>
    </xf>
    <xf numFmtId="0" fontId="9" fillId="7" borderId="0" xfId="0" applyFont="1" applyFill="1" applyAlignment="1">
      <alignment horizontal="left" vertical="top" wrapText="1"/>
    </xf>
    <xf numFmtId="0" fontId="8" fillId="17" borderId="2" xfId="0" applyFont="1" applyFill="1" applyBorder="1" applyAlignment="1">
      <alignment horizontal="right" vertical="top" wrapText="1"/>
    </xf>
  </cellXfs>
  <cellStyles count="10">
    <cellStyle name="Normal" xfId="0" builtinId="0"/>
    <cellStyle name="Normal 2" xfId="2" xr:uid="{52957C52-BF5A-48CC-9762-7A023BE4A12B}"/>
    <cellStyle name="Normal_Orç 037_2009 - Ar Condicionado Salas Técnicas - PJ Sobradinho" xfId="3" xr:uid="{99829A11-D80A-4288-B3DA-79D8A6B5BDAA}"/>
    <cellStyle name="Normal_Orç 041_2009 Adaptação Copa PJ Ceilândia" xfId="4" xr:uid="{E64FF796-9405-4C19-978C-D6B831C80DD4}"/>
    <cellStyle name="Normal_Orç 041_2009 Adaptação Copa PJ Ceilândia_Orçamento Sintético" xfId="9" xr:uid="{476CCD2B-AEDA-44AA-836B-A858C9178CB4}"/>
    <cellStyle name="Normal_Orç 041_2009 Adaptação Copa PJ Ceilândia_Plan1" xfId="8" xr:uid="{157C7A96-507A-4E28-BB5C-845E2AC50E26}"/>
    <cellStyle name="Normal_Plan1" xfId="5" xr:uid="{7FFE544A-F287-466D-90BE-40C6E7A18432}"/>
    <cellStyle name="Normal_Plan1_1 2" xfId="7" xr:uid="{F256ABD6-1FEF-43EF-8E68-63D323A05FCF}"/>
    <cellStyle name="Porcentagem" xfId="1" builtinId="5"/>
    <cellStyle name="Vírgula" xfId="6" builtinId="3"/>
  </cellStyles>
  <dxfs count="589">
    <dxf>
      <font>
        <color rgb="FFD8ECF6"/>
      </font>
    </dxf>
    <dxf>
      <font>
        <color rgb="FFD8ECF6"/>
      </font>
    </dxf>
    <dxf>
      <font>
        <color rgb="FFD8ECF6"/>
      </font>
    </dxf>
    <dxf>
      <font>
        <color rgb="FFD8ECF6"/>
      </font>
    </dxf>
    <dxf>
      <font>
        <color rgb="FFD8ECF6"/>
      </font>
    </dxf>
    <dxf>
      <font>
        <color rgb="FFD8ECF6"/>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D8ECF6"/>
      </font>
    </dxf>
    <dxf>
      <font>
        <color rgb="FFD8ECF6"/>
      </font>
    </dxf>
    <dxf>
      <font>
        <color rgb="FFD8ECF6"/>
      </font>
    </dxf>
    <dxf>
      <font>
        <color rgb="FFD8ECF6"/>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D8ECF6"/>
      </font>
    </dxf>
    <dxf>
      <font>
        <color rgb="FFD8ECF6"/>
      </font>
    </dxf>
    <dxf>
      <font>
        <color rgb="FFD8ECF6"/>
      </font>
    </dxf>
    <dxf>
      <font>
        <color rgb="FFD8ECF6"/>
      </font>
    </dxf>
    <dxf>
      <font>
        <color rgb="FFFFFF00"/>
      </font>
    </dxf>
    <dxf>
      <font>
        <color rgb="FFFFFF00"/>
      </font>
    </dxf>
    <dxf>
      <font>
        <color theme="0" tint="-4.9989318521683403E-2"/>
      </font>
    </dxf>
    <dxf>
      <font>
        <color theme="0" tint="-4.9989318521683403E-2"/>
      </font>
    </dxf>
    <dxf>
      <font>
        <color theme="0" tint="-4.9989318521683403E-2"/>
      </font>
    </dxf>
    <dxf>
      <font>
        <color theme="0" tint="-4.9989318521683403E-2"/>
      </font>
    </dxf>
    <dxf>
      <font>
        <color rgb="FFD8ECF6"/>
      </font>
    </dxf>
    <dxf>
      <font>
        <color rgb="FFD8ECF6"/>
      </font>
    </dxf>
    <dxf>
      <font>
        <color rgb="FFD8ECF6"/>
      </font>
    </dxf>
    <dxf>
      <font>
        <color rgb="FFD8ECF6"/>
      </font>
    </dxf>
    <dxf>
      <font>
        <color theme="0" tint="-4.9989318521683403E-2"/>
      </font>
    </dxf>
    <dxf>
      <font>
        <color theme="0" tint="-4.9989318521683403E-2"/>
      </font>
    </dxf>
    <dxf>
      <font>
        <color rgb="FFD8ECF6"/>
      </font>
    </dxf>
    <dxf>
      <font>
        <color rgb="FFD8ECF6"/>
      </font>
    </dxf>
    <dxf>
      <font>
        <color rgb="FFD8ECF6"/>
      </font>
    </dxf>
    <dxf>
      <font>
        <color rgb="FFD8ECF6"/>
      </font>
    </dxf>
    <dxf>
      <font>
        <color rgb="FFD8ECF6"/>
      </font>
    </dxf>
    <dxf>
      <font>
        <color rgb="FFD8ECF6"/>
      </font>
    </dxf>
    <dxf>
      <font>
        <color rgb="FFD8ECF6"/>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theme="0" tint="-4.9989318521683403E-2"/>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theme="0" tint="-4.9989318521683403E-2"/>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
      <font>
        <color rgb="FFD8ECF6"/>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LAG/Documents/Trabalhos/MPDFT/OR&#199;%20034_2020%20PJSA/OR&#199;034_2020%20PJSA%20P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ilag\Documents\Trabalhos\MPDFT\Or&#231;%20006_2020%20PJBSI%20-%20CO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ções de Preenchimento"/>
      <sheetName val="Resumo do Orçamento"/>
      <sheetName val="Orçamento Sintético"/>
      <sheetName val="Orçamento Analítico"/>
      <sheetName val="Insumos e Serviços"/>
      <sheetName val="Composição de BDI"/>
      <sheetName val="Composição de Encargos Sociais"/>
      <sheetName val="Cronograma"/>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file____R__DIPRO_NOR_or_C3_A7a"/>
      <sheetName val="Planilha Sintética"/>
      <sheetName val="Composição de BDI"/>
      <sheetName val="Composição de Encargos Sociais"/>
      <sheetName val="Cronograma"/>
    </sheetNames>
    <sheetDataSet>
      <sheetData sheetId="0" refreshError="1"/>
      <sheetData sheetId="1"/>
      <sheetData sheetId="2" refreshError="1"/>
      <sheetData sheetId="3"/>
      <sheetData sheetId="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2D956-D8CA-4238-8590-B54F6A2F471C}">
  <sheetPr>
    <pageSetUpPr fitToPage="1"/>
  </sheetPr>
  <dimension ref="A1:B33"/>
  <sheetViews>
    <sheetView showGridLines="0" tabSelected="1" workbookViewId="0">
      <selection sqref="A1:B1"/>
    </sheetView>
  </sheetViews>
  <sheetFormatPr defaultRowHeight="14.25" x14ac:dyDescent="0.2"/>
  <cols>
    <col min="1" max="1" width="6" style="54" customWidth="1"/>
    <col min="2" max="2" width="73.75" style="54" customWidth="1"/>
    <col min="3" max="256" width="9" style="54"/>
    <col min="257" max="257" width="6" style="54" customWidth="1"/>
    <col min="258" max="258" width="73.75" style="54" customWidth="1"/>
    <col min="259" max="512" width="9" style="54"/>
    <col min="513" max="513" width="6" style="54" customWidth="1"/>
    <col min="514" max="514" width="73.75" style="54" customWidth="1"/>
    <col min="515" max="768" width="9" style="54"/>
    <col min="769" max="769" width="6" style="54" customWidth="1"/>
    <col min="770" max="770" width="73.75" style="54" customWidth="1"/>
    <col min="771" max="1024" width="9" style="54"/>
    <col min="1025" max="1025" width="6" style="54" customWidth="1"/>
    <col min="1026" max="1026" width="73.75" style="54" customWidth="1"/>
    <col min="1027" max="1280" width="9" style="54"/>
    <col min="1281" max="1281" width="6" style="54" customWidth="1"/>
    <col min="1282" max="1282" width="73.75" style="54" customWidth="1"/>
    <col min="1283" max="1536" width="9" style="54"/>
    <col min="1537" max="1537" width="6" style="54" customWidth="1"/>
    <col min="1538" max="1538" width="73.75" style="54" customWidth="1"/>
    <col min="1539" max="1792" width="9" style="54"/>
    <col min="1793" max="1793" width="6" style="54" customWidth="1"/>
    <col min="1794" max="1794" width="73.75" style="54" customWidth="1"/>
    <col min="1795" max="2048" width="9" style="54"/>
    <col min="2049" max="2049" width="6" style="54" customWidth="1"/>
    <col min="2050" max="2050" width="73.75" style="54" customWidth="1"/>
    <col min="2051" max="2304" width="9" style="54"/>
    <col min="2305" max="2305" width="6" style="54" customWidth="1"/>
    <col min="2306" max="2306" width="73.75" style="54" customWidth="1"/>
    <col min="2307" max="2560" width="9" style="54"/>
    <col min="2561" max="2561" width="6" style="54" customWidth="1"/>
    <col min="2562" max="2562" width="73.75" style="54" customWidth="1"/>
    <col min="2563" max="2816" width="9" style="54"/>
    <col min="2817" max="2817" width="6" style="54" customWidth="1"/>
    <col min="2818" max="2818" width="73.75" style="54" customWidth="1"/>
    <col min="2819" max="3072" width="9" style="54"/>
    <col min="3073" max="3073" width="6" style="54" customWidth="1"/>
    <col min="3074" max="3074" width="73.75" style="54" customWidth="1"/>
    <col min="3075" max="3328" width="9" style="54"/>
    <col min="3329" max="3329" width="6" style="54" customWidth="1"/>
    <col min="3330" max="3330" width="73.75" style="54" customWidth="1"/>
    <col min="3331" max="3584" width="9" style="54"/>
    <col min="3585" max="3585" width="6" style="54" customWidth="1"/>
    <col min="3586" max="3586" width="73.75" style="54" customWidth="1"/>
    <col min="3587" max="3840" width="9" style="54"/>
    <col min="3841" max="3841" width="6" style="54" customWidth="1"/>
    <col min="3842" max="3842" width="73.75" style="54" customWidth="1"/>
    <col min="3843" max="4096" width="9" style="54"/>
    <col min="4097" max="4097" width="6" style="54" customWidth="1"/>
    <col min="4098" max="4098" width="73.75" style="54" customWidth="1"/>
    <col min="4099" max="4352" width="9" style="54"/>
    <col min="4353" max="4353" width="6" style="54" customWidth="1"/>
    <col min="4354" max="4354" width="73.75" style="54" customWidth="1"/>
    <col min="4355" max="4608" width="9" style="54"/>
    <col min="4609" max="4609" width="6" style="54" customWidth="1"/>
    <col min="4610" max="4610" width="73.75" style="54" customWidth="1"/>
    <col min="4611" max="4864" width="9" style="54"/>
    <col min="4865" max="4865" width="6" style="54" customWidth="1"/>
    <col min="4866" max="4866" width="73.75" style="54" customWidth="1"/>
    <col min="4867" max="5120" width="9" style="54"/>
    <col min="5121" max="5121" width="6" style="54" customWidth="1"/>
    <col min="5122" max="5122" width="73.75" style="54" customWidth="1"/>
    <col min="5123" max="5376" width="9" style="54"/>
    <col min="5377" max="5377" width="6" style="54" customWidth="1"/>
    <col min="5378" max="5378" width="73.75" style="54" customWidth="1"/>
    <col min="5379" max="5632" width="9" style="54"/>
    <col min="5633" max="5633" width="6" style="54" customWidth="1"/>
    <col min="5634" max="5634" width="73.75" style="54" customWidth="1"/>
    <col min="5635" max="5888" width="9" style="54"/>
    <col min="5889" max="5889" width="6" style="54" customWidth="1"/>
    <col min="5890" max="5890" width="73.75" style="54" customWidth="1"/>
    <col min="5891" max="6144" width="9" style="54"/>
    <col min="6145" max="6145" width="6" style="54" customWidth="1"/>
    <col min="6146" max="6146" width="73.75" style="54" customWidth="1"/>
    <col min="6147" max="6400" width="9" style="54"/>
    <col min="6401" max="6401" width="6" style="54" customWidth="1"/>
    <col min="6402" max="6402" width="73.75" style="54" customWidth="1"/>
    <col min="6403" max="6656" width="9" style="54"/>
    <col min="6657" max="6657" width="6" style="54" customWidth="1"/>
    <col min="6658" max="6658" width="73.75" style="54" customWidth="1"/>
    <col min="6659" max="6912" width="9" style="54"/>
    <col min="6913" max="6913" width="6" style="54" customWidth="1"/>
    <col min="6914" max="6914" width="73.75" style="54" customWidth="1"/>
    <col min="6915" max="7168" width="9" style="54"/>
    <col min="7169" max="7169" width="6" style="54" customWidth="1"/>
    <col min="7170" max="7170" width="73.75" style="54" customWidth="1"/>
    <col min="7171" max="7424" width="9" style="54"/>
    <col min="7425" max="7425" width="6" style="54" customWidth="1"/>
    <col min="7426" max="7426" width="73.75" style="54" customWidth="1"/>
    <col min="7427" max="7680" width="9" style="54"/>
    <col min="7681" max="7681" width="6" style="54" customWidth="1"/>
    <col min="7682" max="7682" width="73.75" style="54" customWidth="1"/>
    <col min="7683" max="7936" width="9" style="54"/>
    <col min="7937" max="7937" width="6" style="54" customWidth="1"/>
    <col min="7938" max="7938" width="73.75" style="54" customWidth="1"/>
    <col min="7939" max="8192" width="9" style="54"/>
    <col min="8193" max="8193" width="6" style="54" customWidth="1"/>
    <col min="8194" max="8194" width="73.75" style="54" customWidth="1"/>
    <col min="8195" max="8448" width="9" style="54"/>
    <col min="8449" max="8449" width="6" style="54" customWidth="1"/>
    <col min="8450" max="8450" width="73.75" style="54" customWidth="1"/>
    <col min="8451" max="8704" width="9" style="54"/>
    <col min="8705" max="8705" width="6" style="54" customWidth="1"/>
    <col min="8706" max="8706" width="73.75" style="54" customWidth="1"/>
    <col min="8707" max="8960" width="9" style="54"/>
    <col min="8961" max="8961" width="6" style="54" customWidth="1"/>
    <col min="8962" max="8962" width="73.75" style="54" customWidth="1"/>
    <col min="8963" max="9216" width="9" style="54"/>
    <col min="9217" max="9217" width="6" style="54" customWidth="1"/>
    <col min="9218" max="9218" width="73.75" style="54" customWidth="1"/>
    <col min="9219" max="9472" width="9" style="54"/>
    <col min="9473" max="9473" width="6" style="54" customWidth="1"/>
    <col min="9474" max="9474" width="73.75" style="54" customWidth="1"/>
    <col min="9475" max="9728" width="9" style="54"/>
    <col min="9729" max="9729" width="6" style="54" customWidth="1"/>
    <col min="9730" max="9730" width="73.75" style="54" customWidth="1"/>
    <col min="9731" max="9984" width="9" style="54"/>
    <col min="9985" max="9985" width="6" style="54" customWidth="1"/>
    <col min="9986" max="9986" width="73.75" style="54" customWidth="1"/>
    <col min="9987" max="10240" width="9" style="54"/>
    <col min="10241" max="10241" width="6" style="54" customWidth="1"/>
    <col min="10242" max="10242" width="73.75" style="54" customWidth="1"/>
    <col min="10243" max="10496" width="9" style="54"/>
    <col min="10497" max="10497" width="6" style="54" customWidth="1"/>
    <col min="10498" max="10498" width="73.75" style="54" customWidth="1"/>
    <col min="10499" max="10752" width="9" style="54"/>
    <col min="10753" max="10753" width="6" style="54" customWidth="1"/>
    <col min="10754" max="10754" width="73.75" style="54" customWidth="1"/>
    <col min="10755" max="11008" width="9" style="54"/>
    <col min="11009" max="11009" width="6" style="54" customWidth="1"/>
    <col min="11010" max="11010" width="73.75" style="54" customWidth="1"/>
    <col min="11011" max="11264" width="9" style="54"/>
    <col min="11265" max="11265" width="6" style="54" customWidth="1"/>
    <col min="11266" max="11266" width="73.75" style="54" customWidth="1"/>
    <col min="11267" max="11520" width="9" style="54"/>
    <col min="11521" max="11521" width="6" style="54" customWidth="1"/>
    <col min="11522" max="11522" width="73.75" style="54" customWidth="1"/>
    <col min="11523" max="11776" width="9" style="54"/>
    <col min="11777" max="11777" width="6" style="54" customWidth="1"/>
    <col min="11778" max="11778" width="73.75" style="54" customWidth="1"/>
    <col min="11779" max="12032" width="9" style="54"/>
    <col min="12033" max="12033" width="6" style="54" customWidth="1"/>
    <col min="12034" max="12034" width="73.75" style="54" customWidth="1"/>
    <col min="12035" max="12288" width="9" style="54"/>
    <col min="12289" max="12289" width="6" style="54" customWidth="1"/>
    <col min="12290" max="12290" width="73.75" style="54" customWidth="1"/>
    <col min="12291" max="12544" width="9" style="54"/>
    <col min="12545" max="12545" width="6" style="54" customWidth="1"/>
    <col min="12546" max="12546" width="73.75" style="54" customWidth="1"/>
    <col min="12547" max="12800" width="9" style="54"/>
    <col min="12801" max="12801" width="6" style="54" customWidth="1"/>
    <col min="12802" max="12802" width="73.75" style="54" customWidth="1"/>
    <col min="12803" max="13056" width="9" style="54"/>
    <col min="13057" max="13057" width="6" style="54" customWidth="1"/>
    <col min="13058" max="13058" width="73.75" style="54" customWidth="1"/>
    <col min="13059" max="13312" width="9" style="54"/>
    <col min="13313" max="13313" width="6" style="54" customWidth="1"/>
    <col min="13314" max="13314" width="73.75" style="54" customWidth="1"/>
    <col min="13315" max="13568" width="9" style="54"/>
    <col min="13569" max="13569" width="6" style="54" customWidth="1"/>
    <col min="13570" max="13570" width="73.75" style="54" customWidth="1"/>
    <col min="13571" max="13824" width="9" style="54"/>
    <col min="13825" max="13825" width="6" style="54" customWidth="1"/>
    <col min="13826" max="13826" width="73.75" style="54" customWidth="1"/>
    <col min="13827" max="14080" width="9" style="54"/>
    <col min="14081" max="14081" width="6" style="54" customWidth="1"/>
    <col min="14082" max="14082" width="73.75" style="54" customWidth="1"/>
    <col min="14083" max="14336" width="9" style="54"/>
    <col min="14337" max="14337" width="6" style="54" customWidth="1"/>
    <col min="14338" max="14338" width="73.75" style="54" customWidth="1"/>
    <col min="14339" max="14592" width="9" style="54"/>
    <col min="14593" max="14593" width="6" style="54" customWidth="1"/>
    <col min="14594" max="14594" width="73.75" style="54" customWidth="1"/>
    <col min="14595" max="14848" width="9" style="54"/>
    <col min="14849" max="14849" width="6" style="54" customWidth="1"/>
    <col min="14850" max="14850" width="73.75" style="54" customWidth="1"/>
    <col min="14851" max="15104" width="9" style="54"/>
    <col min="15105" max="15105" width="6" style="54" customWidth="1"/>
    <col min="15106" max="15106" width="73.75" style="54" customWidth="1"/>
    <col min="15107" max="15360" width="9" style="54"/>
    <col min="15361" max="15361" width="6" style="54" customWidth="1"/>
    <col min="15362" max="15362" width="73.75" style="54" customWidth="1"/>
    <col min="15363" max="15616" width="9" style="54"/>
    <col min="15617" max="15617" width="6" style="54" customWidth="1"/>
    <col min="15618" max="15618" width="73.75" style="54" customWidth="1"/>
    <col min="15619" max="15872" width="9" style="54"/>
    <col min="15873" max="15873" width="6" style="54" customWidth="1"/>
    <col min="15874" max="15874" width="73.75" style="54" customWidth="1"/>
    <col min="15875" max="16128" width="9" style="54"/>
    <col min="16129" max="16129" width="6" style="54" customWidth="1"/>
    <col min="16130" max="16130" width="73.75" style="54" customWidth="1"/>
    <col min="16131" max="16384" width="9" style="54"/>
  </cols>
  <sheetData>
    <row r="1" spans="1:2" x14ac:dyDescent="0.2">
      <c r="A1" s="97" t="s">
        <v>340</v>
      </c>
      <c r="B1" s="98"/>
    </row>
    <row r="2" spans="1:2" x14ac:dyDescent="0.2">
      <c r="A2" s="99"/>
      <c r="B2" s="100"/>
    </row>
    <row r="3" spans="1:2" x14ac:dyDescent="0.2">
      <c r="A3" s="101"/>
      <c r="B3" s="102" t="s">
        <v>341</v>
      </c>
    </row>
    <row r="4" spans="1:2" ht="33.75" x14ac:dyDescent="0.2">
      <c r="A4" s="103">
        <v>1</v>
      </c>
      <c r="B4" s="104" t="s">
        <v>342</v>
      </c>
    </row>
    <row r="5" spans="1:2" x14ac:dyDescent="0.2">
      <c r="A5" s="103">
        <v>2</v>
      </c>
      <c r="B5" s="104" t="s">
        <v>343</v>
      </c>
    </row>
    <row r="6" spans="1:2" ht="22.5" x14ac:dyDescent="0.2">
      <c r="A6" s="103" t="s">
        <v>344</v>
      </c>
      <c r="B6" s="104" t="s">
        <v>345</v>
      </c>
    </row>
    <row r="7" spans="1:2" x14ac:dyDescent="0.2">
      <c r="A7" s="103" t="s">
        <v>346</v>
      </c>
      <c r="B7" s="104" t="s">
        <v>347</v>
      </c>
    </row>
    <row r="8" spans="1:2" ht="22.5" x14ac:dyDescent="0.2">
      <c r="A8" s="103" t="s">
        <v>348</v>
      </c>
      <c r="B8" s="104" t="s">
        <v>349</v>
      </c>
    </row>
    <row r="9" spans="1:2" x14ac:dyDescent="0.2">
      <c r="A9" s="103" t="s">
        <v>350</v>
      </c>
      <c r="B9" s="104" t="s">
        <v>402</v>
      </c>
    </row>
    <row r="10" spans="1:2" ht="22.5" x14ac:dyDescent="0.2">
      <c r="A10" s="105" t="s">
        <v>351</v>
      </c>
      <c r="B10" s="106" t="s">
        <v>352</v>
      </c>
    </row>
    <row r="11" spans="1:2" x14ac:dyDescent="0.2">
      <c r="A11" s="107"/>
      <c r="B11" s="108"/>
    </row>
    <row r="12" spans="1:2" x14ac:dyDescent="0.2">
      <c r="A12" s="101" t="s">
        <v>282</v>
      </c>
      <c r="B12" s="102" t="s">
        <v>390</v>
      </c>
    </row>
    <row r="13" spans="1:2" ht="22.5" x14ac:dyDescent="0.2">
      <c r="A13" s="103" t="s">
        <v>243</v>
      </c>
      <c r="B13" s="104" t="s">
        <v>353</v>
      </c>
    </row>
    <row r="14" spans="1:2" ht="22.5" x14ac:dyDescent="0.2">
      <c r="A14" s="103" t="s">
        <v>266</v>
      </c>
      <c r="B14" s="104" t="s">
        <v>354</v>
      </c>
    </row>
    <row r="15" spans="1:2" x14ac:dyDescent="0.2">
      <c r="A15" s="109" t="s">
        <v>304</v>
      </c>
      <c r="B15" s="110" t="s">
        <v>391</v>
      </c>
    </row>
    <row r="16" spans="1:2" x14ac:dyDescent="0.2">
      <c r="A16" s="103" t="s">
        <v>257</v>
      </c>
      <c r="B16" s="104" t="s">
        <v>355</v>
      </c>
    </row>
    <row r="17" spans="1:2" ht="22.5" x14ac:dyDescent="0.2">
      <c r="A17" s="103" t="s">
        <v>286</v>
      </c>
      <c r="B17" s="104" t="s">
        <v>356</v>
      </c>
    </row>
    <row r="18" spans="1:2" ht="22.5" x14ac:dyDescent="0.2">
      <c r="A18" s="103" t="s">
        <v>288</v>
      </c>
      <c r="B18" s="104" t="s">
        <v>357</v>
      </c>
    </row>
    <row r="19" spans="1:2" x14ac:dyDescent="0.2">
      <c r="A19" s="109" t="s">
        <v>317</v>
      </c>
      <c r="B19" s="110" t="s">
        <v>358</v>
      </c>
    </row>
    <row r="20" spans="1:2" x14ac:dyDescent="0.2">
      <c r="A20" s="103" t="s">
        <v>307</v>
      </c>
      <c r="B20" s="104" t="s">
        <v>359</v>
      </c>
    </row>
    <row r="21" spans="1:2" ht="22.5" x14ac:dyDescent="0.2">
      <c r="A21" s="103" t="s">
        <v>309</v>
      </c>
      <c r="B21" s="104" t="s">
        <v>360</v>
      </c>
    </row>
    <row r="22" spans="1:2" ht="22.5" x14ac:dyDescent="0.2">
      <c r="A22" s="103" t="s">
        <v>311</v>
      </c>
      <c r="B22" s="104" t="s">
        <v>361</v>
      </c>
    </row>
    <row r="23" spans="1:2" ht="22.5" x14ac:dyDescent="0.2">
      <c r="A23" s="103" t="s">
        <v>313</v>
      </c>
      <c r="B23" s="104" t="s">
        <v>362</v>
      </c>
    </row>
    <row r="24" spans="1:2" x14ac:dyDescent="0.2">
      <c r="A24" s="109" t="s">
        <v>363</v>
      </c>
      <c r="B24" s="110" t="s">
        <v>364</v>
      </c>
    </row>
    <row r="25" spans="1:2" ht="33.75" x14ac:dyDescent="0.2">
      <c r="A25" s="103" t="s">
        <v>319</v>
      </c>
      <c r="B25" s="104" t="s">
        <v>365</v>
      </c>
    </row>
    <row r="26" spans="1:2" ht="22.5" x14ac:dyDescent="0.2">
      <c r="A26" s="103" t="s">
        <v>321</v>
      </c>
      <c r="B26" s="104" t="s">
        <v>366</v>
      </c>
    </row>
    <row r="27" spans="1:2" x14ac:dyDescent="0.2">
      <c r="A27" s="103" t="s">
        <v>367</v>
      </c>
      <c r="B27" s="104" t="s">
        <v>368</v>
      </c>
    </row>
    <row r="28" spans="1:2" x14ac:dyDescent="0.2">
      <c r="A28" s="109" t="s">
        <v>369</v>
      </c>
      <c r="B28" s="110" t="s">
        <v>370</v>
      </c>
    </row>
    <row r="29" spans="1:2" x14ac:dyDescent="0.2">
      <c r="A29" s="103" t="s">
        <v>371</v>
      </c>
      <c r="B29" s="104" t="s">
        <v>372</v>
      </c>
    </row>
    <row r="30" spans="1:2" x14ac:dyDescent="0.2">
      <c r="A30" s="111" t="s">
        <v>373</v>
      </c>
      <c r="B30" s="112" t="s">
        <v>374</v>
      </c>
    </row>
    <row r="31" spans="1:2" x14ac:dyDescent="0.2">
      <c r="A31" s="113" t="s">
        <v>375</v>
      </c>
      <c r="B31" s="114" t="s">
        <v>376</v>
      </c>
    </row>
    <row r="32" spans="1:2" ht="22.5" x14ac:dyDescent="0.2">
      <c r="A32" s="113" t="s">
        <v>377</v>
      </c>
      <c r="B32" s="114" t="s">
        <v>378</v>
      </c>
    </row>
    <row r="33" spans="1:2" ht="22.5" x14ac:dyDescent="0.2">
      <c r="A33" s="115" t="s">
        <v>379</v>
      </c>
      <c r="B33" s="116" t="s">
        <v>380</v>
      </c>
    </row>
  </sheetData>
  <mergeCells count="1">
    <mergeCell ref="A1:B1"/>
  </mergeCells>
  <printOptions horizontalCentered="1"/>
  <pageMargins left="0.59055118110236227" right="0.59055118110236227" top="0.59055118110236227" bottom="0.59055118110236227" header="0.19685039370078741" footer="0.19685039370078741"/>
  <pageSetup paperSize="9" orientation="portrait" r:id="rId1"/>
  <headerFooter alignWithMargins="0">
    <oddHeader>&amp;C&amp;"Arial,Negrito"&amp;20ESTA PLANILHA NÃO PRECISA SER IMPRESSA</oddHeader>
    <oddFooter>&amp;C&amp;"Arial,Negrito"&amp;20ESTA PLANILHA NÃO PRECISA SER IMPRESSA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BAF21-F9F3-4EA7-B090-7783FFF3B09D}">
  <sheetPr>
    <pageSetUpPr fitToPage="1"/>
  </sheetPr>
  <dimension ref="A1:D19"/>
  <sheetViews>
    <sheetView showGridLines="0" zoomScale="115" zoomScaleNormal="115" workbookViewId="0"/>
  </sheetViews>
  <sheetFormatPr defaultRowHeight="11.25" x14ac:dyDescent="0.2"/>
  <cols>
    <col min="1" max="1" width="10" style="2" customWidth="1"/>
    <col min="2" max="2" width="60" style="2" customWidth="1"/>
    <col min="3" max="3" width="10" style="2" customWidth="1"/>
    <col min="4" max="4" width="18.125" style="2" customWidth="1"/>
    <col min="5" max="16384" width="9" style="2"/>
  </cols>
  <sheetData>
    <row r="1" spans="1:4" customFormat="1" ht="14.25" customHeight="1" x14ac:dyDescent="0.2">
      <c r="A1" s="118" t="str">
        <f>'Orçamento Sintético'!A1</f>
        <v>P. Execução:</v>
      </c>
      <c r="B1" s="119" t="str">
        <f>'Orçamento Sintético'!D1</f>
        <v>Objeto: Implantação de sistema VRF no auditório ed. Sede</v>
      </c>
      <c r="C1" s="120" t="str">
        <f>'Orçamento Sintético'!C1</f>
        <v>Licitação:</v>
      </c>
      <c r="D1" s="121"/>
    </row>
    <row r="2" spans="1:4" customFormat="1" ht="14.25" customHeight="1" x14ac:dyDescent="0.2">
      <c r="A2" s="122" t="str">
        <f>'Orçamento Sintético'!A2</f>
        <v>A</v>
      </c>
      <c r="B2" s="123" t="str">
        <f>'Orçamento Sintético'!D2</f>
        <v>Local: Praça do Buriti Bloco A, Lote 2 - Zona Cívico-Administrativa - Brasília / DF</v>
      </c>
      <c r="C2" s="124" t="str">
        <f>'Orçamento Sintético'!C2</f>
        <v>B</v>
      </c>
      <c r="D2" s="125"/>
    </row>
    <row r="3" spans="1:4" s="54" customFormat="1" ht="14.25" x14ac:dyDescent="0.2">
      <c r="A3" s="126" t="str">
        <f>'Orçamento Sintético'!A3</f>
        <v>P. Validade:</v>
      </c>
      <c r="B3" s="126" t="str">
        <f>'Orçamento Sintético'!C3</f>
        <v>Razão Social:</v>
      </c>
      <c r="C3" s="118" t="str">
        <f>'Orçamento Sintético'!E1</f>
        <v>Data:</v>
      </c>
      <c r="D3" s="125"/>
    </row>
    <row r="4" spans="1:4" s="54" customFormat="1" ht="14.25" x14ac:dyDescent="0.2">
      <c r="A4" s="122" t="str">
        <f>'Orçamento Sintético'!A4</f>
        <v>C</v>
      </c>
      <c r="B4" s="127" t="str">
        <f>'Orçamento Sintético'!C4</f>
        <v>D</v>
      </c>
      <c r="C4" s="127">
        <f>'Orçamento Sintético'!E2</f>
        <v>1</v>
      </c>
      <c r="D4" s="125"/>
    </row>
    <row r="5" spans="1:4" customFormat="1" ht="15" customHeight="1" x14ac:dyDescent="0.2">
      <c r="A5" s="118" t="str">
        <f>'Orçamento Sintético'!A5</f>
        <v>P. Garantia:</v>
      </c>
      <c r="B5" s="126" t="str">
        <f>'Orçamento Sintético'!C5</f>
        <v>CNPJ:</v>
      </c>
      <c r="C5" s="118" t="str">
        <f>'Orçamento Sintético'!E3</f>
        <v>Telefone:</v>
      </c>
      <c r="D5" s="125"/>
    </row>
    <row r="6" spans="1:4" customFormat="1" ht="14.25" x14ac:dyDescent="0.2">
      <c r="A6" s="122" t="str">
        <f>'Orçamento Sintético'!A6</f>
        <v>F</v>
      </c>
      <c r="B6" s="127" t="str">
        <f>'Orçamento Sintético'!C6</f>
        <v>G</v>
      </c>
      <c r="C6" s="127" t="str">
        <f>'Orçamento Sintético'!E4</f>
        <v>E</v>
      </c>
      <c r="D6" s="128"/>
    </row>
    <row r="7" spans="1:4" ht="15" customHeight="1" x14ac:dyDescent="0.25">
      <c r="A7" s="70" t="s">
        <v>157</v>
      </c>
      <c r="B7" s="71"/>
      <c r="C7" s="71"/>
      <c r="D7" s="71"/>
    </row>
    <row r="8" spans="1:4" ht="30" customHeight="1" x14ac:dyDescent="0.2">
      <c r="A8" s="117" t="s">
        <v>0</v>
      </c>
      <c r="B8" s="117" t="s">
        <v>3</v>
      </c>
      <c r="C8" s="63" t="s">
        <v>7</v>
      </c>
      <c r="D8" s="63" t="s">
        <v>7</v>
      </c>
    </row>
    <row r="9" spans="1:4" ht="24" customHeight="1" x14ac:dyDescent="0.2">
      <c r="A9" s="52" t="s">
        <v>8</v>
      </c>
      <c r="B9" s="210" t="str">
        <f>VLOOKUP(A9,'Orçamento Sintético'!$A:$H,4,0)</f>
        <v>SERVIÇOS TÉCNICOS-PROFISSIONAIS</v>
      </c>
      <c r="C9" s="211">
        <f>VLOOKUP(A9,'Orçamento Sintético'!$A:$H,8,0)</f>
        <v>233.94</v>
      </c>
      <c r="D9" s="212">
        <f>ROUND(C9/$D$17,4)</f>
        <v>5.9999999999999995E-4</v>
      </c>
    </row>
    <row r="10" spans="1:4" ht="24" customHeight="1" x14ac:dyDescent="0.2">
      <c r="A10" s="52" t="s">
        <v>17</v>
      </c>
      <c r="B10" s="210" t="str">
        <f>VLOOKUP(A10,'Orçamento Sintético'!$A:$H,4,0)</f>
        <v>SERVIÇOS PRELIMINARES</v>
      </c>
      <c r="C10" s="211">
        <f>VLOOKUP(A10,'Orçamento Sintético'!$A:$H,8,0)</f>
        <v>480.95</v>
      </c>
      <c r="D10" s="212">
        <f>ROUND(C10/$D$17,4)</f>
        <v>1.2999999999999999E-3</v>
      </c>
    </row>
    <row r="11" spans="1:4" ht="24" customHeight="1" x14ac:dyDescent="0.2">
      <c r="A11" s="52" t="s">
        <v>44</v>
      </c>
      <c r="B11" s="210" t="str">
        <f>VLOOKUP(A11,'Orçamento Sintético'!$A:$H,4,0)</f>
        <v>ARQUITETURA E ELEMENTOS DE URBANISMO</v>
      </c>
      <c r="C11" s="211">
        <f>VLOOKUP(A11,'Orçamento Sintético'!$A:$H,8,0)</f>
        <v>15344.78</v>
      </c>
      <c r="D11" s="212">
        <f>ROUND(C11/$D$17,4)</f>
        <v>4.1599999999999998E-2</v>
      </c>
    </row>
    <row r="12" spans="1:4" ht="24" customHeight="1" x14ac:dyDescent="0.2">
      <c r="A12" s="52" t="s">
        <v>63</v>
      </c>
      <c r="B12" s="210" t="str">
        <f>VLOOKUP(A12,'Orçamento Sintético'!$A:$H,4,0)</f>
        <v>INSTALAÇÕES ELÉTRICAS E ELETRÔNICAS</v>
      </c>
      <c r="C12" s="211">
        <f>VLOOKUP(A12,'Orçamento Sintético'!$A:$H,8,0)</f>
        <v>78756.83</v>
      </c>
      <c r="D12" s="212">
        <f>ROUND(C12/$D$17,4)</f>
        <v>0.21360000000000001</v>
      </c>
    </row>
    <row r="13" spans="1:4" ht="24" customHeight="1" x14ac:dyDescent="0.2">
      <c r="A13" s="52" t="s">
        <v>102</v>
      </c>
      <c r="B13" s="210" t="str">
        <f>VLOOKUP(A13,'Orçamento Sintético'!$A:$H,4,0)</f>
        <v>INSTALAÇÕES MECÂNICAS E DE UTILIDADES</v>
      </c>
      <c r="C13" s="211">
        <f>VLOOKUP(A13,'Orçamento Sintético'!$A:$H,8,0)</f>
        <v>258888.64</v>
      </c>
      <c r="D13" s="212">
        <f>ROUND(C13/$D$17,4)</f>
        <v>0.70199999999999996</v>
      </c>
    </row>
    <row r="14" spans="1:4" s="53" customFormat="1" ht="24" customHeight="1" x14ac:dyDescent="0.2">
      <c r="A14" s="52" t="s">
        <v>158</v>
      </c>
      <c r="B14" s="210" t="str">
        <f>VLOOKUP(A14,'Orçamento Sintético'!$A:$H,4,0)</f>
        <v>SERVIÇOS COMPLEMENTARES</v>
      </c>
      <c r="C14" s="211">
        <f>VLOOKUP(A14,'Orçamento Sintético'!$A:$H,8,0)</f>
        <v>193.2</v>
      </c>
      <c r="D14" s="212">
        <f>ROUND(C14/$D$17,4)</f>
        <v>5.0000000000000001E-4</v>
      </c>
    </row>
    <row r="15" spans="1:4" ht="24" customHeight="1" x14ac:dyDescent="0.2">
      <c r="A15" s="52" t="s">
        <v>403</v>
      </c>
      <c r="B15" s="210" t="str">
        <f>VLOOKUP(A15,'Orçamento Sintético'!$A:$H,4,0)</f>
        <v>SERVIÇOS AUXILIARES E ADMINISTRATIVOS</v>
      </c>
      <c r="C15" s="211">
        <f>VLOOKUP(A15,'Orçamento Sintético'!$A:$H,8,0)</f>
        <v>14891.85</v>
      </c>
      <c r="D15" s="212">
        <f>ROUND(C15/$D$17,4)</f>
        <v>4.0399999999999998E-2</v>
      </c>
    </row>
    <row r="16" spans="1:4" x14ac:dyDescent="0.2">
      <c r="A16" s="7"/>
      <c r="B16" s="7"/>
      <c r="C16" s="7"/>
    </row>
    <row r="17" spans="1:4" x14ac:dyDescent="0.2">
      <c r="A17" s="202"/>
      <c r="B17" s="202" t="s">
        <v>152</v>
      </c>
      <c r="C17" s="213"/>
      <c r="D17" s="213">
        <f>SUM(C9:C15)</f>
        <v>368790.19</v>
      </c>
    </row>
    <row r="18" spans="1:4" x14ac:dyDescent="0.2">
      <c r="A18" s="202"/>
      <c r="B18" s="202" t="s">
        <v>153</v>
      </c>
      <c r="C18" s="214" t="str">
        <f>"("&amp;'Composição de BDI'!D23*100&amp;"%)"</f>
        <v>(22,12%)</v>
      </c>
      <c r="D18" s="213">
        <f>TRUNC(D17*'Composição de BDI'!D23,2)</f>
        <v>81576.39</v>
      </c>
    </row>
    <row r="19" spans="1:4" x14ac:dyDescent="0.2">
      <c r="A19" s="202"/>
      <c r="B19" s="202" t="s">
        <v>154</v>
      </c>
      <c r="C19" s="213"/>
      <c r="D19" s="213">
        <f>SUM(D17:D18)</f>
        <v>450366.58</v>
      </c>
    </row>
  </sheetData>
  <mergeCells count="2">
    <mergeCell ref="D1:D6"/>
    <mergeCell ref="A7:D7"/>
  </mergeCells>
  <printOptions horizontalCentered="1"/>
  <pageMargins left="0.59055118110236227" right="0.59055118110236227" top="0.59055118110236227" bottom="0.59055118110236227" header="0.19685039370078741" footer="0.19685039370078741"/>
  <pageSetup paperSize="9"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2"/>
  <sheetViews>
    <sheetView showGridLines="0" showOutlineSymbols="0" showWhiteSpace="0" zoomScaleNormal="100" zoomScaleSheetLayoutView="85" workbookViewId="0"/>
  </sheetViews>
  <sheetFormatPr defaultRowHeight="11.25" x14ac:dyDescent="0.2"/>
  <cols>
    <col min="1" max="2" width="10" style="2" customWidth="1"/>
    <col min="3" max="3" width="13.25" style="2" customWidth="1"/>
    <col min="4" max="4" width="60" style="2" bestFit="1" customWidth="1"/>
    <col min="5" max="5" width="8" style="2" customWidth="1"/>
    <col min="6" max="8" width="13" style="2" customWidth="1"/>
    <col min="9" max="16384" width="9" style="2"/>
  </cols>
  <sheetData>
    <row r="1" spans="1:8" s="149" customFormat="1" ht="14.25" x14ac:dyDescent="0.2">
      <c r="A1" s="118" t="s">
        <v>381</v>
      </c>
      <c r="B1" s="129"/>
      <c r="C1" s="120" t="s">
        <v>382</v>
      </c>
      <c r="D1" s="119" t="s">
        <v>392</v>
      </c>
      <c r="E1" s="118" t="s">
        <v>156</v>
      </c>
      <c r="F1" s="130"/>
      <c r="G1" s="131"/>
      <c r="H1" s="132"/>
    </row>
    <row r="2" spans="1:8" s="149" customFormat="1" ht="14.25" x14ac:dyDescent="0.2">
      <c r="A2" s="133" t="s">
        <v>282</v>
      </c>
      <c r="B2" s="134"/>
      <c r="C2" s="124" t="s">
        <v>304</v>
      </c>
      <c r="D2" s="123" t="s">
        <v>393</v>
      </c>
      <c r="E2" s="135">
        <v>1</v>
      </c>
      <c r="F2" s="136"/>
      <c r="G2" s="137"/>
      <c r="H2" s="138"/>
    </row>
    <row r="3" spans="1:8" s="149" customFormat="1" ht="14.25" x14ac:dyDescent="0.2">
      <c r="A3" s="139" t="s">
        <v>383</v>
      </c>
      <c r="B3" s="140"/>
      <c r="C3" s="139" t="s">
        <v>384</v>
      </c>
      <c r="D3" s="140"/>
      <c r="E3" s="118" t="s">
        <v>385</v>
      </c>
      <c r="F3" s="141"/>
      <c r="G3" s="142"/>
      <c r="H3" s="143"/>
    </row>
    <row r="4" spans="1:8" s="149" customFormat="1" ht="14.25" x14ac:dyDescent="0.2">
      <c r="A4" s="133" t="s">
        <v>317</v>
      </c>
      <c r="B4" s="134"/>
      <c r="C4" s="133" t="s">
        <v>363</v>
      </c>
      <c r="D4" s="134"/>
      <c r="E4" s="133" t="s">
        <v>369</v>
      </c>
      <c r="F4" s="144"/>
      <c r="G4" s="137"/>
      <c r="H4" s="138"/>
    </row>
    <row r="5" spans="1:8" s="149" customFormat="1" ht="14.25" x14ac:dyDescent="0.2">
      <c r="A5" s="145" t="s">
        <v>386</v>
      </c>
      <c r="B5" s="146"/>
      <c r="C5" s="118" t="s">
        <v>387</v>
      </c>
      <c r="D5" s="129"/>
      <c r="E5" s="118" t="s">
        <v>388</v>
      </c>
      <c r="F5" s="141"/>
      <c r="G5" s="142"/>
      <c r="H5" s="143"/>
    </row>
    <row r="6" spans="1:8" s="149" customFormat="1" ht="14.25" x14ac:dyDescent="0.2">
      <c r="A6" s="147" t="s">
        <v>373</v>
      </c>
      <c r="B6" s="148"/>
      <c r="C6" s="133" t="s">
        <v>389</v>
      </c>
      <c r="D6" s="134"/>
      <c r="E6" s="133" t="s">
        <v>164</v>
      </c>
      <c r="F6" s="144"/>
      <c r="G6" s="147"/>
      <c r="H6" s="148"/>
    </row>
    <row r="7" spans="1:8" s="149" customFormat="1" ht="15" x14ac:dyDescent="0.25">
      <c r="A7" s="93" t="s">
        <v>339</v>
      </c>
      <c r="B7" s="169"/>
      <c r="C7" s="169"/>
      <c r="D7" s="169"/>
      <c r="E7" s="169"/>
      <c r="F7" s="169"/>
      <c r="G7" s="169"/>
      <c r="H7" s="169"/>
    </row>
    <row r="8" spans="1:8" s="149" customFormat="1" ht="14.25" x14ac:dyDescent="0.2">
      <c r="A8" s="17" t="s">
        <v>0</v>
      </c>
      <c r="B8" s="17" t="s">
        <v>1</v>
      </c>
      <c r="C8" s="17" t="s">
        <v>2</v>
      </c>
      <c r="D8" s="17" t="s">
        <v>3</v>
      </c>
      <c r="E8" s="17" t="s">
        <v>4</v>
      </c>
      <c r="F8" s="153" t="s">
        <v>5</v>
      </c>
      <c r="G8" s="17" t="s">
        <v>6</v>
      </c>
      <c r="H8" s="17" t="s">
        <v>7</v>
      </c>
    </row>
    <row r="9" spans="1:8" s="150" customFormat="1" ht="15" x14ac:dyDescent="0.25">
      <c r="A9" s="156" t="s">
        <v>8</v>
      </c>
      <c r="B9" s="156"/>
      <c r="C9" s="156"/>
      <c r="D9" s="156" t="s">
        <v>9</v>
      </c>
      <c r="E9" s="156"/>
      <c r="F9" s="157"/>
      <c r="G9" s="156"/>
      <c r="H9" s="157">
        <f>H10</f>
        <v>233.94</v>
      </c>
    </row>
    <row r="10" spans="1:8" s="150" customFormat="1" ht="15" x14ac:dyDescent="0.25">
      <c r="A10" s="4" t="s">
        <v>10</v>
      </c>
      <c r="B10" s="4"/>
      <c r="C10" s="4"/>
      <c r="D10" s="4" t="s">
        <v>11</v>
      </c>
      <c r="E10" s="4"/>
      <c r="F10" s="5"/>
      <c r="G10" s="4"/>
      <c r="H10" s="6">
        <f>H11</f>
        <v>233.94</v>
      </c>
    </row>
    <row r="11" spans="1:8" s="149" customFormat="1" ht="14.25" x14ac:dyDescent="0.2">
      <c r="A11" s="158" t="s">
        <v>12</v>
      </c>
      <c r="B11" s="159" t="s">
        <v>13</v>
      </c>
      <c r="C11" s="159" t="s">
        <v>14</v>
      </c>
      <c r="D11" s="160" t="s">
        <v>15</v>
      </c>
      <c r="E11" s="159" t="s">
        <v>16</v>
      </c>
      <c r="F11" s="161">
        <v>1</v>
      </c>
      <c r="G11" s="162">
        <f>VLOOKUP(A11,'Orçamento Analítico'!$A:$H,8,0)</f>
        <v>233.94</v>
      </c>
      <c r="H11" s="162">
        <f>TRUNC(F11 * G11, 2)</f>
        <v>233.94</v>
      </c>
    </row>
    <row r="12" spans="1:8" s="150" customFormat="1" ht="15" x14ac:dyDescent="0.25">
      <c r="A12" s="156" t="s">
        <v>17</v>
      </c>
      <c r="B12" s="156"/>
      <c r="C12" s="156"/>
      <c r="D12" s="156" t="s">
        <v>18</v>
      </c>
      <c r="E12" s="156"/>
      <c r="F12" s="157"/>
      <c r="G12" s="156"/>
      <c r="H12" s="157">
        <f>H13+H16</f>
        <v>480.95</v>
      </c>
    </row>
    <row r="13" spans="1:8" s="150" customFormat="1" ht="15" x14ac:dyDescent="0.25">
      <c r="A13" s="4" t="s">
        <v>19</v>
      </c>
      <c r="B13" s="4"/>
      <c r="C13" s="4"/>
      <c r="D13" s="4" t="s">
        <v>20</v>
      </c>
      <c r="E13" s="4"/>
      <c r="F13" s="5"/>
      <c r="G13" s="4"/>
      <c r="H13" s="6">
        <f>H14</f>
        <v>56.7</v>
      </c>
    </row>
    <row r="14" spans="1:8" s="151" customFormat="1" ht="15" x14ac:dyDescent="0.25">
      <c r="A14" s="60" t="s">
        <v>21</v>
      </c>
      <c r="B14" s="60"/>
      <c r="C14" s="60"/>
      <c r="D14" s="60" t="s">
        <v>22</v>
      </c>
      <c r="E14" s="60"/>
      <c r="F14" s="61"/>
      <c r="G14" s="60"/>
      <c r="H14" s="62">
        <f>H15</f>
        <v>56.7</v>
      </c>
    </row>
    <row r="15" spans="1:8" s="149" customFormat="1" ht="22.5" x14ac:dyDescent="0.2">
      <c r="A15" s="158" t="s">
        <v>23</v>
      </c>
      <c r="B15" s="159" t="s">
        <v>332</v>
      </c>
      <c r="C15" s="159" t="str">
        <f>VLOOKUP(B15,'Insumos e Serviços'!$A:$F,2,0)</f>
        <v>SINAPI</v>
      </c>
      <c r="D15" s="160" t="str">
        <f>VLOOKUP(B15,'Insumos e Serviços'!$A:$F,4,0)</f>
        <v>APLICAÇÃO DE LONA PLÁSTICA PARA EXECUÇÃO DE PAVIMENTOS DE CONCRETO. AF_11/2017</v>
      </c>
      <c r="E15" s="159" t="str">
        <f>VLOOKUP(B15,'Insumos e Serviços'!$A:$F,5,0)</f>
        <v>m²</v>
      </c>
      <c r="F15" s="161">
        <v>42</v>
      </c>
      <c r="G15" s="162">
        <f>VLOOKUP(B15,'Insumos e Serviços'!$A:$F,6,0)</f>
        <v>1.35</v>
      </c>
      <c r="H15" s="162">
        <f>TRUNC(F15 * G15, 2)</f>
        <v>56.7</v>
      </c>
    </row>
    <row r="16" spans="1:8" s="150" customFormat="1" ht="15" x14ac:dyDescent="0.25">
      <c r="A16" s="4" t="s">
        <v>26</v>
      </c>
      <c r="B16" s="4"/>
      <c r="C16" s="4"/>
      <c r="D16" s="4" t="s">
        <v>27</v>
      </c>
      <c r="E16" s="4"/>
      <c r="F16" s="5"/>
      <c r="G16" s="4"/>
      <c r="H16" s="6">
        <f>H17+H19</f>
        <v>424.25</v>
      </c>
    </row>
    <row r="17" spans="1:8" s="151" customFormat="1" ht="15" x14ac:dyDescent="0.25">
      <c r="A17" s="60" t="s">
        <v>28</v>
      </c>
      <c r="B17" s="60"/>
      <c r="C17" s="60"/>
      <c r="D17" s="60" t="s">
        <v>29</v>
      </c>
      <c r="E17" s="60"/>
      <c r="F17" s="61"/>
      <c r="G17" s="60"/>
      <c r="H17" s="62">
        <f>H18</f>
        <v>92.6</v>
      </c>
    </row>
    <row r="18" spans="1:8" s="149" customFormat="1" ht="22.5" x14ac:dyDescent="0.2">
      <c r="A18" s="158" t="s">
        <v>30</v>
      </c>
      <c r="B18" s="159" t="s">
        <v>333</v>
      </c>
      <c r="C18" s="159" t="str">
        <f>VLOOKUP(B18,'Insumos e Serviços'!$A:$F,2,0)</f>
        <v>SINAPI</v>
      </c>
      <c r="D18" s="160" t="str">
        <f>VLOOKUP(B18,'Insumos e Serviços'!$A:$F,4,0)</f>
        <v>DEMOLIÇÃO DE ALVENARIA DE BLOCO FURADO, DE FORMA MANUAL, SEM REAPROVEITAMENTO. AF_12/2017</v>
      </c>
      <c r="E18" s="159" t="str">
        <f>VLOOKUP(B18,'Insumos e Serviços'!$A:$F,5,0)</f>
        <v>m³</v>
      </c>
      <c r="F18" s="161">
        <v>2</v>
      </c>
      <c r="G18" s="162">
        <f>VLOOKUP(B18,'Insumos e Serviços'!$A:$F,6,0)</f>
        <v>46.3</v>
      </c>
      <c r="H18" s="162">
        <f>TRUNC(F18 * G18, 2)</f>
        <v>92.6</v>
      </c>
    </row>
    <row r="19" spans="1:8" s="150" customFormat="1" ht="15" x14ac:dyDescent="0.25">
      <c r="A19" s="60" t="s">
        <v>32</v>
      </c>
      <c r="B19" s="60"/>
      <c r="C19" s="60"/>
      <c r="D19" s="60" t="s">
        <v>33</v>
      </c>
      <c r="E19" s="60"/>
      <c r="F19" s="61"/>
      <c r="G19" s="60"/>
      <c r="H19" s="62">
        <f>SUM(H20:H22)</f>
        <v>331.65000000000003</v>
      </c>
    </row>
    <row r="20" spans="1:8" s="149" customFormat="1" ht="14.25" x14ac:dyDescent="0.2">
      <c r="A20" s="158" t="s">
        <v>34</v>
      </c>
      <c r="B20" s="159" t="s">
        <v>35</v>
      </c>
      <c r="C20" s="159" t="s">
        <v>14</v>
      </c>
      <c r="D20" s="160" t="s">
        <v>36</v>
      </c>
      <c r="E20" s="159" t="s">
        <v>37</v>
      </c>
      <c r="F20" s="161">
        <v>13</v>
      </c>
      <c r="G20" s="162">
        <f>VLOOKUP(A20,'Orçamento Analítico'!$A:$H,8,0)</f>
        <v>12.92</v>
      </c>
      <c r="H20" s="162">
        <f>TRUNC(F20 * G20, 2)</f>
        <v>167.96</v>
      </c>
    </row>
    <row r="21" spans="1:8" s="149" customFormat="1" ht="22.5" x14ac:dyDescent="0.2">
      <c r="A21" s="158" t="s">
        <v>38</v>
      </c>
      <c r="B21" s="159" t="s">
        <v>39</v>
      </c>
      <c r="C21" s="159" t="str">
        <f>VLOOKUP(B21,'Insumos e Serviços'!$A:$F,2,0)</f>
        <v>SINAPI</v>
      </c>
      <c r="D21" s="160" t="str">
        <f>VLOOKUP(B21,'Insumos e Serviços'!$A:$F,4,0)</f>
        <v>REMOÇÃO DE FORRO DE GESSO, DE FORMA MANUAL, SEM REAPROVEITAMENTO. AF_12/2017</v>
      </c>
      <c r="E21" s="159" t="str">
        <f>VLOOKUP(B21,'Insumos e Serviços'!$A:$F,5,0)</f>
        <v>m²</v>
      </c>
      <c r="F21" s="161">
        <v>25</v>
      </c>
      <c r="G21" s="162">
        <f>VLOOKUP(B21,'Insumos e Serviços'!$A:$F,6,0)</f>
        <v>4.1500000000000004</v>
      </c>
      <c r="H21" s="162">
        <f>TRUNC(F21 * G21, 2)</f>
        <v>103.75</v>
      </c>
    </row>
    <row r="22" spans="1:8" s="149" customFormat="1" ht="22.5" x14ac:dyDescent="0.2">
      <c r="A22" s="158" t="s">
        <v>41</v>
      </c>
      <c r="B22" s="159" t="s">
        <v>42</v>
      </c>
      <c r="C22" s="159" t="s">
        <v>14</v>
      </c>
      <c r="D22" s="160" t="s">
        <v>43</v>
      </c>
      <c r="E22" s="159" t="s">
        <v>25</v>
      </c>
      <c r="F22" s="161">
        <v>3</v>
      </c>
      <c r="G22" s="162">
        <f>VLOOKUP(A22,'Orçamento Analítico'!$A:$H,8,0)</f>
        <v>19.98</v>
      </c>
      <c r="H22" s="162">
        <f>TRUNC(F22 * G22, 2)</f>
        <v>59.94</v>
      </c>
    </row>
    <row r="23" spans="1:8" s="150" customFormat="1" ht="15" x14ac:dyDescent="0.25">
      <c r="A23" s="156" t="s">
        <v>44</v>
      </c>
      <c r="B23" s="156"/>
      <c r="C23" s="156"/>
      <c r="D23" s="156" t="s">
        <v>45</v>
      </c>
      <c r="E23" s="156"/>
      <c r="F23" s="157"/>
      <c r="G23" s="156"/>
      <c r="H23" s="157">
        <f>H24</f>
        <v>15344.78</v>
      </c>
    </row>
    <row r="24" spans="1:8" s="150" customFormat="1" ht="15" x14ac:dyDescent="0.25">
      <c r="A24" s="4" t="s">
        <v>46</v>
      </c>
      <c r="B24" s="4"/>
      <c r="C24" s="4"/>
      <c r="D24" s="4" t="s">
        <v>47</v>
      </c>
      <c r="E24" s="4"/>
      <c r="F24" s="5"/>
      <c r="G24" s="4"/>
      <c r="H24" s="6">
        <f>H25+H27+H29</f>
        <v>15344.78</v>
      </c>
    </row>
    <row r="25" spans="1:8" s="151" customFormat="1" ht="15" x14ac:dyDescent="0.25">
      <c r="A25" s="60" t="s">
        <v>48</v>
      </c>
      <c r="B25" s="60"/>
      <c r="C25" s="60"/>
      <c r="D25" s="60" t="s">
        <v>49</v>
      </c>
      <c r="E25" s="60"/>
      <c r="F25" s="61"/>
      <c r="G25" s="60"/>
      <c r="H25" s="62">
        <f>H26</f>
        <v>13510.86</v>
      </c>
    </row>
    <row r="26" spans="1:8" s="149" customFormat="1" ht="22.5" x14ac:dyDescent="0.2">
      <c r="A26" s="158" t="s">
        <v>50</v>
      </c>
      <c r="B26" s="159" t="s">
        <v>51</v>
      </c>
      <c r="C26" s="159" t="str">
        <f>VLOOKUP(B26,'Insumos e Serviços'!$A:$F,2,0)</f>
        <v>SINAPI</v>
      </c>
      <c r="D26" s="160" t="str">
        <f>VLOOKUP(B26,'Insumos e Serviços'!$A:$F,4,0)</f>
        <v>GRADIL EM FERRO FIXADO EM VÃOS DE JANELAS, FORMADO POR BARRAS CHATAS DE 25X4,8 MM. AF_04/2019</v>
      </c>
      <c r="E26" s="159" t="str">
        <f>VLOOKUP(B26,'Insumos e Serviços'!$A:$F,5,0)</f>
        <v>m²</v>
      </c>
      <c r="F26" s="161">
        <v>22</v>
      </c>
      <c r="G26" s="162">
        <f>VLOOKUP(B26,'Insumos e Serviços'!$A:$F,6,0)</f>
        <v>614.13</v>
      </c>
      <c r="H26" s="162">
        <f>TRUNC(F26 * G26, 2)</f>
        <v>13510.86</v>
      </c>
    </row>
    <row r="27" spans="1:8" s="151" customFormat="1" ht="15" x14ac:dyDescent="0.25">
      <c r="A27" s="60" t="s">
        <v>53</v>
      </c>
      <c r="B27" s="60"/>
      <c r="C27" s="60"/>
      <c r="D27" s="60" t="s">
        <v>54</v>
      </c>
      <c r="E27" s="60"/>
      <c r="F27" s="61"/>
      <c r="G27" s="60"/>
      <c r="H27" s="62">
        <f>H28</f>
        <v>1485</v>
      </c>
    </row>
    <row r="28" spans="1:8" s="149" customFormat="1" ht="22.5" x14ac:dyDescent="0.2">
      <c r="A28" s="158" t="s">
        <v>55</v>
      </c>
      <c r="B28" s="159" t="s">
        <v>56</v>
      </c>
      <c r="C28" s="159" t="str">
        <f>VLOOKUP(B28,'Insumos e Serviços'!$A:$F,2,0)</f>
        <v>SINAPI</v>
      </c>
      <c r="D28" s="160" t="str">
        <f>VLOOKUP(B28,'Insumos e Serviços'!$A:$F,4,0)</f>
        <v>FORRO EM DRYWALL, PARA AMBIENTES COMERCIAIS, INCLUSIVE ESTRUTURA DE FIXAÇÃO. AF_05/2017_P</v>
      </c>
      <c r="E28" s="159" t="str">
        <f>VLOOKUP(B28,'Insumos e Serviços'!$A:$F,5,0)</f>
        <v>m²</v>
      </c>
      <c r="F28" s="161">
        <v>25</v>
      </c>
      <c r="G28" s="162">
        <f>VLOOKUP(B28,'Insumos e Serviços'!$A:$F,6,0)</f>
        <v>59.4</v>
      </c>
      <c r="H28" s="162">
        <f>TRUNC(F28 * G28, 2)</f>
        <v>1485</v>
      </c>
    </row>
    <row r="29" spans="1:8" s="151" customFormat="1" ht="15" x14ac:dyDescent="0.25">
      <c r="A29" s="60" t="s">
        <v>58</v>
      </c>
      <c r="B29" s="60"/>
      <c r="C29" s="60"/>
      <c r="D29" s="60" t="s">
        <v>59</v>
      </c>
      <c r="E29" s="60"/>
      <c r="F29" s="61"/>
      <c r="G29" s="60"/>
      <c r="H29" s="62">
        <f>H30</f>
        <v>348.92</v>
      </c>
    </row>
    <row r="30" spans="1:8" s="149" customFormat="1" ht="22.5" x14ac:dyDescent="0.2">
      <c r="A30" s="158" t="s">
        <v>60</v>
      </c>
      <c r="B30" s="159" t="s">
        <v>61</v>
      </c>
      <c r="C30" s="159" t="str">
        <f>VLOOKUP(B30,'Insumos e Serviços'!$A:$F,2,0)</f>
        <v>SINAPI</v>
      </c>
      <c r="D30" s="160" t="str">
        <f>VLOOKUP(B30,'Insumos e Serviços'!$A:$F,4,0)</f>
        <v>CALHA EM CHAPA DE AÇO GALVANIZADO NÚMERO 24, DESENVOLVIMENTO DE 50 CM, INCLUSO TRANSPORTE VERTICAL. AF_07/2019</v>
      </c>
      <c r="E30" s="159" t="str">
        <f>VLOOKUP(B30,'Insumos e Serviços'!$A:$F,5,0)</f>
        <v>M</v>
      </c>
      <c r="F30" s="161">
        <v>4</v>
      </c>
      <c r="G30" s="162">
        <f>VLOOKUP(B30,'Insumos e Serviços'!$A:$F,6,0)</f>
        <v>87.23</v>
      </c>
      <c r="H30" s="162">
        <f>TRUNC(F30 * G30, 2)</f>
        <v>348.92</v>
      </c>
    </row>
    <row r="31" spans="1:8" s="150" customFormat="1" ht="15" x14ac:dyDescent="0.25">
      <c r="A31" s="156" t="s">
        <v>63</v>
      </c>
      <c r="B31" s="156"/>
      <c r="C31" s="156"/>
      <c r="D31" s="156" t="s">
        <v>64</v>
      </c>
      <c r="E31" s="156"/>
      <c r="F31" s="157"/>
      <c r="G31" s="156"/>
      <c r="H31" s="157">
        <f>H32</f>
        <v>78756.83</v>
      </c>
    </row>
    <row r="32" spans="1:8" s="150" customFormat="1" ht="15" x14ac:dyDescent="0.25">
      <c r="A32" s="4" t="s">
        <v>65</v>
      </c>
      <c r="B32" s="4"/>
      <c r="C32" s="4"/>
      <c r="D32" s="4" t="s">
        <v>66</v>
      </c>
      <c r="E32" s="4"/>
      <c r="F32" s="5"/>
      <c r="G32" s="4"/>
      <c r="H32" s="6">
        <f>H33+H38</f>
        <v>78756.83</v>
      </c>
    </row>
    <row r="33" spans="1:8" s="151" customFormat="1" ht="15" x14ac:dyDescent="0.25">
      <c r="A33" s="60" t="s">
        <v>67</v>
      </c>
      <c r="B33" s="60"/>
      <c r="C33" s="60"/>
      <c r="D33" s="60" t="s">
        <v>68</v>
      </c>
      <c r="E33" s="60"/>
      <c r="F33" s="61"/>
      <c r="G33" s="60"/>
      <c r="H33" s="62">
        <f>SUM(H34:H37)</f>
        <v>60567.97</v>
      </c>
    </row>
    <row r="34" spans="1:8" s="149" customFormat="1" ht="22.5" x14ac:dyDescent="0.2">
      <c r="A34" s="158" t="s">
        <v>69</v>
      </c>
      <c r="B34" s="159" t="s">
        <v>70</v>
      </c>
      <c r="C34" s="159" t="s">
        <v>14</v>
      </c>
      <c r="D34" s="160" t="s">
        <v>71</v>
      </c>
      <c r="E34" s="159" t="s">
        <v>72</v>
      </c>
      <c r="F34" s="161">
        <v>1</v>
      </c>
      <c r="G34" s="162">
        <f>VLOOKUP(A34,'Orçamento Analítico'!$A:$H,8,0)</f>
        <v>4262.5200000000004</v>
      </c>
      <c r="H34" s="162">
        <f>TRUNC(F34 * G34, 2)</f>
        <v>4262.5200000000004</v>
      </c>
    </row>
    <row r="35" spans="1:8" s="149" customFormat="1" ht="22.5" x14ac:dyDescent="0.2">
      <c r="A35" s="158" t="s">
        <v>73</v>
      </c>
      <c r="B35" s="159" t="s">
        <v>74</v>
      </c>
      <c r="C35" s="159" t="s">
        <v>14</v>
      </c>
      <c r="D35" s="160" t="s">
        <v>75</v>
      </c>
      <c r="E35" s="159" t="s">
        <v>72</v>
      </c>
      <c r="F35" s="161">
        <v>1</v>
      </c>
      <c r="G35" s="162">
        <f>VLOOKUP(A35,'Orçamento Analítico'!$A:$H,8,0)</f>
        <v>55982.73</v>
      </c>
      <c r="H35" s="162">
        <f>TRUNC(F35 * G35, 2)</f>
        <v>55982.73</v>
      </c>
    </row>
    <row r="36" spans="1:8" s="149" customFormat="1" ht="22.5" x14ac:dyDescent="0.2">
      <c r="A36" s="158" t="s">
        <v>76</v>
      </c>
      <c r="B36" s="159" t="s">
        <v>334</v>
      </c>
      <c r="C36" s="159" t="str">
        <f>VLOOKUP(B36,'Insumos e Serviços'!$A:$F,2,0)</f>
        <v>SINAPI</v>
      </c>
      <c r="D36" s="160" t="str">
        <f>VLOOKUP(B36,'Insumos e Serviços'!$A:$F,4,0)</f>
        <v>DISJUNTOR TRIPOLAR TIPO DIN, CORRENTE NOMINAL DE 10A - FORNECIMENTO E INSTALAÇÃO. AF_10/2020</v>
      </c>
      <c r="E36" s="159" t="str">
        <f>VLOOKUP(B36,'Insumos e Serviços'!$A:$F,5,0)</f>
        <v>UN</v>
      </c>
      <c r="F36" s="161">
        <v>2</v>
      </c>
      <c r="G36" s="162">
        <f>VLOOKUP(B36,'Insumos e Serviços'!$A:$F,6,0)</f>
        <v>73.38</v>
      </c>
      <c r="H36" s="162">
        <f>TRUNC(F36 * G36, 2)</f>
        <v>146.76</v>
      </c>
    </row>
    <row r="37" spans="1:8" s="152" customFormat="1" ht="22.5" x14ac:dyDescent="0.2">
      <c r="A37" s="158" t="s">
        <v>329</v>
      </c>
      <c r="B37" s="159" t="s">
        <v>335</v>
      </c>
      <c r="C37" s="159" t="str">
        <f>VLOOKUP(B37,'Insumos e Serviços'!$A:$F,2,0)</f>
        <v>SINAPI</v>
      </c>
      <c r="D37" s="160" t="str">
        <f>VLOOKUP(B37,'Insumos e Serviços'!$A:$F,4,0)</f>
        <v>DISJUNTOR TRIPOLAR TIPO DIN, CORRENTE NOMINAL DE 40A - FORNECIMENTO E INSTALAÇÃO. AF_10/2020</v>
      </c>
      <c r="E37" s="159" t="str">
        <f>VLOOKUP(B37,'Insumos e Serviços'!$A:$F,5,0)</f>
        <v>UN</v>
      </c>
      <c r="F37" s="161">
        <v>2</v>
      </c>
      <c r="G37" s="162">
        <f>VLOOKUP(B37,'Insumos e Serviços'!$A:$F,6,0)</f>
        <v>87.98</v>
      </c>
      <c r="H37" s="162">
        <f>TRUNC(F37 * G37, 2)</f>
        <v>175.96</v>
      </c>
    </row>
    <row r="38" spans="1:8" s="149" customFormat="1" ht="14.25" x14ac:dyDescent="0.2">
      <c r="A38" s="60" t="s">
        <v>78</v>
      </c>
      <c r="B38" s="60"/>
      <c r="C38" s="60"/>
      <c r="D38" s="60" t="s">
        <v>79</v>
      </c>
      <c r="E38" s="60"/>
      <c r="F38" s="61"/>
      <c r="G38" s="60"/>
      <c r="H38" s="62">
        <f>SUM(H39:H45)</f>
        <v>18188.859999999997</v>
      </c>
    </row>
    <row r="39" spans="1:8" s="149" customFormat="1" ht="33.75" x14ac:dyDescent="0.2">
      <c r="A39" s="158" t="s">
        <v>80</v>
      </c>
      <c r="B39" s="159" t="s">
        <v>81</v>
      </c>
      <c r="C39" s="159" t="s">
        <v>14</v>
      </c>
      <c r="D39" s="160" t="s">
        <v>82</v>
      </c>
      <c r="E39" s="159" t="s">
        <v>37</v>
      </c>
      <c r="F39" s="161">
        <v>32</v>
      </c>
      <c r="G39" s="162">
        <f>VLOOKUP(A39,'Orçamento Analítico'!$A:$H,8,0)</f>
        <v>71.69</v>
      </c>
      <c r="H39" s="162">
        <f>TRUNC(F39 * G39, 2)</f>
        <v>2294.08</v>
      </c>
    </row>
    <row r="40" spans="1:8" s="149" customFormat="1" ht="22.5" x14ac:dyDescent="0.2">
      <c r="A40" s="158" t="s">
        <v>83</v>
      </c>
      <c r="B40" s="159" t="s">
        <v>84</v>
      </c>
      <c r="C40" s="159" t="s">
        <v>14</v>
      </c>
      <c r="D40" s="160" t="s">
        <v>85</v>
      </c>
      <c r="E40" s="159" t="s">
        <v>86</v>
      </c>
      <c r="F40" s="161">
        <v>84</v>
      </c>
      <c r="G40" s="162">
        <f>VLOOKUP(A40,'Orçamento Analítico'!$A:$H,8,0)</f>
        <v>72.31</v>
      </c>
      <c r="H40" s="162">
        <f>TRUNC(F40 * G40, 2)</f>
        <v>6074.04</v>
      </c>
    </row>
    <row r="41" spans="1:8" s="149" customFormat="1" ht="22.5" x14ac:dyDescent="0.2">
      <c r="A41" s="158" t="s">
        <v>87</v>
      </c>
      <c r="B41" s="159" t="s">
        <v>88</v>
      </c>
      <c r="C41" s="159" t="s">
        <v>14</v>
      </c>
      <c r="D41" s="160" t="s">
        <v>89</v>
      </c>
      <c r="E41" s="159" t="s">
        <v>77</v>
      </c>
      <c r="F41" s="161">
        <v>3</v>
      </c>
      <c r="G41" s="162">
        <f>VLOOKUP(A41,'Orçamento Analítico'!$A:$H,8,0)</f>
        <v>47.22</v>
      </c>
      <c r="H41" s="162">
        <f>TRUNC(F41 * G41, 2)</f>
        <v>141.66</v>
      </c>
    </row>
    <row r="42" spans="1:8" s="149" customFormat="1" ht="22.5" x14ac:dyDescent="0.2">
      <c r="A42" s="158" t="s">
        <v>90</v>
      </c>
      <c r="B42" s="159" t="s">
        <v>91</v>
      </c>
      <c r="C42" s="159" t="s">
        <v>14</v>
      </c>
      <c r="D42" s="160" t="s">
        <v>92</v>
      </c>
      <c r="E42" s="159" t="s">
        <v>77</v>
      </c>
      <c r="F42" s="161">
        <v>10</v>
      </c>
      <c r="G42" s="162">
        <f>VLOOKUP(A42,'Orçamento Analítico'!$A:$H,8,0)</f>
        <v>37.5</v>
      </c>
      <c r="H42" s="162">
        <f>TRUNC(F42 * G42, 2)</f>
        <v>375</v>
      </c>
    </row>
    <row r="43" spans="1:8" s="149" customFormat="1" ht="22.5" x14ac:dyDescent="0.2">
      <c r="A43" s="158" t="s">
        <v>93</v>
      </c>
      <c r="B43" s="159" t="s">
        <v>94</v>
      </c>
      <c r="C43" s="159" t="str">
        <f>VLOOKUP(B43,'Insumos e Serviços'!$A:$F,2,0)</f>
        <v>SINAPI</v>
      </c>
      <c r="D43" s="160" t="str">
        <f>VLOOKUP(B43,'Insumos e Serviços'!$A:$F,4,0)</f>
        <v>CABO DE COBRE FLEXÍVEL ISOLADO, 4 MM², ANTI-CHAMA 0,6/1,0 KV, PARA CIRCUITOS TERMINAIS - FORNECIMENTO E INSTALAÇÃO. AF_12/2015</v>
      </c>
      <c r="E43" s="159" t="str">
        <f>VLOOKUP(B43,'Insumos e Serviços'!$A:$F,5,0)</f>
        <v>M</v>
      </c>
      <c r="F43" s="161">
        <v>385</v>
      </c>
      <c r="G43" s="162">
        <f>VLOOKUP(B43,'Insumos e Serviços'!$A:$F,6,0)</f>
        <v>7.6</v>
      </c>
      <c r="H43" s="162">
        <f t="shared" ref="H39:H45" si="0">TRUNC(F43 * G43, 2)</f>
        <v>2926</v>
      </c>
    </row>
    <row r="44" spans="1:8" s="149" customFormat="1" ht="22.5" x14ac:dyDescent="0.2">
      <c r="A44" s="158" t="s">
        <v>96</v>
      </c>
      <c r="B44" s="159" t="s">
        <v>97</v>
      </c>
      <c r="C44" s="159" t="str">
        <f>VLOOKUP(B44,'Insumos e Serviços'!$A:$F,2,0)</f>
        <v>SINAPI</v>
      </c>
      <c r="D44" s="160" t="str">
        <f>VLOOKUP(B44,'Insumos e Serviços'!$A:$F,4,0)</f>
        <v>CABO DE COBRE FLEXÍVEL ISOLADO, 6 MM², ANTI-CHAMA 0,6/1,0 KV, PARA CIRCUITOS TERMINAIS - FORNECIMENTO E INSTALAÇÃO. AF_12/2015</v>
      </c>
      <c r="E44" s="159" t="str">
        <f>VLOOKUP(B44,'Insumos e Serviços'!$A:$F,5,0)</f>
        <v>M</v>
      </c>
      <c r="F44" s="161">
        <v>563</v>
      </c>
      <c r="G44" s="162">
        <f>VLOOKUP(B44,'Insumos e Serviços'!$A:$F,6,0)</f>
        <v>10.28</v>
      </c>
      <c r="H44" s="162">
        <f t="shared" si="0"/>
        <v>5787.64</v>
      </c>
    </row>
    <row r="45" spans="1:8" s="152" customFormat="1" ht="33.75" x14ac:dyDescent="0.2">
      <c r="A45" s="158" t="s">
        <v>99</v>
      </c>
      <c r="B45" s="159" t="s">
        <v>100</v>
      </c>
      <c r="C45" s="159" t="str">
        <f>VLOOKUP(B45,'Insumos e Serviços'!$A:$F,2,0)</f>
        <v>SINAPI</v>
      </c>
      <c r="D45" s="160" t="str">
        <f>VLOOKUP(B45,'Insumos e Serviços'!$A:$F,4,0)</f>
        <v>FIXAÇÃO DE TUBOS HORIZONTAIS DE PVC, CPVC OU COBRE DIÂMETROS MAIORES QUE 40 MM E MENORES OU IGUAIS A 75 MM COM ABRAÇADEIRA METÁLICA FLEXÍVEL 18 MM, FIXADA DIRETAMENTE NA LAJE. AF_05/2015</v>
      </c>
      <c r="E45" s="159" t="str">
        <f>VLOOKUP(B45,'Insumos e Serviços'!$A:$F,5,0)</f>
        <v>M</v>
      </c>
      <c r="F45" s="161">
        <v>116</v>
      </c>
      <c r="G45" s="162">
        <f>VLOOKUP(B45,'Insumos e Serviços'!$A:$F,6,0)</f>
        <v>5.09</v>
      </c>
      <c r="H45" s="162">
        <f t="shared" si="0"/>
        <v>590.44000000000005</v>
      </c>
    </row>
    <row r="46" spans="1:8" s="150" customFormat="1" ht="15" x14ac:dyDescent="0.25">
      <c r="A46" s="156" t="s">
        <v>102</v>
      </c>
      <c r="B46" s="156"/>
      <c r="C46" s="156"/>
      <c r="D46" s="156" t="s">
        <v>103</v>
      </c>
      <c r="E46" s="156"/>
      <c r="F46" s="157"/>
      <c r="G46" s="156"/>
      <c r="H46" s="157">
        <f>H47</f>
        <v>258888.64</v>
      </c>
    </row>
    <row r="47" spans="1:8" s="150" customFormat="1" ht="15" x14ac:dyDescent="0.25">
      <c r="A47" s="4" t="s">
        <v>104</v>
      </c>
      <c r="B47" s="4"/>
      <c r="C47" s="4"/>
      <c r="D47" s="4" t="s">
        <v>105</v>
      </c>
      <c r="E47" s="4"/>
      <c r="F47" s="5"/>
      <c r="G47" s="4"/>
      <c r="H47" s="6">
        <f>H48+H51+H56+H58</f>
        <v>258888.64</v>
      </c>
    </row>
    <row r="48" spans="1:8" s="151" customFormat="1" ht="15" x14ac:dyDescent="0.25">
      <c r="A48" s="60" t="s">
        <v>106</v>
      </c>
      <c r="B48" s="60"/>
      <c r="C48" s="60"/>
      <c r="D48" s="60" t="s">
        <v>107</v>
      </c>
      <c r="E48" s="60"/>
      <c r="F48" s="61"/>
      <c r="G48" s="60"/>
      <c r="H48" s="62">
        <f>SUM(H49:H50)</f>
        <v>174022.86000000002</v>
      </c>
    </row>
    <row r="49" spans="1:8" s="149" customFormat="1" ht="101.25" x14ac:dyDescent="0.2">
      <c r="A49" s="158" t="s">
        <v>108</v>
      </c>
      <c r="B49" s="159" t="s">
        <v>109</v>
      </c>
      <c r="C49" s="159" t="s">
        <v>14</v>
      </c>
      <c r="D49" s="160" t="s">
        <v>110</v>
      </c>
      <c r="E49" s="159" t="s">
        <v>72</v>
      </c>
      <c r="F49" s="161">
        <v>2</v>
      </c>
      <c r="G49" s="162">
        <f>VLOOKUP(A49,'Orçamento Analítico'!$A:$H,8,0)</f>
        <v>73189.27</v>
      </c>
      <c r="H49" s="162">
        <f t="shared" ref="H49:H50" si="1">TRUNC(F49 * G49, 2)</f>
        <v>146378.54</v>
      </c>
    </row>
    <row r="50" spans="1:8" s="149" customFormat="1" ht="78.75" x14ac:dyDescent="0.2">
      <c r="A50" s="158" t="s">
        <v>111</v>
      </c>
      <c r="B50" s="159" t="s">
        <v>112</v>
      </c>
      <c r="C50" s="159" t="s">
        <v>14</v>
      </c>
      <c r="D50" s="160" t="s">
        <v>113</v>
      </c>
      <c r="E50" s="159" t="s">
        <v>72</v>
      </c>
      <c r="F50" s="161">
        <v>2</v>
      </c>
      <c r="G50" s="162">
        <f>VLOOKUP(A50,'Orçamento Analítico'!$A:$H,8,0)</f>
        <v>13822.16</v>
      </c>
      <c r="H50" s="162">
        <f t="shared" si="1"/>
        <v>27644.32</v>
      </c>
    </row>
    <row r="51" spans="1:8" s="151" customFormat="1" ht="15" x14ac:dyDescent="0.25">
      <c r="A51" s="60" t="s">
        <v>114</v>
      </c>
      <c r="B51" s="60"/>
      <c r="C51" s="60"/>
      <c r="D51" s="60" t="s">
        <v>115</v>
      </c>
      <c r="E51" s="60"/>
      <c r="F51" s="61"/>
      <c r="G51" s="60"/>
      <c r="H51" s="62">
        <f>SUM(H52:H55)</f>
        <v>48273.2</v>
      </c>
    </row>
    <row r="52" spans="1:8" s="149" customFormat="1" ht="33.75" x14ac:dyDescent="0.2">
      <c r="A52" s="158" t="s">
        <v>116</v>
      </c>
      <c r="B52" s="159" t="s">
        <v>117</v>
      </c>
      <c r="C52" s="159" t="s">
        <v>14</v>
      </c>
      <c r="D52" s="160" t="s">
        <v>118</v>
      </c>
      <c r="E52" s="159" t="s">
        <v>72</v>
      </c>
      <c r="F52" s="161">
        <v>4</v>
      </c>
      <c r="G52" s="162">
        <f>VLOOKUP(A52,'Orçamento Analítico'!$A:$H,8,0)</f>
        <v>1087.47</v>
      </c>
      <c r="H52" s="162">
        <f t="shared" ref="H52:H55" si="2">TRUNC(F52 * G52, 2)</f>
        <v>4349.88</v>
      </c>
    </row>
    <row r="53" spans="1:8" s="149" customFormat="1" ht="33.75" x14ac:dyDescent="0.2">
      <c r="A53" s="158" t="s">
        <v>119</v>
      </c>
      <c r="B53" s="159" t="s">
        <v>120</v>
      </c>
      <c r="C53" s="159" t="s">
        <v>14</v>
      </c>
      <c r="D53" s="160" t="s">
        <v>121</v>
      </c>
      <c r="E53" s="159" t="s">
        <v>72</v>
      </c>
      <c r="F53" s="161">
        <v>4</v>
      </c>
      <c r="G53" s="162">
        <f>VLOOKUP(A53,'Orçamento Analítico'!$A:$H,8,0)</f>
        <v>1145.03</v>
      </c>
      <c r="H53" s="162">
        <f t="shared" si="2"/>
        <v>4580.12</v>
      </c>
    </row>
    <row r="54" spans="1:8" s="149" customFormat="1" ht="33.75" x14ac:dyDescent="0.2">
      <c r="A54" s="158" t="s">
        <v>122</v>
      </c>
      <c r="B54" s="159" t="s">
        <v>123</v>
      </c>
      <c r="C54" s="159" t="s">
        <v>14</v>
      </c>
      <c r="D54" s="160" t="s">
        <v>124</v>
      </c>
      <c r="E54" s="159" t="s">
        <v>25</v>
      </c>
      <c r="F54" s="161">
        <v>97</v>
      </c>
      <c r="G54" s="162">
        <f>VLOOKUP(A54,'Orçamento Analítico'!$A:$H,8,0)</f>
        <v>272.95</v>
      </c>
      <c r="H54" s="162">
        <f t="shared" si="2"/>
        <v>26476.15</v>
      </c>
    </row>
    <row r="55" spans="1:8" s="149" customFormat="1" ht="112.5" x14ac:dyDescent="0.2">
      <c r="A55" s="158" t="s">
        <v>125</v>
      </c>
      <c r="B55" s="159" t="s">
        <v>126</v>
      </c>
      <c r="C55" s="159" t="s">
        <v>14</v>
      </c>
      <c r="D55" s="160" t="s">
        <v>127</v>
      </c>
      <c r="E55" s="159" t="s">
        <v>25</v>
      </c>
      <c r="F55" s="161">
        <v>97</v>
      </c>
      <c r="G55" s="162">
        <f>VLOOKUP(A55,'Orçamento Analítico'!$A:$H,8,0)</f>
        <v>132.65</v>
      </c>
      <c r="H55" s="162">
        <f t="shared" si="2"/>
        <v>12867.05</v>
      </c>
    </row>
    <row r="56" spans="1:8" s="151" customFormat="1" ht="15" x14ac:dyDescent="0.25">
      <c r="A56" s="60" t="s">
        <v>128</v>
      </c>
      <c r="B56" s="60"/>
      <c r="C56" s="60"/>
      <c r="D56" s="60" t="s">
        <v>129</v>
      </c>
      <c r="E56" s="60"/>
      <c r="F56" s="61"/>
      <c r="G56" s="60"/>
      <c r="H56" s="62">
        <f>H57</f>
        <v>239.94</v>
      </c>
    </row>
    <row r="57" spans="1:8" s="149" customFormat="1" ht="45" x14ac:dyDescent="0.2">
      <c r="A57" s="158" t="s">
        <v>130</v>
      </c>
      <c r="B57" s="159" t="s">
        <v>131</v>
      </c>
      <c r="C57" s="159" t="str">
        <f>VLOOKUP(B57,'Insumos e Serviços'!$A:$F,2,0)</f>
        <v>SINAPI</v>
      </c>
      <c r="D57" s="160" t="str">
        <f>VLOOKUP(B57,'Insumos e Serviços'!$A:$F,4,0)</f>
        <v>(COMPOSIÇÃO REPRESENTATIVA) DO SERVIÇO DE INSTALAÇÃO DE TUBOS DE PVC, SOLDÁVEL, ÁGUA FRIA, DN 25 MM (INSTALADO EM RAMAL, SUB-RAMAL, RAMAL DE DISTRIBUIÇÃO OU PRUMADA), INCLUSIVE CONEXÕES, CORTES E FIXAÇÕES, PARA PRÉDIOS. AF_10/2015</v>
      </c>
      <c r="E57" s="159" t="str">
        <f>VLOOKUP(B57,'Insumos e Serviços'!$A:$F,5,0)</f>
        <v>M</v>
      </c>
      <c r="F57" s="161">
        <v>6</v>
      </c>
      <c r="G57" s="162">
        <f>VLOOKUP(B57,'Insumos e Serviços'!$A:$F,6,0)</f>
        <v>39.99</v>
      </c>
      <c r="H57" s="162">
        <f>TRUNC(F57 * G57, 2)</f>
        <v>239.94</v>
      </c>
    </row>
    <row r="58" spans="1:8" s="151" customFormat="1" ht="15" x14ac:dyDescent="0.25">
      <c r="A58" s="60" t="s">
        <v>133</v>
      </c>
      <c r="B58" s="60"/>
      <c r="C58" s="60"/>
      <c r="D58" s="60" t="s">
        <v>134</v>
      </c>
      <c r="E58" s="60"/>
      <c r="F58" s="61"/>
      <c r="G58" s="60"/>
      <c r="H58" s="62">
        <f>SUM(H59:H61)</f>
        <v>36352.639999999999</v>
      </c>
    </row>
    <row r="59" spans="1:8" s="149" customFormat="1" ht="22.5" x14ac:dyDescent="0.2">
      <c r="A59" s="158" t="s">
        <v>135</v>
      </c>
      <c r="B59" s="159" t="s">
        <v>136</v>
      </c>
      <c r="C59" s="159" t="str">
        <f>VLOOKUP(B59,'Insumos e Serviços'!$A:$F,2,0)</f>
        <v>SINAPI</v>
      </c>
      <c r="D59" s="160" t="str">
        <f>VLOOKUP(B59,'Insumos e Serviços'!$A:$F,4,0)</f>
        <v>TUBO EM COBRE RÍGIDO, DN 22 MM, CLASSE E, COM ISOLAMENTO, INSTALADO EM RAMAL E SUB-RAMAL  FORNECIMENTO E INSTALAÇÃO. AF_12/2015</v>
      </c>
      <c r="E59" s="159" t="str">
        <f>VLOOKUP(B59,'Insumos e Serviços'!$A:$F,5,0)</f>
        <v>M</v>
      </c>
      <c r="F59" s="161">
        <v>85</v>
      </c>
      <c r="G59" s="162">
        <f>VLOOKUP(B59,'Insumos e Serviços'!$A:$F,6,0)</f>
        <v>157.16999999999999</v>
      </c>
      <c r="H59" s="162">
        <f t="shared" ref="H59:H60" si="3">TRUNC(F59 * G59, 2)</f>
        <v>13359.45</v>
      </c>
    </row>
    <row r="60" spans="1:8" s="149" customFormat="1" ht="22.5" x14ac:dyDescent="0.2">
      <c r="A60" s="158" t="s">
        <v>138</v>
      </c>
      <c r="B60" s="159" t="s">
        <v>139</v>
      </c>
      <c r="C60" s="159" t="str">
        <f>VLOOKUP(B60,'Insumos e Serviços'!$A:$F,2,0)</f>
        <v>SINAPI</v>
      </c>
      <c r="D60" s="160" t="str">
        <f>VLOOKUP(B60,'Insumos e Serviços'!$A:$F,4,0)</f>
        <v>TUBO EM COBRE RÍGIDO, DN 35 MM, CLASSE E, COM ISOLAMENTO, INSTALADO EM PRUMADA  FORNECIMENTO E INSTALAÇÃO. AF_12/2015</v>
      </c>
      <c r="E60" s="159" t="str">
        <f>VLOOKUP(B60,'Insumos e Serviços'!$A:$F,5,0)</f>
        <v>M</v>
      </c>
      <c r="F60" s="161">
        <v>84</v>
      </c>
      <c r="G60" s="162">
        <f>VLOOKUP(B60,'Insumos e Serviços'!$A:$F,6,0)</f>
        <v>209.37</v>
      </c>
      <c r="H60" s="162">
        <f t="shared" si="3"/>
        <v>17587.080000000002</v>
      </c>
    </row>
    <row r="61" spans="1:8" s="149" customFormat="1" ht="33.75" x14ac:dyDescent="0.2">
      <c r="A61" s="158" t="s">
        <v>141</v>
      </c>
      <c r="B61" s="159" t="s">
        <v>142</v>
      </c>
      <c r="C61" s="159" t="s">
        <v>14</v>
      </c>
      <c r="D61" s="160" t="s">
        <v>143</v>
      </c>
      <c r="E61" s="159" t="s">
        <v>72</v>
      </c>
      <c r="F61" s="161">
        <v>1</v>
      </c>
      <c r="G61" s="162">
        <f>VLOOKUP(A61,'Orçamento Analítico'!$A:$H,8,0)</f>
        <v>5406.11</v>
      </c>
      <c r="H61" s="162">
        <f>TRUNC(F61 * G61, 2)</f>
        <v>5406.11</v>
      </c>
    </row>
    <row r="62" spans="1:8" s="149" customFormat="1" ht="14.25" x14ac:dyDescent="0.2">
      <c r="A62" s="156" t="s">
        <v>158</v>
      </c>
      <c r="B62" s="156"/>
      <c r="C62" s="156"/>
      <c r="D62" s="156" t="s">
        <v>155</v>
      </c>
      <c r="E62" s="156"/>
      <c r="F62" s="157"/>
      <c r="G62" s="156"/>
      <c r="H62" s="157">
        <f>H63</f>
        <v>193.2</v>
      </c>
    </row>
    <row r="63" spans="1:8" s="150" customFormat="1" ht="15" x14ac:dyDescent="0.25">
      <c r="A63" s="4" t="s">
        <v>144</v>
      </c>
      <c r="B63" s="4"/>
      <c r="C63" s="4"/>
      <c r="D63" s="4" t="s">
        <v>145</v>
      </c>
      <c r="E63" s="4"/>
      <c r="F63" s="5"/>
      <c r="G63" s="4"/>
      <c r="H63" s="6">
        <f>SUM(H64:H65)</f>
        <v>193.2</v>
      </c>
    </row>
    <row r="64" spans="1:8" s="149" customFormat="1" ht="14.25" x14ac:dyDescent="0.2">
      <c r="A64" s="158" t="s">
        <v>146</v>
      </c>
      <c r="B64" s="159" t="s">
        <v>147</v>
      </c>
      <c r="C64" s="159" t="str">
        <f>VLOOKUP(B64,'Insumos e Serviços'!$A:$F,2,0)</f>
        <v>SINAPI</v>
      </c>
      <c r="D64" s="160" t="str">
        <f>VLOOKUP(B64,'Insumos e Serviços'!$A:$F,4,0)</f>
        <v>LIMPEZA DE CONTRAPISO COM VASSOURA A SECO. AF_04/2019</v>
      </c>
      <c r="E64" s="159" t="str">
        <f>VLOOKUP(B64,'Insumos e Serviços'!$A:$F,5,0)</f>
        <v>m²</v>
      </c>
      <c r="F64" s="161">
        <v>42</v>
      </c>
      <c r="G64" s="162">
        <f>VLOOKUP(B64,'Insumos e Serviços'!$A:$F,6,0)</f>
        <v>2.9</v>
      </c>
      <c r="H64" s="162">
        <f t="shared" ref="H64:H65" si="4">TRUNC(F64 * G64, 2)</f>
        <v>121.8</v>
      </c>
    </row>
    <row r="65" spans="1:8" s="149" customFormat="1" ht="14.25" x14ac:dyDescent="0.2">
      <c r="A65" s="158" t="s">
        <v>149</v>
      </c>
      <c r="B65" s="159" t="s">
        <v>150</v>
      </c>
      <c r="C65" s="159" t="str">
        <f>VLOOKUP(B65,'Insumos e Serviços'!$A:$F,2,0)</f>
        <v>SINAPI</v>
      </c>
      <c r="D65" s="160" t="str">
        <f>VLOOKUP(B65,'Insumos e Serviços'!$A:$F,4,0)</f>
        <v>LIMPEZA DE PISO CERÂMICO OU PORCELANATO COM PANO ÚMIDO. AF_04/2019</v>
      </c>
      <c r="E65" s="159" t="str">
        <f>VLOOKUP(B65,'Insumos e Serviços'!$A:$F,5,0)</f>
        <v>m²</v>
      </c>
      <c r="F65" s="161">
        <v>42</v>
      </c>
      <c r="G65" s="162">
        <f>VLOOKUP(B65,'Insumos e Serviços'!$A:$F,6,0)</f>
        <v>1.7</v>
      </c>
      <c r="H65" s="162">
        <f t="shared" si="4"/>
        <v>71.400000000000006</v>
      </c>
    </row>
    <row r="66" spans="1:8" s="149" customFormat="1" ht="14.25" x14ac:dyDescent="0.2">
      <c r="A66" s="156" t="s">
        <v>403</v>
      </c>
      <c r="B66" s="156"/>
      <c r="C66" s="156"/>
      <c r="D66" s="156" t="s">
        <v>401</v>
      </c>
      <c r="E66" s="156"/>
      <c r="F66" s="157"/>
      <c r="G66" s="156"/>
      <c r="H66" s="157">
        <f>H67</f>
        <v>14891.85</v>
      </c>
    </row>
    <row r="67" spans="1:8" s="150" customFormat="1" ht="15" x14ac:dyDescent="0.25">
      <c r="A67" s="4" t="s">
        <v>331</v>
      </c>
      <c r="B67" s="4"/>
      <c r="C67" s="4"/>
      <c r="D67" s="4" t="s">
        <v>400</v>
      </c>
      <c r="E67" s="4"/>
      <c r="F67" s="5"/>
      <c r="G67" s="4"/>
      <c r="H67" s="6">
        <f>H68</f>
        <v>14891.85</v>
      </c>
    </row>
    <row r="68" spans="1:8" s="149" customFormat="1" ht="14.25" x14ac:dyDescent="0.2">
      <c r="A68" s="158" t="s">
        <v>404</v>
      </c>
      <c r="B68" s="159" t="s">
        <v>175</v>
      </c>
      <c r="C68" s="159" t="str">
        <f>VLOOKUP(B68,'Insumos e Serviços'!$A:$F,2,0)</f>
        <v>SINAPI</v>
      </c>
      <c r="D68" s="160" t="str">
        <f>VLOOKUP(B68,'Insumos e Serviços'!$A:$F,4,0)</f>
        <v>ENGENHEIRO ELETRICISTA COM ENCARGOS COMPLEMENTARES</v>
      </c>
      <c r="E68" s="159" t="str">
        <f>VLOOKUP(B68,'Insumos e Serviços'!$A:$F,5,0)</f>
        <v>H</v>
      </c>
      <c r="F68" s="161">
        <v>135</v>
      </c>
      <c r="G68" s="162">
        <f>VLOOKUP(B68,'Insumos e Serviços'!$A:$F,6,0)</f>
        <v>110.31</v>
      </c>
      <c r="H68" s="162">
        <f>TRUNC(F68 * G68, 2)</f>
        <v>14891.85</v>
      </c>
    </row>
    <row r="69" spans="1:8" s="149" customFormat="1" ht="14.25" x14ac:dyDescent="0.2">
      <c r="A69" s="55"/>
      <c r="B69" s="56"/>
      <c r="C69" s="55"/>
      <c r="D69" s="55"/>
      <c r="E69" s="57"/>
      <c r="F69" s="56"/>
      <c r="G69" s="58"/>
      <c r="H69" s="58"/>
    </row>
    <row r="70" spans="1:8" s="149" customFormat="1" ht="14.25" x14ac:dyDescent="0.2">
      <c r="A70" s="200" t="s">
        <v>165</v>
      </c>
      <c r="B70" s="201">
        <f>1-B71</f>
        <v>0.5</v>
      </c>
      <c r="C70" s="202"/>
      <c r="D70" s="203" t="s">
        <v>152</v>
      </c>
      <c r="E70" s="203"/>
      <c r="F70" s="204"/>
      <c r="G70" s="205">
        <f>H9+H12+H23+H31+H46+H62+H66</f>
        <v>368790.19</v>
      </c>
      <c r="H70" s="205"/>
    </row>
    <row r="71" spans="1:8" s="149" customFormat="1" ht="14.25" x14ac:dyDescent="0.2">
      <c r="A71" s="206" t="s">
        <v>228</v>
      </c>
      <c r="B71" s="207">
        <v>0.5</v>
      </c>
      <c r="C71" s="202"/>
      <c r="D71" s="202" t="s">
        <v>153</v>
      </c>
      <c r="E71" s="202" t="str">
        <f>CONCATENATE("(",'Composição de BDI'!$D$23*100,"%)")</f>
        <v>(22,12%)</v>
      </c>
      <c r="F71" s="204"/>
      <c r="G71" s="205">
        <f>TRUNC(G70*'Composição de BDI'!D23,2)</f>
        <v>81576.39</v>
      </c>
      <c r="H71" s="205"/>
    </row>
    <row r="72" spans="1:8" s="149" customFormat="1" ht="14.25" x14ac:dyDescent="0.2">
      <c r="A72" s="208"/>
      <c r="B72" s="209"/>
      <c r="C72" s="202"/>
      <c r="D72" s="203" t="s">
        <v>154</v>
      </c>
      <c r="E72" s="203"/>
      <c r="F72" s="204"/>
      <c r="G72" s="205">
        <f>G70+G71</f>
        <v>450366.58</v>
      </c>
      <c r="H72" s="205"/>
    </row>
  </sheetData>
  <mergeCells count="20">
    <mergeCell ref="G71:H71"/>
    <mergeCell ref="G72:H72"/>
    <mergeCell ref="C6:D6"/>
    <mergeCell ref="E6:F6"/>
    <mergeCell ref="G6:H6"/>
    <mergeCell ref="A2:B2"/>
    <mergeCell ref="E2:F2"/>
    <mergeCell ref="G2:H2"/>
    <mergeCell ref="A3:B3"/>
    <mergeCell ref="C3:D3"/>
    <mergeCell ref="A4:B4"/>
    <mergeCell ref="C4:D4"/>
    <mergeCell ref="E4:F4"/>
    <mergeCell ref="G4:H4"/>
    <mergeCell ref="G70:H70"/>
    <mergeCell ref="G1:H1"/>
    <mergeCell ref="A7:H7"/>
    <mergeCell ref="A71:A72"/>
    <mergeCell ref="B71:B72"/>
    <mergeCell ref="A6:B6"/>
  </mergeCells>
  <printOptions horizontalCentered="1"/>
  <pageMargins left="0.59055118110236227" right="0.59055118110236227" top="0.59055118110236227" bottom="0.59055118110236227" header="0.19685039370078741" footer="0.19685039370078741"/>
  <pageSetup paperSize="9" scale="59" fitToHeight="0" orientation="portrait" r:id="rId1"/>
  <headerFooter>
    <oddHeader>&amp;L &amp;C &amp;R</oddHeader>
    <oddFooter>&amp;L &amp;C &amp;R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14BFB-6D5E-4285-B0D0-7C7B5480B4A4}">
  <sheetPr>
    <pageSetUpPr fitToPage="1"/>
  </sheetPr>
  <dimension ref="A1:H106"/>
  <sheetViews>
    <sheetView showGridLines="0" zoomScaleNormal="100" zoomScaleSheetLayoutView="100" workbookViewId="0"/>
  </sheetViews>
  <sheetFormatPr defaultRowHeight="14.25" x14ac:dyDescent="0.2"/>
  <cols>
    <col min="1" max="2" width="10" style="149" customWidth="1"/>
    <col min="3" max="3" width="13.25" style="149" customWidth="1"/>
    <col min="4" max="4" width="60" style="149" customWidth="1"/>
    <col min="5" max="5" width="8" style="149" customWidth="1"/>
    <col min="6" max="8" width="13" style="149" customWidth="1"/>
    <col min="9" max="16384" width="9" style="149"/>
  </cols>
  <sheetData>
    <row r="1" spans="1:8" x14ac:dyDescent="0.2">
      <c r="A1" s="118" t="str">
        <f>'Orçamento Sintético'!A1</f>
        <v>P. Execução:</v>
      </c>
      <c r="B1" s="129"/>
      <c r="C1" s="118" t="str">
        <f>'Orçamento Sintético'!C1</f>
        <v>Licitação:</v>
      </c>
      <c r="D1" s="119" t="str">
        <f>'Orçamento Sintético'!D1</f>
        <v>Objeto: Implantação de sistema VRF no auditório ed. Sede</v>
      </c>
      <c r="E1" s="118" t="str">
        <f>'Orçamento Sintético'!E1</f>
        <v>Data:</v>
      </c>
      <c r="F1" s="171"/>
      <c r="G1" s="163"/>
      <c r="H1" s="132"/>
    </row>
    <row r="2" spans="1:8" x14ac:dyDescent="0.2">
      <c r="A2" s="133" t="str">
        <f>'Orçamento Sintético'!A2:B2</f>
        <v>A</v>
      </c>
      <c r="B2" s="134"/>
      <c r="C2" s="124" t="str">
        <f>'Orçamento Sintético'!C2</f>
        <v>B</v>
      </c>
      <c r="D2" s="123" t="str">
        <f>'Orçamento Sintético'!D2</f>
        <v>Local: Praça do Buriti Bloco A, Lote 2 - Zona Cívico-Administrativa - Brasília / DF</v>
      </c>
      <c r="E2" s="164">
        <f>'Orçamento Sintético'!E2:F2</f>
        <v>1</v>
      </c>
      <c r="F2" s="165"/>
      <c r="G2" s="137"/>
      <c r="H2" s="138"/>
    </row>
    <row r="3" spans="1:8" x14ac:dyDescent="0.2">
      <c r="A3" s="126" t="str">
        <f>'Orçamento Sintético'!A3</f>
        <v>P. Validade:</v>
      </c>
      <c r="B3" s="129"/>
      <c r="C3" s="126" t="str">
        <f>'Orçamento Sintético'!C3</f>
        <v>Razão Social:</v>
      </c>
      <c r="D3" s="129"/>
      <c r="E3" s="118" t="str">
        <f>'Orçamento Sintético'!E3</f>
        <v>Telefone:</v>
      </c>
      <c r="F3" s="171"/>
      <c r="G3" s="142"/>
      <c r="H3" s="143"/>
    </row>
    <row r="4" spans="1:8" x14ac:dyDescent="0.2">
      <c r="A4" s="133" t="str">
        <f>'Orçamento Sintético'!A4:B4</f>
        <v>C</v>
      </c>
      <c r="B4" s="134"/>
      <c r="C4" s="133" t="str">
        <f>'Orçamento Sintético'!C4:D4</f>
        <v>D</v>
      </c>
      <c r="D4" s="134"/>
      <c r="E4" s="133" t="str">
        <f>'Orçamento Sintético'!E4:F4</f>
        <v>E</v>
      </c>
      <c r="F4" s="134"/>
      <c r="G4" s="137"/>
      <c r="H4" s="138"/>
    </row>
    <row r="5" spans="1:8" x14ac:dyDescent="0.2">
      <c r="A5" s="118" t="str">
        <f>'Orçamento Sintético'!A5</f>
        <v>P. Garantia:</v>
      </c>
      <c r="B5" s="129"/>
      <c r="C5" s="118" t="str">
        <f>'Orçamento Sintético'!C5</f>
        <v>CNPJ:</v>
      </c>
      <c r="D5" s="129"/>
      <c r="E5" s="118" t="str">
        <f>'Orçamento Sintético'!E5</f>
        <v>E-mail:</v>
      </c>
      <c r="F5" s="171"/>
      <c r="G5" s="142"/>
      <c r="H5" s="143"/>
    </row>
    <row r="6" spans="1:8" x14ac:dyDescent="0.2">
      <c r="A6" s="133" t="str">
        <f>'Orçamento Sintético'!A6:B6</f>
        <v>F</v>
      </c>
      <c r="B6" s="134"/>
      <c r="C6" s="133" t="str">
        <f>'Orçamento Sintético'!C6:D6</f>
        <v>G</v>
      </c>
      <c r="D6" s="134"/>
      <c r="E6" s="133" t="str">
        <f>'Orçamento Sintético'!E6:F6</f>
        <v>H</v>
      </c>
      <c r="F6" s="134"/>
      <c r="G6" s="147"/>
      <c r="H6" s="148"/>
    </row>
    <row r="7" spans="1:8" ht="15" x14ac:dyDescent="0.25">
      <c r="A7" s="93" t="s">
        <v>159</v>
      </c>
      <c r="B7" s="169"/>
      <c r="C7" s="169"/>
      <c r="D7" s="169"/>
      <c r="E7" s="169"/>
      <c r="F7" s="169"/>
      <c r="G7" s="169"/>
      <c r="H7" s="169"/>
    </row>
    <row r="8" spans="1:8" x14ac:dyDescent="0.2">
      <c r="A8" s="176" t="s">
        <v>0</v>
      </c>
      <c r="B8" s="176" t="s">
        <v>1</v>
      </c>
      <c r="C8" s="176" t="s">
        <v>2</v>
      </c>
      <c r="D8" s="176" t="s">
        <v>3</v>
      </c>
      <c r="E8" s="176" t="s">
        <v>4</v>
      </c>
      <c r="F8" s="177" t="s">
        <v>5</v>
      </c>
      <c r="G8" s="176" t="s">
        <v>6</v>
      </c>
      <c r="H8" s="176" t="s">
        <v>7</v>
      </c>
    </row>
    <row r="9" spans="1:8" x14ac:dyDescent="0.2">
      <c r="A9" s="178" t="s">
        <v>8</v>
      </c>
      <c r="B9" s="178"/>
      <c r="C9" s="178"/>
      <c r="D9" s="179" t="s">
        <v>9</v>
      </c>
      <c r="E9" s="178"/>
      <c r="F9" s="180"/>
      <c r="G9" s="178"/>
      <c r="H9" s="181"/>
    </row>
    <row r="10" spans="1:8" x14ac:dyDescent="0.2">
      <c r="A10" s="154" t="s">
        <v>10</v>
      </c>
      <c r="B10" s="154"/>
      <c r="C10" s="154"/>
      <c r="D10" s="182" t="s">
        <v>11</v>
      </c>
      <c r="E10" s="154"/>
      <c r="F10" s="155"/>
      <c r="G10" s="155"/>
      <c r="H10" s="155"/>
    </row>
    <row r="11" spans="1:8" x14ac:dyDescent="0.2">
      <c r="A11" s="172" t="s">
        <v>12</v>
      </c>
      <c r="B11" s="183" t="str">
        <f>VLOOKUP(A11,'Orçamento Sintético'!$A:$H,2,0)</f>
        <v xml:space="preserve"> MPDFT0009 </v>
      </c>
      <c r="C11" s="183" t="str">
        <f>VLOOKUP(A11,'Orçamento Sintético'!$A:$H,3,0)</f>
        <v>Próprio</v>
      </c>
      <c r="D11" s="184" t="str">
        <f>VLOOKUP(A11,'Orçamento Sintético'!$A:$H,4,0)</f>
        <v>Registro do contrato junto ao conselho de classe (ART)</v>
      </c>
      <c r="E11" s="183" t="str">
        <f>VLOOKUP(A11,'Orçamento Sintético'!$A:$H,5,0)</f>
        <v>vb</v>
      </c>
      <c r="F11" s="173"/>
      <c r="G11" s="174"/>
      <c r="H11" s="175">
        <f>SUM(H12)</f>
        <v>233.94</v>
      </c>
    </row>
    <row r="12" spans="1:8" s="152" customFormat="1" ht="15" thickBot="1" x14ac:dyDescent="0.25">
      <c r="A12" s="185" t="str">
        <f>VLOOKUP(B12,'Insumos e Serviços'!$A:$F,3,0)</f>
        <v>Insumo</v>
      </c>
      <c r="B12" s="186" t="s">
        <v>162</v>
      </c>
      <c r="C12" s="187" t="str">
        <f>VLOOKUP(B12,'Insumos e Serviços'!$A:$F,2,0)</f>
        <v>Próprio</v>
      </c>
      <c r="D12" s="185" t="str">
        <f>VLOOKUP(B12,'Insumos e Serviços'!$A:$F,4,0)</f>
        <v>Anotação de Resposanbilidade Técnica (Faixa 3 - Tabela A - CONFEA)</v>
      </c>
      <c r="E12" s="187" t="str">
        <f>VLOOKUP(B12,'Insumos e Serviços'!$A:$F,5,0)</f>
        <v>vb</v>
      </c>
      <c r="F12" s="188">
        <v>1</v>
      </c>
      <c r="G12" s="189">
        <f>VLOOKUP(B12,'Insumos e Serviços'!$A:$F,6,0)</f>
        <v>233.94</v>
      </c>
      <c r="H12" s="189">
        <f>TRUNC(F12*G12,2)</f>
        <v>233.94</v>
      </c>
    </row>
    <row r="13" spans="1:8" ht="15" thickTop="1" x14ac:dyDescent="0.2">
      <c r="A13" s="190"/>
      <c r="B13" s="190"/>
      <c r="C13" s="190"/>
      <c r="D13" s="191"/>
      <c r="E13" s="190"/>
      <c r="F13" s="190"/>
      <c r="G13" s="190"/>
      <c r="H13" s="190"/>
    </row>
    <row r="14" spans="1:8" x14ac:dyDescent="0.2">
      <c r="A14" s="178" t="s">
        <v>17</v>
      </c>
      <c r="B14" s="178"/>
      <c r="C14" s="178"/>
      <c r="D14" s="179" t="s">
        <v>18</v>
      </c>
      <c r="E14" s="178"/>
      <c r="F14" s="180"/>
      <c r="G14" s="178"/>
      <c r="H14" s="181"/>
    </row>
    <row r="15" spans="1:8" x14ac:dyDescent="0.2">
      <c r="A15" s="192" t="s">
        <v>26</v>
      </c>
      <c r="B15" s="192"/>
      <c r="C15" s="192"/>
      <c r="D15" s="193" t="s">
        <v>27</v>
      </c>
      <c r="E15" s="192"/>
      <c r="F15" s="194"/>
      <c r="G15" s="192"/>
      <c r="H15" s="195"/>
    </row>
    <row r="16" spans="1:8" s="152" customFormat="1" x14ac:dyDescent="0.2">
      <c r="A16" s="196" t="s">
        <v>32</v>
      </c>
      <c r="B16" s="196"/>
      <c r="C16" s="196"/>
      <c r="D16" s="197" t="s">
        <v>33</v>
      </c>
      <c r="E16" s="196"/>
      <c r="F16" s="198"/>
      <c r="G16" s="196"/>
      <c r="H16" s="199"/>
    </row>
    <row r="17" spans="1:8" x14ac:dyDescent="0.2">
      <c r="A17" s="172" t="s">
        <v>34</v>
      </c>
      <c r="B17" s="183" t="str">
        <f>VLOOKUP(A17,'Orçamento Sintético'!$A:$H,2,0)</f>
        <v xml:space="preserve"> MPDFT0894 </v>
      </c>
      <c r="C17" s="183" t="str">
        <f>VLOOKUP(A17,'Orçamento Sintético'!$A:$H,3,0)</f>
        <v>Próprio</v>
      </c>
      <c r="D17" s="184" t="str">
        <f>VLOOKUP(A17,'Orçamento Sintético'!$A:$H,4,0)</f>
        <v>Copia da SIURB (176093) - RETIRADA DE DUTO DE EXAUSTÃO</v>
      </c>
      <c r="E17" s="183" t="str">
        <f>VLOOKUP(A17,'Orçamento Sintético'!$A:$H,5,0)</f>
        <v>M</v>
      </c>
      <c r="F17" s="173"/>
      <c r="G17" s="174"/>
      <c r="H17" s="175">
        <f>SUM(H18:H19)</f>
        <v>12.92</v>
      </c>
    </row>
    <row r="18" spans="1:8" s="152" customFormat="1" x14ac:dyDescent="0.2">
      <c r="A18" s="185" t="str">
        <f>VLOOKUP(B18,'Insumos e Serviços'!$A:$F,3,0)</f>
        <v>Composição</v>
      </c>
      <c r="B18" s="186" t="s">
        <v>166</v>
      </c>
      <c r="C18" s="187" t="str">
        <f>VLOOKUP(B18,'Insumos e Serviços'!$A:$F,2,0)</f>
        <v>SINAPI</v>
      </c>
      <c r="D18" s="185" t="str">
        <f>VLOOKUP(B18,'Insumos e Serviços'!$A:$F,4,0)</f>
        <v>SERRALHEIRO COM ENCARGOS COMPLEMENTARES</v>
      </c>
      <c r="E18" s="187" t="str">
        <f>VLOOKUP(B18,'Insumos e Serviços'!$A:$F,5,0)</f>
        <v>H</v>
      </c>
      <c r="F18" s="188">
        <v>0.3</v>
      </c>
      <c r="G18" s="189">
        <f>VLOOKUP(B18,'Insumos e Serviços'!$A:$F,6,0)</f>
        <v>23.78</v>
      </c>
      <c r="H18" s="189">
        <f t="shared" ref="H18:H19" si="0">TRUNC(F18*G18,2)</f>
        <v>7.13</v>
      </c>
    </row>
    <row r="19" spans="1:8" s="152" customFormat="1" ht="15" thickBot="1" x14ac:dyDescent="0.25">
      <c r="A19" s="185" t="str">
        <f>VLOOKUP(B19,'Insumos e Serviços'!$A:$F,3,0)</f>
        <v>Composição</v>
      </c>
      <c r="B19" s="186" t="s">
        <v>168</v>
      </c>
      <c r="C19" s="187" t="str">
        <f>VLOOKUP(B19,'Insumos e Serviços'!$A:$F,2,0)</f>
        <v>SINAPI</v>
      </c>
      <c r="D19" s="185" t="str">
        <f>VLOOKUP(B19,'Insumos e Serviços'!$A:$F,4,0)</f>
        <v>AUXILIAR DE SERRALHEIRO COM ENCARGOS COMPLEMENTARES</v>
      </c>
      <c r="E19" s="187" t="str">
        <f>VLOOKUP(B19,'Insumos e Serviços'!$A:$F,5,0)</f>
        <v>H</v>
      </c>
      <c r="F19" s="188">
        <v>0.3</v>
      </c>
      <c r="G19" s="189">
        <f>VLOOKUP(B19,'Insumos e Serviços'!$A:$F,6,0)</f>
        <v>19.309999999999999</v>
      </c>
      <c r="H19" s="189">
        <f t="shared" si="0"/>
        <v>5.79</v>
      </c>
    </row>
    <row r="20" spans="1:8" ht="15" thickTop="1" x14ac:dyDescent="0.2">
      <c r="A20" s="190"/>
      <c r="B20" s="190"/>
      <c r="C20" s="190"/>
      <c r="D20" s="191"/>
      <c r="E20" s="190"/>
      <c r="F20" s="190"/>
      <c r="G20" s="190"/>
      <c r="H20" s="190"/>
    </row>
    <row r="21" spans="1:8" ht="22.5" x14ac:dyDescent="0.2">
      <c r="A21" s="196" t="s">
        <v>41</v>
      </c>
      <c r="B21" s="183" t="str">
        <f>VLOOKUP(A21,'Orçamento Sintético'!$A:$H,2,0)</f>
        <v xml:space="preserve"> MPDFT0117 </v>
      </c>
      <c r="C21" s="183" t="str">
        <f>VLOOKUP(A21,'Orçamento Sintético'!$A:$H,3,0)</f>
        <v>Próprio</v>
      </c>
      <c r="D21" s="184" t="str">
        <f>VLOOKUP(A21,'Orçamento Sintético'!$A:$H,4,0)</f>
        <v>Copia da IOPES (010224) - Retirada de grades, gradis, alambrados, cercas e/ou portões, de forma manual</v>
      </c>
      <c r="E21" s="183" t="str">
        <f>VLOOKUP(A21,'Orçamento Sintético'!$A:$H,5,0)</f>
        <v>m²</v>
      </c>
      <c r="F21" s="173"/>
      <c r="G21" s="174"/>
      <c r="H21" s="175">
        <f>SUM(H22:H23)</f>
        <v>19.98</v>
      </c>
    </row>
    <row r="22" spans="1:8" s="152" customFormat="1" x14ac:dyDescent="0.2">
      <c r="A22" s="185" t="str">
        <f>VLOOKUP(B22,'Insumos e Serviços'!$A:$F,3,0)</f>
        <v>Composição</v>
      </c>
      <c r="B22" s="186" t="s">
        <v>166</v>
      </c>
      <c r="C22" s="187" t="str">
        <f>VLOOKUP(B22,'Insumos e Serviços'!$A:$F,2,0)</f>
        <v>SINAPI</v>
      </c>
      <c r="D22" s="185" t="str">
        <f>VLOOKUP(B22,'Insumos e Serviços'!$A:$F,4,0)</f>
        <v>SERRALHEIRO COM ENCARGOS COMPLEMENTARES</v>
      </c>
      <c r="E22" s="187" t="str">
        <f>VLOOKUP(B22,'Insumos e Serviços'!$A:$F,5,0)</f>
        <v>H</v>
      </c>
      <c r="F22" s="188">
        <v>0.1</v>
      </c>
      <c r="G22" s="189">
        <f>VLOOKUP(B22,'Insumos e Serviços'!$A:$F,6,0)</f>
        <v>23.78</v>
      </c>
      <c r="H22" s="189">
        <f t="shared" ref="H22:H23" si="1">TRUNC(F22*G22,2)</f>
        <v>2.37</v>
      </c>
    </row>
    <row r="23" spans="1:8" s="152" customFormat="1" ht="15" thickBot="1" x14ac:dyDescent="0.25">
      <c r="A23" s="185" t="str">
        <f>VLOOKUP(B23,'Insumos e Serviços'!$A:$F,3,0)</f>
        <v>Composição</v>
      </c>
      <c r="B23" s="186" t="s">
        <v>170</v>
      </c>
      <c r="C23" s="187" t="str">
        <f>VLOOKUP(B23,'Insumos e Serviços'!$A:$F,2,0)</f>
        <v>SINAPI</v>
      </c>
      <c r="D23" s="185" t="str">
        <f>VLOOKUP(B23,'Insumos e Serviços'!$A:$F,4,0)</f>
        <v>SERVENTE COM ENCARGOS COMPLEMENTARES</v>
      </c>
      <c r="E23" s="187" t="str">
        <f>VLOOKUP(B23,'Insumos e Serviços'!$A:$F,5,0)</f>
        <v>H</v>
      </c>
      <c r="F23" s="188">
        <v>1</v>
      </c>
      <c r="G23" s="189">
        <f>VLOOKUP(B23,'Insumos e Serviços'!$A:$F,6,0)</f>
        <v>17.61</v>
      </c>
      <c r="H23" s="189">
        <f t="shared" si="1"/>
        <v>17.61</v>
      </c>
    </row>
    <row r="24" spans="1:8" ht="15" thickTop="1" x14ac:dyDescent="0.2">
      <c r="A24" s="190"/>
      <c r="B24" s="190"/>
      <c r="C24" s="190"/>
      <c r="D24" s="191"/>
      <c r="E24" s="190"/>
      <c r="F24" s="190"/>
      <c r="G24" s="190"/>
      <c r="H24" s="190"/>
    </row>
    <row r="25" spans="1:8" x14ac:dyDescent="0.2">
      <c r="A25" s="178" t="s">
        <v>63</v>
      </c>
      <c r="B25" s="178"/>
      <c r="C25" s="178"/>
      <c r="D25" s="179" t="s">
        <v>64</v>
      </c>
      <c r="E25" s="178"/>
      <c r="F25" s="180"/>
      <c r="G25" s="178"/>
      <c r="H25" s="181"/>
    </row>
    <row r="26" spans="1:8" x14ac:dyDescent="0.2">
      <c r="A26" s="192" t="s">
        <v>65</v>
      </c>
      <c r="B26" s="192"/>
      <c r="C26" s="192"/>
      <c r="D26" s="193" t="s">
        <v>66</v>
      </c>
      <c r="E26" s="192"/>
      <c r="F26" s="194"/>
      <c r="G26" s="192"/>
      <c r="H26" s="195"/>
    </row>
    <row r="27" spans="1:8" s="152" customFormat="1" x14ac:dyDescent="0.2">
      <c r="A27" s="196" t="s">
        <v>67</v>
      </c>
      <c r="B27" s="196"/>
      <c r="C27" s="196"/>
      <c r="D27" s="197" t="s">
        <v>68</v>
      </c>
      <c r="E27" s="196"/>
      <c r="F27" s="198"/>
      <c r="G27" s="196"/>
      <c r="H27" s="199"/>
    </row>
    <row r="28" spans="1:8" ht="22.5" x14ac:dyDescent="0.2">
      <c r="A28" s="172" t="s">
        <v>69</v>
      </c>
      <c r="B28" s="183" t="str">
        <f>VLOOKUP(A28,'Orçamento Sintético'!$A:$H,2,0)</f>
        <v xml:space="preserve"> MPDFT0153 </v>
      </c>
      <c r="C28" s="183" t="str">
        <f>VLOOKUP(A28,'Orçamento Sintético'!$A:$H,3,0)</f>
        <v>Próprio</v>
      </c>
      <c r="D28" s="184" t="str">
        <f>VLOOKUP(A28,'Orçamento Sintético'!$A:$H,4,0)</f>
        <v>QE-CAG - PJBSI - Reforma de quadro elétrico para Central de água gelada do retrofit AC do auditório do Ed. Sede</v>
      </c>
      <c r="E28" s="183" t="str">
        <f>VLOOKUP(A28,'Orçamento Sintético'!$A:$H,5,0)</f>
        <v>un</v>
      </c>
      <c r="F28" s="173"/>
      <c r="G28" s="174"/>
      <c r="H28" s="175">
        <f>SUM(H29:H31)</f>
        <v>4262.5200000000004</v>
      </c>
    </row>
    <row r="29" spans="1:8" s="152" customFormat="1" x14ac:dyDescent="0.2">
      <c r="A29" s="185" t="str">
        <f>VLOOKUP(B29,'Insumos e Serviços'!$A:$F,3,0)</f>
        <v>Composição</v>
      </c>
      <c r="B29" s="186" t="s">
        <v>173</v>
      </c>
      <c r="C29" s="187" t="str">
        <f>VLOOKUP(B29,'Insumos e Serviços'!$A:$F,2,0)</f>
        <v>SINAPI</v>
      </c>
      <c r="D29" s="185" t="str">
        <f>VLOOKUP(B29,'Insumos e Serviços'!$A:$F,4,0)</f>
        <v>ELETRICISTA COM ENCARGOS COMPLEMENTARES</v>
      </c>
      <c r="E29" s="187" t="str">
        <f>VLOOKUP(B29,'Insumos e Serviços'!$A:$F,5,0)</f>
        <v>H</v>
      </c>
      <c r="F29" s="188">
        <v>48</v>
      </c>
      <c r="G29" s="189">
        <f>VLOOKUP(B29,'Insumos e Serviços'!$A:$F,6,0)</f>
        <v>24.1</v>
      </c>
      <c r="H29" s="189">
        <f t="shared" ref="H29:H31" si="2">TRUNC(F29*G29,2)</f>
        <v>1156.8</v>
      </c>
    </row>
    <row r="30" spans="1:8" s="152" customFormat="1" x14ac:dyDescent="0.2">
      <c r="A30" s="185" t="str">
        <f>VLOOKUP(B30,'Insumos e Serviços'!$A:$F,3,0)</f>
        <v>Composição</v>
      </c>
      <c r="B30" s="186" t="s">
        <v>175</v>
      </c>
      <c r="C30" s="187" t="str">
        <f>VLOOKUP(B30,'Insumos e Serviços'!$A:$F,2,0)</f>
        <v>SINAPI</v>
      </c>
      <c r="D30" s="185" t="str">
        <f>VLOOKUP(B30,'Insumos e Serviços'!$A:$F,4,0)</f>
        <v>ENGENHEIRO ELETRICISTA COM ENCARGOS COMPLEMENTARES</v>
      </c>
      <c r="E30" s="187" t="str">
        <f>VLOOKUP(B30,'Insumos e Serviços'!$A:$F,5,0)</f>
        <v>H</v>
      </c>
      <c r="F30" s="188">
        <v>20</v>
      </c>
      <c r="G30" s="189">
        <f>VLOOKUP(B30,'Insumos e Serviços'!$A:$F,6,0)</f>
        <v>110.31</v>
      </c>
      <c r="H30" s="189">
        <f t="shared" si="2"/>
        <v>2206.1999999999998</v>
      </c>
    </row>
    <row r="31" spans="1:8" s="152" customFormat="1" ht="15" thickBot="1" x14ac:dyDescent="0.25">
      <c r="A31" s="185" t="str">
        <f>VLOOKUP(B31,'Insumos e Serviços'!$A:$F,3,0)</f>
        <v>Composição</v>
      </c>
      <c r="B31" s="186" t="s">
        <v>177</v>
      </c>
      <c r="C31" s="187" t="str">
        <f>VLOOKUP(B31,'Insumos e Serviços'!$A:$F,2,0)</f>
        <v>SINAPI</v>
      </c>
      <c r="D31" s="185" t="str">
        <f>VLOOKUP(B31,'Insumos e Serviços'!$A:$F,4,0)</f>
        <v>AUXILIAR DE ELETRICISTA COM ENCARGOS COMPLEMENTARES</v>
      </c>
      <c r="E31" s="187" t="str">
        <f>VLOOKUP(B31,'Insumos e Serviços'!$A:$F,5,0)</f>
        <v>H</v>
      </c>
      <c r="F31" s="188">
        <v>48</v>
      </c>
      <c r="G31" s="189">
        <f>VLOOKUP(B31,'Insumos e Serviços'!$A:$F,6,0)</f>
        <v>18.739999999999998</v>
      </c>
      <c r="H31" s="189">
        <f t="shared" si="2"/>
        <v>899.52</v>
      </c>
    </row>
    <row r="32" spans="1:8" ht="15" thickTop="1" x14ac:dyDescent="0.2">
      <c r="A32" s="190"/>
      <c r="B32" s="190"/>
      <c r="C32" s="190"/>
      <c r="D32" s="191"/>
      <c r="E32" s="190"/>
      <c r="F32" s="190"/>
      <c r="G32" s="190"/>
      <c r="H32" s="190"/>
    </row>
    <row r="33" spans="1:8" ht="22.5" x14ac:dyDescent="0.2">
      <c r="A33" s="172" t="s">
        <v>73</v>
      </c>
      <c r="B33" s="183" t="str">
        <f>VLOOKUP(A33,'Orçamento Sintético'!$A:$H,2,0)</f>
        <v xml:space="preserve"> MPDFT0155 </v>
      </c>
      <c r="C33" s="183" t="str">
        <f>VLOOKUP(A33,'Orçamento Sintético'!$A:$H,3,0)</f>
        <v>Próprio</v>
      </c>
      <c r="D33" s="184" t="str">
        <f>VLOOKUP(A33,'Orçamento Sintético'!$A:$H,4,0)</f>
        <v>QE-CAG-B - PJBSI - Quadro elétrico para Central de água gelada 'B" do retrofit AC do auditório do Ed. Sede (novo)</v>
      </c>
      <c r="E33" s="183" t="str">
        <f>VLOOKUP(A33,'Orçamento Sintético'!$A:$H,5,0)</f>
        <v>un</v>
      </c>
      <c r="F33" s="173"/>
      <c r="G33" s="174"/>
      <c r="H33" s="175">
        <f>SUM(H34:H37)</f>
        <v>55982.73</v>
      </c>
    </row>
    <row r="34" spans="1:8" s="152" customFormat="1" x14ac:dyDescent="0.2">
      <c r="A34" s="185" t="str">
        <f>VLOOKUP(B34,'Insumos e Serviços'!$A:$F,3,0)</f>
        <v>Composição</v>
      </c>
      <c r="B34" s="186" t="s">
        <v>173</v>
      </c>
      <c r="C34" s="187" t="str">
        <f>VLOOKUP(B34,'Insumos e Serviços'!$A:$F,2,0)</f>
        <v>SINAPI</v>
      </c>
      <c r="D34" s="185" t="str">
        <f>VLOOKUP(B34,'Insumos e Serviços'!$A:$F,4,0)</f>
        <v>ELETRICISTA COM ENCARGOS COMPLEMENTARES</v>
      </c>
      <c r="E34" s="187" t="str">
        <f>VLOOKUP(B34,'Insumos e Serviços'!$A:$F,5,0)</f>
        <v>H</v>
      </c>
      <c r="F34" s="188">
        <v>18</v>
      </c>
      <c r="G34" s="189">
        <f>VLOOKUP(B34,'Insumos e Serviços'!$A:$F,6,0)</f>
        <v>24.1</v>
      </c>
      <c r="H34" s="189">
        <f t="shared" ref="H34:H37" si="3">TRUNC(F34*G34,2)</f>
        <v>433.8</v>
      </c>
    </row>
    <row r="35" spans="1:8" s="152" customFormat="1" x14ac:dyDescent="0.2">
      <c r="A35" s="185" t="str">
        <f>VLOOKUP(B35,'Insumos e Serviços'!$A:$F,3,0)</f>
        <v>Composição</v>
      </c>
      <c r="B35" s="186" t="s">
        <v>175</v>
      </c>
      <c r="C35" s="187" t="str">
        <f>VLOOKUP(B35,'Insumos e Serviços'!$A:$F,2,0)</f>
        <v>SINAPI</v>
      </c>
      <c r="D35" s="185" t="str">
        <f>VLOOKUP(B35,'Insumos e Serviços'!$A:$F,4,0)</f>
        <v>ENGENHEIRO ELETRICISTA COM ENCARGOS COMPLEMENTARES</v>
      </c>
      <c r="E35" s="187" t="str">
        <f>VLOOKUP(B35,'Insumos e Serviços'!$A:$F,5,0)</f>
        <v>H</v>
      </c>
      <c r="F35" s="188">
        <v>18.38</v>
      </c>
      <c r="G35" s="189">
        <f>VLOOKUP(B35,'Insumos e Serviços'!$A:$F,6,0)</f>
        <v>110.31</v>
      </c>
      <c r="H35" s="189">
        <f t="shared" si="3"/>
        <v>2027.49</v>
      </c>
    </row>
    <row r="36" spans="1:8" s="152" customFormat="1" x14ac:dyDescent="0.2">
      <c r="A36" s="185" t="str">
        <f>VLOOKUP(B36,'Insumos e Serviços'!$A:$F,3,0)</f>
        <v>Composição</v>
      </c>
      <c r="B36" s="186" t="s">
        <v>177</v>
      </c>
      <c r="C36" s="187" t="str">
        <f>VLOOKUP(B36,'Insumos e Serviços'!$A:$F,2,0)</f>
        <v>SINAPI</v>
      </c>
      <c r="D36" s="185" t="str">
        <f>VLOOKUP(B36,'Insumos e Serviços'!$A:$F,4,0)</f>
        <v>AUXILIAR DE ELETRICISTA COM ENCARGOS COMPLEMENTARES</v>
      </c>
      <c r="E36" s="187" t="str">
        <f>VLOOKUP(B36,'Insumos e Serviços'!$A:$F,5,0)</f>
        <v>H</v>
      </c>
      <c r="F36" s="188">
        <v>18.38</v>
      </c>
      <c r="G36" s="189">
        <f>VLOOKUP(B36,'Insumos e Serviços'!$A:$F,6,0)</f>
        <v>18.739999999999998</v>
      </c>
      <c r="H36" s="189">
        <f t="shared" si="3"/>
        <v>344.44</v>
      </c>
    </row>
    <row r="37" spans="1:8" s="152" customFormat="1" ht="23.25" thickBot="1" x14ac:dyDescent="0.25">
      <c r="A37" s="185" t="str">
        <f>VLOOKUP(B37,'Insumos e Serviços'!$A:$F,3,0)</f>
        <v>Insumo</v>
      </c>
      <c r="B37" s="186" t="s">
        <v>336</v>
      </c>
      <c r="C37" s="187" t="str">
        <f>VLOOKUP(B37,'Insumos e Serviços'!$A:$F,2,0)</f>
        <v>Próprio</v>
      </c>
      <c r="D37" s="185" t="str">
        <f>VLOOKUP(B37,'Insumos e Serviços'!$A:$F,4,0)</f>
        <v>QE-CAG-B - PJBSI - Quadro elétrico para Central de água gelada 'B" do retrofit AC do auditório do Ed. Sede</v>
      </c>
      <c r="E37" s="187" t="str">
        <f>VLOOKUP(B37,'Insumos e Serviços'!$A:$F,5,0)</f>
        <v>un</v>
      </c>
      <c r="F37" s="188">
        <v>1</v>
      </c>
      <c r="G37" s="189">
        <f>VLOOKUP(B37,'Insumos e Serviços'!$A:$F,6,0)</f>
        <v>53177</v>
      </c>
      <c r="H37" s="189">
        <f t="shared" si="3"/>
        <v>53177</v>
      </c>
    </row>
    <row r="38" spans="1:8" ht="15" thickTop="1" x14ac:dyDescent="0.2">
      <c r="A38" s="190"/>
      <c r="B38" s="190"/>
      <c r="C38" s="190"/>
      <c r="D38" s="191"/>
      <c r="E38" s="190"/>
      <c r="F38" s="190"/>
      <c r="G38" s="190"/>
      <c r="H38" s="190"/>
    </row>
    <row r="39" spans="1:8" x14ac:dyDescent="0.2">
      <c r="A39" s="196" t="s">
        <v>78</v>
      </c>
      <c r="B39" s="196"/>
      <c r="C39" s="196"/>
      <c r="D39" s="197" t="s">
        <v>79</v>
      </c>
      <c r="E39" s="196"/>
      <c r="F39" s="198"/>
      <c r="G39" s="196"/>
      <c r="H39" s="199"/>
    </row>
    <row r="40" spans="1:8" ht="33.75" x14ac:dyDescent="0.2">
      <c r="A40" s="172" t="s">
        <v>80</v>
      </c>
      <c r="B40" s="183" t="str">
        <f>VLOOKUP(A40,'Orçamento Sintético'!$A:$H,2,0)</f>
        <v xml:space="preserve"> MPDFT0800 </v>
      </c>
      <c r="C40" s="183" t="str">
        <f>VLOOKUP(A40,'Orçamento Sintético'!$A:$H,3,0)</f>
        <v>Próprio</v>
      </c>
      <c r="D40" s="184" t="str">
        <f>VLOOKUP(A40,'Orçamento Sintético'!$A:$H,4,0)</f>
        <v>Copia da SINAPI (95748) - Eletroduto rígido de aço carbono, sem costura, com revestimento protetor de zinco aplicado à quente, extremidades rosqueadas, classe pesada, Ø50 mm (2" BSPP), fab. Apolo - fornecimento e instalação</v>
      </c>
      <c r="E40" s="183" t="str">
        <f>VLOOKUP(A40,'Orçamento Sintético'!$A:$H,5,0)</f>
        <v>M</v>
      </c>
      <c r="F40" s="173"/>
      <c r="G40" s="174"/>
      <c r="H40" s="175">
        <f>SUM(H41:H45)</f>
        <v>71.69</v>
      </c>
    </row>
    <row r="41" spans="1:8" x14ac:dyDescent="0.2">
      <c r="A41" s="185" t="str">
        <f>VLOOKUP(B41,'Insumos e Serviços'!$A:$F,3,0)</f>
        <v>Composição</v>
      </c>
      <c r="B41" s="186" t="s">
        <v>177</v>
      </c>
      <c r="C41" s="187" t="str">
        <f>VLOOKUP(B41,'Insumos e Serviços'!$A:$F,2,0)</f>
        <v>SINAPI</v>
      </c>
      <c r="D41" s="185" t="str">
        <f>VLOOKUP(B41,'Insumos e Serviços'!$A:$F,4,0)</f>
        <v>AUXILIAR DE ELETRICISTA COM ENCARGOS COMPLEMENTARES</v>
      </c>
      <c r="E41" s="187" t="str">
        <f>VLOOKUP(B41,'Insumos e Serviços'!$A:$F,5,0)</f>
        <v>H</v>
      </c>
      <c r="F41" s="188">
        <v>0.1701</v>
      </c>
      <c r="G41" s="189">
        <f>VLOOKUP(B41,'Insumos e Serviços'!$A:$F,6,0)</f>
        <v>18.739999999999998</v>
      </c>
      <c r="H41" s="189">
        <f t="shared" ref="H41:H45" si="4">TRUNC(F41*G41,2)</f>
        <v>3.18</v>
      </c>
    </row>
    <row r="42" spans="1:8" s="152" customFormat="1" x14ac:dyDescent="0.2">
      <c r="A42" s="185" t="str">
        <f>VLOOKUP(B42,'Insumos e Serviços'!$A:$F,3,0)</f>
        <v>Composição</v>
      </c>
      <c r="B42" s="186" t="s">
        <v>173</v>
      </c>
      <c r="C42" s="187" t="str">
        <f>VLOOKUP(B42,'Insumos e Serviços'!$A:$F,2,0)</f>
        <v>SINAPI</v>
      </c>
      <c r="D42" s="185" t="str">
        <f>VLOOKUP(B42,'Insumos e Serviços'!$A:$F,4,0)</f>
        <v>ELETRICISTA COM ENCARGOS COMPLEMENTARES</v>
      </c>
      <c r="E42" s="187" t="str">
        <f>VLOOKUP(B42,'Insumos e Serviços'!$A:$F,5,0)</f>
        <v>H</v>
      </c>
      <c r="F42" s="188">
        <v>0.1701</v>
      </c>
      <c r="G42" s="189">
        <f>VLOOKUP(B42,'Insumos e Serviços'!$A:$F,6,0)</f>
        <v>24.1</v>
      </c>
      <c r="H42" s="189">
        <f t="shared" si="4"/>
        <v>4.09</v>
      </c>
    </row>
    <row r="43" spans="1:8" s="152" customFormat="1" ht="22.5" x14ac:dyDescent="0.2">
      <c r="A43" s="185" t="str">
        <f>VLOOKUP(B43,'Insumos e Serviços'!$A:$F,3,0)</f>
        <v>Composição</v>
      </c>
      <c r="B43" s="186" t="s">
        <v>179</v>
      </c>
      <c r="C43" s="187" t="str">
        <f>VLOOKUP(B43,'Insumos e Serviços'!$A:$F,2,0)</f>
        <v>SINAPI</v>
      </c>
      <c r="D43" s="185" t="str">
        <f>VLOOKUP(B43,'Insumos e Serviços'!$A:$F,4,0)</f>
        <v>LUVA DE EMENDA PARA ELETRODUTO, AÇO GALVANIZADO, DN 40 MM (1 1/2''), APARENTE, INSTALADA EM TETO - FORNECIMENTO E INSTALAÇÃO. AF_11/2016_P</v>
      </c>
      <c r="E43" s="187" t="str">
        <f>VLOOKUP(B43,'Insumos e Serviços'!$A:$F,5,0)</f>
        <v>UN</v>
      </c>
      <c r="F43" s="188">
        <v>0.33329999999999999</v>
      </c>
      <c r="G43" s="189">
        <f>VLOOKUP(B43,'Insumos e Serviços'!$A:$F,6,0)</f>
        <v>15.01</v>
      </c>
      <c r="H43" s="189">
        <f t="shared" si="4"/>
        <v>5</v>
      </c>
    </row>
    <row r="44" spans="1:8" s="152" customFormat="1" ht="33.75" x14ac:dyDescent="0.2">
      <c r="A44" s="185" t="str">
        <f>VLOOKUP(B44,'Insumos e Serviços'!$A:$F,3,0)</f>
        <v>Composição</v>
      </c>
      <c r="B44" s="186" t="s">
        <v>181</v>
      </c>
      <c r="C44" s="187" t="str">
        <f>VLOOKUP(B44,'Insumos e Serviços'!$A:$F,2,0)</f>
        <v>SINAPI</v>
      </c>
      <c r="D44" s="185" t="str">
        <f>VLOOKUP(B44,'Insumos e Serviços'!$A:$F,4,0)</f>
        <v>FIXAÇÃO DE TUBOS HORIZONTAIS DE PVC, CPVC OU COBRE DIÂMETROS MAIORES QUE 40 MM E MENORES OU IGUAIS A 75 MM COM ABRAÇADEIRA METÁLICA RÍGIDA TIPO D 1 1/2", FIXADA EM PERFILADO EM LAJE. AF_05/2015</v>
      </c>
      <c r="E44" s="187" t="str">
        <f>VLOOKUP(B44,'Insumos e Serviços'!$A:$F,5,0)</f>
        <v>M</v>
      </c>
      <c r="F44" s="188">
        <v>1</v>
      </c>
      <c r="G44" s="189">
        <f>VLOOKUP(B44,'Insumos e Serviços'!$A:$F,6,0)</f>
        <v>3.24</v>
      </c>
      <c r="H44" s="189">
        <f t="shared" si="4"/>
        <v>3.24</v>
      </c>
    </row>
    <row r="45" spans="1:8" s="152" customFormat="1" ht="34.5" thickBot="1" x14ac:dyDescent="0.25">
      <c r="A45" s="185" t="str">
        <f>VLOOKUP(B45,'Insumos e Serviços'!$A:$F,3,0)</f>
        <v>Insumo</v>
      </c>
      <c r="B45" s="186" t="s">
        <v>183</v>
      </c>
      <c r="C45" s="187" t="str">
        <f>VLOOKUP(B45,'Insumos e Serviços'!$A:$F,2,0)</f>
        <v>Próprio</v>
      </c>
      <c r="D45" s="185" t="str">
        <f>VLOOKUP(B45,'Insumos e Serviços'!$A:$F,4,0)</f>
        <v>Eletroduto de 50mm em aço carbono sem costura, parede classe pesada de espessura ≥1,5mm, com revestimento protetor de zinco aplicado a quente, extremidades com rosa BSP. Fabricação Apolo Tubos e Equipamentos*.</v>
      </c>
      <c r="E45" s="187" t="str">
        <f>VLOOKUP(B45,'Insumos e Serviços'!$A:$F,5,0)</f>
        <v>m</v>
      </c>
      <c r="F45" s="188">
        <v>1.05</v>
      </c>
      <c r="G45" s="189">
        <f>VLOOKUP(B45,'Insumos e Serviços'!$A:$F,6,0)</f>
        <v>53.51</v>
      </c>
      <c r="H45" s="189">
        <f t="shared" si="4"/>
        <v>56.18</v>
      </c>
    </row>
    <row r="46" spans="1:8" ht="15" thickTop="1" x14ac:dyDescent="0.2">
      <c r="A46" s="190"/>
      <c r="B46" s="190"/>
      <c r="C46" s="190"/>
      <c r="D46" s="191"/>
      <c r="E46" s="190"/>
      <c r="F46" s="190"/>
      <c r="G46" s="190"/>
      <c r="H46" s="190"/>
    </row>
    <row r="47" spans="1:8" ht="22.5" x14ac:dyDescent="0.2">
      <c r="A47" s="172" t="s">
        <v>83</v>
      </c>
      <c r="B47" s="183" t="str">
        <f>VLOOKUP(A47,'Orçamento Sintético'!$A:$H,2,0)</f>
        <v xml:space="preserve"> MPDFT0150 </v>
      </c>
      <c r="C47" s="183" t="str">
        <f>VLOOKUP(A47,'Orçamento Sintético'!$A:$H,3,0)</f>
        <v>Próprio</v>
      </c>
      <c r="D47" s="184" t="str">
        <f>VLOOKUP(A47,'Orçamento Sintético'!$A:$H,4,0)</f>
        <v>Copia da SBC (061169) - ELETRODUTO FERRO GALVANIZADO ROSCÁVEL 1.1/2"" COM CONEXÕES</v>
      </c>
      <c r="E47" s="183" t="str">
        <f>VLOOKUP(A47,'Orçamento Sintético'!$A:$H,5,0)</f>
        <v>m</v>
      </c>
      <c r="F47" s="173"/>
      <c r="G47" s="174"/>
      <c r="H47" s="175">
        <f>SUM(H48:H52)</f>
        <v>72.31</v>
      </c>
    </row>
    <row r="48" spans="1:8" x14ac:dyDescent="0.2">
      <c r="A48" s="185" t="str">
        <f>VLOOKUP(B48,'Insumos e Serviços'!$A:$F,3,0)</f>
        <v>Composição</v>
      </c>
      <c r="B48" s="186" t="s">
        <v>173</v>
      </c>
      <c r="C48" s="187" t="str">
        <f>VLOOKUP(B48,'Insumos e Serviços'!$A:$F,2,0)</f>
        <v>SINAPI</v>
      </c>
      <c r="D48" s="185" t="str">
        <f>VLOOKUP(B48,'Insumos e Serviços'!$A:$F,4,0)</f>
        <v>ELETRICISTA COM ENCARGOS COMPLEMENTARES</v>
      </c>
      <c r="E48" s="187" t="str">
        <f>VLOOKUP(B48,'Insumos e Serviços'!$A:$F,5,0)</f>
        <v>H</v>
      </c>
      <c r="F48" s="188">
        <v>0.42499999999999999</v>
      </c>
      <c r="G48" s="189">
        <f>VLOOKUP(B48,'Insumos e Serviços'!$A:$F,6,0)</f>
        <v>24.1</v>
      </c>
      <c r="H48" s="189">
        <f t="shared" ref="H48:H52" si="5">TRUNC(F48*G48,2)</f>
        <v>10.24</v>
      </c>
    </row>
    <row r="49" spans="1:8" s="152" customFormat="1" x14ac:dyDescent="0.2">
      <c r="A49" s="185" t="str">
        <f>VLOOKUP(B49,'Insumos e Serviços'!$A:$F,3,0)</f>
        <v>Composição</v>
      </c>
      <c r="B49" s="186" t="s">
        <v>177</v>
      </c>
      <c r="C49" s="187" t="str">
        <f>VLOOKUP(B49,'Insumos e Serviços'!$A:$F,2,0)</f>
        <v>SINAPI</v>
      </c>
      <c r="D49" s="185" t="str">
        <f>VLOOKUP(B49,'Insumos e Serviços'!$A:$F,4,0)</f>
        <v>AUXILIAR DE ELETRICISTA COM ENCARGOS COMPLEMENTARES</v>
      </c>
      <c r="E49" s="187" t="str">
        <f>VLOOKUP(B49,'Insumos e Serviços'!$A:$F,5,0)</f>
        <v>H</v>
      </c>
      <c r="F49" s="188">
        <v>0.42499999999999999</v>
      </c>
      <c r="G49" s="189">
        <f>VLOOKUP(B49,'Insumos e Serviços'!$A:$F,6,0)</f>
        <v>18.739999999999998</v>
      </c>
      <c r="H49" s="189">
        <f t="shared" si="5"/>
        <v>7.96</v>
      </c>
    </row>
    <row r="50" spans="1:8" s="152" customFormat="1" ht="22.5" x14ac:dyDescent="0.2">
      <c r="A50" s="185" t="str">
        <f>VLOOKUP(B50,'Insumos e Serviços'!$A:$F,3,0)</f>
        <v>Insumo</v>
      </c>
      <c r="B50" s="186" t="s">
        <v>185</v>
      </c>
      <c r="C50" s="187" t="str">
        <f>VLOOKUP(B50,'Insumos e Serviços'!$A:$F,2,0)</f>
        <v>SINAPI</v>
      </c>
      <c r="D50" s="185" t="str">
        <f>VLOOKUP(B50,'Insumos e Serviços'!$A:$F,4,0)</f>
        <v>CURVA 90 GRAUS, PARA ELETRODUTO, EM ACO GALVANIZADO ELETROLITICO, DIAMETRO DE 40 MM (1 1/2")</v>
      </c>
      <c r="E50" s="187" t="str">
        <f>VLOOKUP(B50,'Insumos e Serviços'!$A:$F,5,0)</f>
        <v>UN</v>
      </c>
      <c r="F50" s="188">
        <v>0.3</v>
      </c>
      <c r="G50" s="189">
        <f>VLOOKUP(B50,'Insumos e Serviços'!$A:$F,6,0)</f>
        <v>18.13</v>
      </c>
      <c r="H50" s="189">
        <f t="shared" si="5"/>
        <v>5.43</v>
      </c>
    </row>
    <row r="51" spans="1:8" s="152" customFormat="1" ht="22.5" x14ac:dyDescent="0.2">
      <c r="A51" s="185" t="str">
        <f>VLOOKUP(B51,'Insumos e Serviços'!$A:$F,3,0)</f>
        <v>Insumo</v>
      </c>
      <c r="B51" s="186" t="s">
        <v>187</v>
      </c>
      <c r="C51" s="187" t="str">
        <f>VLOOKUP(B51,'Insumos e Serviços'!$A:$F,2,0)</f>
        <v>SINAPI</v>
      </c>
      <c r="D51" s="185" t="str">
        <f>VLOOKUP(B51,'Insumos e Serviços'!$A:$F,4,0)</f>
        <v>LUVA PARA ELETRODUTO, EM ACO GALVANIZADO ELETROLITICO, DIAMETRO DE 40 MM (1 1/2")</v>
      </c>
      <c r="E51" s="187" t="str">
        <f>VLOOKUP(B51,'Insumos e Serviços'!$A:$F,5,0)</f>
        <v>UN</v>
      </c>
      <c r="F51" s="188">
        <v>0.3</v>
      </c>
      <c r="G51" s="189">
        <f>VLOOKUP(B51,'Insumos e Serviços'!$A:$F,6,0)</f>
        <v>5.4</v>
      </c>
      <c r="H51" s="189">
        <f t="shared" si="5"/>
        <v>1.62</v>
      </c>
    </row>
    <row r="52" spans="1:8" s="152" customFormat="1" ht="45.75" thickBot="1" x14ac:dyDescent="0.25">
      <c r="A52" s="185" t="str">
        <f>VLOOKUP(B52,'Insumos e Serviços'!$A:$F,3,0)</f>
        <v>Insumo</v>
      </c>
      <c r="B52" s="186" t="s">
        <v>189</v>
      </c>
      <c r="C52" s="187" t="str">
        <f>VLOOKUP(B52,'Insumos e Serviços'!$A:$F,2,0)</f>
        <v>Próprio</v>
      </c>
      <c r="D52" s="185" t="str">
        <f>VLOOKUP(B52,'Insumos e Serviços'!$A:$F,4,0)</f>
        <v>Eletroduto rígido de aço carbono, ø 1.1/2" (38,10mm), sem costura, revestimento protetor de zinco aplicado a quente, em barras de 3000mm, extremidades rosqueadas, fornecido com uma luva na extremidade, rosca cilíndrica BSP, paredes com espessura de classe pesada, conforme norma NBR 5598, instalação enterrada</v>
      </c>
      <c r="E52" s="187" t="str">
        <f>VLOOKUP(B52,'Insumos e Serviços'!$A:$F,5,0)</f>
        <v>m</v>
      </c>
      <c r="F52" s="188">
        <v>1.1000000000000001</v>
      </c>
      <c r="G52" s="189">
        <f>VLOOKUP(B52,'Insumos e Serviços'!$A:$F,6,0)</f>
        <v>42.79</v>
      </c>
      <c r="H52" s="189">
        <f t="shared" si="5"/>
        <v>47.06</v>
      </c>
    </row>
    <row r="53" spans="1:8" ht="15" thickTop="1" x14ac:dyDescent="0.2">
      <c r="A53" s="190"/>
      <c r="B53" s="190"/>
      <c r="C53" s="190"/>
      <c r="D53" s="191"/>
      <c r="E53" s="190"/>
      <c r="F53" s="190"/>
      <c r="G53" s="190"/>
      <c r="H53" s="190"/>
    </row>
    <row r="54" spans="1:8" ht="22.5" x14ac:dyDescent="0.2">
      <c r="A54" s="172" t="s">
        <v>87</v>
      </c>
      <c r="B54" s="183" t="str">
        <f>VLOOKUP(A54,'Orçamento Sintético'!$A:$H,2,0)</f>
        <v xml:space="preserve"> MPDFT0152 </v>
      </c>
      <c r="C54" s="183" t="str">
        <f>VLOOKUP(A54,'Orçamento Sintético'!$A:$H,3,0)</f>
        <v>Próprio</v>
      </c>
      <c r="D54" s="184" t="str">
        <f>VLOOKUP(A54,'Orçamento Sintético'!$A:$H,4,0)</f>
        <v>Copia da SINAPI (95791) - Condulete de alumínio, tipo LR, para eletroduto de aço galvanizado dn 50mm (2''), aparente - fornecimento e instalação</v>
      </c>
      <c r="E54" s="183" t="str">
        <f>VLOOKUP(A54,'Orçamento Sintético'!$A:$H,5,0)</f>
        <v>UN</v>
      </c>
      <c r="F54" s="173"/>
      <c r="G54" s="174"/>
      <c r="H54" s="175">
        <f>SUM(H55:H58)</f>
        <v>47.22</v>
      </c>
    </row>
    <row r="55" spans="1:8" s="152" customFormat="1" x14ac:dyDescent="0.2">
      <c r="A55" s="185" t="str">
        <f>VLOOKUP(B55,'Insumos e Serviços'!$A:$F,3,0)</f>
        <v>Composição</v>
      </c>
      <c r="B55" s="186" t="s">
        <v>177</v>
      </c>
      <c r="C55" s="187" t="str">
        <f>VLOOKUP(B55,'Insumos e Serviços'!$A:$F,2,0)</f>
        <v>SINAPI</v>
      </c>
      <c r="D55" s="185" t="str">
        <f>VLOOKUP(B55,'Insumos e Serviços'!$A:$F,4,0)</f>
        <v>AUXILIAR DE ELETRICISTA COM ENCARGOS COMPLEMENTARES</v>
      </c>
      <c r="E55" s="187" t="str">
        <f>VLOOKUP(B55,'Insumos e Serviços'!$A:$F,5,0)</f>
        <v>H</v>
      </c>
      <c r="F55" s="188">
        <v>0.42709999999999998</v>
      </c>
      <c r="G55" s="189">
        <f>VLOOKUP(B55,'Insumos e Serviços'!$A:$F,6,0)</f>
        <v>18.739999999999998</v>
      </c>
      <c r="H55" s="189">
        <f t="shared" ref="H55:H58" si="6">TRUNC(F55*G55,2)</f>
        <v>8</v>
      </c>
    </row>
    <row r="56" spans="1:8" s="152" customFormat="1" x14ac:dyDescent="0.2">
      <c r="A56" s="185" t="str">
        <f>VLOOKUP(B56,'Insumos e Serviços'!$A:$F,3,0)</f>
        <v>Composição</v>
      </c>
      <c r="B56" s="186" t="s">
        <v>173</v>
      </c>
      <c r="C56" s="187" t="str">
        <f>VLOOKUP(B56,'Insumos e Serviços'!$A:$F,2,0)</f>
        <v>SINAPI</v>
      </c>
      <c r="D56" s="185" t="str">
        <f>VLOOKUP(B56,'Insumos e Serviços'!$A:$F,4,0)</f>
        <v>ELETRICISTA COM ENCARGOS COMPLEMENTARES</v>
      </c>
      <c r="E56" s="187" t="str">
        <f>VLOOKUP(B56,'Insumos e Serviços'!$A:$F,5,0)</f>
        <v>H</v>
      </c>
      <c r="F56" s="188">
        <v>0.42709999999999998</v>
      </c>
      <c r="G56" s="189">
        <f>VLOOKUP(B56,'Insumos e Serviços'!$A:$F,6,0)</f>
        <v>24.1</v>
      </c>
      <c r="H56" s="189">
        <f t="shared" si="6"/>
        <v>10.29</v>
      </c>
    </row>
    <row r="57" spans="1:8" s="152" customFormat="1" ht="22.5" x14ac:dyDescent="0.2">
      <c r="A57" s="185" t="str">
        <f>VLOOKUP(B57,'Insumos e Serviços'!$A:$F,3,0)</f>
        <v>Insumo</v>
      </c>
      <c r="B57" s="186" t="s">
        <v>191</v>
      </c>
      <c r="C57" s="187" t="str">
        <f>VLOOKUP(B57,'Insumos e Serviços'!$A:$F,2,0)</f>
        <v>SINAPI</v>
      </c>
      <c r="D57" s="185" t="str">
        <f>VLOOKUP(B57,'Insumos e Serviços'!$A:$F,4,0)</f>
        <v>BUCHA DE NYLON SEM ABA S6, COM PARAFUSO DE 4,20 X 40 MM EM ACO ZINCADO COM ROSCA SOBERBA, CABECA CHATA E FENDA PHILLIPS</v>
      </c>
      <c r="E57" s="187" t="str">
        <f>VLOOKUP(B57,'Insumos e Serviços'!$A:$F,5,0)</f>
        <v>UN</v>
      </c>
      <c r="F57" s="188">
        <v>2</v>
      </c>
      <c r="G57" s="189">
        <f>VLOOKUP(B57,'Insumos e Serviços'!$A:$F,6,0)</f>
        <v>0.31</v>
      </c>
      <c r="H57" s="189">
        <f t="shared" si="6"/>
        <v>0.62</v>
      </c>
    </row>
    <row r="58" spans="1:8" s="152" customFormat="1" ht="23.25" thickBot="1" x14ac:dyDescent="0.25">
      <c r="A58" s="185" t="str">
        <f>VLOOKUP(B58,'Insumos e Serviços'!$A:$F,3,0)</f>
        <v>Insumo</v>
      </c>
      <c r="B58" s="186" t="s">
        <v>193</v>
      </c>
      <c r="C58" s="187" t="str">
        <f>VLOOKUP(B58,'Insumos e Serviços'!$A:$F,2,0)</f>
        <v>SINAPI</v>
      </c>
      <c r="D58" s="185" t="str">
        <f>VLOOKUP(B58,'Insumos e Serviços'!$A:$F,4,0)</f>
        <v>CONDULETE DE ALUMINIO TIPO LR, PARA ELETRODUTO ROSCAVEL DE 2", COM TAMPA CEGA</v>
      </c>
      <c r="E58" s="187" t="str">
        <f>VLOOKUP(B58,'Insumos e Serviços'!$A:$F,5,0)</f>
        <v>UN</v>
      </c>
      <c r="F58" s="188">
        <v>1</v>
      </c>
      <c r="G58" s="189">
        <f>VLOOKUP(B58,'Insumos e Serviços'!$A:$F,6,0)</f>
        <v>28.31</v>
      </c>
      <c r="H58" s="189">
        <f t="shared" si="6"/>
        <v>28.31</v>
      </c>
    </row>
    <row r="59" spans="1:8" ht="15" thickTop="1" x14ac:dyDescent="0.2">
      <c r="A59" s="190"/>
      <c r="B59" s="190"/>
      <c r="C59" s="190"/>
      <c r="D59" s="191"/>
      <c r="E59" s="190"/>
      <c r="F59" s="190"/>
      <c r="G59" s="190"/>
      <c r="H59" s="190"/>
    </row>
    <row r="60" spans="1:8" ht="22.5" x14ac:dyDescent="0.2">
      <c r="A60" s="172" t="s">
        <v>90</v>
      </c>
      <c r="B60" s="183" t="str">
        <f>VLOOKUP(A60,'Orçamento Sintético'!$A:$H,2,0)</f>
        <v xml:space="preserve"> MPDFT0151 </v>
      </c>
      <c r="C60" s="183" t="str">
        <f>VLOOKUP(A60,'Orçamento Sintético'!$A:$H,3,0)</f>
        <v>Próprio</v>
      </c>
      <c r="D60" s="184" t="str">
        <f>VLOOKUP(A60,'Orçamento Sintético'!$A:$H,4,0)</f>
        <v>Copia da SINAPI (95791) - Condulete de alumínio, tipo LR, para eletroduto de aço galvanizado dn 40 mm (1 1/2''), aparente - fornecimento e instalação</v>
      </c>
      <c r="E60" s="183" t="str">
        <f>VLOOKUP(A60,'Orçamento Sintético'!$A:$H,5,0)</f>
        <v>UN</v>
      </c>
      <c r="F60" s="173"/>
      <c r="G60" s="174"/>
      <c r="H60" s="175">
        <f>SUM(H61:H64)</f>
        <v>37.5</v>
      </c>
    </row>
    <row r="61" spans="1:8" s="152" customFormat="1" x14ac:dyDescent="0.2">
      <c r="A61" s="185" t="str">
        <f>VLOOKUP(B61,'Insumos e Serviços'!$A:$F,3,0)</f>
        <v>Composição</v>
      </c>
      <c r="B61" s="186" t="s">
        <v>177</v>
      </c>
      <c r="C61" s="187" t="str">
        <f>VLOOKUP(B61,'Insumos e Serviços'!$A:$F,2,0)</f>
        <v>SINAPI</v>
      </c>
      <c r="D61" s="185" t="str">
        <f>VLOOKUP(B61,'Insumos e Serviços'!$A:$F,4,0)</f>
        <v>AUXILIAR DE ELETRICISTA COM ENCARGOS COMPLEMENTARES</v>
      </c>
      <c r="E61" s="187" t="str">
        <f>VLOOKUP(B61,'Insumos e Serviços'!$A:$F,5,0)</f>
        <v>H</v>
      </c>
      <c r="F61" s="188">
        <v>0.42709999999999998</v>
      </c>
      <c r="G61" s="189">
        <f>VLOOKUP(B61,'Insumos e Serviços'!$A:$F,6,0)</f>
        <v>18.739999999999998</v>
      </c>
      <c r="H61" s="189">
        <f t="shared" ref="H61:H64" si="7">TRUNC(F61*G61,2)</f>
        <v>8</v>
      </c>
    </row>
    <row r="62" spans="1:8" s="152" customFormat="1" x14ac:dyDescent="0.2">
      <c r="A62" s="185" t="str">
        <f>VLOOKUP(B62,'Insumos e Serviços'!$A:$F,3,0)</f>
        <v>Composição</v>
      </c>
      <c r="B62" s="186" t="s">
        <v>173</v>
      </c>
      <c r="C62" s="187" t="str">
        <f>VLOOKUP(B62,'Insumos e Serviços'!$A:$F,2,0)</f>
        <v>SINAPI</v>
      </c>
      <c r="D62" s="185" t="str">
        <f>VLOOKUP(B62,'Insumos e Serviços'!$A:$F,4,0)</f>
        <v>ELETRICISTA COM ENCARGOS COMPLEMENTARES</v>
      </c>
      <c r="E62" s="187" t="str">
        <f>VLOOKUP(B62,'Insumos e Serviços'!$A:$F,5,0)</f>
        <v>H</v>
      </c>
      <c r="F62" s="188">
        <v>0.42709999999999998</v>
      </c>
      <c r="G62" s="189">
        <f>VLOOKUP(B62,'Insumos e Serviços'!$A:$F,6,0)</f>
        <v>24.1</v>
      </c>
      <c r="H62" s="189">
        <f t="shared" si="7"/>
        <v>10.29</v>
      </c>
    </row>
    <row r="63" spans="1:8" s="152" customFormat="1" ht="22.5" x14ac:dyDescent="0.2">
      <c r="A63" s="185" t="str">
        <f>VLOOKUP(B63,'Insumos e Serviços'!$A:$F,3,0)</f>
        <v>Insumo</v>
      </c>
      <c r="B63" s="186" t="s">
        <v>191</v>
      </c>
      <c r="C63" s="187" t="str">
        <f>VLOOKUP(B63,'Insumos e Serviços'!$A:$F,2,0)</f>
        <v>SINAPI</v>
      </c>
      <c r="D63" s="185" t="str">
        <f>VLOOKUP(B63,'Insumos e Serviços'!$A:$F,4,0)</f>
        <v>BUCHA DE NYLON SEM ABA S6, COM PARAFUSO DE 4,20 X 40 MM EM ACO ZINCADO COM ROSCA SOBERBA, CABECA CHATA E FENDA PHILLIPS</v>
      </c>
      <c r="E63" s="187" t="str">
        <f>VLOOKUP(B63,'Insumos e Serviços'!$A:$F,5,0)</f>
        <v>UN</v>
      </c>
      <c r="F63" s="188">
        <v>2</v>
      </c>
      <c r="G63" s="189">
        <f>VLOOKUP(B63,'Insumos e Serviços'!$A:$F,6,0)</f>
        <v>0.31</v>
      </c>
      <c r="H63" s="189">
        <f t="shared" si="7"/>
        <v>0.62</v>
      </c>
    </row>
    <row r="64" spans="1:8" s="152" customFormat="1" ht="23.25" thickBot="1" x14ac:dyDescent="0.25">
      <c r="A64" s="185" t="str">
        <f>VLOOKUP(B64,'Insumos e Serviços'!$A:$F,3,0)</f>
        <v>Insumo</v>
      </c>
      <c r="B64" s="186" t="s">
        <v>195</v>
      </c>
      <c r="C64" s="187" t="str">
        <f>VLOOKUP(B64,'Insumos e Serviços'!$A:$F,2,0)</f>
        <v>SINAPI</v>
      </c>
      <c r="D64" s="185" t="str">
        <f>VLOOKUP(B64,'Insumos e Serviços'!$A:$F,4,0)</f>
        <v>CONDULETE DE ALUMINIO TIPO LR, PARA ELETRODUTO ROSCAVEL DE 1 1/2", COM TAMPA CEGA</v>
      </c>
      <c r="E64" s="187" t="str">
        <f>VLOOKUP(B64,'Insumos e Serviços'!$A:$F,5,0)</f>
        <v>UN</v>
      </c>
      <c r="F64" s="188">
        <v>1</v>
      </c>
      <c r="G64" s="189">
        <f>VLOOKUP(B64,'Insumos e Serviços'!$A:$F,6,0)</f>
        <v>18.59</v>
      </c>
      <c r="H64" s="189">
        <f t="shared" si="7"/>
        <v>18.59</v>
      </c>
    </row>
    <row r="65" spans="1:8" ht="15" thickTop="1" x14ac:dyDescent="0.2">
      <c r="A65" s="190"/>
      <c r="B65" s="190"/>
      <c r="C65" s="190"/>
      <c r="D65" s="191"/>
      <c r="E65" s="190"/>
      <c r="F65" s="190"/>
      <c r="G65" s="190"/>
      <c r="H65" s="190"/>
    </row>
    <row r="66" spans="1:8" x14ac:dyDescent="0.2">
      <c r="A66" s="178" t="s">
        <v>102</v>
      </c>
      <c r="B66" s="178"/>
      <c r="C66" s="178"/>
      <c r="D66" s="179" t="s">
        <v>103</v>
      </c>
      <c r="E66" s="178"/>
      <c r="F66" s="180"/>
      <c r="G66" s="178"/>
      <c r="H66" s="181"/>
    </row>
    <row r="67" spans="1:8" x14ac:dyDescent="0.2">
      <c r="A67" s="192" t="s">
        <v>104</v>
      </c>
      <c r="B67" s="192"/>
      <c r="C67" s="192"/>
      <c r="D67" s="193" t="s">
        <v>105</v>
      </c>
      <c r="E67" s="192"/>
      <c r="F67" s="194"/>
      <c r="G67" s="192"/>
      <c r="H67" s="195"/>
    </row>
    <row r="68" spans="1:8" x14ac:dyDescent="0.2">
      <c r="A68" s="196" t="s">
        <v>106</v>
      </c>
      <c r="B68" s="196"/>
      <c r="C68" s="196"/>
      <c r="D68" s="197" t="s">
        <v>107</v>
      </c>
      <c r="E68" s="196"/>
      <c r="F68" s="198"/>
      <c r="G68" s="196"/>
      <c r="H68" s="199"/>
    </row>
    <row r="69" spans="1:8" s="152" customFormat="1" ht="112.5" x14ac:dyDescent="0.2">
      <c r="A69" s="172" t="s">
        <v>108</v>
      </c>
      <c r="B69" s="183" t="str">
        <f>VLOOKUP(A69,'Orçamento Sintético'!$A:$H,2,0)</f>
        <v xml:space="preserve"> MPDFT1100 </v>
      </c>
      <c r="C69" s="183" t="str">
        <f>VLOOKUP(A69,'Orçamento Sintético'!$A:$H,3,0)</f>
        <v>Próprio</v>
      </c>
      <c r="D69" s="184" t="str">
        <f>VLOOKUP(A69,'Orçamento Sintético'!$A:$H,4,0)</f>
        <v>Cópia da SBC (070908) - Unidade condensadora de aparelho de ar condicionado de expansão direta tipo “splitão” inverter (VRF), tipo de ciclo “somente frio”, capacidade térmica nominal de 24,0 TRs, COP 3,47, alimentação elétrica trifásica, 380V, corrente nominal 36,9A, corrente de partida 20A, corrente máxima 58,5 A, potência elétrica 21,69kW, nível de pressão sonora 68 dB(A), dimensões 1675x1600x765 mm, peso 365kg, gás refrigerante R-410A, controle por válvula de expansão eletrônica, trocador de calor tipo corrente cruzada, com aletas de alumínio e tubos de cobre, tubulação de gás refrigerante 19,05mm (3/4”) e 31,75mm (1 – 1/4”), vazão de ar 405 m³/min (24300m³/h), incluindo kit válvula DXF-30.0A1 e kit acionamento KCO0053 - JCI – Hitachi RAS28FSNC7B1</v>
      </c>
      <c r="E69" s="183" t="str">
        <f>VLOOKUP(A69,'Orçamento Sintético'!$A:$H,5,0)</f>
        <v>un</v>
      </c>
      <c r="F69" s="173"/>
      <c r="G69" s="174"/>
      <c r="H69" s="175">
        <f>SUM(H70:H73)</f>
        <v>73189.27</v>
      </c>
    </row>
    <row r="70" spans="1:8" s="152" customFormat="1" x14ac:dyDescent="0.2">
      <c r="A70" s="185" t="str">
        <f>VLOOKUP(B70,'Insumos e Serviços'!$A:$F,3,0)</f>
        <v>Composição</v>
      </c>
      <c r="B70" s="186" t="s">
        <v>173</v>
      </c>
      <c r="C70" s="187" t="str">
        <f>VLOOKUP(B70,'Insumos e Serviços'!$A:$F,2,0)</f>
        <v>SINAPI</v>
      </c>
      <c r="D70" s="185" t="str">
        <f>VLOOKUP(B70,'Insumos e Serviços'!$A:$F,4,0)</f>
        <v>ELETRICISTA COM ENCARGOS COMPLEMENTARES</v>
      </c>
      <c r="E70" s="187" t="str">
        <f>VLOOKUP(B70,'Insumos e Serviços'!$A:$F,5,0)</f>
        <v>H</v>
      </c>
      <c r="F70" s="188">
        <v>31.98</v>
      </c>
      <c r="G70" s="189">
        <f>VLOOKUP(B70,'Insumos e Serviços'!$A:$F,6,0)</f>
        <v>24.1</v>
      </c>
      <c r="H70" s="189">
        <f t="shared" ref="H70:H73" si="8">TRUNC(F70*G70,2)</f>
        <v>770.71</v>
      </c>
    </row>
    <row r="71" spans="1:8" s="152" customFormat="1" x14ac:dyDescent="0.2">
      <c r="A71" s="185" t="str">
        <f>VLOOKUP(B71,'Insumos e Serviços'!$A:$F,3,0)</f>
        <v>Composição</v>
      </c>
      <c r="B71" s="186" t="s">
        <v>201</v>
      </c>
      <c r="C71" s="187" t="str">
        <f>VLOOKUP(B71,'Insumos e Serviços'!$A:$F,2,0)</f>
        <v>SINAPI</v>
      </c>
      <c r="D71" s="185" t="str">
        <f>VLOOKUP(B71,'Insumos e Serviços'!$A:$F,4,0)</f>
        <v>AUXILIAR DE MECÂNICO COM ENCARGOS COMPLEMENTARES</v>
      </c>
      <c r="E71" s="187" t="str">
        <f>VLOOKUP(B71,'Insumos e Serviços'!$A:$F,5,0)</f>
        <v>H</v>
      </c>
      <c r="F71" s="188">
        <v>31.98</v>
      </c>
      <c r="G71" s="189">
        <f>VLOOKUP(B71,'Insumos e Serviços'!$A:$F,6,0)</f>
        <v>16.66</v>
      </c>
      <c r="H71" s="189">
        <f t="shared" si="8"/>
        <v>532.78</v>
      </c>
    </row>
    <row r="72" spans="1:8" s="152" customFormat="1" x14ac:dyDescent="0.2">
      <c r="A72" s="185" t="str">
        <f>VLOOKUP(B72,'Insumos e Serviços'!$A:$F,3,0)</f>
        <v>Composição</v>
      </c>
      <c r="B72" s="186" t="s">
        <v>203</v>
      </c>
      <c r="C72" s="187" t="str">
        <f>VLOOKUP(B72,'Insumos e Serviços'!$A:$F,2,0)</f>
        <v>SINAPI</v>
      </c>
      <c r="D72" s="185" t="str">
        <f>VLOOKUP(B72,'Insumos e Serviços'!$A:$F,4,0)</f>
        <v>MECÃNICO DE EQUIPAMENTOS PESADOS COM ENCARGOS COMPLEMENTARES</v>
      </c>
      <c r="E72" s="187" t="str">
        <f>VLOOKUP(B72,'Insumos e Serviços'!$A:$F,5,0)</f>
        <v>H</v>
      </c>
      <c r="F72" s="188">
        <v>31.98</v>
      </c>
      <c r="G72" s="189">
        <f>VLOOKUP(B72,'Insumos e Serviços'!$A:$F,6,0)</f>
        <v>25.19</v>
      </c>
      <c r="H72" s="189">
        <f t="shared" si="8"/>
        <v>805.57</v>
      </c>
    </row>
    <row r="73" spans="1:8" ht="102" thickBot="1" x14ac:dyDescent="0.25">
      <c r="A73" s="185" t="str">
        <f>VLOOKUP(B73,'Insumos e Serviços'!$A:$F,3,0)</f>
        <v>Insumo</v>
      </c>
      <c r="B73" s="186" t="s">
        <v>205</v>
      </c>
      <c r="C73" s="187" t="str">
        <f>VLOOKUP(B73,'Insumos e Serviços'!$A:$F,2,0)</f>
        <v>Próprio</v>
      </c>
      <c r="D73" s="185" t="str">
        <f>VLOOKUP(B73,'Insumos e Serviços'!$A:$F,4,0)</f>
        <v>Unidade condensadora de aparelho de ar condicionado de expansão direta tipo “splitão” inverter (VRF), tipo de ciclo “somente frio”, capacidade térmica nominal de 24,0 TRs, COP 3,47, alimentação elétrica trifásica, 380V, corrente nominal 36,9A, corrente de partida 20A, corrente máxima 58,5 A, potência elétrica 21,69kW, nível de pressão sonora 68 dB(A), dimensões 1675x1600x765 mm, peso 365kg, gás refrigerante R-410A, controle por válvula de expansão eletrônica, trocador de calor tipo corrente cruzada, com aletas de alumínio e tubos de cobre, tubulação de gás refrigerante 19,05mm (3/4”) e 31,75mm (1 – 1/4”), vazão de ar 405 m³/min (24300m³/h), incluindo kit válvula DXF-30.0A1 e kit acionamento KCO0053 - JCI – Hitachi RAS28FSNC7B1</v>
      </c>
      <c r="E73" s="187" t="str">
        <f>VLOOKUP(B73,'Insumos e Serviços'!$A:$F,5,0)</f>
        <v>un</v>
      </c>
      <c r="F73" s="188">
        <v>1</v>
      </c>
      <c r="G73" s="189">
        <f>VLOOKUP(B73,'Insumos e Serviços'!$A:$F,6,0)</f>
        <v>71080.210000000006</v>
      </c>
      <c r="H73" s="189">
        <f t="shared" si="8"/>
        <v>71080.210000000006</v>
      </c>
    </row>
    <row r="74" spans="1:8" s="152" customFormat="1" ht="15" thickTop="1" x14ac:dyDescent="0.2">
      <c r="A74" s="190"/>
      <c r="B74" s="190"/>
      <c r="C74" s="190"/>
      <c r="D74" s="191"/>
      <c r="E74" s="190"/>
      <c r="F74" s="190"/>
      <c r="G74" s="190"/>
      <c r="H74" s="190"/>
    </row>
    <row r="75" spans="1:8" ht="90" x14ac:dyDescent="0.2">
      <c r="A75" s="172" t="s">
        <v>111</v>
      </c>
      <c r="B75" s="183" t="str">
        <f>VLOOKUP(A75,'Orçamento Sintético'!$A:$H,2,0)</f>
        <v xml:space="preserve"> MPDFT1101 </v>
      </c>
      <c r="C75" s="183" t="str">
        <f>VLOOKUP(A75,'Orçamento Sintético'!$A:$H,3,0)</f>
        <v>Próprio</v>
      </c>
      <c r="D75" s="184" t="str">
        <f>VLOOKUP(A75,'Orçamento Sintético'!$A:$H,4,0)</f>
        <v>Cópia da CPOS (61.20.130) - Unidade evaporadora com módulo ventilador aparelho de ar condicionado de expansão direta tipo “splitão”, montagem na posição vertical, descarga de ar "para cima", com vazão de ar 17000 m³/h, pressão estática até 45mmca, dimensões 710x1900x710mm, alimentação elétrica trifásica, 380V, corrente elétrica 11,77 A, potência elétrica 7,54kW, motor elétrico 7,5 CV, módulo trocador de calor dimensões 1300x1900x710mm, incluindo controle remoto com fio HCWA10NEGQ e caixa de mistura com damper de ar externo CXMT250CNP - JCI – Hitachi RVT250CXM+RTCIV250CNP</v>
      </c>
      <c r="E75" s="183" t="str">
        <f>VLOOKUP(A75,'Orçamento Sintético'!$A:$H,5,0)</f>
        <v>un</v>
      </c>
      <c r="F75" s="173"/>
      <c r="G75" s="174"/>
      <c r="H75" s="175">
        <f>SUM(H76:H78)</f>
        <v>13822.16</v>
      </c>
    </row>
    <row r="76" spans="1:8" s="152" customFormat="1" x14ac:dyDescent="0.2">
      <c r="A76" s="185" t="str">
        <f>VLOOKUP(B76,'Insumos e Serviços'!$A:$F,3,0)</f>
        <v>Composição</v>
      </c>
      <c r="B76" s="186" t="s">
        <v>197</v>
      </c>
      <c r="C76" s="187" t="str">
        <f>VLOOKUP(B76,'Insumos e Serviços'!$A:$F,2,0)</f>
        <v>SINAPI</v>
      </c>
      <c r="D76" s="185" t="str">
        <f>VLOOKUP(B76,'Insumos e Serviços'!$A:$F,4,0)</f>
        <v>ENCANADOR OU BOMBEIRO HIDRÁULICO COM ENCARGOS COMPLEMENTARES</v>
      </c>
      <c r="E76" s="187" t="str">
        <f>VLOOKUP(B76,'Insumos e Serviços'!$A:$F,5,0)</f>
        <v>H</v>
      </c>
      <c r="F76" s="188">
        <v>9.5500000000000007</v>
      </c>
      <c r="G76" s="189">
        <f>VLOOKUP(B76,'Insumos e Serviços'!$A:$F,6,0)</f>
        <v>23.41</v>
      </c>
      <c r="H76" s="189">
        <f t="shared" ref="H76:H78" si="9">TRUNC(F76*G76,2)</f>
        <v>223.56</v>
      </c>
    </row>
    <row r="77" spans="1:8" s="152" customFormat="1" x14ac:dyDescent="0.2">
      <c r="A77" s="185" t="str">
        <f>VLOOKUP(B77,'Insumos e Serviços'!$A:$F,3,0)</f>
        <v>Composição</v>
      </c>
      <c r="B77" s="186" t="s">
        <v>199</v>
      </c>
      <c r="C77" s="187" t="str">
        <f>VLOOKUP(B77,'Insumos e Serviços'!$A:$F,2,0)</f>
        <v>SINAPI</v>
      </c>
      <c r="D77" s="185" t="str">
        <f>VLOOKUP(B77,'Insumos e Serviços'!$A:$F,4,0)</f>
        <v>AUXILIAR DE ENCANADOR OU BOMBEIRO HIDRÁULICO COM ENCARGOS COMPLEMENTARES</v>
      </c>
      <c r="E77" s="187" t="str">
        <f>VLOOKUP(B77,'Insumos e Serviços'!$A:$F,5,0)</f>
        <v>H</v>
      </c>
      <c r="F77" s="188">
        <v>19.100000000000001</v>
      </c>
      <c r="G77" s="189">
        <f>VLOOKUP(B77,'Insumos e Serviços'!$A:$F,6,0)</f>
        <v>18.23</v>
      </c>
      <c r="H77" s="189">
        <f t="shared" si="9"/>
        <v>348.19</v>
      </c>
    </row>
    <row r="78" spans="1:8" s="152" customFormat="1" ht="79.5" thickBot="1" x14ac:dyDescent="0.25">
      <c r="A78" s="185" t="str">
        <f>VLOOKUP(B78,'Insumos e Serviços'!$A:$F,3,0)</f>
        <v>Insumo</v>
      </c>
      <c r="B78" s="186" t="s">
        <v>207</v>
      </c>
      <c r="C78" s="187" t="str">
        <f>VLOOKUP(B78,'Insumos e Serviços'!$A:$F,2,0)</f>
        <v>Próprio</v>
      </c>
      <c r="D78" s="185" t="str">
        <f>VLOOKUP(B78,'Insumos e Serviços'!$A:$F,4,0)</f>
        <v>Unidade evaporadora com módulo ventilador aparelho de ar condicionado de expansão direta tipo “splitão”, montagem na posição vertical, descarga de ar "para cima", com vazão de ar 17000 m³/h, pressão estática até 45mmca, dimensões 710x1900x710mm, alimentação elétrica trifásica, 380V, corrente elétrica 11,77 A, potência elétrica 7,54kW, motor elétrico 7,5 CV, módulo trocador de calor dimensões 1300x1900x710mm, incluindo controle remoto com fio HCWA10NEGQ e caixa de mistura com damper de ar externo CXMT250CNP - JCI – Hitachi RVT250CXM+RTCIV250CNP</v>
      </c>
      <c r="E78" s="187" t="str">
        <f>VLOOKUP(B78,'Insumos e Serviços'!$A:$F,5,0)</f>
        <v>un</v>
      </c>
      <c r="F78" s="188">
        <v>1</v>
      </c>
      <c r="G78" s="189">
        <f>VLOOKUP(B78,'Insumos e Serviços'!$A:$F,6,0)</f>
        <v>13250.41</v>
      </c>
      <c r="H78" s="189">
        <f t="shared" si="9"/>
        <v>13250.41</v>
      </c>
    </row>
    <row r="79" spans="1:8" ht="15" thickTop="1" x14ac:dyDescent="0.2">
      <c r="A79" s="190"/>
      <c r="B79" s="190"/>
      <c r="C79" s="190"/>
      <c r="D79" s="191"/>
      <c r="E79" s="190"/>
      <c r="F79" s="190"/>
      <c r="G79" s="190"/>
      <c r="H79" s="190"/>
    </row>
    <row r="80" spans="1:8" x14ac:dyDescent="0.2">
      <c r="A80" s="196" t="s">
        <v>114</v>
      </c>
      <c r="B80" s="196"/>
      <c r="C80" s="196"/>
      <c r="D80" s="197" t="s">
        <v>115</v>
      </c>
      <c r="E80" s="196"/>
      <c r="F80" s="198"/>
      <c r="G80" s="196"/>
      <c r="H80" s="199"/>
    </row>
    <row r="81" spans="1:8" s="152" customFormat="1" ht="45" x14ac:dyDescent="0.2">
      <c r="A81" s="172" t="s">
        <v>116</v>
      </c>
      <c r="B81" s="183" t="str">
        <f>VLOOKUP(A81,'Orçamento Sintético'!$A:$H,2,0)</f>
        <v xml:space="preserve"> MPDFT1094 </v>
      </c>
      <c r="C81" s="183" t="str">
        <f>VLOOKUP(A81,'Orçamento Sintético'!$A:$H,3,0)</f>
        <v>Próprio</v>
      </c>
      <c r="D81" s="184" t="str">
        <f>VLOOKUP(A81,'Orçamento Sintético'!$A:$H,4,0)</f>
        <v>Cópia da SBC (070087) - Damper de sobre pressão dimensão 400x400mm, em chapa de aço galvanizado, com aletas em alumínio, eixos em aço, buchas em latão, para fluxo não equalizado, incluindo contra moldura - Tropical DSP30 - 400x400 - contra moldura</v>
      </c>
      <c r="E81" s="183" t="str">
        <f>VLOOKUP(A81,'Orçamento Sintético'!$A:$H,5,0)</f>
        <v>un</v>
      </c>
      <c r="F81" s="173"/>
      <c r="G81" s="174"/>
      <c r="H81" s="175">
        <f>SUM(H82:H84)</f>
        <v>1087.47</v>
      </c>
    </row>
    <row r="82" spans="1:8" s="152" customFormat="1" x14ac:dyDescent="0.2">
      <c r="A82" s="185" t="str">
        <f>VLOOKUP(B82,'Insumos e Serviços'!$A:$F,3,0)</f>
        <v>Composição</v>
      </c>
      <c r="B82" s="186" t="s">
        <v>201</v>
      </c>
      <c r="C82" s="187" t="str">
        <f>VLOOKUP(B82,'Insumos e Serviços'!$A:$F,2,0)</f>
        <v>SINAPI</v>
      </c>
      <c r="D82" s="185" t="str">
        <f>VLOOKUP(B82,'Insumos e Serviços'!$A:$F,4,0)</f>
        <v>AUXILIAR DE MECÂNICO COM ENCARGOS COMPLEMENTARES</v>
      </c>
      <c r="E82" s="187" t="str">
        <f>VLOOKUP(B82,'Insumos e Serviços'!$A:$F,5,0)</f>
        <v>H</v>
      </c>
      <c r="F82" s="188">
        <v>2.2389999999999999</v>
      </c>
      <c r="G82" s="189">
        <f>VLOOKUP(B82,'Insumos e Serviços'!$A:$F,6,0)</f>
        <v>16.66</v>
      </c>
      <c r="H82" s="189">
        <f t="shared" ref="H82:H84" si="10">TRUNC(F82*G82,2)</f>
        <v>37.299999999999997</v>
      </c>
    </row>
    <row r="83" spans="1:8" s="152" customFormat="1" x14ac:dyDescent="0.2">
      <c r="A83" s="185" t="str">
        <f>VLOOKUP(B83,'Insumos e Serviços'!$A:$F,3,0)</f>
        <v>Composição</v>
      </c>
      <c r="B83" s="186" t="s">
        <v>203</v>
      </c>
      <c r="C83" s="187" t="str">
        <f>VLOOKUP(B83,'Insumos e Serviços'!$A:$F,2,0)</f>
        <v>SINAPI</v>
      </c>
      <c r="D83" s="185" t="str">
        <f>VLOOKUP(B83,'Insumos e Serviços'!$A:$F,4,0)</f>
        <v>MECÃNICO DE EQUIPAMENTOS PESADOS COM ENCARGOS COMPLEMENTARES</v>
      </c>
      <c r="E83" s="187" t="str">
        <f>VLOOKUP(B83,'Insumos e Serviços'!$A:$F,5,0)</f>
        <v>H</v>
      </c>
      <c r="F83" s="188">
        <v>2.2389999999999999</v>
      </c>
      <c r="G83" s="189">
        <f>VLOOKUP(B83,'Insumos e Serviços'!$A:$F,6,0)</f>
        <v>25.19</v>
      </c>
      <c r="H83" s="189">
        <f t="shared" si="10"/>
        <v>56.4</v>
      </c>
    </row>
    <row r="84" spans="1:8" ht="34.5" thickBot="1" x14ac:dyDescent="0.25">
      <c r="A84" s="185" t="str">
        <f>VLOOKUP(B84,'Insumos e Serviços'!$A:$F,3,0)</f>
        <v>Insumo</v>
      </c>
      <c r="B84" s="186" t="s">
        <v>209</v>
      </c>
      <c r="C84" s="187" t="str">
        <f>VLOOKUP(B84,'Insumos e Serviços'!$A:$F,2,0)</f>
        <v>Próprio</v>
      </c>
      <c r="D84" s="185" t="str">
        <f>VLOOKUP(B84,'Insumos e Serviços'!$A:$F,4,0)</f>
        <v>Damper de sobre pressão dimensão 400x400mm, em chapa de aço galvanizado, com aletas em alumínio, eixos em aço, buchas em latão, para fluxo não equalizado, incluindo contra moldura - Tropical DSP30 - 400x400 - contra moldura</v>
      </c>
      <c r="E84" s="187" t="str">
        <f>VLOOKUP(B84,'Insumos e Serviços'!$A:$F,5,0)</f>
        <v>un</v>
      </c>
      <c r="F84" s="188">
        <v>1</v>
      </c>
      <c r="G84" s="189">
        <f>VLOOKUP(B84,'Insumos e Serviços'!$A:$F,6,0)</f>
        <v>993.77</v>
      </c>
      <c r="H84" s="189">
        <f t="shared" si="10"/>
        <v>993.77</v>
      </c>
    </row>
    <row r="85" spans="1:8" ht="15" thickTop="1" x14ac:dyDescent="0.2">
      <c r="A85" s="190"/>
      <c r="B85" s="190"/>
      <c r="C85" s="190"/>
      <c r="D85" s="191"/>
      <c r="E85" s="190"/>
      <c r="F85" s="190"/>
      <c r="G85" s="190"/>
      <c r="H85" s="190"/>
    </row>
    <row r="86" spans="1:8" s="152" customFormat="1" ht="45" x14ac:dyDescent="0.2">
      <c r="A86" s="172" t="s">
        <v>119</v>
      </c>
      <c r="B86" s="183" t="str">
        <f>VLOOKUP(A86,'Orçamento Sintético'!$A:$H,2,0)</f>
        <v xml:space="preserve"> MPDFT1098 </v>
      </c>
      <c r="C86" s="183" t="str">
        <f>VLOOKUP(A86,'Orçamento Sintético'!$A:$H,3,0)</f>
        <v>Próprio</v>
      </c>
      <c r="D86" s="184" t="str">
        <f>VLOOKUP(A86,'Orçamento Sintético'!$A:$H,4,0)</f>
        <v>Cópia da SBC (070087) -  Damper de sobre pressão dimensão 400x350mm, em chapa de aço galvanizado, com aletas em alumínio, eixos em aço, buchas em latão, para fluxo não equalizado, incluindo contra moldura - Tropical DSP30 - 400x350 - contra moldura</v>
      </c>
      <c r="E86" s="183" t="str">
        <f>VLOOKUP(A86,'Orçamento Sintético'!$A:$H,5,0)</f>
        <v>un</v>
      </c>
      <c r="F86" s="173"/>
      <c r="G86" s="174"/>
      <c r="H86" s="175">
        <f>SUM(H87:H89)</f>
        <v>1145.03</v>
      </c>
    </row>
    <row r="87" spans="1:8" s="152" customFormat="1" x14ac:dyDescent="0.2">
      <c r="A87" s="185" t="str">
        <f>VLOOKUP(B87,'Insumos e Serviços'!$A:$F,3,0)</f>
        <v>Composição</v>
      </c>
      <c r="B87" s="186" t="s">
        <v>203</v>
      </c>
      <c r="C87" s="187" t="str">
        <f>VLOOKUP(B87,'Insumos e Serviços'!$A:$F,2,0)</f>
        <v>SINAPI</v>
      </c>
      <c r="D87" s="185" t="str">
        <f>VLOOKUP(B87,'Insumos e Serviços'!$A:$F,4,0)</f>
        <v>MECÃNICO DE EQUIPAMENTOS PESADOS COM ENCARGOS COMPLEMENTARES</v>
      </c>
      <c r="E87" s="187" t="str">
        <f>VLOOKUP(B87,'Insumos e Serviços'!$A:$F,5,0)</f>
        <v>H</v>
      </c>
      <c r="F87" s="188">
        <v>2.2389999999999999</v>
      </c>
      <c r="G87" s="189">
        <f>VLOOKUP(B87,'Insumos e Serviços'!$A:$F,6,0)</f>
        <v>25.19</v>
      </c>
      <c r="H87" s="189">
        <f t="shared" ref="H87:H89" si="11">TRUNC(F87*G87,2)</f>
        <v>56.4</v>
      </c>
    </row>
    <row r="88" spans="1:8" s="152" customFormat="1" x14ac:dyDescent="0.2">
      <c r="A88" s="185" t="str">
        <f>VLOOKUP(B88,'Insumos e Serviços'!$A:$F,3,0)</f>
        <v>Composição</v>
      </c>
      <c r="B88" s="186" t="s">
        <v>201</v>
      </c>
      <c r="C88" s="187" t="str">
        <f>VLOOKUP(B88,'Insumos e Serviços'!$A:$F,2,0)</f>
        <v>SINAPI</v>
      </c>
      <c r="D88" s="185" t="str">
        <f>VLOOKUP(B88,'Insumos e Serviços'!$A:$F,4,0)</f>
        <v>AUXILIAR DE MECÂNICO COM ENCARGOS COMPLEMENTARES</v>
      </c>
      <c r="E88" s="187" t="str">
        <f>VLOOKUP(B88,'Insumos e Serviços'!$A:$F,5,0)</f>
        <v>H</v>
      </c>
      <c r="F88" s="188">
        <v>2.2389999999999999</v>
      </c>
      <c r="G88" s="189">
        <f>VLOOKUP(B88,'Insumos e Serviços'!$A:$F,6,0)</f>
        <v>16.66</v>
      </c>
      <c r="H88" s="189">
        <f t="shared" si="11"/>
        <v>37.299999999999997</v>
      </c>
    </row>
    <row r="89" spans="1:8" s="152" customFormat="1" ht="34.5" thickBot="1" x14ac:dyDescent="0.25">
      <c r="A89" s="185" t="str">
        <f>VLOOKUP(B89,'Insumos e Serviços'!$A:$F,3,0)</f>
        <v>Insumo</v>
      </c>
      <c r="B89" s="186" t="s">
        <v>211</v>
      </c>
      <c r="C89" s="187" t="str">
        <f>VLOOKUP(B89,'Insumos e Serviços'!$A:$F,2,0)</f>
        <v>Próprio</v>
      </c>
      <c r="D89" s="185" t="str">
        <f>VLOOKUP(B89,'Insumos e Serviços'!$A:$F,4,0)</f>
        <v>Damper de sobre pressão dimensão 400x350mm, em chapa de aço galvanizado, com aletas em alumínio, eixos em aço, buchas em latão, para fluxo não equalizado, incluindo contra moldura - Tropical DSP30 - 400x350 - contra moldura</v>
      </c>
      <c r="E89" s="187" t="str">
        <f>VLOOKUP(B89,'Insumos e Serviços'!$A:$F,5,0)</f>
        <v>un</v>
      </c>
      <c r="F89" s="188">
        <v>1</v>
      </c>
      <c r="G89" s="189">
        <f>VLOOKUP(B89,'Insumos e Serviços'!$A:$F,6,0)</f>
        <v>1051.33</v>
      </c>
      <c r="H89" s="189">
        <f t="shared" si="11"/>
        <v>1051.33</v>
      </c>
    </row>
    <row r="90" spans="1:8" ht="15" thickTop="1" x14ac:dyDescent="0.2">
      <c r="A90" s="190"/>
      <c r="B90" s="190"/>
      <c r="C90" s="190"/>
      <c r="D90" s="191"/>
      <c r="E90" s="190"/>
      <c r="F90" s="190"/>
      <c r="G90" s="190"/>
      <c r="H90" s="190"/>
    </row>
    <row r="91" spans="1:8" ht="33.75" x14ac:dyDescent="0.2">
      <c r="A91" s="172" t="s">
        <v>122</v>
      </c>
      <c r="B91" s="183" t="str">
        <f>VLOOKUP(A91,'Orçamento Sintético'!$A:$H,2,0)</f>
        <v xml:space="preserve"> MPDFT1122 </v>
      </c>
      <c r="C91" s="183" t="str">
        <f>VLOOKUP(A91,'Orçamento Sintético'!$A:$H,3,0)</f>
        <v>Próprio</v>
      </c>
      <c r="D91" s="184" t="str">
        <f>VLOOKUP(A91,'Orçamento Sintético'!$A:$H,4,0)</f>
        <v>Cópia Orse (9840) - Duto em chapa de aço galvanizado #16 (espessura de parede 1,55mm), grau B, com revestimento de 250g/m² de zinco, conforme ABNT NBR 7008, incluindo junta TDC, tirantes, reforços e suportes, conforme ABNT 16401.</v>
      </c>
      <c r="E91" s="183" t="str">
        <f>VLOOKUP(A91,'Orçamento Sintético'!$A:$H,5,0)</f>
        <v>m²</v>
      </c>
      <c r="F91" s="173"/>
      <c r="G91" s="174"/>
      <c r="H91" s="175">
        <f>SUM(H92:H95)</f>
        <v>272.95</v>
      </c>
    </row>
    <row r="92" spans="1:8" s="152" customFormat="1" ht="22.5" x14ac:dyDescent="0.2">
      <c r="A92" s="185" t="str">
        <f>VLOOKUP(B92,'Insumos e Serviços'!$A:$F,3,0)</f>
        <v>Composição</v>
      </c>
      <c r="B92" s="186" t="s">
        <v>213</v>
      </c>
      <c r="C92" s="187" t="str">
        <f>VLOOKUP(B92,'Insumos e Serviços'!$A:$F,2,0)</f>
        <v>SINAPI</v>
      </c>
      <c r="D92" s="185" t="str">
        <f>VLOOKUP(B92,'Insumos e Serviços'!$A:$F,4,0)</f>
        <v>SUPORTE PARA DUTO EM CHAPA GALVANIZADA BITOLA 22, ESPAÇADO A CADA 1 M, EM PERFILADO DE SEÇÃO 38X76 MM, POR ÁREA DE DUTO FIXADO. AF_07/2017</v>
      </c>
      <c r="E92" s="187" t="str">
        <f>VLOOKUP(B92,'Insumos e Serviços'!$A:$F,5,0)</f>
        <v>m²</v>
      </c>
      <c r="F92" s="188">
        <v>1</v>
      </c>
      <c r="G92" s="189">
        <f>VLOOKUP(B92,'Insumos e Serviços'!$A:$F,6,0)</f>
        <v>12.97</v>
      </c>
      <c r="H92" s="189">
        <f t="shared" ref="H92:H95" si="12">TRUNC(F92*G92,2)</f>
        <v>12.97</v>
      </c>
    </row>
    <row r="93" spans="1:8" s="152" customFormat="1" x14ac:dyDescent="0.2">
      <c r="A93" s="185" t="str">
        <f>VLOOKUP(B93,'Insumos e Serviços'!$A:$F,3,0)</f>
        <v>Composição</v>
      </c>
      <c r="B93" s="186" t="s">
        <v>166</v>
      </c>
      <c r="C93" s="187" t="str">
        <f>VLOOKUP(B93,'Insumos e Serviços'!$A:$F,2,0)</f>
        <v>SINAPI</v>
      </c>
      <c r="D93" s="185" t="str">
        <f>VLOOKUP(B93,'Insumos e Serviços'!$A:$F,4,0)</f>
        <v>SERRALHEIRO COM ENCARGOS COMPLEMENTARES</v>
      </c>
      <c r="E93" s="187" t="str">
        <f>VLOOKUP(B93,'Insumos e Serviços'!$A:$F,5,0)</f>
        <v>H</v>
      </c>
      <c r="F93" s="188">
        <v>1</v>
      </c>
      <c r="G93" s="189">
        <f>VLOOKUP(B93,'Insumos e Serviços'!$A:$F,6,0)</f>
        <v>23.78</v>
      </c>
      <c r="H93" s="189">
        <f t="shared" si="12"/>
        <v>23.78</v>
      </c>
    </row>
    <row r="94" spans="1:8" s="152" customFormat="1" x14ac:dyDescent="0.2">
      <c r="A94" s="185" t="str">
        <f>VLOOKUP(B94,'Insumos e Serviços'!$A:$F,3,0)</f>
        <v>Composição</v>
      </c>
      <c r="B94" s="186" t="s">
        <v>168</v>
      </c>
      <c r="C94" s="187" t="str">
        <f>VLOOKUP(B94,'Insumos e Serviços'!$A:$F,2,0)</f>
        <v>SINAPI</v>
      </c>
      <c r="D94" s="185" t="str">
        <f>VLOOKUP(B94,'Insumos e Serviços'!$A:$F,4,0)</f>
        <v>AUXILIAR DE SERRALHEIRO COM ENCARGOS COMPLEMENTARES</v>
      </c>
      <c r="E94" s="187" t="str">
        <f>VLOOKUP(B94,'Insumos e Serviços'!$A:$F,5,0)</f>
        <v>H</v>
      </c>
      <c r="F94" s="188">
        <v>1</v>
      </c>
      <c r="G94" s="189">
        <f>VLOOKUP(B94,'Insumos e Serviços'!$A:$F,6,0)</f>
        <v>19.309999999999999</v>
      </c>
      <c r="H94" s="189">
        <f t="shared" si="12"/>
        <v>19.309999999999999</v>
      </c>
    </row>
    <row r="95" spans="1:8" s="152" customFormat="1" ht="15" thickBot="1" x14ac:dyDescent="0.25">
      <c r="A95" s="185" t="str">
        <f>VLOOKUP(B95,'Insumos e Serviços'!$A:$F,3,0)</f>
        <v>Insumo</v>
      </c>
      <c r="B95" s="186" t="s">
        <v>215</v>
      </c>
      <c r="C95" s="187" t="str">
        <f>VLOOKUP(B95,'Insumos e Serviços'!$A:$F,2,0)</f>
        <v>SINAPI</v>
      </c>
      <c r="D95" s="185" t="str">
        <f>VLOOKUP(B95,'Insumos e Serviços'!$A:$F,4,0)</f>
        <v>CHAPA DE ACO GALVANIZADA BITOLA GSG 16, E = 1,55 MM (12,40 KG/M2)</v>
      </c>
      <c r="E95" s="187" t="str">
        <f>VLOOKUP(B95,'Insumos e Serviços'!$A:$F,5,0)</f>
        <v>KG</v>
      </c>
      <c r="F95" s="188">
        <v>14.507999999999999</v>
      </c>
      <c r="G95" s="189">
        <f>VLOOKUP(B95,'Insumos e Serviços'!$A:$F,6,0)</f>
        <v>14.95</v>
      </c>
      <c r="H95" s="189">
        <f t="shared" si="12"/>
        <v>216.89</v>
      </c>
    </row>
    <row r="96" spans="1:8" s="152" customFormat="1" ht="15" thickTop="1" x14ac:dyDescent="0.2">
      <c r="A96" s="190"/>
      <c r="B96" s="190"/>
      <c r="C96" s="190"/>
      <c r="D96" s="191"/>
      <c r="E96" s="190"/>
      <c r="F96" s="190"/>
      <c r="G96" s="190"/>
      <c r="H96" s="190"/>
    </row>
    <row r="97" spans="1:8" ht="123.75" x14ac:dyDescent="0.2">
      <c r="A97" s="172" t="s">
        <v>125</v>
      </c>
      <c r="B97" s="183" t="str">
        <f>VLOOKUP(A97,'Orçamento Sintético'!$A:$H,2,0)</f>
        <v xml:space="preserve"> MPDFT0060 </v>
      </c>
      <c r="C97" s="183" t="str">
        <f>VLOOKUP(A97,'Orçamento Sintético'!$A:$H,3,0)</f>
        <v>Próprio</v>
      </c>
      <c r="D97" s="184" t="str">
        <f>VLOOKUP(A97,'Orçamento Sintético'!$A:$H,4,0)</f>
        <v>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v>
      </c>
      <c r="E97" s="183" t="str">
        <f>VLOOKUP(A97,'Orçamento Sintético'!$A:$H,5,0)</f>
        <v>m²</v>
      </c>
      <c r="F97" s="173"/>
      <c r="G97" s="174"/>
      <c r="H97" s="175">
        <f>SUM(H98:H100)</f>
        <v>132.65</v>
      </c>
    </row>
    <row r="98" spans="1:8" s="152" customFormat="1" x14ac:dyDescent="0.2">
      <c r="A98" s="185" t="str">
        <f>VLOOKUP(B98,'Insumos e Serviços'!$A:$F,3,0)</f>
        <v>Composição</v>
      </c>
      <c r="B98" s="186" t="s">
        <v>217</v>
      </c>
      <c r="C98" s="187" t="str">
        <f>VLOOKUP(B98,'Insumos e Serviços'!$A:$F,2,0)</f>
        <v>SINAPI</v>
      </c>
      <c r="D98" s="185" t="str">
        <f>VLOOKUP(B98,'Insumos e Serviços'!$A:$F,4,0)</f>
        <v>MONTADOR (TUBO AÇO/EQUIPAMENTOS) COM ENCARGOS COMPLEMENTARES</v>
      </c>
      <c r="E98" s="187" t="str">
        <f>VLOOKUP(B98,'Insumos e Serviços'!$A:$F,5,0)</f>
        <v>H</v>
      </c>
      <c r="F98" s="188">
        <v>1.0979000000000001</v>
      </c>
      <c r="G98" s="189">
        <f>VLOOKUP(B98,'Insumos e Serviços'!$A:$F,6,0)</f>
        <v>18.850000000000001</v>
      </c>
      <c r="H98" s="189">
        <f t="shared" ref="H98:H100" si="13">TRUNC(F98*G98,2)</f>
        <v>20.69</v>
      </c>
    </row>
    <row r="99" spans="1:8" s="152" customFormat="1" x14ac:dyDescent="0.2">
      <c r="A99" s="185" t="str">
        <f>VLOOKUP(B99,'Insumos e Serviços'!$A:$F,3,0)</f>
        <v>Composição</v>
      </c>
      <c r="B99" s="186" t="s">
        <v>219</v>
      </c>
      <c r="C99" s="187" t="str">
        <f>VLOOKUP(B99,'Insumos e Serviços'!$A:$F,2,0)</f>
        <v>SINAPI</v>
      </c>
      <c r="D99" s="185" t="str">
        <f>VLOOKUP(B99,'Insumos e Serviços'!$A:$F,4,0)</f>
        <v>AJUDANTE ESPECIALIZADO COM ENCARGOS COMPLEMENTARES</v>
      </c>
      <c r="E99" s="187" t="str">
        <f>VLOOKUP(B99,'Insumos e Serviços'!$A:$F,5,0)</f>
        <v>H</v>
      </c>
      <c r="F99" s="188">
        <v>1.0979000000000001</v>
      </c>
      <c r="G99" s="189">
        <f>VLOOKUP(B99,'Insumos e Serviços'!$A:$F,6,0)</f>
        <v>20.96</v>
      </c>
      <c r="H99" s="189">
        <f t="shared" si="13"/>
        <v>23.01</v>
      </c>
    </row>
    <row r="100" spans="1:8" s="152" customFormat="1" ht="34.5" thickBot="1" x14ac:dyDescent="0.25">
      <c r="A100" s="185" t="str">
        <f>VLOOKUP(B100,'Insumos e Serviços'!$A:$F,3,0)</f>
        <v>Insumo</v>
      </c>
      <c r="B100" s="186" t="s">
        <v>221</v>
      </c>
      <c r="C100" s="187" t="str">
        <f>VLOOKUP(B100,'Insumos e Serviços'!$A:$F,2,0)</f>
        <v>Próprio</v>
      </c>
      <c r="D100" s="185" t="str">
        <f>VLOOKUP(B100,'Insumos e Serviços'!$A:$F,4,0)</f>
        <v>Painel  MPU, pré-isolado de poli-isocianurato, revestido com duas lâminas de alumínio gofrado, (esp. 20mm) – ref. Multivac (inclusive perdas, acessórios de conexão, de vedação e de reforço)</v>
      </c>
      <c r="E100" s="187" t="str">
        <f>VLOOKUP(B100,'Insumos e Serviços'!$A:$F,5,0)</f>
        <v>m²</v>
      </c>
      <c r="F100" s="188">
        <v>1</v>
      </c>
      <c r="G100" s="189">
        <f>VLOOKUP(B100,'Insumos e Serviços'!$A:$F,6,0)</f>
        <v>88.95</v>
      </c>
      <c r="H100" s="189">
        <f t="shared" si="13"/>
        <v>88.95</v>
      </c>
    </row>
    <row r="101" spans="1:8" s="152" customFormat="1" ht="15" thickTop="1" x14ac:dyDescent="0.2">
      <c r="A101" s="190"/>
      <c r="B101" s="190"/>
      <c r="C101" s="190"/>
      <c r="D101" s="191"/>
      <c r="E101" s="190"/>
      <c r="F101" s="190"/>
      <c r="G101" s="190"/>
      <c r="H101" s="190"/>
    </row>
    <row r="102" spans="1:8" ht="33.75" x14ac:dyDescent="0.2">
      <c r="A102" s="172" t="s">
        <v>141</v>
      </c>
      <c r="B102" s="183" t="str">
        <f>VLOOKUP(A102,'Orçamento Sintético'!$A:$H,2,0)</f>
        <v xml:space="preserve"> MPDFT1102 </v>
      </c>
      <c r="C102" s="183" t="str">
        <f>VLOOKUP(A102,'Orçamento Sintético'!$A:$H,3,0)</f>
        <v>Próprio</v>
      </c>
      <c r="D102" s="184" t="str">
        <f>VLOOKUP(A102,'Orçamento Sintético'!$A:$H,4,0)</f>
        <v>Cópia da CPOS (47.20.180) - Filtro Y 8" fabricado com corpo em ferro fundido, filtro removível em aço inoxidável AISI-304, com furação de 1,2mm, com as extremidades flangeadas - NIAGARA</v>
      </c>
      <c r="E102" s="183" t="str">
        <f>VLOOKUP(A102,'Orçamento Sintético'!$A:$H,5,0)</f>
        <v>un</v>
      </c>
      <c r="F102" s="173"/>
      <c r="G102" s="174"/>
      <c r="H102" s="175">
        <f>SUM(H103:H106)</f>
        <v>5406.11</v>
      </c>
    </row>
    <row r="103" spans="1:8" x14ac:dyDescent="0.2">
      <c r="A103" s="185" t="str">
        <f>VLOOKUP(B103,'Insumos e Serviços'!$A:$F,3,0)</f>
        <v>Composição</v>
      </c>
      <c r="B103" s="186" t="s">
        <v>197</v>
      </c>
      <c r="C103" s="187" t="str">
        <f>VLOOKUP(B103,'Insumos e Serviços'!$A:$F,2,0)</f>
        <v>SINAPI</v>
      </c>
      <c r="D103" s="185" t="str">
        <f>VLOOKUP(B103,'Insumos e Serviços'!$A:$F,4,0)</f>
        <v>ENCANADOR OU BOMBEIRO HIDRÁULICO COM ENCARGOS COMPLEMENTARES</v>
      </c>
      <c r="E103" s="187" t="str">
        <f>VLOOKUP(B103,'Insumos e Serviços'!$A:$F,5,0)</f>
        <v>H</v>
      </c>
      <c r="F103" s="188">
        <v>3</v>
      </c>
      <c r="G103" s="189">
        <f>VLOOKUP(B103,'Insumos e Serviços'!$A:$F,6,0)</f>
        <v>23.41</v>
      </c>
      <c r="H103" s="189">
        <f t="shared" ref="H103:H106" si="14">TRUNC(F103*G103,2)</f>
        <v>70.23</v>
      </c>
    </row>
    <row r="104" spans="1:8" x14ac:dyDescent="0.2">
      <c r="A104" s="185" t="str">
        <f>VLOOKUP(B104,'Insumos e Serviços'!$A:$F,3,0)</f>
        <v>Composição</v>
      </c>
      <c r="B104" s="186" t="s">
        <v>199</v>
      </c>
      <c r="C104" s="187" t="str">
        <f>VLOOKUP(B104,'Insumos e Serviços'!$A:$F,2,0)</f>
        <v>SINAPI</v>
      </c>
      <c r="D104" s="185" t="str">
        <f>VLOOKUP(B104,'Insumos e Serviços'!$A:$F,4,0)</f>
        <v>AUXILIAR DE ENCANADOR OU BOMBEIRO HIDRÁULICO COM ENCARGOS COMPLEMENTARES</v>
      </c>
      <c r="E104" s="187" t="str">
        <f>VLOOKUP(B104,'Insumos e Serviços'!$A:$F,5,0)</f>
        <v>H</v>
      </c>
      <c r="F104" s="188">
        <v>3</v>
      </c>
      <c r="G104" s="189">
        <f>VLOOKUP(B104,'Insumos e Serviços'!$A:$F,6,0)</f>
        <v>18.23</v>
      </c>
      <c r="H104" s="189">
        <f t="shared" si="14"/>
        <v>54.69</v>
      </c>
    </row>
    <row r="105" spans="1:8" s="152" customFormat="1" ht="22.5" x14ac:dyDescent="0.2">
      <c r="A105" s="185" t="str">
        <f>VLOOKUP(B105,'Insumos e Serviços'!$A:$F,3,0)</f>
        <v>Insumo</v>
      </c>
      <c r="B105" s="186" t="s">
        <v>223</v>
      </c>
      <c r="C105" s="187" t="str">
        <f>VLOOKUP(B105,'Insumos e Serviços'!$A:$F,2,0)</f>
        <v>Próprio</v>
      </c>
      <c r="D105" s="185" t="str">
        <f>VLOOKUP(B105,'Insumos e Serviços'!$A:$F,4,0)</f>
        <v>Filtro Y 8" fabricado com corpo em ferro fundido, filtro removível em aço inoxidável AISI-304, com furação de 1,2mm, com as extremidades flangeadas - NIAGARA</v>
      </c>
      <c r="E105" s="187">
        <f>VLOOKUP(B105,'Insumos e Serviços'!$A:$F,5,0)</f>
        <v>0</v>
      </c>
      <c r="F105" s="188">
        <v>1</v>
      </c>
      <c r="G105" s="189">
        <f>VLOOKUP(B105,'Insumos e Serviços'!$A:$F,6,0)</f>
        <v>5219.03</v>
      </c>
      <c r="H105" s="189">
        <f t="shared" si="14"/>
        <v>5219.03</v>
      </c>
    </row>
    <row r="106" spans="1:8" x14ac:dyDescent="0.2">
      <c r="A106" s="185" t="str">
        <f>VLOOKUP(B106,'Insumos e Serviços'!$A:$F,3,0)</f>
        <v>Insumo</v>
      </c>
      <c r="B106" s="186" t="s">
        <v>225</v>
      </c>
      <c r="C106" s="187" t="str">
        <f>VLOOKUP(B106,'Insumos e Serviços'!$A:$F,2,0)</f>
        <v>SINAPI</v>
      </c>
      <c r="D106" s="185" t="str">
        <f>VLOOKUP(B106,'Insumos e Serviços'!$A:$F,4,0)</f>
        <v>ANEL BORRACHA, PARA TUBO PVC DEFOFO, DN 200 MM (NBR 7665)</v>
      </c>
      <c r="E106" s="187" t="str">
        <f>VLOOKUP(B106,'Insumos e Serviços'!$A:$F,5,0)</f>
        <v>UN</v>
      </c>
      <c r="F106" s="188">
        <v>2</v>
      </c>
      <c r="G106" s="189">
        <f>VLOOKUP(B106,'Insumos e Serviços'!$A:$F,6,0)</f>
        <v>31.08</v>
      </c>
      <c r="H106" s="189">
        <f t="shared" si="14"/>
        <v>62.16</v>
      </c>
    </row>
  </sheetData>
  <mergeCells count="13">
    <mergeCell ref="A2:B2"/>
    <mergeCell ref="E2:F2"/>
    <mergeCell ref="G2:H2"/>
    <mergeCell ref="A4:B4"/>
    <mergeCell ref="C4:D4"/>
    <mergeCell ref="E4:F4"/>
    <mergeCell ref="G4:H4"/>
    <mergeCell ref="A6:B6"/>
    <mergeCell ref="C6:D6"/>
    <mergeCell ref="E6:F6"/>
    <mergeCell ref="G1:H1"/>
    <mergeCell ref="G6:H6"/>
    <mergeCell ref="A7:H7"/>
  </mergeCells>
  <printOptions horizontalCentered="1"/>
  <pageMargins left="0.59055118110236227" right="0.59055118110236227" top="0.59055118110236227" bottom="0.59055118110236227" header="0.19685039370078741" footer="0.19685039370078741"/>
  <pageSetup paperSize="9"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92C60-4A01-4C12-AB69-40B9BB4AE0FE}">
  <sheetPr>
    <pageSetUpPr fitToPage="1"/>
  </sheetPr>
  <dimension ref="A1:H56"/>
  <sheetViews>
    <sheetView showGridLines="0" zoomScaleNormal="100" zoomScaleSheetLayoutView="100" workbookViewId="0"/>
  </sheetViews>
  <sheetFormatPr defaultRowHeight="14.25" x14ac:dyDescent="0.2"/>
  <cols>
    <col min="1" max="2" width="10" style="149" customWidth="1"/>
    <col min="3" max="3" width="13.25" style="149" customWidth="1"/>
    <col min="4" max="4" width="60" style="149" customWidth="1"/>
    <col min="5" max="5" width="8" style="149" customWidth="1"/>
    <col min="6" max="6" width="13" style="149" customWidth="1"/>
    <col min="7" max="8" width="15.625" style="149" customWidth="1"/>
    <col min="9" max="16384" width="9" style="149"/>
  </cols>
  <sheetData>
    <row r="1" spans="1:8" x14ac:dyDescent="0.2">
      <c r="A1" s="118" t="str">
        <f>'Orçamento Sintético'!A1</f>
        <v>P. Execução:</v>
      </c>
      <c r="B1" s="141"/>
      <c r="C1" s="118" t="str">
        <f>'Orçamento Sintético'!C1</f>
        <v>Licitação:</v>
      </c>
      <c r="D1" s="119" t="str">
        <f>'Orçamento Sintético'!D1</f>
        <v>Objeto: Implantação de sistema VRF no auditório ed. Sede</v>
      </c>
      <c r="E1" s="118" t="str">
        <f>'Orçamento Sintético'!E1</f>
        <v>Data:</v>
      </c>
      <c r="F1" s="129"/>
      <c r="G1" s="163"/>
      <c r="H1" s="132"/>
    </row>
    <row r="2" spans="1:8" x14ac:dyDescent="0.2">
      <c r="A2" s="133" t="str">
        <f>'Orçamento Sintético'!A2:B2</f>
        <v>A</v>
      </c>
      <c r="B2" s="144"/>
      <c r="C2" s="124" t="str">
        <f>'Orçamento Sintético'!C2</f>
        <v>B</v>
      </c>
      <c r="D2" s="123" t="str">
        <f>'Orçamento Sintético'!D2</f>
        <v>Local: Praça do Buriti Bloco A, Lote 2 - Zona Cívico-Administrativa - Brasília / DF</v>
      </c>
      <c r="E2" s="164">
        <f>'Orçamento Sintético'!E2:F2</f>
        <v>1</v>
      </c>
      <c r="F2" s="165"/>
      <c r="G2" s="137"/>
      <c r="H2" s="138"/>
    </row>
    <row r="3" spans="1:8" x14ac:dyDescent="0.2">
      <c r="A3" s="126" t="str">
        <f>'Orçamento Sintético'!A3</f>
        <v>P. Validade:</v>
      </c>
      <c r="B3" s="166"/>
      <c r="C3" s="126" t="str">
        <f>'Orçamento Sintético'!C3</f>
        <v>Razão Social:</v>
      </c>
      <c r="D3" s="129"/>
      <c r="E3" s="118" t="str">
        <f>'Orçamento Sintético'!E3</f>
        <v>Telefone:</v>
      </c>
      <c r="F3" s="129"/>
      <c r="G3" s="142"/>
      <c r="H3" s="143"/>
    </row>
    <row r="4" spans="1:8" x14ac:dyDescent="0.2">
      <c r="A4" s="133" t="str">
        <f>'Orçamento Sintético'!A4:B4</f>
        <v>C</v>
      </c>
      <c r="B4" s="144"/>
      <c r="C4" s="133" t="str">
        <f>'Orçamento Sintético'!C4:D4</f>
        <v>D</v>
      </c>
      <c r="D4" s="134"/>
      <c r="E4" s="133" t="str">
        <f>'Orçamento Sintético'!E4:F4</f>
        <v>E</v>
      </c>
      <c r="F4" s="134"/>
      <c r="G4" s="137"/>
      <c r="H4" s="138"/>
    </row>
    <row r="5" spans="1:8" x14ac:dyDescent="0.2">
      <c r="A5" s="118" t="str">
        <f>'Orçamento Sintético'!A5</f>
        <v>P. Garantia:</v>
      </c>
      <c r="B5" s="141"/>
      <c r="C5" s="118" t="str">
        <f>'Orçamento Sintético'!C5</f>
        <v>CNPJ:</v>
      </c>
      <c r="D5" s="129"/>
      <c r="E5" s="118" t="str">
        <f>'Orçamento Sintético'!E5</f>
        <v>E-mail:</v>
      </c>
      <c r="F5" s="129"/>
      <c r="G5" s="142"/>
      <c r="H5" s="143"/>
    </row>
    <row r="6" spans="1:8" x14ac:dyDescent="0.2">
      <c r="A6" s="133" t="str">
        <f>'Orçamento Sintético'!A6:B6</f>
        <v>F</v>
      </c>
      <c r="B6" s="144"/>
      <c r="C6" s="133" t="str">
        <f>'Orçamento Sintético'!C6:D6</f>
        <v>G</v>
      </c>
      <c r="D6" s="134"/>
      <c r="E6" s="133" t="str">
        <f>'Orçamento Sintético'!E6:F6</f>
        <v>H</v>
      </c>
      <c r="F6" s="134"/>
      <c r="G6" s="147"/>
      <c r="H6" s="148"/>
    </row>
    <row r="7" spans="1:8" ht="15" x14ac:dyDescent="0.25">
      <c r="A7" s="167" t="s">
        <v>394</v>
      </c>
      <c r="B7" s="167"/>
      <c r="C7" s="167"/>
      <c r="D7" s="167"/>
      <c r="E7" s="167"/>
      <c r="F7" s="167"/>
      <c r="G7" s="167"/>
      <c r="H7" s="167"/>
    </row>
    <row r="8" spans="1:8" ht="15" x14ac:dyDescent="0.2">
      <c r="A8" s="168" t="s">
        <v>1</v>
      </c>
      <c r="B8" s="168" t="s">
        <v>2</v>
      </c>
      <c r="C8" s="168" t="s">
        <v>395</v>
      </c>
      <c r="D8" s="168" t="s">
        <v>3</v>
      </c>
      <c r="E8" s="168" t="s">
        <v>4</v>
      </c>
      <c r="F8" s="168" t="s">
        <v>6</v>
      </c>
      <c r="G8" s="168" t="s">
        <v>396</v>
      </c>
      <c r="H8" s="168" t="s">
        <v>397</v>
      </c>
    </row>
    <row r="9" spans="1:8" s="152" customFormat="1" x14ac:dyDescent="0.2">
      <c r="A9" s="159" t="s">
        <v>225</v>
      </c>
      <c r="B9" s="159" t="s">
        <v>24</v>
      </c>
      <c r="C9" s="159" t="s">
        <v>161</v>
      </c>
      <c r="D9" s="160" t="s">
        <v>226</v>
      </c>
      <c r="E9" s="159" t="s">
        <v>77</v>
      </c>
      <c r="F9" s="162">
        <v>31.08</v>
      </c>
      <c r="G9" s="170" t="s">
        <v>398</v>
      </c>
      <c r="H9" s="170" t="s">
        <v>398</v>
      </c>
    </row>
    <row r="10" spans="1:8" s="152" customFormat="1" ht="22.5" x14ac:dyDescent="0.2">
      <c r="A10" s="159" t="s">
        <v>193</v>
      </c>
      <c r="B10" s="159" t="s">
        <v>24</v>
      </c>
      <c r="C10" s="159" t="s">
        <v>161</v>
      </c>
      <c r="D10" s="160" t="s">
        <v>194</v>
      </c>
      <c r="E10" s="159" t="s">
        <v>77</v>
      </c>
      <c r="F10" s="162">
        <v>28.31</v>
      </c>
      <c r="G10" s="170" t="s">
        <v>398</v>
      </c>
      <c r="H10" s="170" t="s">
        <v>398</v>
      </c>
    </row>
    <row r="11" spans="1:8" s="152" customFormat="1" ht="22.5" x14ac:dyDescent="0.2">
      <c r="A11" s="159" t="s">
        <v>195</v>
      </c>
      <c r="B11" s="159" t="s">
        <v>24</v>
      </c>
      <c r="C11" s="159" t="s">
        <v>161</v>
      </c>
      <c r="D11" s="160" t="s">
        <v>196</v>
      </c>
      <c r="E11" s="159" t="s">
        <v>77</v>
      </c>
      <c r="F11" s="162">
        <v>18.59</v>
      </c>
      <c r="G11" s="170" t="s">
        <v>398</v>
      </c>
      <c r="H11" s="170" t="s">
        <v>398</v>
      </c>
    </row>
    <row r="12" spans="1:8" s="152" customFormat="1" ht="22.5" x14ac:dyDescent="0.2">
      <c r="A12" s="159" t="s">
        <v>185</v>
      </c>
      <c r="B12" s="159" t="s">
        <v>24</v>
      </c>
      <c r="C12" s="159" t="s">
        <v>161</v>
      </c>
      <c r="D12" s="160" t="s">
        <v>186</v>
      </c>
      <c r="E12" s="159" t="s">
        <v>77</v>
      </c>
      <c r="F12" s="162">
        <v>18.13</v>
      </c>
      <c r="G12" s="170" t="s">
        <v>398</v>
      </c>
      <c r="H12" s="170" t="s">
        <v>398</v>
      </c>
    </row>
    <row r="13" spans="1:8" s="152" customFormat="1" ht="22.5" x14ac:dyDescent="0.2">
      <c r="A13" s="159" t="s">
        <v>187</v>
      </c>
      <c r="B13" s="159" t="s">
        <v>24</v>
      </c>
      <c r="C13" s="159" t="s">
        <v>161</v>
      </c>
      <c r="D13" s="160" t="s">
        <v>188</v>
      </c>
      <c r="E13" s="159" t="s">
        <v>77</v>
      </c>
      <c r="F13" s="162">
        <v>5.4</v>
      </c>
      <c r="G13" s="170" t="s">
        <v>398</v>
      </c>
      <c r="H13" s="170" t="s">
        <v>398</v>
      </c>
    </row>
    <row r="14" spans="1:8" s="152" customFormat="1" x14ac:dyDescent="0.2">
      <c r="A14" s="159" t="s">
        <v>215</v>
      </c>
      <c r="B14" s="159" t="s">
        <v>24</v>
      </c>
      <c r="C14" s="159" t="s">
        <v>161</v>
      </c>
      <c r="D14" s="160" t="s">
        <v>216</v>
      </c>
      <c r="E14" s="159" t="s">
        <v>172</v>
      </c>
      <c r="F14" s="162">
        <v>14.95</v>
      </c>
      <c r="G14" s="170" t="s">
        <v>398</v>
      </c>
      <c r="H14" s="170" t="s">
        <v>398</v>
      </c>
    </row>
    <row r="15" spans="1:8" s="152" customFormat="1" ht="22.5" x14ac:dyDescent="0.2">
      <c r="A15" s="159" t="s">
        <v>191</v>
      </c>
      <c r="B15" s="159" t="s">
        <v>24</v>
      </c>
      <c r="C15" s="159" t="s">
        <v>161</v>
      </c>
      <c r="D15" s="160" t="s">
        <v>192</v>
      </c>
      <c r="E15" s="159" t="s">
        <v>77</v>
      </c>
      <c r="F15" s="162">
        <v>0.31</v>
      </c>
      <c r="G15" s="170" t="s">
        <v>398</v>
      </c>
      <c r="H15" s="170" t="s">
        <v>398</v>
      </c>
    </row>
    <row r="16" spans="1:8" s="152" customFormat="1" x14ac:dyDescent="0.2">
      <c r="A16" s="159" t="s">
        <v>219</v>
      </c>
      <c r="B16" s="159" t="s">
        <v>24</v>
      </c>
      <c r="C16" s="159" t="s">
        <v>160</v>
      </c>
      <c r="D16" s="160" t="s">
        <v>220</v>
      </c>
      <c r="E16" s="159" t="s">
        <v>164</v>
      </c>
      <c r="F16" s="162">
        <v>20.96</v>
      </c>
      <c r="G16" s="170" t="s">
        <v>398</v>
      </c>
      <c r="H16" s="170" t="s">
        <v>398</v>
      </c>
    </row>
    <row r="17" spans="1:8" s="152" customFormat="1" x14ac:dyDescent="0.2">
      <c r="A17" s="159" t="s">
        <v>177</v>
      </c>
      <c r="B17" s="159" t="s">
        <v>24</v>
      </c>
      <c r="C17" s="159" t="s">
        <v>160</v>
      </c>
      <c r="D17" s="160" t="s">
        <v>178</v>
      </c>
      <c r="E17" s="159" t="s">
        <v>164</v>
      </c>
      <c r="F17" s="162">
        <v>18.739999999999998</v>
      </c>
      <c r="G17" s="170" t="s">
        <v>398</v>
      </c>
      <c r="H17" s="170" t="s">
        <v>398</v>
      </c>
    </row>
    <row r="18" spans="1:8" s="152" customFormat="1" x14ac:dyDescent="0.2">
      <c r="A18" s="159" t="s">
        <v>199</v>
      </c>
      <c r="B18" s="159" t="s">
        <v>24</v>
      </c>
      <c r="C18" s="159" t="s">
        <v>160</v>
      </c>
      <c r="D18" s="160" t="s">
        <v>200</v>
      </c>
      <c r="E18" s="159" t="s">
        <v>164</v>
      </c>
      <c r="F18" s="162">
        <v>18.23</v>
      </c>
      <c r="G18" s="170" t="s">
        <v>398</v>
      </c>
      <c r="H18" s="170" t="s">
        <v>398</v>
      </c>
    </row>
    <row r="19" spans="1:8" s="152" customFormat="1" x14ac:dyDescent="0.2">
      <c r="A19" s="159" t="s">
        <v>201</v>
      </c>
      <c r="B19" s="159" t="s">
        <v>24</v>
      </c>
      <c r="C19" s="159" t="s">
        <v>160</v>
      </c>
      <c r="D19" s="160" t="s">
        <v>202</v>
      </c>
      <c r="E19" s="159" t="s">
        <v>164</v>
      </c>
      <c r="F19" s="162">
        <v>16.66</v>
      </c>
      <c r="G19" s="170" t="s">
        <v>398</v>
      </c>
      <c r="H19" s="170" t="s">
        <v>398</v>
      </c>
    </row>
    <row r="20" spans="1:8" s="152" customFormat="1" x14ac:dyDescent="0.2">
      <c r="A20" s="159" t="s">
        <v>168</v>
      </c>
      <c r="B20" s="159" t="s">
        <v>24</v>
      </c>
      <c r="C20" s="159" t="s">
        <v>160</v>
      </c>
      <c r="D20" s="160" t="s">
        <v>169</v>
      </c>
      <c r="E20" s="159" t="s">
        <v>164</v>
      </c>
      <c r="F20" s="162">
        <v>19.309999999999999</v>
      </c>
      <c r="G20" s="170" t="s">
        <v>398</v>
      </c>
      <c r="H20" s="170" t="s">
        <v>398</v>
      </c>
    </row>
    <row r="21" spans="1:8" s="152" customFormat="1" x14ac:dyDescent="0.2">
      <c r="A21" s="159" t="s">
        <v>173</v>
      </c>
      <c r="B21" s="159" t="s">
        <v>24</v>
      </c>
      <c r="C21" s="159" t="s">
        <v>160</v>
      </c>
      <c r="D21" s="160" t="s">
        <v>174</v>
      </c>
      <c r="E21" s="159" t="s">
        <v>164</v>
      </c>
      <c r="F21" s="162">
        <v>24.1</v>
      </c>
      <c r="G21" s="170" t="s">
        <v>398</v>
      </c>
      <c r="H21" s="170" t="s">
        <v>398</v>
      </c>
    </row>
    <row r="22" spans="1:8" s="152" customFormat="1" x14ac:dyDescent="0.2">
      <c r="A22" s="159" t="s">
        <v>197</v>
      </c>
      <c r="B22" s="159" t="s">
        <v>24</v>
      </c>
      <c r="C22" s="159" t="s">
        <v>160</v>
      </c>
      <c r="D22" s="160" t="s">
        <v>198</v>
      </c>
      <c r="E22" s="159" t="s">
        <v>164</v>
      </c>
      <c r="F22" s="162">
        <v>23.41</v>
      </c>
      <c r="G22" s="170" t="s">
        <v>398</v>
      </c>
      <c r="H22" s="170" t="s">
        <v>398</v>
      </c>
    </row>
    <row r="23" spans="1:8" x14ac:dyDescent="0.2">
      <c r="A23" s="159" t="s">
        <v>203</v>
      </c>
      <c r="B23" s="159" t="s">
        <v>24</v>
      </c>
      <c r="C23" s="159" t="s">
        <v>160</v>
      </c>
      <c r="D23" s="160" t="s">
        <v>204</v>
      </c>
      <c r="E23" s="159" t="s">
        <v>164</v>
      </c>
      <c r="F23" s="162">
        <v>25.19</v>
      </c>
      <c r="G23" s="170" t="s">
        <v>398</v>
      </c>
      <c r="H23" s="170" t="s">
        <v>398</v>
      </c>
    </row>
    <row r="24" spans="1:8" s="152" customFormat="1" x14ac:dyDescent="0.2">
      <c r="A24" s="159" t="s">
        <v>217</v>
      </c>
      <c r="B24" s="159" t="s">
        <v>24</v>
      </c>
      <c r="C24" s="159" t="s">
        <v>160</v>
      </c>
      <c r="D24" s="160" t="s">
        <v>218</v>
      </c>
      <c r="E24" s="159" t="s">
        <v>164</v>
      </c>
      <c r="F24" s="162">
        <v>18.850000000000001</v>
      </c>
      <c r="G24" s="170" t="s">
        <v>398</v>
      </c>
      <c r="H24" s="170" t="s">
        <v>398</v>
      </c>
    </row>
    <row r="25" spans="1:8" s="152" customFormat="1" x14ac:dyDescent="0.2">
      <c r="A25" s="159" t="s">
        <v>166</v>
      </c>
      <c r="B25" s="159" t="s">
        <v>24</v>
      </c>
      <c r="C25" s="159" t="s">
        <v>160</v>
      </c>
      <c r="D25" s="160" t="s">
        <v>167</v>
      </c>
      <c r="E25" s="159" t="s">
        <v>164</v>
      </c>
      <c r="F25" s="162">
        <v>23.78</v>
      </c>
      <c r="G25" s="170" t="s">
        <v>398</v>
      </c>
      <c r="H25" s="170" t="s">
        <v>398</v>
      </c>
    </row>
    <row r="26" spans="1:8" s="152" customFormat="1" x14ac:dyDescent="0.2">
      <c r="A26" s="159" t="s">
        <v>170</v>
      </c>
      <c r="B26" s="159" t="s">
        <v>24</v>
      </c>
      <c r="C26" s="159" t="s">
        <v>160</v>
      </c>
      <c r="D26" s="160" t="s">
        <v>171</v>
      </c>
      <c r="E26" s="159" t="s">
        <v>164</v>
      </c>
      <c r="F26" s="162">
        <v>17.61</v>
      </c>
      <c r="G26" s="170" t="s">
        <v>398</v>
      </c>
      <c r="H26" s="170" t="s">
        <v>398</v>
      </c>
    </row>
    <row r="27" spans="1:8" ht="33.75" x14ac:dyDescent="0.2">
      <c r="A27" s="159" t="s">
        <v>181</v>
      </c>
      <c r="B27" s="159" t="s">
        <v>24</v>
      </c>
      <c r="C27" s="159" t="s">
        <v>160</v>
      </c>
      <c r="D27" s="160" t="s">
        <v>182</v>
      </c>
      <c r="E27" s="159" t="s">
        <v>37</v>
      </c>
      <c r="F27" s="162">
        <v>3.24</v>
      </c>
      <c r="G27" s="170" t="s">
        <v>398</v>
      </c>
      <c r="H27" s="170" t="s">
        <v>398</v>
      </c>
    </row>
    <row r="28" spans="1:8" s="152" customFormat="1" ht="33.75" x14ac:dyDescent="0.2">
      <c r="A28" s="159" t="s">
        <v>100</v>
      </c>
      <c r="B28" s="159" t="s">
        <v>24</v>
      </c>
      <c r="C28" s="159" t="s">
        <v>160</v>
      </c>
      <c r="D28" s="160" t="s">
        <v>101</v>
      </c>
      <c r="E28" s="159" t="s">
        <v>37</v>
      </c>
      <c r="F28" s="162">
        <v>5.09</v>
      </c>
      <c r="G28" s="170" t="s">
        <v>398</v>
      </c>
      <c r="H28" s="170" t="s">
        <v>398</v>
      </c>
    </row>
    <row r="29" spans="1:8" s="152" customFormat="1" x14ac:dyDescent="0.2">
      <c r="A29" s="159" t="s">
        <v>175</v>
      </c>
      <c r="B29" s="159" t="s">
        <v>24</v>
      </c>
      <c r="C29" s="159" t="s">
        <v>160</v>
      </c>
      <c r="D29" s="160" t="s">
        <v>176</v>
      </c>
      <c r="E29" s="159" t="s">
        <v>164</v>
      </c>
      <c r="F29" s="162">
        <v>110.31</v>
      </c>
      <c r="G29" s="170" t="s">
        <v>398</v>
      </c>
      <c r="H29" s="170" t="s">
        <v>398</v>
      </c>
    </row>
    <row r="30" spans="1:8" s="152" customFormat="1" ht="45" x14ac:dyDescent="0.2">
      <c r="A30" s="159" t="s">
        <v>131</v>
      </c>
      <c r="B30" s="159" t="s">
        <v>24</v>
      </c>
      <c r="C30" s="159" t="s">
        <v>160</v>
      </c>
      <c r="D30" s="160" t="s">
        <v>132</v>
      </c>
      <c r="E30" s="159" t="s">
        <v>37</v>
      </c>
      <c r="F30" s="162">
        <v>39.99</v>
      </c>
      <c r="G30" s="170"/>
      <c r="H30" s="170"/>
    </row>
    <row r="31" spans="1:8" s="152" customFormat="1" ht="22.5" x14ac:dyDescent="0.2">
      <c r="A31" s="159" t="s">
        <v>94</v>
      </c>
      <c r="B31" s="159" t="s">
        <v>24</v>
      </c>
      <c r="C31" s="159" t="s">
        <v>160</v>
      </c>
      <c r="D31" s="160" t="s">
        <v>95</v>
      </c>
      <c r="E31" s="159" t="s">
        <v>37</v>
      </c>
      <c r="F31" s="162">
        <v>7.6</v>
      </c>
      <c r="G31" s="170"/>
      <c r="H31" s="170"/>
    </row>
    <row r="32" spans="1:8" s="152" customFormat="1" ht="22.5" x14ac:dyDescent="0.2">
      <c r="A32" s="159" t="s">
        <v>97</v>
      </c>
      <c r="B32" s="159" t="s">
        <v>24</v>
      </c>
      <c r="C32" s="159" t="s">
        <v>160</v>
      </c>
      <c r="D32" s="160" t="s">
        <v>98</v>
      </c>
      <c r="E32" s="159" t="s">
        <v>37</v>
      </c>
      <c r="F32" s="162">
        <v>10.28</v>
      </c>
      <c r="G32" s="170"/>
      <c r="H32" s="170"/>
    </row>
    <row r="33" spans="1:8" s="152" customFormat="1" ht="22.5" x14ac:dyDescent="0.2">
      <c r="A33" s="159" t="s">
        <v>139</v>
      </c>
      <c r="B33" s="159" t="s">
        <v>24</v>
      </c>
      <c r="C33" s="159" t="s">
        <v>160</v>
      </c>
      <c r="D33" s="160" t="s">
        <v>140</v>
      </c>
      <c r="E33" s="159" t="s">
        <v>37</v>
      </c>
      <c r="F33" s="162">
        <v>209.37</v>
      </c>
      <c r="G33" s="170"/>
      <c r="H33" s="170"/>
    </row>
    <row r="34" spans="1:8" s="152" customFormat="1" ht="22.5" x14ac:dyDescent="0.2">
      <c r="A34" s="159" t="s">
        <v>136</v>
      </c>
      <c r="B34" s="159" t="s">
        <v>24</v>
      </c>
      <c r="C34" s="159" t="s">
        <v>160</v>
      </c>
      <c r="D34" s="160" t="s">
        <v>137</v>
      </c>
      <c r="E34" s="159" t="s">
        <v>37</v>
      </c>
      <c r="F34" s="162">
        <v>157.16999999999999</v>
      </c>
      <c r="G34" s="170"/>
      <c r="H34" s="170"/>
    </row>
    <row r="35" spans="1:8" s="152" customFormat="1" ht="22.5" x14ac:dyDescent="0.2">
      <c r="A35" s="159" t="s">
        <v>334</v>
      </c>
      <c r="B35" s="159" t="s">
        <v>24</v>
      </c>
      <c r="C35" s="159" t="s">
        <v>160</v>
      </c>
      <c r="D35" s="160" t="s">
        <v>328</v>
      </c>
      <c r="E35" s="159" t="s">
        <v>77</v>
      </c>
      <c r="F35" s="162">
        <v>73.38</v>
      </c>
      <c r="G35" s="170"/>
      <c r="H35" s="170"/>
    </row>
    <row r="36" spans="1:8" ht="22.5" x14ac:dyDescent="0.2">
      <c r="A36" s="159" t="s">
        <v>335</v>
      </c>
      <c r="B36" s="159" t="s">
        <v>24</v>
      </c>
      <c r="C36" s="159" t="s">
        <v>160</v>
      </c>
      <c r="D36" s="160" t="s">
        <v>330</v>
      </c>
      <c r="E36" s="159" t="s">
        <v>77</v>
      </c>
      <c r="F36" s="162">
        <v>87.98</v>
      </c>
      <c r="G36" s="170"/>
      <c r="H36" s="170"/>
    </row>
    <row r="37" spans="1:8" ht="22.5" x14ac:dyDescent="0.2">
      <c r="A37" s="159" t="s">
        <v>61</v>
      </c>
      <c r="B37" s="159" t="s">
        <v>24</v>
      </c>
      <c r="C37" s="159" t="s">
        <v>160</v>
      </c>
      <c r="D37" s="160" t="s">
        <v>62</v>
      </c>
      <c r="E37" s="159" t="s">
        <v>37</v>
      </c>
      <c r="F37" s="162">
        <v>87.23</v>
      </c>
      <c r="G37" s="170" t="s">
        <v>398</v>
      </c>
      <c r="H37" s="170" t="s">
        <v>398</v>
      </c>
    </row>
    <row r="38" spans="1:8" s="152" customFormat="1" ht="22.5" x14ac:dyDescent="0.2">
      <c r="A38" s="159" t="s">
        <v>179</v>
      </c>
      <c r="B38" s="159" t="s">
        <v>24</v>
      </c>
      <c r="C38" s="159" t="s">
        <v>160</v>
      </c>
      <c r="D38" s="160" t="s">
        <v>180</v>
      </c>
      <c r="E38" s="159" t="s">
        <v>77</v>
      </c>
      <c r="F38" s="162">
        <v>15.01</v>
      </c>
      <c r="G38" s="170" t="s">
        <v>398</v>
      </c>
      <c r="H38" s="170" t="s">
        <v>398</v>
      </c>
    </row>
    <row r="39" spans="1:8" ht="22.5" x14ac:dyDescent="0.2">
      <c r="A39" s="159" t="s">
        <v>56</v>
      </c>
      <c r="B39" s="159" t="s">
        <v>24</v>
      </c>
      <c r="C39" s="159" t="s">
        <v>160</v>
      </c>
      <c r="D39" s="160" t="s">
        <v>57</v>
      </c>
      <c r="E39" s="159" t="s">
        <v>25</v>
      </c>
      <c r="F39" s="162">
        <v>59.4</v>
      </c>
      <c r="G39" s="170"/>
      <c r="H39" s="170"/>
    </row>
    <row r="40" spans="1:8" ht="22.5" x14ac:dyDescent="0.2">
      <c r="A40" s="159" t="s">
        <v>213</v>
      </c>
      <c r="B40" s="159" t="s">
        <v>24</v>
      </c>
      <c r="C40" s="159" t="s">
        <v>160</v>
      </c>
      <c r="D40" s="160" t="s">
        <v>214</v>
      </c>
      <c r="E40" s="159" t="s">
        <v>25</v>
      </c>
      <c r="F40" s="162">
        <v>12.97</v>
      </c>
      <c r="G40" s="170" t="s">
        <v>398</v>
      </c>
      <c r="H40" s="170" t="s">
        <v>398</v>
      </c>
    </row>
    <row r="41" spans="1:8" ht="22.5" x14ac:dyDescent="0.2">
      <c r="A41" s="159" t="s">
        <v>332</v>
      </c>
      <c r="B41" s="159" t="s">
        <v>24</v>
      </c>
      <c r="C41" s="159" t="s">
        <v>160</v>
      </c>
      <c r="D41" s="160" t="s">
        <v>326</v>
      </c>
      <c r="E41" s="159" t="s">
        <v>25</v>
      </c>
      <c r="F41" s="162">
        <v>1.35</v>
      </c>
      <c r="G41" s="170" t="s">
        <v>398</v>
      </c>
      <c r="H41" s="170" t="s">
        <v>398</v>
      </c>
    </row>
    <row r="42" spans="1:8" ht="22.5" x14ac:dyDescent="0.2">
      <c r="A42" s="159" t="s">
        <v>333</v>
      </c>
      <c r="B42" s="159" t="s">
        <v>24</v>
      </c>
      <c r="C42" s="159" t="s">
        <v>160</v>
      </c>
      <c r="D42" s="160" t="s">
        <v>327</v>
      </c>
      <c r="E42" s="159" t="s">
        <v>31</v>
      </c>
      <c r="F42" s="162">
        <v>46.3</v>
      </c>
      <c r="G42" s="170" t="s">
        <v>398</v>
      </c>
      <c r="H42" s="170" t="s">
        <v>398</v>
      </c>
    </row>
    <row r="43" spans="1:8" ht="22.5" x14ac:dyDescent="0.2">
      <c r="A43" s="159" t="s">
        <v>39</v>
      </c>
      <c r="B43" s="159" t="s">
        <v>24</v>
      </c>
      <c r="C43" s="159" t="s">
        <v>160</v>
      </c>
      <c r="D43" s="160" t="s">
        <v>40</v>
      </c>
      <c r="E43" s="159" t="s">
        <v>25</v>
      </c>
      <c r="F43" s="162">
        <v>4.1500000000000004</v>
      </c>
      <c r="G43" s="170" t="s">
        <v>398</v>
      </c>
      <c r="H43" s="170" t="s">
        <v>398</v>
      </c>
    </row>
    <row r="44" spans="1:8" x14ac:dyDescent="0.2">
      <c r="A44" s="159" t="s">
        <v>150</v>
      </c>
      <c r="B44" s="159" t="s">
        <v>24</v>
      </c>
      <c r="C44" s="159" t="s">
        <v>160</v>
      </c>
      <c r="D44" s="160" t="s">
        <v>151</v>
      </c>
      <c r="E44" s="159" t="s">
        <v>25</v>
      </c>
      <c r="F44" s="162">
        <v>1.7</v>
      </c>
      <c r="G44" s="170" t="s">
        <v>398</v>
      </c>
      <c r="H44" s="170" t="s">
        <v>398</v>
      </c>
    </row>
    <row r="45" spans="1:8" x14ac:dyDescent="0.2">
      <c r="A45" s="159" t="s">
        <v>147</v>
      </c>
      <c r="B45" s="159" t="s">
        <v>24</v>
      </c>
      <c r="C45" s="159" t="s">
        <v>160</v>
      </c>
      <c r="D45" s="160" t="s">
        <v>148</v>
      </c>
      <c r="E45" s="159" t="s">
        <v>25</v>
      </c>
      <c r="F45" s="162">
        <v>2.9</v>
      </c>
      <c r="G45" s="170" t="s">
        <v>398</v>
      </c>
      <c r="H45" s="170" t="s">
        <v>398</v>
      </c>
    </row>
    <row r="46" spans="1:8" ht="22.5" x14ac:dyDescent="0.2">
      <c r="A46" s="159" t="s">
        <v>51</v>
      </c>
      <c r="B46" s="159" t="s">
        <v>24</v>
      </c>
      <c r="C46" s="159" t="s">
        <v>160</v>
      </c>
      <c r="D46" s="160" t="s">
        <v>52</v>
      </c>
      <c r="E46" s="159" t="s">
        <v>25</v>
      </c>
      <c r="F46" s="162">
        <v>614.13</v>
      </c>
      <c r="G46" s="170" t="s">
        <v>398</v>
      </c>
      <c r="H46" s="170" t="s">
        <v>398</v>
      </c>
    </row>
    <row r="47" spans="1:8" ht="45" x14ac:dyDescent="0.2">
      <c r="A47" s="159" t="s">
        <v>189</v>
      </c>
      <c r="B47" s="159" t="s">
        <v>14</v>
      </c>
      <c r="C47" s="159" t="s">
        <v>161</v>
      </c>
      <c r="D47" s="160" t="s">
        <v>190</v>
      </c>
      <c r="E47" s="159" t="s">
        <v>86</v>
      </c>
      <c r="F47" s="162">
        <v>42.79</v>
      </c>
      <c r="G47" s="170"/>
      <c r="H47" s="170"/>
    </row>
    <row r="48" spans="1:8" ht="33.75" x14ac:dyDescent="0.2">
      <c r="A48" s="159" t="s">
        <v>221</v>
      </c>
      <c r="B48" s="159" t="s">
        <v>14</v>
      </c>
      <c r="C48" s="159" t="s">
        <v>161</v>
      </c>
      <c r="D48" s="160" t="s">
        <v>222</v>
      </c>
      <c r="E48" s="159" t="s">
        <v>25</v>
      </c>
      <c r="F48" s="162">
        <v>88.95</v>
      </c>
      <c r="G48" s="170"/>
      <c r="H48" s="170"/>
    </row>
    <row r="49" spans="1:8" x14ac:dyDescent="0.2">
      <c r="A49" s="159" t="s">
        <v>162</v>
      </c>
      <c r="B49" s="159" t="s">
        <v>14</v>
      </c>
      <c r="C49" s="159" t="s">
        <v>161</v>
      </c>
      <c r="D49" s="160" t="s">
        <v>163</v>
      </c>
      <c r="E49" s="159" t="s">
        <v>16</v>
      </c>
      <c r="F49" s="162">
        <v>233.94</v>
      </c>
      <c r="G49" s="170" t="s">
        <v>398</v>
      </c>
      <c r="H49" s="170" t="s">
        <v>398</v>
      </c>
    </row>
    <row r="50" spans="1:8" ht="33.75" x14ac:dyDescent="0.2">
      <c r="A50" s="159" t="s">
        <v>183</v>
      </c>
      <c r="B50" s="159" t="s">
        <v>14</v>
      </c>
      <c r="C50" s="159" t="s">
        <v>161</v>
      </c>
      <c r="D50" s="160" t="s">
        <v>184</v>
      </c>
      <c r="E50" s="159" t="s">
        <v>86</v>
      </c>
      <c r="F50" s="162">
        <v>53.51</v>
      </c>
      <c r="G50" s="170"/>
      <c r="H50" s="170"/>
    </row>
    <row r="51" spans="1:8" ht="33.75" x14ac:dyDescent="0.2">
      <c r="A51" s="159" t="s">
        <v>209</v>
      </c>
      <c r="B51" s="159" t="s">
        <v>14</v>
      </c>
      <c r="C51" s="159" t="s">
        <v>161</v>
      </c>
      <c r="D51" s="160" t="s">
        <v>210</v>
      </c>
      <c r="E51" s="159" t="s">
        <v>72</v>
      </c>
      <c r="F51" s="162">
        <v>993.77</v>
      </c>
      <c r="G51" s="170"/>
      <c r="H51" s="170"/>
    </row>
    <row r="52" spans="1:8" ht="33.75" x14ac:dyDescent="0.2">
      <c r="A52" s="159" t="s">
        <v>211</v>
      </c>
      <c r="B52" s="159" t="s">
        <v>14</v>
      </c>
      <c r="C52" s="159" t="s">
        <v>161</v>
      </c>
      <c r="D52" s="160" t="s">
        <v>212</v>
      </c>
      <c r="E52" s="159" t="s">
        <v>72</v>
      </c>
      <c r="F52" s="162">
        <v>1051.33</v>
      </c>
      <c r="G52" s="170"/>
      <c r="H52" s="170"/>
    </row>
    <row r="53" spans="1:8" ht="101.25" x14ac:dyDescent="0.2">
      <c r="A53" s="159" t="s">
        <v>205</v>
      </c>
      <c r="B53" s="159" t="s">
        <v>14</v>
      </c>
      <c r="C53" s="159" t="s">
        <v>161</v>
      </c>
      <c r="D53" s="160" t="s">
        <v>206</v>
      </c>
      <c r="E53" s="159" t="s">
        <v>72</v>
      </c>
      <c r="F53" s="162">
        <v>71080.210000000006</v>
      </c>
      <c r="G53" s="170"/>
      <c r="H53" s="170"/>
    </row>
    <row r="54" spans="1:8" ht="78.75" x14ac:dyDescent="0.2">
      <c r="A54" s="159" t="s">
        <v>207</v>
      </c>
      <c r="B54" s="159" t="s">
        <v>14</v>
      </c>
      <c r="C54" s="159" t="s">
        <v>161</v>
      </c>
      <c r="D54" s="160" t="s">
        <v>208</v>
      </c>
      <c r="E54" s="159" t="s">
        <v>72</v>
      </c>
      <c r="F54" s="162">
        <v>13250.41</v>
      </c>
      <c r="G54" s="170"/>
      <c r="H54" s="170"/>
    </row>
    <row r="55" spans="1:8" ht="22.5" x14ac:dyDescent="0.2">
      <c r="A55" s="159" t="s">
        <v>223</v>
      </c>
      <c r="B55" s="159" t="s">
        <v>14</v>
      </c>
      <c r="C55" s="159" t="s">
        <v>161</v>
      </c>
      <c r="D55" s="160" t="s">
        <v>224</v>
      </c>
      <c r="E55" s="159">
        <v>0</v>
      </c>
      <c r="F55" s="162">
        <v>5219.03</v>
      </c>
      <c r="G55" s="170"/>
      <c r="H55" s="170"/>
    </row>
    <row r="56" spans="1:8" ht="22.5" x14ac:dyDescent="0.2">
      <c r="A56" s="159" t="s">
        <v>336</v>
      </c>
      <c r="B56" s="159" t="s">
        <v>14</v>
      </c>
      <c r="C56" s="159" t="s">
        <v>161</v>
      </c>
      <c r="D56" s="160" t="s">
        <v>337</v>
      </c>
      <c r="E56" s="159" t="s">
        <v>72</v>
      </c>
      <c r="F56" s="162">
        <v>53177</v>
      </c>
      <c r="G56" s="170"/>
      <c r="H56" s="170"/>
    </row>
  </sheetData>
  <sortState xmlns:xlrd2="http://schemas.microsoft.com/office/spreadsheetml/2017/richdata2" ref="A9:F56">
    <sortCondition descending="1" ref="B9:B56"/>
    <sortCondition descending="1" ref="C9:C56"/>
    <sortCondition ref="A9:A56"/>
  </sortState>
  <mergeCells count="13">
    <mergeCell ref="G1:H1"/>
    <mergeCell ref="A2:B2"/>
    <mergeCell ref="E2:F2"/>
    <mergeCell ref="G2:H2"/>
    <mergeCell ref="A4:B4"/>
    <mergeCell ref="C4:D4"/>
    <mergeCell ref="E4:F4"/>
    <mergeCell ref="E6:F6"/>
    <mergeCell ref="G6:H6"/>
    <mergeCell ref="A7:H7"/>
    <mergeCell ref="G4:H4"/>
    <mergeCell ref="C6:D6"/>
    <mergeCell ref="A6:B6"/>
  </mergeCells>
  <printOptions horizontalCentered="1"/>
  <pageMargins left="0.59055118110236227" right="0.59055118110236227" top="0.59055118110236227" bottom="0.59055118110236227" header="0.19685039370078741" footer="0.19685039370078741"/>
  <pageSetup paperSize="9"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C68D8-772E-4A72-88DA-6C804EBA85C3}">
  <dimension ref="A1:D23"/>
  <sheetViews>
    <sheetView showGridLines="0" zoomScaleNormal="100" workbookViewId="0">
      <selection sqref="A1:A2"/>
    </sheetView>
  </sheetViews>
  <sheetFormatPr defaultRowHeight="14.25" x14ac:dyDescent="0.2"/>
  <cols>
    <col min="1" max="1" width="12.5" style="12" customWidth="1"/>
    <col min="2" max="2" width="10.625" style="12" customWidth="1"/>
    <col min="3" max="3" width="50.25" style="12" customWidth="1"/>
    <col min="4" max="4" width="18.625" style="12" customWidth="1"/>
    <col min="5" max="16384" width="9" style="12"/>
  </cols>
  <sheetData>
    <row r="1" spans="1:4" ht="15" customHeight="1" x14ac:dyDescent="0.2">
      <c r="A1" s="72" t="str">
        <f>'Orçamento Sintético'!A1:A2</f>
        <v>P. Execução:</v>
      </c>
      <c r="B1" s="11">
        <f>'Orçamento Sintético'!B1</f>
        <v>0</v>
      </c>
      <c r="C1" s="10" t="str">
        <f>'Orçamento Sintético'!C1:D1</f>
        <v>Licitação:</v>
      </c>
      <c r="D1" s="14"/>
    </row>
    <row r="2" spans="1:4" ht="14.25" customHeight="1" x14ac:dyDescent="0.2">
      <c r="A2" s="73"/>
      <c r="B2" s="8">
        <f>'Orçamento Sintético'!B2</f>
        <v>0</v>
      </c>
      <c r="C2" s="9" t="str">
        <f>'Orçamento Sintético'!C2:D2</f>
        <v>B</v>
      </c>
      <c r="D2" s="47"/>
    </row>
    <row r="3" spans="1:4" s="54" customFormat="1" ht="14.25" customHeight="1" x14ac:dyDescent="0.2">
      <c r="A3" s="94"/>
      <c r="B3" s="95"/>
      <c r="C3" s="96"/>
      <c r="D3" s="47"/>
    </row>
    <row r="4" spans="1:4" s="54" customFormat="1" ht="14.25" customHeight="1" x14ac:dyDescent="0.2">
      <c r="A4" s="94"/>
      <c r="B4" s="95"/>
      <c r="C4" s="96"/>
      <c r="D4" s="47"/>
    </row>
    <row r="5" spans="1:4" ht="15" customHeight="1" x14ac:dyDescent="0.2">
      <c r="A5" s="66" t="str">
        <f>'Orçamento Sintético'!A5:B5</f>
        <v>P. Garantia:</v>
      </c>
      <c r="B5" s="69"/>
      <c r="C5" s="10" t="str">
        <f>'Orçamento Sintético'!C5:D5</f>
        <v>CNPJ:</v>
      </c>
      <c r="D5" s="15"/>
    </row>
    <row r="6" spans="1:4" ht="14.25" customHeight="1" x14ac:dyDescent="0.2">
      <c r="A6" s="67" t="str">
        <f>'Orçamento Sintético'!A6:B6</f>
        <v>F</v>
      </c>
      <c r="B6" s="68"/>
      <c r="C6" s="9" t="str">
        <f>'Orçamento Sintético'!C6:D6</f>
        <v>G</v>
      </c>
      <c r="D6" s="46"/>
    </row>
    <row r="7" spans="1:4" s="16" customFormat="1" ht="15" x14ac:dyDescent="0.2">
      <c r="A7" s="74" t="s">
        <v>239</v>
      </c>
      <c r="B7" s="74"/>
      <c r="C7" s="74"/>
      <c r="D7" s="74"/>
    </row>
    <row r="8" spans="1:4" ht="14.25" customHeight="1" x14ac:dyDescent="0.2">
      <c r="A8" s="17" t="s">
        <v>0</v>
      </c>
      <c r="B8" s="75" t="s">
        <v>338</v>
      </c>
      <c r="C8" s="76"/>
      <c r="D8" s="17" t="s">
        <v>240</v>
      </c>
    </row>
    <row r="9" spans="1:4" x14ac:dyDescent="0.2">
      <c r="A9" s="78" t="s">
        <v>241</v>
      </c>
      <c r="B9" s="79" t="s">
        <v>242</v>
      </c>
      <c r="C9" s="79"/>
      <c r="D9" s="80"/>
    </row>
    <row r="10" spans="1:4" x14ac:dyDescent="0.2">
      <c r="A10" s="81" t="s">
        <v>243</v>
      </c>
      <c r="B10" s="82" t="s">
        <v>244</v>
      </c>
      <c r="C10" s="82"/>
      <c r="D10" s="83">
        <f>ROUND(SUM(D11:D15),4)</f>
        <v>0.15740000000000001</v>
      </c>
    </row>
    <row r="11" spans="1:4" x14ac:dyDescent="0.2">
      <c r="A11" s="18" t="s">
        <v>245</v>
      </c>
      <c r="B11" s="19" t="s">
        <v>246</v>
      </c>
      <c r="C11" s="20"/>
      <c r="D11" s="21">
        <v>0.04</v>
      </c>
    </row>
    <row r="12" spans="1:4" x14ac:dyDescent="0.2">
      <c r="A12" s="18" t="s">
        <v>247</v>
      </c>
      <c r="B12" s="19" t="s">
        <v>248</v>
      </c>
      <c r="C12" s="20"/>
      <c r="D12" s="21">
        <v>8.0000000000000002E-3</v>
      </c>
    </row>
    <row r="13" spans="1:4" x14ac:dyDescent="0.2">
      <c r="A13" s="18" t="s">
        <v>249</v>
      </c>
      <c r="B13" s="19" t="s">
        <v>250</v>
      </c>
      <c r="C13" s="20"/>
      <c r="D13" s="21">
        <v>1.2699999999999999E-2</v>
      </c>
    </row>
    <row r="14" spans="1:4" x14ac:dyDescent="0.2">
      <c r="A14" s="18" t="s">
        <v>251</v>
      </c>
      <c r="B14" s="19" t="s">
        <v>252</v>
      </c>
      <c r="C14" s="20"/>
      <c r="D14" s="21">
        <v>1.23E-2</v>
      </c>
    </row>
    <row r="15" spans="1:4" x14ac:dyDescent="0.2">
      <c r="A15" s="18" t="s">
        <v>253</v>
      </c>
      <c r="B15" s="19" t="s">
        <v>254</v>
      </c>
      <c r="C15" s="20"/>
      <c r="D15" s="21">
        <v>8.4400000000000003E-2</v>
      </c>
    </row>
    <row r="16" spans="1:4" x14ac:dyDescent="0.2">
      <c r="A16" s="59"/>
      <c r="B16" s="19"/>
      <c r="C16" s="20"/>
      <c r="D16" s="21"/>
    </row>
    <row r="17" spans="1:4" x14ac:dyDescent="0.2">
      <c r="A17" s="78" t="s">
        <v>255</v>
      </c>
      <c r="B17" s="79" t="s">
        <v>256</v>
      </c>
      <c r="C17" s="79"/>
      <c r="D17" s="80"/>
    </row>
    <row r="18" spans="1:4" x14ac:dyDescent="0.2">
      <c r="A18" s="81" t="s">
        <v>257</v>
      </c>
      <c r="B18" s="82" t="s">
        <v>258</v>
      </c>
      <c r="C18" s="82"/>
      <c r="D18" s="83">
        <f>D19+D20+D21</f>
        <v>4.65E-2</v>
      </c>
    </row>
    <row r="19" spans="1:4" x14ac:dyDescent="0.2">
      <c r="A19" s="18"/>
      <c r="B19" s="19" t="s">
        <v>259</v>
      </c>
      <c r="C19" s="20"/>
      <c r="D19" s="21">
        <v>6.5000000000000006E-3</v>
      </c>
    </row>
    <row r="20" spans="1:4" x14ac:dyDescent="0.2">
      <c r="A20" s="18"/>
      <c r="B20" s="19" t="s">
        <v>260</v>
      </c>
      <c r="C20" s="20"/>
      <c r="D20" s="21">
        <v>0.03</v>
      </c>
    </row>
    <row r="21" spans="1:4" x14ac:dyDescent="0.2">
      <c r="A21" s="18"/>
      <c r="B21" s="19" t="s">
        <v>399</v>
      </c>
      <c r="C21" s="20"/>
      <c r="D21" s="21">
        <f>2%*'Orçamento Sintético'!B71</f>
        <v>0.01</v>
      </c>
    </row>
    <row r="22" spans="1:4" x14ac:dyDescent="0.2">
      <c r="A22" s="18"/>
      <c r="B22" s="19"/>
      <c r="C22" s="20"/>
      <c r="D22" s="21"/>
    </row>
    <row r="23" spans="1:4" x14ac:dyDescent="0.2">
      <c r="A23" s="84" t="s">
        <v>261</v>
      </c>
      <c r="B23" s="85" t="s">
        <v>262</v>
      </c>
      <c r="C23" s="85"/>
      <c r="D23" s="86">
        <f>ROUND((((1+(D11+D12+D13))*(1+D14)*(1+D15))/(1-D18)-1),4)</f>
        <v>0.22120000000000001</v>
      </c>
    </row>
  </sheetData>
  <mergeCells count="10">
    <mergeCell ref="B9:C9"/>
    <mergeCell ref="B10:C10"/>
    <mergeCell ref="B17:C17"/>
    <mergeCell ref="B18:C18"/>
    <mergeCell ref="B23:C23"/>
    <mergeCell ref="A1:A2"/>
    <mergeCell ref="A5:B5"/>
    <mergeCell ref="A6:B6"/>
    <mergeCell ref="A7:D7"/>
    <mergeCell ref="B8:C8"/>
  </mergeCells>
  <pageMargins left="0.51181102362204722" right="0.51181102362204722" top="0.78740157480314965" bottom="0.78740157480314965"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22B5A-AD7C-4F0F-9B2A-54D2D4133BE1}">
  <dimension ref="A1:D44"/>
  <sheetViews>
    <sheetView showGridLines="0" zoomScaleNormal="100" workbookViewId="0">
      <selection sqref="A1:A2"/>
    </sheetView>
  </sheetViews>
  <sheetFormatPr defaultRowHeight="14.25" x14ac:dyDescent="0.2"/>
  <cols>
    <col min="1" max="1" width="10.625" style="42" customWidth="1"/>
    <col min="2" max="2" width="10.625" style="43" customWidth="1"/>
    <col min="3" max="3" width="58.625" style="43" customWidth="1"/>
    <col min="4" max="4" width="18.625" style="44" customWidth="1"/>
    <col min="5" max="16384" width="9" style="45"/>
  </cols>
  <sheetData>
    <row r="1" spans="1:4" s="22" customFormat="1" ht="11.25" customHeight="1" x14ac:dyDescent="0.2">
      <c r="A1" s="72" t="str">
        <f>'Orçamento Sintético'!A1:A2</f>
        <v>P. Execução:</v>
      </c>
      <c r="B1" s="11">
        <f>'Orçamento Sintético'!B1</f>
        <v>0</v>
      </c>
      <c r="C1" s="10" t="str">
        <f>'Orçamento Sintético'!C1:D1</f>
        <v>Licitação:</v>
      </c>
      <c r="D1" s="14"/>
    </row>
    <row r="2" spans="1:4" s="22" customFormat="1" ht="11.25" customHeight="1" x14ac:dyDescent="0.2">
      <c r="A2" s="73"/>
      <c r="B2" s="8">
        <f>'Orçamento Sintético'!B2</f>
        <v>0</v>
      </c>
      <c r="C2" s="9" t="str">
        <f>'Orçamento Sintético'!C2:D2</f>
        <v>B</v>
      </c>
      <c r="D2" s="47"/>
    </row>
    <row r="3" spans="1:4" s="22" customFormat="1" ht="11.25" customHeight="1" x14ac:dyDescent="0.2">
      <c r="A3" s="94"/>
      <c r="B3" s="95"/>
      <c r="C3" s="96"/>
      <c r="D3" s="47"/>
    </row>
    <row r="4" spans="1:4" s="22" customFormat="1" ht="11.25" customHeight="1" x14ac:dyDescent="0.2">
      <c r="A4" s="94"/>
      <c r="B4" s="95"/>
      <c r="C4" s="96"/>
      <c r="D4" s="47"/>
    </row>
    <row r="5" spans="1:4" s="22" customFormat="1" ht="11.25" x14ac:dyDescent="0.2">
      <c r="A5" s="66" t="str">
        <f>'Orçamento Sintético'!A5:B5</f>
        <v>P. Garantia:</v>
      </c>
      <c r="B5" s="69"/>
      <c r="C5" s="10" t="str">
        <f>'Orçamento Sintético'!C5:D5</f>
        <v>CNPJ:</v>
      </c>
      <c r="D5" s="15"/>
    </row>
    <row r="6" spans="1:4" s="23" customFormat="1" ht="11.25" customHeight="1" x14ac:dyDescent="0.2">
      <c r="A6" s="67" t="str">
        <f>'Orçamento Sintético'!A6:B6</f>
        <v>F</v>
      </c>
      <c r="B6" s="68"/>
      <c r="C6" s="9" t="str">
        <f>'Orçamento Sintético'!C6:D6</f>
        <v>G</v>
      </c>
      <c r="D6" s="46"/>
    </row>
    <row r="7" spans="1:4" s="24" customFormat="1" ht="15" x14ac:dyDescent="0.2">
      <c r="A7" s="77" t="s">
        <v>263</v>
      </c>
      <c r="B7" s="77"/>
      <c r="C7" s="77"/>
      <c r="D7" s="77"/>
    </row>
    <row r="8" spans="1:4" s="25" customFormat="1" ht="12.75" x14ac:dyDescent="0.2">
      <c r="A8" s="17" t="s">
        <v>0</v>
      </c>
      <c r="B8" s="75" t="s">
        <v>338</v>
      </c>
      <c r="C8" s="76"/>
      <c r="D8" s="17" t="s">
        <v>240</v>
      </c>
    </row>
    <row r="9" spans="1:4" s="25" customFormat="1" ht="12.75" x14ac:dyDescent="0.2">
      <c r="A9" s="87" t="s">
        <v>264</v>
      </c>
      <c r="B9" s="88"/>
      <c r="C9" s="88"/>
      <c r="D9" s="89"/>
    </row>
    <row r="10" spans="1:4" s="25" customFormat="1" ht="12.75" x14ac:dyDescent="0.2">
      <c r="A10" s="26" t="s">
        <v>243</v>
      </c>
      <c r="B10" s="27" t="s">
        <v>265</v>
      </c>
      <c r="C10" s="28"/>
      <c r="D10" s="29">
        <v>0.2</v>
      </c>
    </row>
    <row r="11" spans="1:4" s="25" customFormat="1" ht="12.75" x14ac:dyDescent="0.2">
      <c r="A11" s="26" t="s">
        <v>266</v>
      </c>
      <c r="B11" s="27" t="s">
        <v>267</v>
      </c>
      <c r="C11" s="28"/>
      <c r="D11" s="29">
        <v>1.4999999999999999E-2</v>
      </c>
    </row>
    <row r="12" spans="1:4" s="25" customFormat="1" ht="12.75" x14ac:dyDescent="0.2">
      <c r="A12" s="26" t="s">
        <v>268</v>
      </c>
      <c r="B12" s="27" t="s">
        <v>269</v>
      </c>
      <c r="C12" s="28"/>
      <c r="D12" s="29">
        <v>0.01</v>
      </c>
    </row>
    <row r="13" spans="1:4" s="25" customFormat="1" ht="12.75" x14ac:dyDescent="0.2">
      <c r="A13" s="26" t="s">
        <v>270</v>
      </c>
      <c r="B13" s="27" t="s">
        <v>271</v>
      </c>
      <c r="C13" s="28"/>
      <c r="D13" s="29">
        <v>2E-3</v>
      </c>
    </row>
    <row r="14" spans="1:4" s="25" customFormat="1" ht="12.75" x14ac:dyDescent="0.2">
      <c r="A14" s="26" t="s">
        <v>272</v>
      </c>
      <c r="B14" s="27" t="s">
        <v>273</v>
      </c>
      <c r="C14" s="28"/>
      <c r="D14" s="29">
        <v>6.0000000000000001E-3</v>
      </c>
    </row>
    <row r="15" spans="1:4" s="25" customFormat="1" ht="12.75" x14ac:dyDescent="0.2">
      <c r="A15" s="26" t="s">
        <v>274</v>
      </c>
      <c r="B15" s="27" t="s">
        <v>275</v>
      </c>
      <c r="C15" s="28"/>
      <c r="D15" s="29">
        <v>2.5000000000000001E-2</v>
      </c>
    </row>
    <row r="16" spans="1:4" s="25" customFormat="1" ht="12.75" x14ac:dyDescent="0.2">
      <c r="A16" s="26" t="s">
        <v>276</v>
      </c>
      <c r="B16" s="27" t="s">
        <v>277</v>
      </c>
      <c r="C16" s="28"/>
      <c r="D16" s="29">
        <v>0.03</v>
      </c>
    </row>
    <row r="17" spans="1:4" s="25" customFormat="1" ht="12.75" x14ac:dyDescent="0.2">
      <c r="A17" s="26" t="s">
        <v>278</v>
      </c>
      <c r="B17" s="27" t="s">
        <v>279</v>
      </c>
      <c r="C17" s="28"/>
      <c r="D17" s="29">
        <v>0.08</v>
      </c>
    </row>
    <row r="18" spans="1:4" s="25" customFormat="1" ht="12.75" x14ac:dyDescent="0.2">
      <c r="A18" s="26" t="s">
        <v>280</v>
      </c>
      <c r="B18" s="27" t="s">
        <v>281</v>
      </c>
      <c r="C18" s="28"/>
      <c r="D18" s="29">
        <v>0.01</v>
      </c>
    </row>
    <row r="19" spans="1:4" s="25" customFormat="1" ht="12.75" x14ac:dyDescent="0.2">
      <c r="A19" s="30" t="s">
        <v>282</v>
      </c>
      <c r="B19" s="31" t="s">
        <v>283</v>
      </c>
      <c r="C19" s="32"/>
      <c r="D19" s="33">
        <f>SUM(D10:D18)</f>
        <v>0.37800000000000006</v>
      </c>
    </row>
    <row r="20" spans="1:4" s="25" customFormat="1" ht="12.75" x14ac:dyDescent="0.2">
      <c r="A20" s="87" t="s">
        <v>284</v>
      </c>
      <c r="B20" s="88"/>
      <c r="C20" s="88"/>
      <c r="D20" s="89"/>
    </row>
    <row r="21" spans="1:4" s="25" customFormat="1" ht="12.75" x14ac:dyDescent="0.2">
      <c r="A21" s="26" t="s">
        <v>257</v>
      </c>
      <c r="B21" s="27" t="s">
        <v>285</v>
      </c>
      <c r="C21" s="28"/>
      <c r="D21" s="29">
        <v>0.17749999999999999</v>
      </c>
    </row>
    <row r="22" spans="1:4" s="25" customFormat="1" ht="12.75" x14ac:dyDescent="0.2">
      <c r="A22" s="26" t="s">
        <v>286</v>
      </c>
      <c r="B22" s="27" t="s">
        <v>287</v>
      </c>
      <c r="C22" s="28"/>
      <c r="D22" s="29">
        <v>3.4099999999999998E-2</v>
      </c>
    </row>
    <row r="23" spans="1:4" s="25" customFormat="1" ht="12.75" x14ac:dyDescent="0.2">
      <c r="A23" s="26" t="s">
        <v>288</v>
      </c>
      <c r="B23" s="27" t="s">
        <v>289</v>
      </c>
      <c r="C23" s="28"/>
      <c r="D23" s="29">
        <v>8.6E-3</v>
      </c>
    </row>
    <row r="24" spans="1:4" s="25" customFormat="1" ht="12.75" x14ac:dyDescent="0.2">
      <c r="A24" s="26" t="s">
        <v>290</v>
      </c>
      <c r="B24" s="27" t="s">
        <v>291</v>
      </c>
      <c r="C24" s="28"/>
      <c r="D24" s="29">
        <v>0.1062</v>
      </c>
    </row>
    <row r="25" spans="1:4" s="25" customFormat="1" ht="12.75" x14ac:dyDescent="0.2">
      <c r="A25" s="26" t="s">
        <v>292</v>
      </c>
      <c r="B25" s="27" t="s">
        <v>293</v>
      </c>
      <c r="C25" s="28"/>
      <c r="D25" s="29">
        <v>6.9999999999999999E-4</v>
      </c>
    </row>
    <row r="26" spans="1:4" s="25" customFormat="1" ht="12.75" x14ac:dyDescent="0.2">
      <c r="A26" s="26" t="s">
        <v>294</v>
      </c>
      <c r="B26" s="27" t="s">
        <v>295</v>
      </c>
      <c r="C26" s="28"/>
      <c r="D26" s="29">
        <v>7.1000000000000004E-3</v>
      </c>
    </row>
    <row r="27" spans="1:4" s="25" customFormat="1" ht="12.75" x14ac:dyDescent="0.2">
      <c r="A27" s="26" t="s">
        <v>296</v>
      </c>
      <c r="B27" s="27" t="s">
        <v>297</v>
      </c>
      <c r="C27" s="28"/>
      <c r="D27" s="29">
        <v>1.3100000000000001E-2</v>
      </c>
    </row>
    <row r="28" spans="1:4" s="25" customFormat="1" ht="12.75" x14ac:dyDescent="0.2">
      <c r="A28" s="26" t="s">
        <v>298</v>
      </c>
      <c r="B28" s="27" t="s">
        <v>299</v>
      </c>
      <c r="C28" s="28"/>
      <c r="D28" s="29">
        <v>1.1000000000000001E-3</v>
      </c>
    </row>
    <row r="29" spans="1:4" s="25" customFormat="1" ht="12.75" x14ac:dyDescent="0.2">
      <c r="A29" s="26" t="s">
        <v>300</v>
      </c>
      <c r="B29" s="27" t="s">
        <v>301</v>
      </c>
      <c r="C29" s="28"/>
      <c r="D29" s="29">
        <v>0.13550000000000001</v>
      </c>
    </row>
    <row r="30" spans="1:4" s="25" customFormat="1" ht="12.75" x14ac:dyDescent="0.2">
      <c r="A30" s="26" t="s">
        <v>302</v>
      </c>
      <c r="B30" s="27" t="s">
        <v>303</v>
      </c>
      <c r="C30" s="28"/>
      <c r="D30" s="29">
        <v>2.9999999999999997E-4</v>
      </c>
    </row>
    <row r="31" spans="1:4" s="25" customFormat="1" ht="12.75" x14ac:dyDescent="0.2">
      <c r="A31" s="30" t="s">
        <v>304</v>
      </c>
      <c r="B31" s="31" t="s">
        <v>305</v>
      </c>
      <c r="C31" s="32"/>
      <c r="D31" s="33">
        <f>SUM(D21:D30)</f>
        <v>0.48419999999999996</v>
      </c>
    </row>
    <row r="32" spans="1:4" s="25" customFormat="1" ht="12.75" x14ac:dyDescent="0.2">
      <c r="A32" s="87" t="s">
        <v>306</v>
      </c>
      <c r="B32" s="88"/>
      <c r="C32" s="88"/>
      <c r="D32" s="89"/>
    </row>
    <row r="33" spans="1:4" s="25" customFormat="1" ht="12.75" x14ac:dyDescent="0.2">
      <c r="A33" s="34" t="s">
        <v>307</v>
      </c>
      <c r="B33" s="35" t="s">
        <v>308</v>
      </c>
      <c r="C33" s="36"/>
      <c r="D33" s="29">
        <v>4.1200000000000001E-2</v>
      </c>
    </row>
    <row r="34" spans="1:4" s="25" customFormat="1" ht="12.75" x14ac:dyDescent="0.2">
      <c r="A34" s="34" t="s">
        <v>309</v>
      </c>
      <c r="B34" s="35" t="s">
        <v>310</v>
      </c>
      <c r="C34" s="36"/>
      <c r="D34" s="29">
        <v>1E-3</v>
      </c>
    </row>
    <row r="35" spans="1:4" s="25" customFormat="1" ht="12.75" x14ac:dyDescent="0.2">
      <c r="A35" s="34" t="s">
        <v>311</v>
      </c>
      <c r="B35" s="35" t="s">
        <v>312</v>
      </c>
      <c r="C35" s="36"/>
      <c r="D35" s="29">
        <v>4.5999999999999999E-3</v>
      </c>
    </row>
    <row r="36" spans="1:4" s="25" customFormat="1" ht="12.75" x14ac:dyDescent="0.2">
      <c r="A36" s="34" t="s">
        <v>313</v>
      </c>
      <c r="B36" s="35" t="s">
        <v>314</v>
      </c>
      <c r="C36" s="36"/>
      <c r="D36" s="29">
        <v>3.7699999999999997E-2</v>
      </c>
    </row>
    <row r="37" spans="1:4" s="25" customFormat="1" ht="12.75" x14ac:dyDescent="0.2">
      <c r="A37" s="34" t="s">
        <v>315</v>
      </c>
      <c r="B37" s="35" t="s">
        <v>316</v>
      </c>
      <c r="C37" s="36"/>
      <c r="D37" s="29">
        <v>3.5000000000000001E-3</v>
      </c>
    </row>
    <row r="38" spans="1:4" s="25" customFormat="1" ht="12.75" x14ac:dyDescent="0.2">
      <c r="A38" s="37" t="s">
        <v>317</v>
      </c>
      <c r="B38" s="38" t="s">
        <v>305</v>
      </c>
      <c r="C38" s="39"/>
      <c r="D38" s="33">
        <f>SUM(D33:D37)</f>
        <v>8.7999999999999995E-2</v>
      </c>
    </row>
    <row r="39" spans="1:4" s="25" customFormat="1" ht="12.75" x14ac:dyDescent="0.2">
      <c r="A39" s="87" t="s">
        <v>318</v>
      </c>
      <c r="B39" s="88"/>
      <c r="C39" s="88"/>
      <c r="D39" s="89"/>
    </row>
    <row r="40" spans="1:4" s="25" customFormat="1" ht="12.75" x14ac:dyDescent="0.2">
      <c r="A40" s="34" t="s">
        <v>319</v>
      </c>
      <c r="B40" s="35" t="s">
        <v>320</v>
      </c>
      <c r="C40" s="36"/>
      <c r="D40" s="40">
        <f>ROUND(D19*D31,4)</f>
        <v>0.183</v>
      </c>
    </row>
    <row r="41" spans="1:4" s="25" customFormat="1" ht="12.75" x14ac:dyDescent="0.2">
      <c r="A41" s="34" t="s">
        <v>321</v>
      </c>
      <c r="B41" s="35" t="s">
        <v>322</v>
      </c>
      <c r="C41" s="36"/>
      <c r="D41" s="40">
        <f>ROUND(D17*D33+D19*D34,4)</f>
        <v>3.7000000000000002E-3</v>
      </c>
    </row>
    <row r="42" spans="1:4" s="25" customFormat="1" ht="12.75" x14ac:dyDescent="0.2">
      <c r="A42" s="37" t="s">
        <v>323</v>
      </c>
      <c r="B42" s="38" t="s">
        <v>324</v>
      </c>
      <c r="C42" s="39"/>
      <c r="D42" s="41">
        <f>SUM(D40:D41)</f>
        <v>0.1867</v>
      </c>
    </row>
    <row r="43" spans="1:4" s="25" customFormat="1" ht="12.75" x14ac:dyDescent="0.2">
      <c r="A43" s="34"/>
      <c r="B43" s="35"/>
      <c r="C43" s="36"/>
      <c r="D43" s="40"/>
    </row>
    <row r="44" spans="1:4" s="25" customFormat="1" ht="12.75" customHeight="1" x14ac:dyDescent="0.2">
      <c r="A44" s="90" t="s">
        <v>325</v>
      </c>
      <c r="B44" s="91"/>
      <c r="C44" s="91"/>
      <c r="D44" s="86">
        <f>D19+D31+D38+D42</f>
        <v>1.1369</v>
      </c>
    </row>
  </sheetData>
  <mergeCells count="10">
    <mergeCell ref="A20:D20"/>
    <mergeCell ref="A32:D32"/>
    <mergeCell ref="A39:D39"/>
    <mergeCell ref="A44:C44"/>
    <mergeCell ref="A1:A2"/>
    <mergeCell ref="A5:B5"/>
    <mergeCell ref="A6:B6"/>
    <mergeCell ref="A7:D7"/>
    <mergeCell ref="B8:C8"/>
    <mergeCell ref="A9:D9"/>
  </mergeCells>
  <pageMargins left="0.511811024" right="0.511811024" top="0.78740157499999996" bottom="0.78740157499999996" header="0.31496062000000002" footer="0.31496062000000002"/>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99B0F-22F5-4E29-8A1E-61ABD23C6806}">
  <sheetPr>
    <pageSetUpPr fitToPage="1"/>
  </sheetPr>
  <dimension ref="A1:G137"/>
  <sheetViews>
    <sheetView showGridLines="0" zoomScaleNormal="100" zoomScaleSheetLayoutView="100" workbookViewId="0"/>
  </sheetViews>
  <sheetFormatPr defaultRowHeight="11.25" x14ac:dyDescent="0.2"/>
  <cols>
    <col min="1" max="1" width="20" style="3" customWidth="1"/>
    <col min="2" max="2" width="60" style="65" bestFit="1" customWidth="1"/>
    <col min="3" max="3" width="20" style="3" customWidth="1"/>
    <col min="4" max="6" width="12" style="3" customWidth="1"/>
    <col min="7" max="22" width="12" style="3" bestFit="1" customWidth="1"/>
    <col min="23" max="16384" width="9" style="3"/>
  </cols>
  <sheetData>
    <row r="1" spans="1:7" s="1" customFormat="1" ht="15" customHeight="1" x14ac:dyDescent="0.2">
      <c r="A1" s="118" t="str">
        <f>'Orçamento Sintético'!A1</f>
        <v>P. Execução:</v>
      </c>
      <c r="B1" s="119" t="str">
        <f>'Orçamento Sintético'!D1</f>
        <v>Objeto: Implantação de sistema VRF no auditório ed. Sede</v>
      </c>
      <c r="C1" s="118" t="str">
        <f>'Orçamento Sintético'!C1</f>
        <v>Licitação:</v>
      </c>
      <c r="D1" s="215"/>
      <c r="E1" s="216"/>
      <c r="F1" s="221"/>
    </row>
    <row r="2" spans="1:7" s="1" customFormat="1" ht="15" customHeight="1" x14ac:dyDescent="0.2">
      <c r="A2" s="122" t="str">
        <f>'Orçamento Sintético'!A2</f>
        <v>A</v>
      </c>
      <c r="B2" s="123" t="str">
        <f>'Orçamento Sintético'!D2</f>
        <v>Local: Praça do Buriti Bloco A, Lote 2 - Zona Cívico-Administrativa - Brasília / DF</v>
      </c>
      <c r="C2" s="217" t="str">
        <f>'Orçamento Sintético'!C2</f>
        <v>B</v>
      </c>
      <c r="D2" s="218"/>
      <c r="E2" s="222"/>
      <c r="F2" s="223"/>
    </row>
    <row r="3" spans="1:7" s="54" customFormat="1" ht="15" customHeight="1" x14ac:dyDescent="0.2">
      <c r="A3" s="126" t="str">
        <f>'Orçamento Sintético'!A3</f>
        <v>P. Validade:</v>
      </c>
      <c r="B3" s="126" t="str">
        <f>'Orçamento Sintético'!C3</f>
        <v>Razão Social:</v>
      </c>
      <c r="C3" s="118" t="str">
        <f>'Orçamento Sintético'!E1</f>
        <v>Data:</v>
      </c>
      <c r="D3" s="218"/>
      <c r="E3" s="222"/>
      <c r="F3" s="223"/>
    </row>
    <row r="4" spans="1:7" s="54" customFormat="1" ht="15" customHeight="1" x14ac:dyDescent="0.2">
      <c r="A4" s="122" t="str">
        <f>'Orçamento Sintético'!A4</f>
        <v>C</v>
      </c>
      <c r="B4" s="127" t="str">
        <f>'Orçamento Sintético'!C4</f>
        <v>D</v>
      </c>
      <c r="C4" s="127">
        <f>'Orçamento Sintético'!E2</f>
        <v>1</v>
      </c>
      <c r="D4" s="218"/>
      <c r="E4" s="222"/>
      <c r="F4" s="223"/>
    </row>
    <row r="5" spans="1:7" s="1" customFormat="1" ht="14.25" x14ac:dyDescent="0.2">
      <c r="A5" s="118" t="str">
        <f>'Orçamento Sintético'!A5</f>
        <v>P. Garantia:</v>
      </c>
      <c r="B5" s="126" t="str">
        <f>'Orçamento Sintético'!C5</f>
        <v>CNPJ:</v>
      </c>
      <c r="C5" s="118" t="str">
        <f>'Orçamento Sintético'!E3</f>
        <v>Telefone:</v>
      </c>
      <c r="D5" s="218"/>
      <c r="E5" s="222"/>
      <c r="F5" s="223"/>
    </row>
    <row r="6" spans="1:7" s="1" customFormat="1" ht="14.25" customHeight="1" x14ac:dyDescent="0.2">
      <c r="A6" s="122" t="str">
        <f>'Orçamento Sintético'!A6</f>
        <v>F</v>
      </c>
      <c r="B6" s="127" t="str">
        <f>'Orçamento Sintético'!C6</f>
        <v>G</v>
      </c>
      <c r="C6" s="127" t="str">
        <f>'Orçamento Sintético'!E4</f>
        <v>E</v>
      </c>
      <c r="D6" s="219"/>
      <c r="E6" s="220"/>
      <c r="F6" s="224"/>
    </row>
    <row r="7" spans="1:7" ht="15" x14ac:dyDescent="0.25">
      <c r="A7" s="70" t="s">
        <v>229</v>
      </c>
      <c r="B7" s="92"/>
      <c r="C7" s="92"/>
      <c r="D7" s="92"/>
      <c r="E7" s="92"/>
      <c r="F7" s="92"/>
    </row>
    <row r="8" spans="1:7" ht="12.75" x14ac:dyDescent="0.2">
      <c r="A8" s="17" t="s">
        <v>0</v>
      </c>
      <c r="B8" s="17" t="s">
        <v>3</v>
      </c>
      <c r="C8" s="17" t="s">
        <v>230</v>
      </c>
      <c r="D8" s="17" t="s">
        <v>231</v>
      </c>
      <c r="E8" s="17" t="s">
        <v>232</v>
      </c>
      <c r="F8" s="17" t="s">
        <v>233</v>
      </c>
      <c r="G8" s="53"/>
    </row>
    <row r="9" spans="1:7" s="48" customFormat="1" x14ac:dyDescent="0.2">
      <c r="A9" s="239" t="s">
        <v>8</v>
      </c>
      <c r="B9" s="234" t="str">
        <f>VLOOKUP($A9,'Orçamento Sintético'!$A:$H,4,0)</f>
        <v>SERVIÇOS TÉCNICOS-PROFISSIONAIS</v>
      </c>
      <c r="C9" s="235">
        <f>ROUND(C10/$F$134,4)</f>
        <v>5.9999999999999995E-4</v>
      </c>
      <c r="D9" s="236">
        <f>ROUND(D10/$C10,4)</f>
        <v>1</v>
      </c>
      <c r="E9" s="236">
        <f>ROUND(E10/$C10,4)</f>
        <v>0</v>
      </c>
      <c r="F9" s="236">
        <f>ROUND(F10/$C10,4)</f>
        <v>0</v>
      </c>
    </row>
    <row r="10" spans="1:7" s="53" customFormat="1" x14ac:dyDescent="0.2">
      <c r="A10" s="239"/>
      <c r="B10" s="234"/>
      <c r="C10" s="237">
        <f>VLOOKUP($A9,'Orçamento Sintético'!$A:$H,8,0)</f>
        <v>233.94</v>
      </c>
      <c r="D10" s="238">
        <f>D12</f>
        <v>233.94</v>
      </c>
      <c r="E10" s="238">
        <f>E12</f>
        <v>0</v>
      </c>
      <c r="F10" s="238">
        <f>F12</f>
        <v>0</v>
      </c>
    </row>
    <row r="11" spans="1:7" s="48" customFormat="1" x14ac:dyDescent="0.2">
      <c r="A11" s="240" t="s">
        <v>10</v>
      </c>
      <c r="B11" s="242" t="str">
        <f>VLOOKUP($A11,'Orçamento Sintético'!$A:$H,4,0)</f>
        <v>TAXAS E EMOLUMENTOS</v>
      </c>
      <c r="C11" s="243">
        <f>ROUND(C12/$F$134,4)</f>
        <v>5.9999999999999995E-4</v>
      </c>
      <c r="D11" s="243">
        <f>ROUND(D12/$C12,4)</f>
        <v>1</v>
      </c>
      <c r="E11" s="243">
        <f t="shared" ref="E11:F11" si="0">ROUND(E12/$C12,4)</f>
        <v>0</v>
      </c>
      <c r="F11" s="243">
        <f t="shared" si="0"/>
        <v>0</v>
      </c>
    </row>
    <row r="12" spans="1:7" s="53" customFormat="1" x14ac:dyDescent="0.2">
      <c r="A12" s="240"/>
      <c r="B12" s="242"/>
      <c r="C12" s="244">
        <f>VLOOKUP($A11,'Orçamento Sintético'!$A:$H,8,0)</f>
        <v>233.94</v>
      </c>
      <c r="D12" s="244">
        <f>D14</f>
        <v>233.94</v>
      </c>
      <c r="E12" s="244">
        <f t="shared" ref="E12:F12" si="1">E14</f>
        <v>0</v>
      </c>
      <c r="F12" s="244">
        <f t="shared" si="1"/>
        <v>0</v>
      </c>
    </row>
    <row r="13" spans="1:7" s="48" customFormat="1" x14ac:dyDescent="0.2">
      <c r="A13" s="241" t="s">
        <v>12</v>
      </c>
      <c r="B13" s="245" t="str">
        <f>VLOOKUP($A13,'Orçamento Sintético'!$A:$H,4,0)</f>
        <v>Registro do contrato junto ao conselho de classe (ART)</v>
      </c>
      <c r="C13" s="246">
        <f>ROUND(C14/$F$134,4)</f>
        <v>5.9999999999999995E-4</v>
      </c>
      <c r="D13" s="246">
        <v>1</v>
      </c>
      <c r="E13" s="246"/>
      <c r="F13" s="246">
        <f>ROUND(F14/$C14,4)</f>
        <v>0</v>
      </c>
    </row>
    <row r="14" spans="1:7" s="53" customFormat="1" x14ac:dyDescent="0.2">
      <c r="A14" s="241"/>
      <c r="B14" s="247"/>
      <c r="C14" s="248">
        <f>VLOOKUP($A13,'Orçamento Sintético'!$A:$H,8,0)</f>
        <v>233.94</v>
      </c>
      <c r="D14" s="248">
        <f>ROUND($C14*D13,2)</f>
        <v>233.94</v>
      </c>
      <c r="E14" s="248">
        <f>ROUND($C14*E13,2)</f>
        <v>0</v>
      </c>
      <c r="F14" s="248">
        <f>$C14-SUM(D14:E14)</f>
        <v>0</v>
      </c>
    </row>
    <row r="15" spans="1:7" s="48" customFormat="1" x14ac:dyDescent="0.2">
      <c r="A15" s="239" t="s">
        <v>17</v>
      </c>
      <c r="B15" s="234" t="str">
        <f>VLOOKUP($A15,'Orçamento Sintético'!$A:$H,4,0)</f>
        <v>SERVIÇOS PRELIMINARES</v>
      </c>
      <c r="C15" s="235">
        <f>ROUND(C16/$F$134,4)</f>
        <v>1.2999999999999999E-3</v>
      </c>
      <c r="D15" s="236">
        <f>ROUND(D16/$C16,4)</f>
        <v>0.92100000000000004</v>
      </c>
      <c r="E15" s="236">
        <f>ROUND(E16/$C16,4)</f>
        <v>3.8899999999999997E-2</v>
      </c>
      <c r="F15" s="236">
        <f>ROUND(F16/$C16,4)</f>
        <v>4.0099999999999997E-2</v>
      </c>
    </row>
    <row r="16" spans="1:7" s="53" customFormat="1" x14ac:dyDescent="0.2">
      <c r="A16" s="239"/>
      <c r="B16" s="234"/>
      <c r="C16" s="237">
        <f>VLOOKUP($A15,'Orçamento Sintético'!$A:$H,8,0)</f>
        <v>480.95</v>
      </c>
      <c r="D16" s="238">
        <f>D18+D24</f>
        <v>442.96</v>
      </c>
      <c r="E16" s="238">
        <f>E18+E24</f>
        <v>18.71</v>
      </c>
      <c r="F16" s="238">
        <f>F18+F24</f>
        <v>19.28</v>
      </c>
    </row>
    <row r="17" spans="1:6" s="48" customFormat="1" x14ac:dyDescent="0.2">
      <c r="A17" s="240" t="s">
        <v>19</v>
      </c>
      <c r="B17" s="242" t="str">
        <f>VLOOKUP($A17,'Orçamento Sintético'!$A:$H,4,0)</f>
        <v>CANTEIRO DE OBRAS</v>
      </c>
      <c r="C17" s="243">
        <f>ROUND(C18/$F$134,4)</f>
        <v>2.0000000000000001E-4</v>
      </c>
      <c r="D17" s="243">
        <f>ROUND(D18/$C18,4)</f>
        <v>0.33</v>
      </c>
      <c r="E17" s="243">
        <f t="shared" ref="E17:F17" si="2">ROUND(E18/$C18,4)</f>
        <v>0.33</v>
      </c>
      <c r="F17" s="243">
        <f t="shared" si="2"/>
        <v>0.34</v>
      </c>
    </row>
    <row r="18" spans="1:6" s="53" customFormat="1" x14ac:dyDescent="0.2">
      <c r="A18" s="240"/>
      <c r="B18" s="242"/>
      <c r="C18" s="244">
        <f>VLOOKUP($A17,'Orçamento Sintético'!$A:$H,8,0)</f>
        <v>56.7</v>
      </c>
      <c r="D18" s="244">
        <f>D20</f>
        <v>18.71</v>
      </c>
      <c r="E18" s="244">
        <f t="shared" ref="E18:F18" si="3">E20</f>
        <v>18.71</v>
      </c>
      <c r="F18" s="244">
        <f t="shared" si="3"/>
        <v>19.28</v>
      </c>
    </row>
    <row r="19" spans="1:6" s="48" customFormat="1" x14ac:dyDescent="0.2">
      <c r="A19" s="251" t="s">
        <v>21</v>
      </c>
      <c r="B19" s="252" t="str">
        <f>VLOOKUP($A19,'Orçamento Sintético'!$A:$H,4,0)</f>
        <v>Proteção e Sinalização</v>
      </c>
      <c r="C19" s="253">
        <f>ROUND(C20/$F$134,4)</f>
        <v>2.0000000000000001E-4</v>
      </c>
      <c r="D19" s="254">
        <f>ROUND(D20/$C20,4)</f>
        <v>0.33</v>
      </c>
      <c r="E19" s="254">
        <f>ROUND(E20/$C20,4)</f>
        <v>0.33</v>
      </c>
      <c r="F19" s="254">
        <f>ROUND(F20/$C20,4)</f>
        <v>0.34</v>
      </c>
    </row>
    <row r="20" spans="1:6" s="53" customFormat="1" x14ac:dyDescent="0.2">
      <c r="A20" s="251"/>
      <c r="B20" s="252"/>
      <c r="C20" s="255">
        <f>VLOOKUP($A19,'Orçamento Sintético'!$A:$H,8,0)</f>
        <v>56.7</v>
      </c>
      <c r="D20" s="256">
        <f>D22</f>
        <v>18.71</v>
      </c>
      <c r="E20" s="256">
        <f>E22</f>
        <v>18.71</v>
      </c>
      <c r="F20" s="256">
        <f>F22</f>
        <v>19.28</v>
      </c>
    </row>
    <row r="21" spans="1:6" s="48" customFormat="1" ht="11.25" customHeight="1" x14ac:dyDescent="0.2">
      <c r="A21" s="241" t="s">
        <v>23</v>
      </c>
      <c r="B21" s="245" t="str">
        <f>VLOOKUP($A21,'Orçamento Sintético'!$A:$H,4,0)</f>
        <v>APLICAÇÃO DE LONA PLÁSTICA PARA EXECUÇÃO DE PAVIMENTOS DE CONCRETO. AF_11/2017</v>
      </c>
      <c r="C21" s="246">
        <f>ROUND(C22/$F$134,4)</f>
        <v>2.0000000000000001E-4</v>
      </c>
      <c r="D21" s="246">
        <v>0.33</v>
      </c>
      <c r="E21" s="246">
        <v>0.33</v>
      </c>
      <c r="F21" s="246">
        <f>ROUND(F22/$C22,4)</f>
        <v>0.34</v>
      </c>
    </row>
    <row r="22" spans="1:6" s="53" customFormat="1" x14ac:dyDescent="0.2">
      <c r="A22" s="241"/>
      <c r="B22" s="247"/>
      <c r="C22" s="248">
        <f>VLOOKUP($A21,'Orçamento Sintético'!$A:$H,8,0)</f>
        <v>56.7</v>
      </c>
      <c r="D22" s="248">
        <f>ROUND($C22*D21,2)</f>
        <v>18.71</v>
      </c>
      <c r="E22" s="248">
        <f>ROUND($C22*E21,2)</f>
        <v>18.71</v>
      </c>
      <c r="F22" s="248">
        <f>$C22-SUM(D22:E22)</f>
        <v>19.28</v>
      </c>
    </row>
    <row r="23" spans="1:6" s="48" customFormat="1" x14ac:dyDescent="0.2">
      <c r="A23" s="240" t="s">
        <v>26</v>
      </c>
      <c r="B23" s="242" t="str">
        <f>VLOOKUP($A23,'Orçamento Sintético'!$A:$H,4,0)</f>
        <v>DEMOLIÇÃO</v>
      </c>
      <c r="C23" s="243">
        <f>ROUND(C24/$F$134,4)</f>
        <v>1.1999999999999999E-3</v>
      </c>
      <c r="D23" s="243">
        <f>ROUND(D24/$C24,4)</f>
        <v>1</v>
      </c>
      <c r="E23" s="243">
        <f>ROUND(E24/$C24,4)</f>
        <v>0</v>
      </c>
      <c r="F23" s="243">
        <f>ROUND(F24/$C24,4)</f>
        <v>0</v>
      </c>
    </row>
    <row r="24" spans="1:6" s="53" customFormat="1" x14ac:dyDescent="0.2">
      <c r="A24" s="240"/>
      <c r="B24" s="242"/>
      <c r="C24" s="244">
        <f>VLOOKUP($A23,'Orçamento Sintético'!$A:$H,8,0)</f>
        <v>424.25</v>
      </c>
      <c r="D24" s="244">
        <f>D26+D30</f>
        <v>424.25</v>
      </c>
      <c r="E24" s="244">
        <f>E26+E30</f>
        <v>0</v>
      </c>
      <c r="F24" s="244">
        <f>F26+F30</f>
        <v>0</v>
      </c>
    </row>
    <row r="25" spans="1:6" s="48" customFormat="1" x14ac:dyDescent="0.2">
      <c r="A25" s="251" t="s">
        <v>28</v>
      </c>
      <c r="B25" s="252" t="str">
        <f>VLOOKUP($A25,'Orçamento Sintético'!$A:$H,4,0)</f>
        <v>Demolição Convencional</v>
      </c>
      <c r="C25" s="253">
        <f>ROUND(C26/$F$134,4)</f>
        <v>2.9999999999999997E-4</v>
      </c>
      <c r="D25" s="254">
        <f>ROUND(D26/$C26,4)</f>
        <v>1</v>
      </c>
      <c r="E25" s="254">
        <f>ROUND(E26/$C26,4)</f>
        <v>0</v>
      </c>
      <c r="F25" s="254">
        <f>ROUND(F26/$C26,4)</f>
        <v>0</v>
      </c>
    </row>
    <row r="26" spans="1:6" s="53" customFormat="1" x14ac:dyDescent="0.2">
      <c r="A26" s="251"/>
      <c r="B26" s="252"/>
      <c r="C26" s="255">
        <f>VLOOKUP($A25,'Orçamento Sintético'!$A:$H,8,0)</f>
        <v>92.6</v>
      </c>
      <c r="D26" s="256">
        <f>D28</f>
        <v>92.6</v>
      </c>
      <c r="E26" s="256">
        <f>E28</f>
        <v>0</v>
      </c>
      <c r="F26" s="256">
        <f>F28</f>
        <v>0</v>
      </c>
    </row>
    <row r="27" spans="1:6" s="48" customFormat="1" x14ac:dyDescent="0.2">
      <c r="A27" s="241" t="s">
        <v>30</v>
      </c>
      <c r="B27" s="245" t="str">
        <f>VLOOKUP($A27,'Orçamento Sintético'!$A:$H,4,0)</f>
        <v>DEMOLIÇÃO DE ALVENARIA DE BLOCO FURADO, DE FORMA MANUAL, SEM REAPROVEITAMENTO. AF_12/2017</v>
      </c>
      <c r="C27" s="246">
        <f>ROUND(C28/$F$134,4)</f>
        <v>2.9999999999999997E-4</v>
      </c>
      <c r="D27" s="246">
        <v>1</v>
      </c>
      <c r="E27" s="246"/>
      <c r="F27" s="246">
        <f>ROUND(F28/$C28,4)</f>
        <v>0</v>
      </c>
    </row>
    <row r="28" spans="1:6" s="53" customFormat="1" x14ac:dyDescent="0.2">
      <c r="A28" s="241"/>
      <c r="B28" s="247"/>
      <c r="C28" s="248">
        <f>VLOOKUP($A27,'Orçamento Sintético'!$A:$H,8,0)</f>
        <v>92.6</v>
      </c>
      <c r="D28" s="248">
        <f>ROUND($C28*D27,2)</f>
        <v>92.6</v>
      </c>
      <c r="E28" s="248">
        <f>ROUND($C28*E27,2)</f>
        <v>0</v>
      </c>
      <c r="F28" s="248">
        <f>$C28-SUM(D28:E28)</f>
        <v>0</v>
      </c>
    </row>
    <row r="29" spans="1:6" s="48" customFormat="1" x14ac:dyDescent="0.2">
      <c r="A29" s="251" t="s">
        <v>32</v>
      </c>
      <c r="B29" s="252" t="str">
        <f>VLOOKUP($A29,'Orçamento Sintético'!$A:$H,4,0)</f>
        <v>Remoções</v>
      </c>
      <c r="C29" s="253">
        <f>ROUND(C30/$F$134,4)</f>
        <v>8.9999999999999998E-4</v>
      </c>
      <c r="D29" s="254">
        <f>ROUND(D30/$C30,4)</f>
        <v>1</v>
      </c>
      <c r="E29" s="254">
        <f>ROUND(E30/$C30,4)</f>
        <v>0</v>
      </c>
      <c r="F29" s="254">
        <f>ROUND(F30/$C30,4)</f>
        <v>0</v>
      </c>
    </row>
    <row r="30" spans="1:6" s="53" customFormat="1" x14ac:dyDescent="0.2">
      <c r="A30" s="251"/>
      <c r="B30" s="252"/>
      <c r="C30" s="255">
        <f>VLOOKUP($A29,'Orçamento Sintético'!$A:$H,8,0)</f>
        <v>331.65000000000003</v>
      </c>
      <c r="D30" s="256">
        <f>D32+D34+D36</f>
        <v>331.65000000000003</v>
      </c>
      <c r="E30" s="256">
        <f>E32+E34+E36</f>
        <v>0</v>
      </c>
      <c r="F30" s="256">
        <f>F32+F34+F36</f>
        <v>0</v>
      </c>
    </row>
    <row r="31" spans="1:6" s="48" customFormat="1" x14ac:dyDescent="0.2">
      <c r="A31" s="241" t="s">
        <v>34</v>
      </c>
      <c r="B31" s="245" t="str">
        <f>VLOOKUP($A31,'Orçamento Sintético'!$A:$H,4,0)</f>
        <v>Copia da SIURB (176093) - RETIRADA DE DUTO DE EXAUSTÃO</v>
      </c>
      <c r="C31" s="246">
        <f>ROUND(C32/$F$134,4)</f>
        <v>5.0000000000000001E-4</v>
      </c>
      <c r="D31" s="246">
        <v>1</v>
      </c>
      <c r="E31" s="246"/>
      <c r="F31" s="246">
        <f>ROUND(F32/$C32,4)</f>
        <v>0</v>
      </c>
    </row>
    <row r="32" spans="1:6" s="53" customFormat="1" x14ac:dyDescent="0.2">
      <c r="A32" s="241"/>
      <c r="B32" s="247"/>
      <c r="C32" s="248">
        <f>VLOOKUP($A31,'Orçamento Sintético'!$A:$H,8,0)</f>
        <v>167.96</v>
      </c>
      <c r="D32" s="248">
        <f>ROUND($C32*D31,2)</f>
        <v>167.96</v>
      </c>
      <c r="E32" s="248">
        <f>ROUND($C32*E31,2)</f>
        <v>0</v>
      </c>
      <c r="F32" s="248">
        <f>$C32-SUM(D32:E32)</f>
        <v>0</v>
      </c>
    </row>
    <row r="33" spans="1:6" s="48" customFormat="1" x14ac:dyDescent="0.2">
      <c r="A33" s="241" t="s">
        <v>38</v>
      </c>
      <c r="B33" s="245" t="str">
        <f>VLOOKUP($A33,'Orçamento Sintético'!$A:$H,4,0)</f>
        <v>REMOÇÃO DE FORRO DE GESSO, DE FORMA MANUAL, SEM REAPROVEITAMENTO. AF_12/2017</v>
      </c>
      <c r="C33" s="246">
        <f>ROUND(C34/$F$134,4)</f>
        <v>2.9999999999999997E-4</v>
      </c>
      <c r="D33" s="246">
        <v>1</v>
      </c>
      <c r="E33" s="246"/>
      <c r="F33" s="246">
        <f>ROUND(F34/$C34,4)</f>
        <v>0</v>
      </c>
    </row>
    <row r="34" spans="1:6" s="53" customFormat="1" x14ac:dyDescent="0.2">
      <c r="A34" s="241"/>
      <c r="B34" s="247"/>
      <c r="C34" s="248">
        <f>VLOOKUP($A33,'Orçamento Sintético'!$A:$H,8,0)</f>
        <v>103.75</v>
      </c>
      <c r="D34" s="248">
        <f>ROUND($C34*D33,2)</f>
        <v>103.75</v>
      </c>
      <c r="E34" s="248">
        <f>ROUND($C34*E33,2)</f>
        <v>0</v>
      </c>
      <c r="F34" s="248">
        <f>$C34-SUM(D34:E34)</f>
        <v>0</v>
      </c>
    </row>
    <row r="35" spans="1:6" s="48" customFormat="1" x14ac:dyDescent="0.2">
      <c r="A35" s="241" t="s">
        <v>41</v>
      </c>
      <c r="B35" s="245" t="str">
        <f>VLOOKUP($A35,'Orçamento Sintético'!$A:$H,4,0)</f>
        <v>Copia da IOPES (010224) - Retirada de grades, gradis, alambrados, cercas e/ou portões, de forma manual</v>
      </c>
      <c r="C35" s="246">
        <f>ROUND(C36/$F$134,4)</f>
        <v>2.0000000000000001E-4</v>
      </c>
      <c r="D35" s="246">
        <v>1</v>
      </c>
      <c r="E35" s="246"/>
      <c r="F35" s="246">
        <f>ROUND(F36/$C36,4)</f>
        <v>0</v>
      </c>
    </row>
    <row r="36" spans="1:6" s="53" customFormat="1" x14ac:dyDescent="0.2">
      <c r="A36" s="241"/>
      <c r="B36" s="247"/>
      <c r="C36" s="248">
        <f>VLOOKUP($A35,'Orçamento Sintético'!$A:$H,8,0)</f>
        <v>59.94</v>
      </c>
      <c r="D36" s="248">
        <f>ROUND($C36*D35,2)</f>
        <v>59.94</v>
      </c>
      <c r="E36" s="248">
        <f>ROUND($C36*E35,2)</f>
        <v>0</v>
      </c>
      <c r="F36" s="248">
        <f>$C36-SUM(D36:E36)</f>
        <v>0</v>
      </c>
    </row>
    <row r="37" spans="1:6" s="48" customFormat="1" x14ac:dyDescent="0.2">
      <c r="A37" s="239" t="s">
        <v>44</v>
      </c>
      <c r="B37" s="234" t="str">
        <f>VLOOKUP($A37,'Orçamento Sintético'!$A:$H,4,0)</f>
        <v>ARQUITETURA E ELEMENTOS DE URBANISMO</v>
      </c>
      <c r="C37" s="235">
        <f>ROUND(C38/$F$134,4)</f>
        <v>4.1599999999999998E-2</v>
      </c>
      <c r="D37" s="236">
        <f>ROUND(D38/$C38,4)</f>
        <v>0.88049999999999995</v>
      </c>
      <c r="E37" s="236">
        <f>ROUND(E38/$C38,4)</f>
        <v>9.6799999999999997E-2</v>
      </c>
      <c r="F37" s="236">
        <f>ROUND(F38/$C38,4)</f>
        <v>2.2700000000000001E-2</v>
      </c>
    </row>
    <row r="38" spans="1:6" s="53" customFormat="1" x14ac:dyDescent="0.2">
      <c r="A38" s="239"/>
      <c r="B38" s="234"/>
      <c r="C38" s="237">
        <f>VLOOKUP($A37,'Orçamento Sintético'!$A:$H,8,0)</f>
        <v>15344.78</v>
      </c>
      <c r="D38" s="238">
        <f>D40</f>
        <v>13510.86</v>
      </c>
      <c r="E38" s="238">
        <f>E40</f>
        <v>1485</v>
      </c>
      <c r="F38" s="238">
        <f>F40</f>
        <v>348.92</v>
      </c>
    </row>
    <row r="39" spans="1:6" s="48" customFormat="1" x14ac:dyDescent="0.2">
      <c r="A39" s="240" t="s">
        <v>46</v>
      </c>
      <c r="B39" s="242" t="str">
        <f>VLOOKUP($A39,'Orçamento Sintético'!$A:$H,4,0)</f>
        <v>ARQUITETURA</v>
      </c>
      <c r="C39" s="243">
        <f>ROUND(C40/$F$134,4)</f>
        <v>4.1599999999999998E-2</v>
      </c>
      <c r="D39" s="243">
        <f>ROUND(D40/$C40,4)</f>
        <v>0.88049999999999995</v>
      </c>
      <c r="E39" s="243">
        <f>ROUND(E40/$C40,4)</f>
        <v>9.6799999999999997E-2</v>
      </c>
      <c r="F39" s="243">
        <f>ROUND(F40/$C40,4)</f>
        <v>2.2700000000000001E-2</v>
      </c>
    </row>
    <row r="40" spans="1:6" s="53" customFormat="1" x14ac:dyDescent="0.2">
      <c r="A40" s="240"/>
      <c r="B40" s="242"/>
      <c r="C40" s="244">
        <f>VLOOKUP($A39,'Orçamento Sintético'!$A:$H,8,0)</f>
        <v>15344.78</v>
      </c>
      <c r="D40" s="244">
        <f>D42+D46+D50</f>
        <v>13510.86</v>
      </c>
      <c r="E40" s="244">
        <f>E42+E46+E50</f>
        <v>1485</v>
      </c>
      <c r="F40" s="244">
        <f>F42+F46+F50</f>
        <v>348.92</v>
      </c>
    </row>
    <row r="41" spans="1:6" s="48" customFormat="1" x14ac:dyDescent="0.2">
      <c r="A41" s="251" t="s">
        <v>48</v>
      </c>
      <c r="B41" s="252" t="str">
        <f>VLOOKUP($A41,'Orçamento Sintético'!$A:$H,4,0)</f>
        <v>Esquadria de ferro</v>
      </c>
      <c r="C41" s="253">
        <f>ROUND(C42/$F$134,4)</f>
        <v>3.6600000000000001E-2</v>
      </c>
      <c r="D41" s="254">
        <f>ROUND(D42/$C42,4)</f>
        <v>1</v>
      </c>
      <c r="E41" s="254">
        <f>ROUND(E42/$C42,4)</f>
        <v>0</v>
      </c>
      <c r="F41" s="254">
        <f>ROUND(F42/$C42,4)</f>
        <v>0</v>
      </c>
    </row>
    <row r="42" spans="1:6" s="53" customFormat="1" x14ac:dyDescent="0.2">
      <c r="A42" s="251"/>
      <c r="B42" s="252"/>
      <c r="C42" s="255">
        <f>VLOOKUP($A41,'Orçamento Sintético'!$A:$H,8,0)</f>
        <v>13510.86</v>
      </c>
      <c r="D42" s="256">
        <f>D44</f>
        <v>13510.86</v>
      </c>
      <c r="E42" s="256">
        <f>E44</f>
        <v>0</v>
      </c>
      <c r="F42" s="256">
        <f>F44</f>
        <v>0</v>
      </c>
    </row>
    <row r="43" spans="1:6" s="48" customFormat="1" x14ac:dyDescent="0.2">
      <c r="A43" s="241" t="s">
        <v>50</v>
      </c>
      <c r="B43" s="245" t="str">
        <f>VLOOKUP($A43,'Orçamento Sintético'!$A:$H,4,0)</f>
        <v>GRADIL EM FERRO FIXADO EM VÃOS DE JANELAS, FORMADO POR BARRAS CHATAS DE 25X4,8 MM. AF_04/2019</v>
      </c>
      <c r="C43" s="246">
        <f>ROUND(C44/$F$134,4)</f>
        <v>3.6600000000000001E-2</v>
      </c>
      <c r="D43" s="246">
        <v>1</v>
      </c>
      <c r="E43" s="246"/>
      <c r="F43" s="246">
        <f>ROUND(F44/$C44,4)</f>
        <v>0</v>
      </c>
    </row>
    <row r="44" spans="1:6" s="53" customFormat="1" x14ac:dyDescent="0.2">
      <c r="A44" s="241"/>
      <c r="B44" s="247"/>
      <c r="C44" s="248">
        <f>VLOOKUP($A43,'Orçamento Sintético'!$A:$H,8,0)</f>
        <v>13510.86</v>
      </c>
      <c r="D44" s="248">
        <f>ROUND($C44*D43,2)</f>
        <v>13510.86</v>
      </c>
      <c r="E44" s="248">
        <f>ROUND($C44*E43,2)</f>
        <v>0</v>
      </c>
      <c r="F44" s="248">
        <f>$C44-SUM(D44:E44)</f>
        <v>0</v>
      </c>
    </row>
    <row r="45" spans="1:6" s="48" customFormat="1" x14ac:dyDescent="0.2">
      <c r="A45" s="251" t="s">
        <v>53</v>
      </c>
      <c r="B45" s="252" t="str">
        <f>VLOOKUP($A45,'Orçamento Sintético'!$A:$H,4,0)</f>
        <v>Revestimentos de forro</v>
      </c>
      <c r="C45" s="253">
        <f>ROUND(C46/$F$134,4)</f>
        <v>4.0000000000000001E-3</v>
      </c>
      <c r="D45" s="254">
        <f>ROUND(D46/$C46,4)</f>
        <v>0</v>
      </c>
      <c r="E45" s="254">
        <f>ROUND(E46/$C46,4)</f>
        <v>1</v>
      </c>
      <c r="F45" s="254">
        <f>ROUND(F46/$C46,4)</f>
        <v>0</v>
      </c>
    </row>
    <row r="46" spans="1:6" s="53" customFormat="1" x14ac:dyDescent="0.2">
      <c r="A46" s="251"/>
      <c r="B46" s="252"/>
      <c r="C46" s="255">
        <f>VLOOKUP($A45,'Orçamento Sintético'!$A:$H,8,0)</f>
        <v>1485</v>
      </c>
      <c r="D46" s="256">
        <f>D48</f>
        <v>0</v>
      </c>
      <c r="E46" s="256">
        <f>E48</f>
        <v>1485</v>
      </c>
      <c r="F46" s="256">
        <f>F48</f>
        <v>0</v>
      </c>
    </row>
    <row r="47" spans="1:6" s="48" customFormat="1" x14ac:dyDescent="0.2">
      <c r="A47" s="241" t="s">
        <v>55</v>
      </c>
      <c r="B47" s="245" t="str">
        <f>VLOOKUP($A47,'Orçamento Sintético'!$A:$H,4,0)</f>
        <v>FORRO EM DRYWALL, PARA AMBIENTES COMERCIAIS, INCLUSIVE ESTRUTURA DE FIXAÇÃO. AF_05/2017_P</v>
      </c>
      <c r="C47" s="246">
        <f>ROUND(C48/$F$134,4)</f>
        <v>4.0000000000000001E-3</v>
      </c>
      <c r="D47" s="246"/>
      <c r="E47" s="246">
        <v>1</v>
      </c>
      <c r="F47" s="246">
        <f>ROUND(F48/$C48,4)</f>
        <v>0</v>
      </c>
    </row>
    <row r="48" spans="1:6" s="53" customFormat="1" x14ac:dyDescent="0.2">
      <c r="A48" s="241"/>
      <c r="B48" s="247"/>
      <c r="C48" s="248">
        <f>VLOOKUP($A47,'Orçamento Sintético'!$A:$H,8,0)</f>
        <v>1485</v>
      </c>
      <c r="D48" s="248">
        <f>ROUND($C48*D47,2)</f>
        <v>0</v>
      </c>
      <c r="E48" s="248">
        <f>ROUND($C48*E47,2)</f>
        <v>1485</v>
      </c>
      <c r="F48" s="248">
        <f>$C48-SUM(D48:E48)</f>
        <v>0</v>
      </c>
    </row>
    <row r="49" spans="1:6" s="48" customFormat="1" x14ac:dyDescent="0.2">
      <c r="A49" s="251" t="s">
        <v>58</v>
      </c>
      <c r="B49" s="252" t="str">
        <f>VLOOKUP($A49,'Orçamento Sintético'!$A:$H,4,0)</f>
        <v>Acabamentos e Arremates</v>
      </c>
      <c r="C49" s="253">
        <f>ROUND(C50/$F$134,4)</f>
        <v>8.9999999999999998E-4</v>
      </c>
      <c r="D49" s="254">
        <f>ROUND(D50/$C50,4)</f>
        <v>0</v>
      </c>
      <c r="E49" s="254">
        <f>ROUND(E50/$C50,4)</f>
        <v>0</v>
      </c>
      <c r="F49" s="254">
        <f>ROUND(F50/$C50,4)</f>
        <v>1</v>
      </c>
    </row>
    <row r="50" spans="1:6" s="53" customFormat="1" x14ac:dyDescent="0.2">
      <c r="A50" s="251"/>
      <c r="B50" s="252"/>
      <c r="C50" s="255">
        <f>VLOOKUP($A49,'Orçamento Sintético'!$A:$H,8,0)</f>
        <v>348.92</v>
      </c>
      <c r="D50" s="256">
        <f>D52</f>
        <v>0</v>
      </c>
      <c r="E50" s="256">
        <f>E52</f>
        <v>0</v>
      </c>
      <c r="F50" s="256">
        <f>F52</f>
        <v>348.92</v>
      </c>
    </row>
    <row r="51" spans="1:6" s="48" customFormat="1" x14ac:dyDescent="0.2">
      <c r="A51" s="241" t="s">
        <v>60</v>
      </c>
      <c r="B51" s="245" t="str">
        <f>VLOOKUP($A51,'Orçamento Sintético'!$A:$H,4,0)</f>
        <v>CALHA EM CHAPA DE AÇO GALVANIZADO NÚMERO 24, DESENVOLVIMENTO DE 50 CM, INCLUSO TRANSPORTE VERTICAL. AF_07/2019</v>
      </c>
      <c r="C51" s="246">
        <f>ROUND(C52/$F$134,4)</f>
        <v>8.9999999999999998E-4</v>
      </c>
      <c r="D51" s="246"/>
      <c r="E51" s="246"/>
      <c r="F51" s="246">
        <f>ROUND(F52/$C52,4)</f>
        <v>1</v>
      </c>
    </row>
    <row r="52" spans="1:6" s="53" customFormat="1" x14ac:dyDescent="0.2">
      <c r="A52" s="241"/>
      <c r="B52" s="247"/>
      <c r="C52" s="248">
        <f>VLOOKUP($A51,'Orçamento Sintético'!$A:$H,8,0)</f>
        <v>348.92</v>
      </c>
      <c r="D52" s="248">
        <f>ROUND($C52*D51,2)</f>
        <v>0</v>
      </c>
      <c r="E52" s="248">
        <f>ROUND($C52*E51,2)</f>
        <v>0</v>
      </c>
      <c r="F52" s="248">
        <f>$C52-SUM(D52:E52)</f>
        <v>348.92</v>
      </c>
    </row>
    <row r="53" spans="1:6" s="48" customFormat="1" x14ac:dyDescent="0.2">
      <c r="A53" s="239" t="s">
        <v>63</v>
      </c>
      <c r="B53" s="234" t="str">
        <f>VLOOKUP($A53,'Orçamento Sintético'!$A:$H,4,0)</f>
        <v>INSTALAÇÕES ELÉTRICAS E ELETRÔNICAS</v>
      </c>
      <c r="C53" s="235">
        <f>ROUND(C54/$F$134,4)</f>
        <v>0.21360000000000001</v>
      </c>
      <c r="D53" s="236">
        <f>ROUND(D54/$C54,4)</f>
        <v>0.54930000000000001</v>
      </c>
      <c r="E53" s="236">
        <f>ROUND(E54/$C54,4)</f>
        <v>0.39539999999999997</v>
      </c>
      <c r="F53" s="236">
        <f>ROUND(F54/$C54,4)</f>
        <v>5.5300000000000002E-2</v>
      </c>
    </row>
    <row r="54" spans="1:6" s="53" customFormat="1" x14ac:dyDescent="0.2">
      <c r="A54" s="239"/>
      <c r="B54" s="234"/>
      <c r="C54" s="237">
        <f>VLOOKUP($A53,'Orçamento Sintético'!$A:$H,8,0)</f>
        <v>78756.83</v>
      </c>
      <c r="D54" s="238">
        <f>D56</f>
        <v>43257.53</v>
      </c>
      <c r="E54" s="238">
        <f>E56</f>
        <v>31142.48</v>
      </c>
      <c r="F54" s="238">
        <f>F56</f>
        <v>4356.82</v>
      </c>
    </row>
    <row r="55" spans="1:6" s="48" customFormat="1" x14ac:dyDescent="0.2">
      <c r="A55" s="240" t="s">
        <v>65</v>
      </c>
      <c r="B55" s="242" t="str">
        <f>VLOOKUP($A55,'Orçamento Sintético'!$A:$H,4,0)</f>
        <v>INSTALAÇÕES ELÉTRICAS</v>
      </c>
      <c r="C55" s="243">
        <f>ROUND(C56/$F$134,4)</f>
        <v>0.21360000000000001</v>
      </c>
      <c r="D55" s="243">
        <f>ROUND(D56/$C56,4)</f>
        <v>0.54930000000000001</v>
      </c>
      <c r="E55" s="243">
        <f>ROUND(E56/$C56,4)</f>
        <v>0.39539999999999997</v>
      </c>
      <c r="F55" s="243">
        <f>ROUND(F56/$C56,4)</f>
        <v>5.5300000000000002E-2</v>
      </c>
    </row>
    <row r="56" spans="1:6" s="53" customFormat="1" x14ac:dyDescent="0.2">
      <c r="A56" s="240"/>
      <c r="B56" s="242"/>
      <c r="C56" s="244">
        <f>VLOOKUP($A55,'Orçamento Sintético'!$A:$H,8,0)</f>
        <v>78756.83</v>
      </c>
      <c r="D56" s="244">
        <f>D58+D68</f>
        <v>43257.53</v>
      </c>
      <c r="E56" s="244">
        <f>E58+E68</f>
        <v>31142.48</v>
      </c>
      <c r="F56" s="244">
        <f>F58+F68</f>
        <v>4356.82</v>
      </c>
    </row>
    <row r="57" spans="1:6" s="48" customFormat="1" x14ac:dyDescent="0.2">
      <c r="A57" s="251" t="s">
        <v>67</v>
      </c>
      <c r="B57" s="252" t="str">
        <f>VLOOKUP($A57,'Orçamento Sintético'!$A:$H,4,0)</f>
        <v>Quadros Elétricos</v>
      </c>
      <c r="C57" s="253">
        <f>ROUND(C58/$F$134,4)</f>
        <v>0.16420000000000001</v>
      </c>
      <c r="D57" s="254">
        <f>ROUND(D58/$C58,4)</f>
        <v>0.60209999999999997</v>
      </c>
      <c r="E57" s="254">
        <f>ROUND(E58/$C58,4)</f>
        <v>0.39789999999999998</v>
      </c>
      <c r="F57" s="254">
        <f>ROUND(F58/$C58,4)</f>
        <v>0</v>
      </c>
    </row>
    <row r="58" spans="1:6" s="53" customFormat="1" x14ac:dyDescent="0.2">
      <c r="A58" s="251"/>
      <c r="B58" s="252"/>
      <c r="C58" s="255">
        <f>VLOOKUP($A57,'Orçamento Sintético'!$A:$H,8,0)</f>
        <v>60567.97</v>
      </c>
      <c r="D58" s="256">
        <f>D60+D62+D64+D66</f>
        <v>36469.870000000003</v>
      </c>
      <c r="E58" s="256">
        <f>E60+E62+E64+E66</f>
        <v>24098.1</v>
      </c>
      <c r="F58" s="256">
        <f>F60+F62+F64+F66</f>
        <v>0</v>
      </c>
    </row>
    <row r="59" spans="1:6" s="48" customFormat="1" x14ac:dyDescent="0.2">
      <c r="A59" s="241" t="s">
        <v>69</v>
      </c>
      <c r="B59" s="245" t="str">
        <f>VLOOKUP($A59,'Orçamento Sintético'!$A:$H,4,0)</f>
        <v>QE-CAG - PJBSI - Reforma de quadro elétrico para Central de água gelada do retrofit AC do auditório do Ed. Sede</v>
      </c>
      <c r="C59" s="246">
        <f>ROUND(C60/$F$134,4)</f>
        <v>1.1599999999999999E-2</v>
      </c>
      <c r="D59" s="246">
        <v>0.6</v>
      </c>
      <c r="E59" s="246">
        <v>0.4</v>
      </c>
      <c r="F59" s="246">
        <f>ROUND(F60/$C60,4)</f>
        <v>0</v>
      </c>
    </row>
    <row r="60" spans="1:6" s="53" customFormat="1" x14ac:dyDescent="0.2">
      <c r="A60" s="241"/>
      <c r="B60" s="247"/>
      <c r="C60" s="248">
        <f>VLOOKUP($A59,'Orçamento Sintético'!$A:$H,8,0)</f>
        <v>4262.5200000000004</v>
      </c>
      <c r="D60" s="248">
        <f>ROUND($C60*D59,2)</f>
        <v>2557.5100000000002</v>
      </c>
      <c r="E60" s="248">
        <f>ROUND($C60*E59,2)</f>
        <v>1705.01</v>
      </c>
      <c r="F60" s="248">
        <f>$C60-SUM(D60:E60)</f>
        <v>0</v>
      </c>
    </row>
    <row r="61" spans="1:6" s="48" customFormat="1" x14ac:dyDescent="0.2">
      <c r="A61" s="241" t="s">
        <v>73</v>
      </c>
      <c r="B61" s="245" t="str">
        <f>VLOOKUP($A61,'Orçamento Sintético'!$A:$H,4,0)</f>
        <v>QE-CAG-B - PJBSI - Quadro elétrico para Central de água gelada 'B" do retrofit AC do auditório do Ed. Sede (novo)</v>
      </c>
      <c r="C61" s="246">
        <f>ROUND(C62/$F$134,4)</f>
        <v>0.15179999999999999</v>
      </c>
      <c r="D61" s="246">
        <v>0.6</v>
      </c>
      <c r="E61" s="246">
        <v>0.4</v>
      </c>
      <c r="F61" s="246">
        <f>ROUND(F62/$C62,4)</f>
        <v>0</v>
      </c>
    </row>
    <row r="62" spans="1:6" s="53" customFormat="1" x14ac:dyDescent="0.2">
      <c r="A62" s="241"/>
      <c r="B62" s="247"/>
      <c r="C62" s="248">
        <f>VLOOKUP($A61,'Orçamento Sintético'!$A:$H,8,0)</f>
        <v>55982.73</v>
      </c>
      <c r="D62" s="248">
        <f>ROUND($C62*D61,2)</f>
        <v>33589.64</v>
      </c>
      <c r="E62" s="248">
        <f>ROUND($C62*E61,2)</f>
        <v>22393.09</v>
      </c>
      <c r="F62" s="248">
        <f>$C62-SUM(D62:E62)</f>
        <v>0</v>
      </c>
    </row>
    <row r="63" spans="1:6" s="48" customFormat="1" x14ac:dyDescent="0.2">
      <c r="A63" s="241" t="s">
        <v>76</v>
      </c>
      <c r="B63" s="245" t="str">
        <f>VLOOKUP($A63,'Orçamento Sintético'!$A:$H,4,0)</f>
        <v>DISJUNTOR TRIPOLAR TIPO DIN, CORRENTE NOMINAL DE 10A - FORNECIMENTO E INSTALAÇÃO. AF_10/2020</v>
      </c>
      <c r="C63" s="246">
        <f>ROUND(C64/$F$134,4)</f>
        <v>4.0000000000000002E-4</v>
      </c>
      <c r="D63" s="246">
        <v>1</v>
      </c>
      <c r="E63" s="246"/>
      <c r="F63" s="246">
        <f>ROUND(F64/$C64,4)</f>
        <v>0</v>
      </c>
    </row>
    <row r="64" spans="1:6" s="53" customFormat="1" x14ac:dyDescent="0.2">
      <c r="A64" s="241"/>
      <c r="B64" s="247"/>
      <c r="C64" s="248">
        <f>VLOOKUP($A63,'Orçamento Sintético'!$A:$H,8,0)</f>
        <v>146.76</v>
      </c>
      <c r="D64" s="248">
        <f>ROUND($C64*D63,2)</f>
        <v>146.76</v>
      </c>
      <c r="E64" s="248">
        <f>ROUND($C64*E63,2)</f>
        <v>0</v>
      </c>
      <c r="F64" s="248">
        <f>$C64-SUM(D64:E64)</f>
        <v>0</v>
      </c>
    </row>
    <row r="65" spans="1:6" s="48" customFormat="1" x14ac:dyDescent="0.2">
      <c r="A65" s="241" t="s">
        <v>329</v>
      </c>
      <c r="B65" s="245" t="str">
        <f>VLOOKUP($A65,'Orçamento Sintético'!$A:$H,4,0)</f>
        <v>DISJUNTOR TRIPOLAR TIPO DIN, CORRENTE NOMINAL DE 40A - FORNECIMENTO E INSTALAÇÃO. AF_10/2020</v>
      </c>
      <c r="C65" s="246">
        <f>ROUND(C66/$F$134,4)</f>
        <v>5.0000000000000001E-4</v>
      </c>
      <c r="D65" s="246">
        <v>1</v>
      </c>
      <c r="E65" s="246"/>
      <c r="F65" s="246">
        <f>ROUND(F66/$C66,4)</f>
        <v>0</v>
      </c>
    </row>
    <row r="66" spans="1:6" s="53" customFormat="1" x14ac:dyDescent="0.2">
      <c r="A66" s="241"/>
      <c r="B66" s="247"/>
      <c r="C66" s="248">
        <f>VLOOKUP($A65,'Orçamento Sintético'!$A:$H,8,0)</f>
        <v>175.96</v>
      </c>
      <c r="D66" s="248">
        <f>ROUND($C66*D65,2)</f>
        <v>175.96</v>
      </c>
      <c r="E66" s="248">
        <f>ROUND($C66*E65,2)</f>
        <v>0</v>
      </c>
      <c r="F66" s="248">
        <f>$C66-SUM(D66:E66)</f>
        <v>0</v>
      </c>
    </row>
    <row r="67" spans="1:6" s="48" customFormat="1" x14ac:dyDescent="0.2">
      <c r="A67" s="251" t="s">
        <v>78</v>
      </c>
      <c r="B67" s="252" t="str">
        <f>VLOOKUP($A67,'Orçamento Sintético'!$A:$H,4,0)</f>
        <v>Rede Elétrica Primária</v>
      </c>
      <c r="C67" s="253">
        <f>ROUND(C68/$F$134,4)</f>
        <v>4.9299999999999997E-2</v>
      </c>
      <c r="D67" s="254">
        <f>ROUND(D68/$C68,4)</f>
        <v>0.37319999999999998</v>
      </c>
      <c r="E67" s="254">
        <f>ROUND(E68/$C68,4)</f>
        <v>0.38729999999999998</v>
      </c>
      <c r="F67" s="254">
        <f>ROUND(F68/$C68,4)</f>
        <v>0.23949999999999999</v>
      </c>
    </row>
    <row r="68" spans="1:6" s="53" customFormat="1" x14ac:dyDescent="0.2">
      <c r="A68" s="251"/>
      <c r="B68" s="252"/>
      <c r="C68" s="255">
        <f>VLOOKUP($A67,'Orçamento Sintético'!$A:$H,8,0)</f>
        <v>18188.859999999997</v>
      </c>
      <c r="D68" s="256">
        <f>D70+D72+D74+D76+D78+D80+D82</f>
        <v>6787.66</v>
      </c>
      <c r="E68" s="256">
        <f>E70+E72+E74+E76+E78+E80+E82</f>
        <v>7044.38</v>
      </c>
      <c r="F68" s="256">
        <f>F70+F72+F74+F76+F78+F80+F82</f>
        <v>4356.82</v>
      </c>
    </row>
    <row r="69" spans="1:6" s="48" customFormat="1" x14ac:dyDescent="0.2">
      <c r="A69" s="241" t="s">
        <v>80</v>
      </c>
      <c r="B69" s="245" t="str">
        <f>VLOOKUP($A69,'Orçamento Sintético'!$A:$H,4,0)</f>
        <v>Copia da SINAPI (95748) - Eletroduto rígido de aço carbono, sem costura, com revestimento protetor de zinco aplicado à quente, extremidades rosqueadas, classe pesada, Ø50 mm (2" BSPP), fab. Apolo - fornecimento e instalação</v>
      </c>
      <c r="C69" s="246">
        <f>ROUND(C70/$F$134,4)</f>
        <v>6.1999999999999998E-3</v>
      </c>
      <c r="D69" s="246">
        <v>0.7</v>
      </c>
      <c r="E69" s="246">
        <v>0.3</v>
      </c>
      <c r="F69" s="246">
        <f>ROUND(F70/$C70,4)</f>
        <v>0</v>
      </c>
    </row>
    <row r="70" spans="1:6" s="53" customFormat="1" x14ac:dyDescent="0.2">
      <c r="A70" s="241"/>
      <c r="B70" s="247"/>
      <c r="C70" s="248">
        <f>VLOOKUP($A69,'Orçamento Sintético'!$A:$H,8,0)</f>
        <v>2294.08</v>
      </c>
      <c r="D70" s="248">
        <f>ROUND($C70*D69,2)</f>
        <v>1605.86</v>
      </c>
      <c r="E70" s="248">
        <f>ROUND($C70*E69,2)</f>
        <v>688.22</v>
      </c>
      <c r="F70" s="248">
        <f>$C70-SUM(D70:E70)</f>
        <v>0</v>
      </c>
    </row>
    <row r="71" spans="1:6" s="48" customFormat="1" x14ac:dyDescent="0.2">
      <c r="A71" s="241" t="s">
        <v>83</v>
      </c>
      <c r="B71" s="245" t="str">
        <f>VLOOKUP($A71,'Orçamento Sintético'!$A:$H,4,0)</f>
        <v>Copia da SBC (061169) - ELETRODUTO FERRO GALVANIZADO ROSCÁVEL 1.1/2"" COM CONEXÕES</v>
      </c>
      <c r="C71" s="246">
        <f>ROUND(C72/$F$134,4)</f>
        <v>1.6500000000000001E-2</v>
      </c>
      <c r="D71" s="246">
        <v>0.7</v>
      </c>
      <c r="E71" s="246">
        <v>0.3</v>
      </c>
      <c r="F71" s="246">
        <f>ROUND(F72/$C72,4)</f>
        <v>0</v>
      </c>
    </row>
    <row r="72" spans="1:6" s="53" customFormat="1" x14ac:dyDescent="0.2">
      <c r="A72" s="241"/>
      <c r="B72" s="247"/>
      <c r="C72" s="248">
        <f>VLOOKUP($A71,'Orçamento Sintético'!$A:$H,8,0)</f>
        <v>6074.04</v>
      </c>
      <c r="D72" s="248">
        <f>ROUND($C72*D71,2)</f>
        <v>4251.83</v>
      </c>
      <c r="E72" s="248">
        <f>ROUND($C72*E71,2)</f>
        <v>1822.21</v>
      </c>
      <c r="F72" s="248">
        <f>$C72-SUM(D72:E72)</f>
        <v>0</v>
      </c>
    </row>
    <row r="73" spans="1:6" s="48" customFormat="1" x14ac:dyDescent="0.2">
      <c r="A73" s="241" t="s">
        <v>87</v>
      </c>
      <c r="B73" s="245" t="str">
        <f>VLOOKUP($A73,'Orçamento Sintético'!$A:$H,4,0)</f>
        <v>Copia da SINAPI (95791) - Condulete de alumínio, tipo LR, para eletroduto de aço galvanizado dn 50mm (2''), aparente - fornecimento e instalação</v>
      </c>
      <c r="C73" s="246">
        <f>ROUND(C74/$F$134,4)</f>
        <v>4.0000000000000002E-4</v>
      </c>
      <c r="D73" s="246">
        <v>1</v>
      </c>
      <c r="E73" s="246"/>
      <c r="F73" s="246">
        <f>ROUND(F74/$C74,4)</f>
        <v>0</v>
      </c>
    </row>
    <row r="74" spans="1:6" s="53" customFormat="1" x14ac:dyDescent="0.2">
      <c r="A74" s="241"/>
      <c r="B74" s="247"/>
      <c r="C74" s="248">
        <f>VLOOKUP($A73,'Orçamento Sintético'!$A:$H,8,0)</f>
        <v>141.66</v>
      </c>
      <c r="D74" s="248">
        <f>ROUND($C74*D73,2)</f>
        <v>141.66</v>
      </c>
      <c r="E74" s="248">
        <f>ROUND($C74*E73,2)</f>
        <v>0</v>
      </c>
      <c r="F74" s="248">
        <f>$C74-SUM(D74:E74)</f>
        <v>0</v>
      </c>
    </row>
    <row r="75" spans="1:6" s="48" customFormat="1" x14ac:dyDescent="0.2">
      <c r="A75" s="241" t="s">
        <v>90</v>
      </c>
      <c r="B75" s="245" t="str">
        <f>VLOOKUP($A75,'Orçamento Sintético'!$A:$H,4,0)</f>
        <v>Copia da SINAPI (95791) - Condulete de alumínio, tipo LR, para eletroduto de aço galvanizado dn 40 mm (1 1/2''), aparente - fornecimento e instalação</v>
      </c>
      <c r="C75" s="246">
        <f>ROUND(C76/$F$134,4)</f>
        <v>1E-3</v>
      </c>
      <c r="D75" s="246">
        <v>1</v>
      </c>
      <c r="E75" s="246"/>
      <c r="F75" s="246">
        <f>ROUND(F76/$C76,4)</f>
        <v>0</v>
      </c>
    </row>
    <row r="76" spans="1:6" s="53" customFormat="1" x14ac:dyDescent="0.2">
      <c r="A76" s="241"/>
      <c r="B76" s="247"/>
      <c r="C76" s="248">
        <f>VLOOKUP($A75,'Orçamento Sintético'!$A:$H,8,0)</f>
        <v>375</v>
      </c>
      <c r="D76" s="248">
        <f>ROUND($C76*D75,2)</f>
        <v>375</v>
      </c>
      <c r="E76" s="248">
        <f>ROUND($C76*E75,2)</f>
        <v>0</v>
      </c>
      <c r="F76" s="248">
        <f>$C76-SUM(D76:E76)</f>
        <v>0</v>
      </c>
    </row>
    <row r="77" spans="1:6" s="48" customFormat="1" x14ac:dyDescent="0.2">
      <c r="A77" s="241" t="s">
        <v>93</v>
      </c>
      <c r="B77" s="245" t="str">
        <f>VLOOKUP($A77,'Orçamento Sintético'!$A:$H,4,0)</f>
        <v>CABO DE COBRE FLEXÍVEL ISOLADO, 4 MM², ANTI-CHAMA 0,6/1,0 KV, PARA CIRCUITOS TERMINAIS - FORNECIMENTO E INSTALAÇÃO. AF_12/2015</v>
      </c>
      <c r="C77" s="246">
        <f>ROUND(C78/$F$134,4)</f>
        <v>7.9000000000000008E-3</v>
      </c>
      <c r="D77" s="246"/>
      <c r="E77" s="246">
        <v>0.5</v>
      </c>
      <c r="F77" s="246">
        <f>ROUND(F78/$C78,4)</f>
        <v>0.5</v>
      </c>
    </row>
    <row r="78" spans="1:6" s="53" customFormat="1" x14ac:dyDescent="0.2">
      <c r="A78" s="241"/>
      <c r="B78" s="247"/>
      <c r="C78" s="248">
        <f>VLOOKUP($A77,'Orçamento Sintético'!$A:$H,8,0)</f>
        <v>2926</v>
      </c>
      <c r="D78" s="248">
        <f>ROUND($C78*D77,2)</f>
        <v>0</v>
      </c>
      <c r="E78" s="248">
        <f>ROUND($C78*E77,2)</f>
        <v>1463</v>
      </c>
      <c r="F78" s="248">
        <f>$C78-SUM(D78:E78)</f>
        <v>1463</v>
      </c>
    </row>
    <row r="79" spans="1:6" s="48" customFormat="1" x14ac:dyDescent="0.2">
      <c r="A79" s="241" t="s">
        <v>96</v>
      </c>
      <c r="B79" s="245" t="str">
        <f>VLOOKUP($A79,'Orçamento Sintético'!$A:$H,4,0)</f>
        <v>CABO DE COBRE FLEXÍVEL ISOLADO, 6 MM², ANTI-CHAMA 0,6/1,0 KV, PARA CIRCUITOS TERMINAIS - FORNECIMENTO E INSTALAÇÃO. AF_12/2015</v>
      </c>
      <c r="C79" s="246">
        <f>ROUND(C80/$F$134,4)</f>
        <v>1.5699999999999999E-2</v>
      </c>
      <c r="D79" s="246"/>
      <c r="E79" s="246">
        <v>0.5</v>
      </c>
      <c r="F79" s="246">
        <f>ROUND(F80/$C80,4)</f>
        <v>0.5</v>
      </c>
    </row>
    <row r="80" spans="1:6" s="53" customFormat="1" x14ac:dyDescent="0.2">
      <c r="A80" s="241"/>
      <c r="B80" s="247"/>
      <c r="C80" s="248">
        <f>VLOOKUP($A79,'Orçamento Sintético'!$A:$H,8,0)</f>
        <v>5787.64</v>
      </c>
      <c r="D80" s="248">
        <f>ROUND($C80*D79,2)</f>
        <v>0</v>
      </c>
      <c r="E80" s="248">
        <f>ROUND($C80*E79,2)</f>
        <v>2893.82</v>
      </c>
      <c r="F80" s="248">
        <f>$C80-SUM(D80:E80)</f>
        <v>2893.82</v>
      </c>
    </row>
    <row r="81" spans="1:6" s="48" customFormat="1" x14ac:dyDescent="0.2">
      <c r="A81" s="241" t="s">
        <v>99</v>
      </c>
      <c r="B81" s="245" t="str">
        <f>VLOOKUP($A81,'Orçamento Sintético'!$A:$H,4,0)</f>
        <v>FIXAÇÃO DE TUBOS HORIZONTAIS DE PVC, CPVC OU COBRE DIÂMETROS MAIORES QUE 40 MM E MENORES OU IGUAIS A 75 MM COM ABRAÇADEIRA METÁLICA FLEXÍVEL 18 MM, FIXADA DIRETAMENTE NA LAJE. AF_05/2015</v>
      </c>
      <c r="C81" s="246">
        <f>ROUND(C82/$F$134,4)</f>
        <v>1.6000000000000001E-3</v>
      </c>
      <c r="D81" s="246">
        <v>0.7</v>
      </c>
      <c r="E81" s="246">
        <v>0.3</v>
      </c>
      <c r="F81" s="246">
        <f>ROUND(F82/$C82,4)</f>
        <v>0</v>
      </c>
    </row>
    <row r="82" spans="1:6" s="53" customFormat="1" x14ac:dyDescent="0.2">
      <c r="A82" s="241"/>
      <c r="B82" s="247"/>
      <c r="C82" s="248">
        <f>VLOOKUP($A81,'Orçamento Sintético'!$A:$H,8,0)</f>
        <v>590.44000000000005</v>
      </c>
      <c r="D82" s="248">
        <f>ROUND($C82*D81,2)</f>
        <v>413.31</v>
      </c>
      <c r="E82" s="248">
        <f>ROUND($C82*E81,2)</f>
        <v>177.13</v>
      </c>
      <c r="F82" s="248">
        <f>$C82-SUM(D82:E82)</f>
        <v>0</v>
      </c>
    </row>
    <row r="83" spans="1:6" s="48" customFormat="1" x14ac:dyDescent="0.2">
      <c r="A83" s="239" t="s">
        <v>102</v>
      </c>
      <c r="B83" s="234" t="str">
        <f>VLOOKUP($A83,'Orçamento Sintético'!$A:$H,4,0)</f>
        <v>INSTALAÇÕES MECÂNICAS E DE UTILIDADES</v>
      </c>
      <c r="C83" s="235">
        <f>ROUND(C84/$F$134,4)</f>
        <v>0.70199999999999996</v>
      </c>
      <c r="D83" s="236">
        <f>ROUND(D84/$C84,4)</f>
        <v>0.2452</v>
      </c>
      <c r="E83" s="236">
        <f>ROUND(E84/$C84,4)</f>
        <v>0.40139999999999998</v>
      </c>
      <c r="F83" s="236">
        <f>ROUND(F84/$C84,4)</f>
        <v>0.3533</v>
      </c>
    </row>
    <row r="84" spans="1:6" s="53" customFormat="1" x14ac:dyDescent="0.2">
      <c r="A84" s="239"/>
      <c r="B84" s="234"/>
      <c r="C84" s="237">
        <f>VLOOKUP($A83,'Orçamento Sintético'!$A:$H,8,0)</f>
        <v>258888.64</v>
      </c>
      <c r="D84" s="238">
        <f>D86</f>
        <v>63489.47</v>
      </c>
      <c r="E84" s="238">
        <f>E86</f>
        <v>103922.75</v>
      </c>
      <c r="F84" s="238">
        <f>F86</f>
        <v>91476.420000000013</v>
      </c>
    </row>
    <row r="85" spans="1:6" s="48" customFormat="1" x14ac:dyDescent="0.2">
      <c r="A85" s="240" t="s">
        <v>104</v>
      </c>
      <c r="B85" s="242" t="str">
        <f>VLOOKUP($A85,'Orçamento Sintético'!$A:$H,4,0)</f>
        <v>AR CONDICIONADO CENTRAL</v>
      </c>
      <c r="C85" s="243">
        <f>ROUND(C86/$F$134,4)</f>
        <v>0.70199999999999996</v>
      </c>
      <c r="D85" s="243">
        <f>ROUND(D86/$C86,4)</f>
        <v>0.2452</v>
      </c>
      <c r="E85" s="243">
        <f t="shared" ref="E85:F85" si="4">ROUND(E86/$C86,4)</f>
        <v>0.40139999999999998</v>
      </c>
      <c r="F85" s="243">
        <f t="shared" si="4"/>
        <v>0.3533</v>
      </c>
    </row>
    <row r="86" spans="1:6" s="53" customFormat="1" x14ac:dyDescent="0.2">
      <c r="A86" s="240"/>
      <c r="B86" s="242"/>
      <c r="C86" s="244">
        <f>VLOOKUP($A85,'Orçamento Sintético'!$A:$H,8,0)</f>
        <v>258888.64</v>
      </c>
      <c r="D86" s="244">
        <f>D88+D94+D104+D108</f>
        <v>63489.47</v>
      </c>
      <c r="E86" s="244">
        <f>E88+E94+E104+E108</f>
        <v>103922.75</v>
      </c>
      <c r="F86" s="244">
        <f>F88+F94+F104+F108</f>
        <v>91476.420000000013</v>
      </c>
    </row>
    <row r="87" spans="1:6" s="48" customFormat="1" x14ac:dyDescent="0.2">
      <c r="A87" s="251" t="s">
        <v>106</v>
      </c>
      <c r="B87" s="252" t="str">
        <f>VLOOKUP($A87,'Orçamento Sintético'!$A:$H,4,0)</f>
        <v>Condicionadores</v>
      </c>
      <c r="C87" s="253">
        <f>ROUND(C88/$F$134,4)</f>
        <v>0.47189999999999999</v>
      </c>
      <c r="D87" s="254">
        <f>ROUND(D88/$C88,4)</f>
        <v>0</v>
      </c>
      <c r="E87" s="254">
        <f>ROUND(E88/$C88,4)</f>
        <v>0.5</v>
      </c>
      <c r="F87" s="254">
        <f>ROUND(F88/$C88,4)</f>
        <v>0.5</v>
      </c>
    </row>
    <row r="88" spans="1:6" s="53" customFormat="1" x14ac:dyDescent="0.2">
      <c r="A88" s="251"/>
      <c r="B88" s="252"/>
      <c r="C88" s="255">
        <f>VLOOKUP($A87,'Orçamento Sintético'!$A:$H,8,0)</f>
        <v>174022.86000000002</v>
      </c>
      <c r="D88" s="256">
        <f>D90+D92</f>
        <v>0</v>
      </c>
      <c r="E88" s="256">
        <f>E90+E92</f>
        <v>87011.430000000008</v>
      </c>
      <c r="F88" s="256">
        <f>F90+F92</f>
        <v>87011.430000000008</v>
      </c>
    </row>
    <row r="89" spans="1:6" s="48" customFormat="1" x14ac:dyDescent="0.2">
      <c r="A89" s="241" t="s">
        <v>108</v>
      </c>
      <c r="B89" s="245" t="str">
        <f>VLOOKUP($A89,'Orçamento Sintético'!$A:$H,4,0)</f>
        <v>Cópia da SBC (070908) - Unidade condensadora de aparelho de ar condicionado de expansão direta tipo “splitão” inverter (VRF), tipo de ciclo “somente frio”, capacidade térmica nominal de 24,0 TRs, COP 3,47, alimentação elétrica trifásica, 380V, corrente nominal 36,9A, corrente de partida 20A, corrente máxima 58,5 A, potência elétrica 21,69kW, nível de pressão sonora 68 dB(A), dimensões 1675x1600x765 mm, peso 365kg, gás refrigerante R-410A, controle por válvula de expansão eletrônica, trocador de calor tipo corrente cruzada, com aletas de alumínio e tubos de cobre, tubulação de gás refrigerante 19,05mm (3/4”) e 31,75mm (1 – 1/4”), vazão de ar 405 m³/min (24300m³/h), incluindo kit válvula DXF-30.0A1 e kit acionamento KCO0053 - JCI – Hitachi RAS28FSNC7B1</v>
      </c>
      <c r="C89" s="246">
        <f>ROUND(C90/$F$134,4)</f>
        <v>0.39689999999999998</v>
      </c>
      <c r="D89" s="246"/>
      <c r="E89" s="246">
        <v>0.5</v>
      </c>
      <c r="F89" s="246">
        <f>ROUND(F90/$C90,4)</f>
        <v>0.5</v>
      </c>
    </row>
    <row r="90" spans="1:6" s="53" customFormat="1" x14ac:dyDescent="0.2">
      <c r="A90" s="241"/>
      <c r="B90" s="247"/>
      <c r="C90" s="248">
        <f>VLOOKUP($A89,'Orçamento Sintético'!$A:$H,8,0)</f>
        <v>146378.54</v>
      </c>
      <c r="D90" s="248">
        <f>ROUND($C90*D89,2)</f>
        <v>0</v>
      </c>
      <c r="E90" s="248">
        <f>ROUND($C90*E89,2)</f>
        <v>73189.27</v>
      </c>
      <c r="F90" s="248">
        <f>$C90-SUM(D90:E90)</f>
        <v>73189.27</v>
      </c>
    </row>
    <row r="91" spans="1:6" s="48" customFormat="1" x14ac:dyDescent="0.2">
      <c r="A91" s="241" t="s">
        <v>111</v>
      </c>
      <c r="B91" s="245" t="str">
        <f>VLOOKUP($A91,'Orçamento Sintético'!$A:$H,4,0)</f>
        <v>Cópia da CPOS (61.20.130) - Unidade evaporadora com módulo ventilador aparelho de ar condicionado de expansão direta tipo “splitão”, montagem na posição vertical, descarga de ar "para cima", com vazão de ar 17000 m³/h, pressão estática até 45mmca, dimensões 710x1900x710mm, alimentação elétrica trifásica, 380V, corrente elétrica 11,77 A, potência elétrica 7,54kW, motor elétrico 7,5 CV, módulo trocador de calor dimensões 1300x1900x710mm, incluindo controle remoto com fio HCWA10NEGQ e caixa de mistura com damper de ar externo CXMT250CNP - JCI – Hitachi RVT250CXM+RTCIV250CNP</v>
      </c>
      <c r="C91" s="246">
        <f>ROUND(C92/$F$134,4)</f>
        <v>7.4999999999999997E-2</v>
      </c>
      <c r="D91" s="246"/>
      <c r="E91" s="246">
        <v>0.5</v>
      </c>
      <c r="F91" s="246">
        <f>ROUND(F92/$C92,4)</f>
        <v>0.5</v>
      </c>
    </row>
    <row r="92" spans="1:6" s="53" customFormat="1" x14ac:dyDescent="0.2">
      <c r="A92" s="241"/>
      <c r="B92" s="247"/>
      <c r="C92" s="248">
        <f>VLOOKUP($A91,'Orçamento Sintético'!$A:$H,8,0)</f>
        <v>27644.32</v>
      </c>
      <c r="D92" s="248">
        <f>ROUND($C92*D91,2)</f>
        <v>0</v>
      </c>
      <c r="E92" s="248">
        <f>ROUND($C92*E91,2)</f>
        <v>13822.16</v>
      </c>
      <c r="F92" s="248">
        <f>$C92-SUM(D92:E92)</f>
        <v>13822.16</v>
      </c>
    </row>
    <row r="93" spans="1:6" s="48" customFormat="1" x14ac:dyDescent="0.2">
      <c r="A93" s="251" t="s">
        <v>114</v>
      </c>
      <c r="B93" s="252" t="str">
        <f>VLOOKUP($A93,'Orçamento Sintético'!$A:$H,4,0)</f>
        <v>Redes de Dutos</v>
      </c>
      <c r="C93" s="253">
        <f>ROUND(C94/$F$134,4)</f>
        <v>0.13089999999999999</v>
      </c>
      <c r="D93" s="254">
        <f>ROUND(D94/$C94,4)</f>
        <v>0.55720000000000003</v>
      </c>
      <c r="E93" s="254">
        <f>ROUND(E94/$C94,4)</f>
        <v>0.3503</v>
      </c>
      <c r="F93" s="254">
        <f>ROUND(F94/$C94,4)</f>
        <v>9.2499999999999999E-2</v>
      </c>
    </row>
    <row r="94" spans="1:6" s="53" customFormat="1" x14ac:dyDescent="0.2">
      <c r="A94" s="251"/>
      <c r="B94" s="252"/>
      <c r="C94" s="255">
        <f>VLOOKUP($A93,'Orçamento Sintético'!$A:$H,8,0)</f>
        <v>48273.2</v>
      </c>
      <c r="D94" s="256">
        <f>D96+D98+D100+D102</f>
        <v>26896.89</v>
      </c>
      <c r="E94" s="256">
        <f>E96+E98+E100+E102</f>
        <v>16911.32</v>
      </c>
      <c r="F94" s="256">
        <f>F96+F98+F100+F102</f>
        <v>4464.989999999998</v>
      </c>
    </row>
    <row r="95" spans="1:6" s="48" customFormat="1" x14ac:dyDescent="0.2">
      <c r="A95" s="241" t="s">
        <v>116</v>
      </c>
      <c r="B95" s="245" t="str">
        <f>VLOOKUP($A95,'Orçamento Sintético'!$A:$H,4,0)</f>
        <v>Cópia da SBC (070087) - Damper de sobre pressão dimensão 400x400mm, em chapa de aço galvanizado, com aletas em alumínio, eixos em aço, buchas em latão, para fluxo não equalizado, incluindo contra moldura - Tropical DSP30 - 400x400 - contra moldura</v>
      </c>
      <c r="C95" s="246">
        <f>ROUND(C96/$F$134,4)</f>
        <v>1.18E-2</v>
      </c>
      <c r="D95" s="246"/>
      <c r="E95" s="246">
        <v>0.5</v>
      </c>
      <c r="F95" s="246">
        <f>ROUND(F96/$C96,4)</f>
        <v>0.5</v>
      </c>
    </row>
    <row r="96" spans="1:6" s="53" customFormat="1" x14ac:dyDescent="0.2">
      <c r="A96" s="241"/>
      <c r="B96" s="247"/>
      <c r="C96" s="248">
        <f>VLOOKUP($A95,'Orçamento Sintético'!$A:$H,8,0)</f>
        <v>4349.88</v>
      </c>
      <c r="D96" s="248">
        <f>ROUND($C96*D95,2)</f>
        <v>0</v>
      </c>
      <c r="E96" s="248">
        <f>ROUND($C96*E95,2)</f>
        <v>2174.94</v>
      </c>
      <c r="F96" s="248">
        <f>$C96-SUM(D96:E96)</f>
        <v>2174.94</v>
      </c>
    </row>
    <row r="97" spans="1:6" s="48" customFormat="1" x14ac:dyDescent="0.2">
      <c r="A97" s="241" t="s">
        <v>119</v>
      </c>
      <c r="B97" s="245" t="str">
        <f>VLOOKUP($A97,'Orçamento Sintético'!$A:$H,4,0)</f>
        <v>Cópia da SBC (070087) -  Damper de sobre pressão dimensão 400x350mm, em chapa de aço galvanizado, com aletas em alumínio, eixos em aço, buchas em latão, para fluxo não equalizado, incluindo contra moldura - Tropical DSP30 - 400x350 - contra moldura</v>
      </c>
      <c r="C97" s="246">
        <f>ROUND(C98/$F$134,4)</f>
        <v>1.24E-2</v>
      </c>
      <c r="D97" s="246"/>
      <c r="E97" s="246">
        <v>0.5</v>
      </c>
      <c r="F97" s="246">
        <f>ROUND(F98/$C98,4)</f>
        <v>0.5</v>
      </c>
    </row>
    <row r="98" spans="1:6" s="53" customFormat="1" x14ac:dyDescent="0.2">
      <c r="A98" s="241"/>
      <c r="B98" s="247"/>
      <c r="C98" s="248">
        <f>VLOOKUP($A97,'Orçamento Sintético'!$A:$H,8,0)</f>
        <v>4580.12</v>
      </c>
      <c r="D98" s="248">
        <f>ROUND($C98*D97,2)</f>
        <v>0</v>
      </c>
      <c r="E98" s="248">
        <f>ROUND($C98*E97,2)</f>
        <v>2290.06</v>
      </c>
      <c r="F98" s="248">
        <f>$C98-SUM(D98:E98)</f>
        <v>2290.06</v>
      </c>
    </row>
    <row r="99" spans="1:6" s="48" customFormat="1" x14ac:dyDescent="0.2">
      <c r="A99" s="241" t="s">
        <v>122</v>
      </c>
      <c r="B99" s="245" t="str">
        <f>VLOOKUP($A99,'Orçamento Sintético'!$A:$H,4,0)</f>
        <v>Cópia Orse (9840) - Duto em chapa de aço galvanizado #16 (espessura de parede 1,55mm), grau B, com revestimento de 250g/m² de zinco, conforme ABNT NBR 7008, incluindo junta TDC, tirantes, reforços e suportes, conforme ABNT 16401.</v>
      </c>
      <c r="C99" s="246">
        <f>ROUND(C100/$F$134,4)</f>
        <v>7.1800000000000003E-2</v>
      </c>
      <c r="D99" s="246">
        <v>0.7</v>
      </c>
      <c r="E99" s="246">
        <v>0.3</v>
      </c>
      <c r="F99" s="246">
        <f>ROUND(F100/$C100,4)</f>
        <v>0</v>
      </c>
    </row>
    <row r="100" spans="1:6" s="53" customFormat="1" x14ac:dyDescent="0.2">
      <c r="A100" s="241"/>
      <c r="B100" s="247"/>
      <c r="C100" s="248">
        <f>VLOOKUP($A99,'Orçamento Sintético'!$A:$H,8,0)</f>
        <v>26476.15</v>
      </c>
      <c r="D100" s="248">
        <f>ROUND($C100*D99,2)</f>
        <v>18533.310000000001</v>
      </c>
      <c r="E100" s="248">
        <f>ROUND($C100*E99,2)</f>
        <v>7942.85</v>
      </c>
      <c r="F100" s="248">
        <f>$C100-SUM(D100:E100)</f>
        <v>-1.0000000002037268E-2</v>
      </c>
    </row>
    <row r="101" spans="1:6" s="48" customFormat="1" x14ac:dyDescent="0.2">
      <c r="A101" s="241" t="s">
        <v>125</v>
      </c>
      <c r="B101" s="245" t="str">
        <f>VLOOKUP($A101,'Orçamento Sintético'!$A:$H,4,0)</f>
        <v>Dutos de ar condicionado (ar exterior, retorno e exaustão) em espuma rígida de poliuretano com revestimento em alumínio nas superfícies internas e externas, nas dimensões internas indicadas em projeto, painéis com densidade de 42kg/m³, espessura 20mm, construído conforme orientação do fabricante, incluindo visitas pré-fabricadas (portas de inspeção) a cada 7 metros de trecho reto ou após curvas, perfis de união, baioneta, canto de reforço, canto de acabamento, perfis, barras de reforço, colarinhos, cola adesiva, massa de vedação, etc., com utilização das ferramentas bancada, facas especiais, punhos, marcadores de fita, caneta de nylon, aplicador de fita, alicate de bico, esquadro, estilete, martela de borracha, esquadros, vincadeira, compasso, cortador de colarinho, régua, etc. Modelo de referência:  Multivac MPU ou similar equivalente.</v>
      </c>
      <c r="C101" s="246">
        <f>ROUND(C102/$F$134,4)</f>
        <v>3.49E-2</v>
      </c>
      <c r="D101" s="246">
        <v>0.65</v>
      </c>
      <c r="E101" s="246">
        <v>0.35</v>
      </c>
      <c r="F101" s="246">
        <f>ROUND(F102/$C102,4)</f>
        <v>0</v>
      </c>
    </row>
    <row r="102" spans="1:6" s="53" customFormat="1" x14ac:dyDescent="0.2">
      <c r="A102" s="241"/>
      <c r="B102" s="247"/>
      <c r="C102" s="248">
        <f>VLOOKUP($A101,'Orçamento Sintético'!$A:$H,8,0)</f>
        <v>12867.05</v>
      </c>
      <c r="D102" s="248">
        <f>ROUND($C102*D101,2)</f>
        <v>8363.58</v>
      </c>
      <c r="E102" s="248">
        <f>ROUND($C102*E101,2)</f>
        <v>4503.47</v>
      </c>
      <c r="F102" s="248">
        <f>$C102-SUM(D102:E102)</f>
        <v>0</v>
      </c>
    </row>
    <row r="103" spans="1:6" s="48" customFormat="1" x14ac:dyDescent="0.2">
      <c r="A103" s="251" t="s">
        <v>128</v>
      </c>
      <c r="B103" s="252" t="str">
        <f>VLOOKUP($A103,'Orçamento Sintético'!$A:$H,4,0)</f>
        <v>Tubulações e Conexões de PVC Rígido</v>
      </c>
      <c r="C103" s="253">
        <f>ROUND(C104/$F$134,4)</f>
        <v>6.9999999999999999E-4</v>
      </c>
      <c r="D103" s="254">
        <f>ROUND(D104/$C104,4)</f>
        <v>1</v>
      </c>
      <c r="E103" s="254">
        <f>ROUND(E104/$C104,4)</f>
        <v>0</v>
      </c>
      <c r="F103" s="254">
        <f>ROUND(F104/$C104,4)</f>
        <v>0</v>
      </c>
    </row>
    <row r="104" spans="1:6" s="53" customFormat="1" x14ac:dyDescent="0.2">
      <c r="A104" s="251"/>
      <c r="B104" s="252"/>
      <c r="C104" s="255">
        <f>VLOOKUP($A103,'Orçamento Sintético'!$A:$H,8,0)</f>
        <v>239.94</v>
      </c>
      <c r="D104" s="256">
        <f>D106</f>
        <v>239.94</v>
      </c>
      <c r="E104" s="256">
        <f>E106</f>
        <v>0</v>
      </c>
      <c r="F104" s="256">
        <f>F106</f>
        <v>0</v>
      </c>
    </row>
    <row r="105" spans="1:6" s="48" customFormat="1" x14ac:dyDescent="0.2">
      <c r="A105" s="241" t="s">
        <v>130</v>
      </c>
      <c r="B105" s="245" t="str">
        <f>VLOOKUP($A105,'Orçamento Sintético'!$A:$H,4,0)</f>
        <v>(COMPOSIÇÃO REPRESENTATIVA) DO SERVIÇO DE INSTALAÇÃO DE TUBOS DE PVC, SOLDÁVEL, ÁGUA FRIA, DN 25 MM (INSTALADO EM RAMAL, SUB-RAMAL, RAMAL DE DISTRIBUIÇÃO OU PRUMADA), INCLUSIVE CONEXÕES, CORTES E FIXAÇÕES, PARA PRÉDIOS. AF_10/2015</v>
      </c>
      <c r="C105" s="246">
        <f>ROUND(C106/$F$134,4)</f>
        <v>6.9999999999999999E-4</v>
      </c>
      <c r="D105" s="246">
        <v>1</v>
      </c>
      <c r="E105" s="246"/>
      <c r="F105" s="246">
        <f>ROUND(F106/$C106,4)</f>
        <v>0</v>
      </c>
    </row>
    <row r="106" spans="1:6" s="53" customFormat="1" x14ac:dyDescent="0.2">
      <c r="A106" s="241"/>
      <c r="B106" s="247"/>
      <c r="C106" s="248">
        <f>VLOOKUP($A105,'Orçamento Sintético'!$A:$H,8,0)</f>
        <v>239.94</v>
      </c>
      <c r="D106" s="248">
        <f>ROUND($C106*D105,2)</f>
        <v>239.94</v>
      </c>
      <c r="E106" s="248">
        <f>ROUND($C106*E105,2)</f>
        <v>0</v>
      </c>
      <c r="F106" s="248">
        <f>$C106-SUM(D106:E106)</f>
        <v>0</v>
      </c>
    </row>
    <row r="107" spans="1:6" s="48" customFormat="1" x14ac:dyDescent="0.2">
      <c r="A107" s="251" t="s">
        <v>133</v>
      </c>
      <c r="B107" s="252" t="str">
        <f>VLOOKUP($A107,'Orçamento Sintético'!$A:$H,4,0)</f>
        <v>Tubulações e Conexões de Cobre</v>
      </c>
      <c r="C107" s="253">
        <f>ROUND(C108/$F$134,4)</f>
        <v>9.8599999999999993E-2</v>
      </c>
      <c r="D107" s="254">
        <f>ROUND(D108/$C108,4)</f>
        <v>1</v>
      </c>
      <c r="E107" s="254">
        <f>ROUND(E108/$C108,4)</f>
        <v>0</v>
      </c>
      <c r="F107" s="254">
        <f>ROUND(F108/$C108,4)</f>
        <v>0</v>
      </c>
    </row>
    <row r="108" spans="1:6" s="53" customFormat="1" x14ac:dyDescent="0.2">
      <c r="A108" s="251"/>
      <c r="B108" s="252"/>
      <c r="C108" s="255">
        <f>VLOOKUP($A107,'Orçamento Sintético'!$A:$H,8,0)</f>
        <v>36352.639999999999</v>
      </c>
      <c r="D108" s="256">
        <f>D110+D112+D114</f>
        <v>36352.639999999999</v>
      </c>
      <c r="E108" s="256">
        <f>E110+E112+E114</f>
        <v>0</v>
      </c>
      <c r="F108" s="256">
        <f>F110+F112+F114</f>
        <v>0</v>
      </c>
    </row>
    <row r="109" spans="1:6" s="48" customFormat="1" x14ac:dyDescent="0.2">
      <c r="A109" s="241" t="s">
        <v>135</v>
      </c>
      <c r="B109" s="245" t="str">
        <f>VLOOKUP($A109,'Orçamento Sintético'!$A:$H,4,0)</f>
        <v>TUBO EM COBRE RÍGIDO, DN 22 MM, CLASSE E, COM ISOLAMENTO, INSTALADO EM RAMAL E SUB-RAMAL  FORNECIMENTO E INSTALAÇÃO. AF_12/2015</v>
      </c>
      <c r="C109" s="246">
        <f>ROUND(C110/$F$134,4)</f>
        <v>3.6200000000000003E-2</v>
      </c>
      <c r="D109" s="246">
        <v>1</v>
      </c>
      <c r="E109" s="246"/>
      <c r="F109" s="246">
        <f>ROUND(F110/$C110,4)</f>
        <v>0</v>
      </c>
    </row>
    <row r="110" spans="1:6" s="53" customFormat="1" x14ac:dyDescent="0.2">
      <c r="A110" s="241"/>
      <c r="B110" s="247"/>
      <c r="C110" s="248">
        <f>VLOOKUP($A109,'Orçamento Sintético'!$A:$H,8,0)</f>
        <v>13359.45</v>
      </c>
      <c r="D110" s="248">
        <f>ROUND($C110*D109,2)</f>
        <v>13359.45</v>
      </c>
      <c r="E110" s="248">
        <f>ROUND($C110*E109,2)</f>
        <v>0</v>
      </c>
      <c r="F110" s="248">
        <f>$C110-SUM(D110:E110)</f>
        <v>0</v>
      </c>
    </row>
    <row r="111" spans="1:6" s="48" customFormat="1" x14ac:dyDescent="0.2">
      <c r="A111" s="241" t="s">
        <v>138</v>
      </c>
      <c r="B111" s="245" t="str">
        <f>VLOOKUP($A111,'Orçamento Sintético'!$A:$H,4,0)</f>
        <v>TUBO EM COBRE RÍGIDO, DN 35 MM, CLASSE E, COM ISOLAMENTO, INSTALADO EM PRUMADA  FORNECIMENTO E INSTALAÇÃO. AF_12/2015</v>
      </c>
      <c r="C111" s="246">
        <f>ROUND(C112/$F$134,4)</f>
        <v>4.7699999999999999E-2</v>
      </c>
      <c r="D111" s="246">
        <v>1</v>
      </c>
      <c r="E111" s="246"/>
      <c r="F111" s="246">
        <f>ROUND(F112/$C112,4)</f>
        <v>0</v>
      </c>
    </row>
    <row r="112" spans="1:6" s="53" customFormat="1" x14ac:dyDescent="0.2">
      <c r="A112" s="241"/>
      <c r="B112" s="247"/>
      <c r="C112" s="248">
        <f>VLOOKUP($A111,'Orçamento Sintético'!$A:$H,8,0)</f>
        <v>17587.080000000002</v>
      </c>
      <c r="D112" s="248">
        <f>ROUND($C112*D111,2)</f>
        <v>17587.080000000002</v>
      </c>
      <c r="E112" s="248">
        <f>ROUND($C112*E111,2)</f>
        <v>0</v>
      </c>
      <c r="F112" s="248">
        <f>$C112-SUM(D112:E112)</f>
        <v>0</v>
      </c>
    </row>
    <row r="113" spans="1:6" s="48" customFormat="1" x14ac:dyDescent="0.2">
      <c r="A113" s="241" t="s">
        <v>141</v>
      </c>
      <c r="B113" s="245" t="str">
        <f>VLOOKUP($A113,'Orçamento Sintético'!$A:$H,4,0)</f>
        <v>Cópia da CPOS (47.20.180) - Filtro Y 8" fabricado com corpo em ferro fundido, filtro removível em aço inoxidável AISI-304, com furação de 1,2mm, com as extremidades flangeadas - NIAGARA</v>
      </c>
      <c r="C113" s="246">
        <f>ROUND(C114/$F$134,4)</f>
        <v>1.47E-2</v>
      </c>
      <c r="D113" s="246">
        <v>1</v>
      </c>
      <c r="E113" s="246"/>
      <c r="F113" s="246">
        <f>ROUND(F114/$C114,4)</f>
        <v>0</v>
      </c>
    </row>
    <row r="114" spans="1:6" s="53" customFormat="1" x14ac:dyDescent="0.2">
      <c r="A114" s="241"/>
      <c r="B114" s="247"/>
      <c r="C114" s="248">
        <f>VLOOKUP($A113,'Orçamento Sintético'!$A:$H,8,0)</f>
        <v>5406.11</v>
      </c>
      <c r="D114" s="248">
        <f>ROUND($C114*D113,2)</f>
        <v>5406.11</v>
      </c>
      <c r="E114" s="248">
        <f>ROUND($C114*E113,2)</f>
        <v>0</v>
      </c>
      <c r="F114" s="248">
        <f>$C114-SUM(D114:E114)</f>
        <v>0</v>
      </c>
    </row>
    <row r="115" spans="1:6" s="48" customFormat="1" x14ac:dyDescent="0.2">
      <c r="A115" s="239" t="s">
        <v>158</v>
      </c>
      <c r="B115" s="234" t="str">
        <f>VLOOKUP($A115,'Orçamento Sintético'!$A:$H,4,0)</f>
        <v>SERVIÇOS COMPLEMENTARES</v>
      </c>
      <c r="C115" s="235">
        <f>ROUND(C116/$F$134,4)</f>
        <v>5.0000000000000001E-4</v>
      </c>
      <c r="D115" s="236">
        <f>ROUND(D116/$C116,4)</f>
        <v>0.33</v>
      </c>
      <c r="E115" s="236">
        <f>ROUND(E116/$C116,4)</f>
        <v>0.33</v>
      </c>
      <c r="F115" s="236">
        <f>ROUND(F116/$C116,4)</f>
        <v>0.34010000000000001</v>
      </c>
    </row>
    <row r="116" spans="1:6" s="53" customFormat="1" x14ac:dyDescent="0.2">
      <c r="A116" s="239"/>
      <c r="B116" s="234"/>
      <c r="C116" s="237">
        <f>VLOOKUP($A115,'Orçamento Sintético'!$A:$H,8,0)</f>
        <v>193.2</v>
      </c>
      <c r="D116" s="238">
        <f>D118</f>
        <v>63.75</v>
      </c>
      <c r="E116" s="238">
        <f t="shared" ref="E116:F116" si="5">E118</f>
        <v>63.75</v>
      </c>
      <c r="F116" s="238">
        <f t="shared" si="5"/>
        <v>65.700000000000017</v>
      </c>
    </row>
    <row r="117" spans="1:6" s="48" customFormat="1" x14ac:dyDescent="0.2">
      <c r="A117" s="240" t="s">
        <v>144</v>
      </c>
      <c r="B117" s="242" t="str">
        <f>VLOOKUP($A117,'Orçamento Sintético'!$A:$H,4,0)</f>
        <v>LIMPEZA DE OBRAS</v>
      </c>
      <c r="C117" s="243">
        <f>ROUND(C118/$F$134,4)</f>
        <v>5.0000000000000001E-4</v>
      </c>
      <c r="D117" s="243">
        <f>ROUND(D118/$C118,4)</f>
        <v>0.33</v>
      </c>
      <c r="E117" s="243">
        <f>ROUND(E118/$C118,4)</f>
        <v>0.33</v>
      </c>
      <c r="F117" s="243">
        <f>ROUND(F118/$C118,4)</f>
        <v>0.34010000000000001</v>
      </c>
    </row>
    <row r="118" spans="1:6" s="53" customFormat="1" x14ac:dyDescent="0.2">
      <c r="A118" s="240"/>
      <c r="B118" s="242"/>
      <c r="C118" s="244">
        <f>VLOOKUP($A117,'Orçamento Sintético'!$A:$H,8,0)</f>
        <v>193.2</v>
      </c>
      <c r="D118" s="244">
        <f>D120+D122</f>
        <v>63.75</v>
      </c>
      <c r="E118" s="244">
        <f>E120+E122</f>
        <v>63.75</v>
      </c>
      <c r="F118" s="244">
        <f>F120+F122</f>
        <v>65.700000000000017</v>
      </c>
    </row>
    <row r="119" spans="1:6" s="48" customFormat="1" x14ac:dyDescent="0.2">
      <c r="A119" s="241" t="s">
        <v>146</v>
      </c>
      <c r="B119" s="245" t="str">
        <f>VLOOKUP($A119,'Orçamento Sintético'!$A:$H,4,0)</f>
        <v>LIMPEZA DE CONTRAPISO COM VASSOURA A SECO. AF_04/2019</v>
      </c>
      <c r="C119" s="246">
        <f>ROUND(C120/$F$134,4)</f>
        <v>2.9999999999999997E-4</v>
      </c>
      <c r="D119" s="246">
        <v>0.33</v>
      </c>
      <c r="E119" s="246">
        <v>0.33</v>
      </c>
      <c r="F119" s="246">
        <f>ROUND(F120/$C120,4)</f>
        <v>0.34010000000000001</v>
      </c>
    </row>
    <row r="120" spans="1:6" s="53" customFormat="1" x14ac:dyDescent="0.2">
      <c r="A120" s="241"/>
      <c r="B120" s="247"/>
      <c r="C120" s="248">
        <f>VLOOKUP($A119,'Orçamento Sintético'!$A:$H,8,0)</f>
        <v>121.8</v>
      </c>
      <c r="D120" s="248">
        <f>ROUND($C120*D119,2)</f>
        <v>40.19</v>
      </c>
      <c r="E120" s="248">
        <f>ROUND($C120*E119,2)</f>
        <v>40.19</v>
      </c>
      <c r="F120" s="248">
        <f>$C120-SUM(D120:E120)</f>
        <v>41.42</v>
      </c>
    </row>
    <row r="121" spans="1:6" s="48" customFormat="1" x14ac:dyDescent="0.2">
      <c r="A121" s="241" t="s">
        <v>149</v>
      </c>
      <c r="B121" s="245" t="str">
        <f>VLOOKUP($A121,'Orçamento Sintético'!$A:$H,4,0)</f>
        <v>LIMPEZA DE PISO CERÂMICO OU PORCELANATO COM PANO ÚMIDO. AF_04/2019</v>
      </c>
      <c r="C121" s="246">
        <f>ROUND(C122/$F$134,4)</f>
        <v>2.0000000000000001E-4</v>
      </c>
      <c r="D121" s="246">
        <v>0.33</v>
      </c>
      <c r="E121" s="246">
        <v>0.33</v>
      </c>
      <c r="F121" s="246">
        <f>ROUND(F122/$C122,4)</f>
        <v>0.34010000000000001</v>
      </c>
    </row>
    <row r="122" spans="1:6" s="53" customFormat="1" x14ac:dyDescent="0.2">
      <c r="A122" s="241"/>
      <c r="B122" s="247"/>
      <c r="C122" s="248">
        <f>VLOOKUP($A121,'Orçamento Sintético'!$A:$H,8,0)</f>
        <v>71.400000000000006</v>
      </c>
      <c r="D122" s="248">
        <f>ROUND($C122*D121,2)</f>
        <v>23.56</v>
      </c>
      <c r="E122" s="248">
        <f>ROUND($C122*E121,2)</f>
        <v>23.56</v>
      </c>
      <c r="F122" s="248">
        <f>$C122-SUM(D122:E122)</f>
        <v>24.280000000000008</v>
      </c>
    </row>
    <row r="123" spans="1:6" s="48" customFormat="1" x14ac:dyDescent="0.2">
      <c r="A123" s="249" t="s">
        <v>403</v>
      </c>
      <c r="B123" s="234" t="str">
        <f>VLOOKUP($A123,'Orçamento Sintético'!$A:$H,4,0)</f>
        <v>SERVIÇOS AUXILIARES E ADMINISTRATIVOS</v>
      </c>
      <c r="C123" s="235">
        <f>ROUND(C124/$F$134,4)</f>
        <v>4.0399999999999998E-2</v>
      </c>
      <c r="D123" s="236">
        <f>ROUND(D124/$C124,4)</f>
        <v>0.3</v>
      </c>
      <c r="E123" s="236">
        <f>ROUND(E124/$C124,4)</f>
        <v>0.36</v>
      </c>
      <c r="F123" s="236">
        <f>ROUND(F124/$C124,4)</f>
        <v>0.34</v>
      </c>
    </row>
    <row r="124" spans="1:6" s="53" customFormat="1" x14ac:dyDescent="0.2">
      <c r="A124" s="250"/>
      <c r="B124" s="234"/>
      <c r="C124" s="237">
        <f>VLOOKUP($A123,'Orçamento Sintético'!$A:$H,8,0)</f>
        <v>14891.85</v>
      </c>
      <c r="D124" s="238">
        <f>D126</f>
        <v>4467.5600000000004</v>
      </c>
      <c r="E124" s="238">
        <f t="shared" ref="E124:F124" si="6">E126</f>
        <v>5361.07</v>
      </c>
      <c r="F124" s="238">
        <f t="shared" si="6"/>
        <v>5063.2199999999993</v>
      </c>
    </row>
    <row r="125" spans="1:6" s="48" customFormat="1" x14ac:dyDescent="0.2">
      <c r="A125" s="240" t="s">
        <v>331</v>
      </c>
      <c r="B125" s="242" t="str">
        <f>VLOOKUP($A125,'Orçamento Sintético'!$A:$H,4,0)</f>
        <v>Pessoal</v>
      </c>
      <c r="C125" s="243">
        <f>ROUND(C126/$F$134,4)</f>
        <v>4.0399999999999998E-2</v>
      </c>
      <c r="D125" s="243">
        <f>ROUND(D126/$C126,4)</f>
        <v>0.3</v>
      </c>
      <c r="E125" s="243">
        <f t="shared" ref="E125:F125" si="7">ROUND(E126/$C126,4)</f>
        <v>0.36</v>
      </c>
      <c r="F125" s="243">
        <f t="shared" si="7"/>
        <v>0.34</v>
      </c>
    </row>
    <row r="126" spans="1:6" s="53" customFormat="1" x14ac:dyDescent="0.2">
      <c r="A126" s="240"/>
      <c r="B126" s="242"/>
      <c r="C126" s="244">
        <f>VLOOKUP($A125,'Orçamento Sintético'!$A:$H,8,0)</f>
        <v>14891.85</v>
      </c>
      <c r="D126" s="244">
        <f>D128</f>
        <v>4467.5600000000004</v>
      </c>
      <c r="E126" s="244">
        <f t="shared" ref="E126:F126" si="8">E128</f>
        <v>5361.07</v>
      </c>
      <c r="F126" s="244">
        <f t="shared" si="8"/>
        <v>5063.2199999999993</v>
      </c>
    </row>
    <row r="127" spans="1:6" s="48" customFormat="1" x14ac:dyDescent="0.2">
      <c r="A127" s="241" t="s">
        <v>404</v>
      </c>
      <c r="B127" s="245" t="str">
        <f>VLOOKUP($A127,'Orçamento Sintético'!$A:$H,4,0)</f>
        <v>ENGENHEIRO ELETRICISTA COM ENCARGOS COMPLEMENTARES</v>
      </c>
      <c r="C127" s="246">
        <f>ROUND(C128/$F$134,4)</f>
        <v>4.0399999999999998E-2</v>
      </c>
      <c r="D127" s="246">
        <v>0.3</v>
      </c>
      <c r="E127" s="246">
        <v>0.36</v>
      </c>
      <c r="F127" s="246">
        <f>ROUND(F128/$C128,4)</f>
        <v>0.34</v>
      </c>
    </row>
    <row r="128" spans="1:6" s="53" customFormat="1" x14ac:dyDescent="0.2">
      <c r="A128" s="241"/>
      <c r="B128" s="247"/>
      <c r="C128" s="248">
        <f>VLOOKUP($A127,'Orçamento Sintético'!$A:$H,8,0)</f>
        <v>14891.85</v>
      </c>
      <c r="D128" s="248">
        <f>ROUND($C128*D127,2)</f>
        <v>4467.5600000000004</v>
      </c>
      <c r="E128" s="248">
        <f>ROUND($C128*E127,2)</f>
        <v>5361.07</v>
      </c>
      <c r="F128" s="248">
        <f>$C128-SUM(D128:E128)</f>
        <v>5063.2199999999993</v>
      </c>
    </row>
    <row r="129" spans="1:6" s="48" customFormat="1" x14ac:dyDescent="0.2">
      <c r="A129" s="225" t="s">
        <v>234</v>
      </c>
      <c r="B129" s="225"/>
      <c r="C129" s="257"/>
      <c r="D129" s="230">
        <f>ROUND(D130/$F$134,4)</f>
        <v>0.3402</v>
      </c>
      <c r="E129" s="230">
        <f>ROUND(E130/$F$134,4)</f>
        <v>0.38500000000000001</v>
      </c>
      <c r="F129" s="230">
        <f>ROUND(F130/$F$134,4)</f>
        <v>0.27479999999999999</v>
      </c>
    </row>
    <row r="130" spans="1:6" s="48" customFormat="1" x14ac:dyDescent="0.2">
      <c r="A130" s="226" t="s">
        <v>235</v>
      </c>
      <c r="B130" s="226"/>
      <c r="C130" s="257"/>
      <c r="D130" s="231">
        <f>D10+D16+D38+D54+D84+D116+D124</f>
        <v>125466.07</v>
      </c>
      <c r="E130" s="231">
        <f>E10+E16+E38+E54+E84+E116+E124</f>
        <v>141993.76</v>
      </c>
      <c r="F130" s="231">
        <f>F10+F16+F38+F54+F84+F116+F124</f>
        <v>101330.36000000002</v>
      </c>
    </row>
    <row r="131" spans="1:6" s="48" customFormat="1" x14ac:dyDescent="0.2">
      <c r="A131" s="227" t="s">
        <v>261</v>
      </c>
      <c r="B131" s="227"/>
      <c r="C131" s="257"/>
      <c r="D131" s="232">
        <f>ROUND(D130*'Composição de BDI'!$D$23,2)</f>
        <v>27753.09</v>
      </c>
      <c r="E131" s="232">
        <f>ROUND(E130*'Composição de BDI'!$D$23,2)</f>
        <v>31409.02</v>
      </c>
      <c r="F131" s="232">
        <f>ROUND(F130*'Composição de BDI'!$D$23,2)</f>
        <v>22414.28</v>
      </c>
    </row>
    <row r="132" spans="1:6" s="53" customFormat="1" x14ac:dyDescent="0.2">
      <c r="A132" s="228"/>
      <c r="B132" s="229" t="s">
        <v>238</v>
      </c>
      <c r="C132" s="258"/>
      <c r="D132" s="233">
        <f>ROUND(SUM(D130:D131),2)</f>
        <v>153219.16</v>
      </c>
      <c r="E132" s="233">
        <f>ROUND(SUM(E130:E131),2)</f>
        <v>173402.78</v>
      </c>
      <c r="F132" s="233">
        <f>ROUND(SUM(F130:F131),2)</f>
        <v>123744.64</v>
      </c>
    </row>
    <row r="133" spans="1:6" s="48" customFormat="1" ht="11.25" customHeight="1" x14ac:dyDescent="0.2">
      <c r="A133" s="225" t="s">
        <v>236</v>
      </c>
      <c r="B133" s="225"/>
      <c r="C133" s="257"/>
      <c r="D133" s="230">
        <f>D129</f>
        <v>0.3402</v>
      </c>
      <c r="E133" s="230">
        <f t="shared" ref="E133:F134" si="9">D133+E129</f>
        <v>0.72520000000000007</v>
      </c>
      <c r="F133" s="230">
        <f t="shared" si="9"/>
        <v>1</v>
      </c>
    </row>
    <row r="134" spans="1:6" s="48" customFormat="1" x14ac:dyDescent="0.2">
      <c r="A134" s="227" t="s">
        <v>237</v>
      </c>
      <c r="B134" s="227"/>
      <c r="C134" s="257"/>
      <c r="D134" s="231">
        <f>D130</f>
        <v>125466.07</v>
      </c>
      <c r="E134" s="231">
        <f t="shared" si="9"/>
        <v>267459.83</v>
      </c>
      <c r="F134" s="231">
        <f t="shared" si="9"/>
        <v>368790.19000000006</v>
      </c>
    </row>
    <row r="135" spans="1:6" s="48" customFormat="1" ht="11.25" customHeight="1" x14ac:dyDescent="0.2">
      <c r="A135" s="228"/>
      <c r="B135" s="229" t="s">
        <v>227</v>
      </c>
      <c r="C135" s="258"/>
      <c r="D135" s="233">
        <f>D132</f>
        <v>153219.16</v>
      </c>
      <c r="E135" s="233">
        <f>D135+E132</f>
        <v>326621.94</v>
      </c>
      <c r="F135" s="233">
        <f>E135+F132</f>
        <v>450366.58</v>
      </c>
    </row>
    <row r="136" spans="1:6" s="13" customFormat="1" x14ac:dyDescent="0.2">
      <c r="A136" s="49"/>
      <c r="B136" s="64"/>
      <c r="C136" s="50"/>
      <c r="D136" s="51"/>
      <c r="E136" s="51"/>
      <c r="F136" s="51"/>
    </row>
    <row r="137" spans="1:6" s="13" customFormat="1" x14ac:dyDescent="0.2">
      <c r="A137" s="49"/>
      <c r="B137" s="64"/>
      <c r="C137" s="50"/>
      <c r="D137" s="51"/>
      <c r="E137" s="51"/>
      <c r="F137" s="51"/>
    </row>
  </sheetData>
  <mergeCells count="126">
    <mergeCell ref="A41:A42"/>
    <mergeCell ref="A45:A46"/>
    <mergeCell ref="A49:A50"/>
    <mergeCell ref="A57:A58"/>
    <mergeCell ref="A67:A68"/>
    <mergeCell ref="B113:B114"/>
    <mergeCell ref="B119:B120"/>
    <mergeCell ref="B121:B122"/>
    <mergeCell ref="B127:B128"/>
    <mergeCell ref="B25:B26"/>
    <mergeCell ref="B29:B30"/>
    <mergeCell ref="B41:B42"/>
    <mergeCell ref="B45:B46"/>
    <mergeCell ref="B49:B50"/>
    <mergeCell ref="B57:B58"/>
    <mergeCell ref="B67:B68"/>
    <mergeCell ref="B87:B88"/>
    <mergeCell ref="B93:B94"/>
    <mergeCell ref="B103:B104"/>
    <mergeCell ref="B101:B102"/>
    <mergeCell ref="B105:B106"/>
    <mergeCell ref="B107:B108"/>
    <mergeCell ref="B109:B110"/>
    <mergeCell ref="B111:B112"/>
    <mergeCell ref="A113:A114"/>
    <mergeCell ref="A119:A120"/>
    <mergeCell ref="A127:A128"/>
    <mergeCell ref="A121:A122"/>
    <mergeCell ref="B27:B28"/>
    <mergeCell ref="B31:B32"/>
    <mergeCell ref="B33:B34"/>
    <mergeCell ref="B35:B36"/>
    <mergeCell ref="B43:B44"/>
    <mergeCell ref="B47:B48"/>
    <mergeCell ref="B51:B52"/>
    <mergeCell ref="B59:B60"/>
    <mergeCell ref="B61:B62"/>
    <mergeCell ref="B63:B64"/>
    <mergeCell ref="B65:B66"/>
    <mergeCell ref="B69:B70"/>
    <mergeCell ref="A103:A104"/>
    <mergeCell ref="A105:A106"/>
    <mergeCell ref="A107:A108"/>
    <mergeCell ref="A109:A110"/>
    <mergeCell ref="A111:A112"/>
    <mergeCell ref="A91:A92"/>
    <mergeCell ref="A95:A96"/>
    <mergeCell ref="A97:A98"/>
    <mergeCell ref="A99:A100"/>
    <mergeCell ref="A101:A102"/>
    <mergeCell ref="A93:A94"/>
    <mergeCell ref="A75:A76"/>
    <mergeCell ref="A77:A78"/>
    <mergeCell ref="A79:A80"/>
    <mergeCell ref="A81:A82"/>
    <mergeCell ref="A89:A90"/>
    <mergeCell ref="A87:A88"/>
    <mergeCell ref="A63:A64"/>
    <mergeCell ref="A65:A66"/>
    <mergeCell ref="A69:A70"/>
    <mergeCell ref="A71:A72"/>
    <mergeCell ref="A73:A74"/>
    <mergeCell ref="A19:A20"/>
    <mergeCell ref="A21:A22"/>
    <mergeCell ref="B19:B20"/>
    <mergeCell ref="B21:B22"/>
    <mergeCell ref="A23:A24"/>
    <mergeCell ref="A25:A26"/>
    <mergeCell ref="A27:A28"/>
    <mergeCell ref="A29:A30"/>
    <mergeCell ref="A31:A32"/>
    <mergeCell ref="A33:A34"/>
    <mergeCell ref="A35:A36"/>
    <mergeCell ref="A43:A44"/>
    <mergeCell ref="A47:A48"/>
    <mergeCell ref="A51:A52"/>
    <mergeCell ref="B123:B124"/>
    <mergeCell ref="B125:B126"/>
    <mergeCell ref="A15:A16"/>
    <mergeCell ref="A17:A18"/>
    <mergeCell ref="A37:A38"/>
    <mergeCell ref="A39:A40"/>
    <mergeCell ref="A53:A54"/>
    <mergeCell ref="A55:A56"/>
    <mergeCell ref="A83:A84"/>
    <mergeCell ref="A85:A86"/>
    <mergeCell ref="A115:A116"/>
    <mergeCell ref="A117:A118"/>
    <mergeCell ref="A123:A124"/>
    <mergeCell ref="A125:A126"/>
    <mergeCell ref="A59:A60"/>
    <mergeCell ref="A61:A62"/>
    <mergeCell ref="B55:B56"/>
    <mergeCell ref="B83:B84"/>
    <mergeCell ref="B85:B86"/>
    <mergeCell ref="B115:B116"/>
    <mergeCell ref="B117:B118"/>
    <mergeCell ref="B71:B72"/>
    <mergeCell ref="B73:B74"/>
    <mergeCell ref="B75:B76"/>
    <mergeCell ref="B77:B78"/>
    <mergeCell ref="B79:B80"/>
    <mergeCell ref="B81:B82"/>
    <mergeCell ref="B89:B90"/>
    <mergeCell ref="B91:B92"/>
    <mergeCell ref="B95:B96"/>
    <mergeCell ref="B97:B98"/>
    <mergeCell ref="B99:B100"/>
    <mergeCell ref="B15:B16"/>
    <mergeCell ref="B17:B18"/>
    <mergeCell ref="B37:B38"/>
    <mergeCell ref="B39:B40"/>
    <mergeCell ref="B53:B54"/>
    <mergeCell ref="B23:B24"/>
    <mergeCell ref="B9:B10"/>
    <mergeCell ref="A9:A10"/>
    <mergeCell ref="A11:A12"/>
    <mergeCell ref="A13:A14"/>
    <mergeCell ref="B11:B12"/>
    <mergeCell ref="B13:B14"/>
    <mergeCell ref="A129:B129"/>
    <mergeCell ref="A130:B130"/>
    <mergeCell ref="A133:B133"/>
    <mergeCell ref="A131:B131"/>
    <mergeCell ref="A134:B134"/>
    <mergeCell ref="A7:F7"/>
  </mergeCells>
  <conditionalFormatting sqref="D9:D10">
    <cfRule type="cellIs" dxfId="588" priority="582" operator="equal">
      <formula>0</formula>
    </cfRule>
  </conditionalFormatting>
  <conditionalFormatting sqref="F9:F10">
    <cfRule type="cellIs" dxfId="587" priority="581" operator="equal">
      <formula>0</formula>
    </cfRule>
  </conditionalFormatting>
  <conditionalFormatting sqref="E9:E10">
    <cfRule type="cellIs" dxfId="586" priority="580" operator="equal">
      <formula>0</formula>
    </cfRule>
  </conditionalFormatting>
  <conditionalFormatting sqref="C12">
    <cfRule type="cellIs" dxfId="585" priority="579" operator="equal">
      <formula>0</formula>
    </cfRule>
  </conditionalFormatting>
  <conditionalFormatting sqref="D11">
    <cfRule type="cellIs" dxfId="584" priority="578" operator="equal">
      <formula>0</formula>
    </cfRule>
  </conditionalFormatting>
  <conditionalFormatting sqref="D12">
    <cfRule type="cellIs" dxfId="583" priority="577" operator="equal">
      <formula>0</formula>
    </cfRule>
  </conditionalFormatting>
  <conditionalFormatting sqref="E11">
    <cfRule type="cellIs" dxfId="582" priority="576" operator="equal">
      <formula>0</formula>
    </cfRule>
  </conditionalFormatting>
  <conditionalFormatting sqref="E12">
    <cfRule type="cellIs" dxfId="581" priority="575" operator="equal">
      <formula>0</formula>
    </cfRule>
  </conditionalFormatting>
  <conditionalFormatting sqref="D13">
    <cfRule type="cellIs" dxfId="580" priority="574" operator="equal">
      <formula>0</formula>
    </cfRule>
  </conditionalFormatting>
  <conditionalFormatting sqref="D13">
    <cfRule type="cellIs" dxfId="579" priority="573" operator="notEqual">
      <formula>0</formula>
    </cfRule>
  </conditionalFormatting>
  <conditionalFormatting sqref="D14">
    <cfRule type="cellIs" dxfId="578" priority="572" operator="equal">
      <formula>0</formula>
    </cfRule>
  </conditionalFormatting>
  <conditionalFormatting sqref="D14">
    <cfRule type="cellIs" dxfId="577" priority="571" operator="notEqual">
      <formula>0</formula>
    </cfRule>
  </conditionalFormatting>
  <conditionalFormatting sqref="E13">
    <cfRule type="cellIs" dxfId="576" priority="570" operator="equal">
      <formula>0</formula>
    </cfRule>
  </conditionalFormatting>
  <conditionalFormatting sqref="E13">
    <cfRule type="cellIs" dxfId="575" priority="569" operator="notEqual">
      <formula>0</formula>
    </cfRule>
  </conditionalFormatting>
  <conditionalFormatting sqref="E14">
    <cfRule type="cellIs" dxfId="574" priority="568" operator="equal">
      <formula>0</formula>
    </cfRule>
  </conditionalFormatting>
  <conditionalFormatting sqref="E14">
    <cfRule type="cellIs" dxfId="573" priority="567" operator="notEqual">
      <formula>0</formula>
    </cfRule>
  </conditionalFormatting>
  <conditionalFormatting sqref="F11">
    <cfRule type="cellIs" dxfId="572" priority="566" operator="equal">
      <formula>0</formula>
    </cfRule>
  </conditionalFormatting>
  <conditionalFormatting sqref="F12">
    <cfRule type="cellIs" dxfId="571" priority="565" operator="equal">
      <formula>0</formula>
    </cfRule>
  </conditionalFormatting>
  <conditionalFormatting sqref="F13">
    <cfRule type="cellIs" dxfId="570" priority="564" operator="equal">
      <formula>0</formula>
    </cfRule>
  </conditionalFormatting>
  <conditionalFormatting sqref="F13">
    <cfRule type="cellIs" dxfId="569" priority="563" operator="notEqual">
      <formula>0</formula>
    </cfRule>
  </conditionalFormatting>
  <conditionalFormatting sqref="F14">
    <cfRule type="cellIs" dxfId="568" priority="562" operator="equal">
      <formula>0</formula>
    </cfRule>
  </conditionalFormatting>
  <conditionalFormatting sqref="F14">
    <cfRule type="cellIs" dxfId="567" priority="561" operator="notEqual">
      <formula>0</formula>
    </cfRule>
  </conditionalFormatting>
  <conditionalFormatting sqref="D15:D16">
    <cfRule type="cellIs" dxfId="566" priority="560" operator="equal">
      <formula>0</formula>
    </cfRule>
  </conditionalFormatting>
  <conditionalFormatting sqref="C18">
    <cfRule type="cellIs" dxfId="563" priority="557" operator="equal">
      <formula>0</formula>
    </cfRule>
  </conditionalFormatting>
  <conditionalFormatting sqref="D17">
    <cfRule type="cellIs" dxfId="562" priority="556" operator="equal">
      <formula>0</formula>
    </cfRule>
  </conditionalFormatting>
  <conditionalFormatting sqref="D18">
    <cfRule type="cellIs" dxfId="561" priority="555" operator="equal">
      <formula>0</formula>
    </cfRule>
  </conditionalFormatting>
  <conditionalFormatting sqref="E17">
    <cfRule type="cellIs" dxfId="560" priority="554" operator="equal">
      <formula>0</formula>
    </cfRule>
  </conditionalFormatting>
  <conditionalFormatting sqref="E18">
    <cfRule type="cellIs" dxfId="559" priority="553" operator="equal">
      <formula>0</formula>
    </cfRule>
  </conditionalFormatting>
  <conditionalFormatting sqref="F17">
    <cfRule type="cellIs" dxfId="558" priority="552" operator="equal">
      <formula>0</formula>
    </cfRule>
  </conditionalFormatting>
  <conditionalFormatting sqref="F18">
    <cfRule type="cellIs" dxfId="557" priority="551" operator="equal">
      <formula>0</formula>
    </cfRule>
  </conditionalFormatting>
  <conditionalFormatting sqref="D37:D38">
    <cfRule type="cellIs" dxfId="556" priority="550" operator="equal">
      <formula>0</formula>
    </cfRule>
  </conditionalFormatting>
  <conditionalFormatting sqref="F37:F38">
    <cfRule type="cellIs" dxfId="555" priority="549" operator="equal">
      <formula>0</formula>
    </cfRule>
  </conditionalFormatting>
  <conditionalFormatting sqref="E37:E38">
    <cfRule type="cellIs" dxfId="554" priority="548" operator="equal">
      <formula>0</formula>
    </cfRule>
  </conditionalFormatting>
  <conditionalFormatting sqref="C40">
    <cfRule type="cellIs" dxfId="553" priority="547" operator="equal">
      <formula>0</formula>
    </cfRule>
  </conditionalFormatting>
  <conditionalFormatting sqref="D39">
    <cfRule type="cellIs" dxfId="552" priority="546" operator="equal">
      <formula>0</formula>
    </cfRule>
  </conditionalFormatting>
  <conditionalFormatting sqref="D40">
    <cfRule type="cellIs" dxfId="551" priority="545" operator="equal">
      <formula>0</formula>
    </cfRule>
  </conditionalFormatting>
  <conditionalFormatting sqref="D53:D54">
    <cfRule type="cellIs" dxfId="546" priority="540" operator="equal">
      <formula>0</formula>
    </cfRule>
  </conditionalFormatting>
  <conditionalFormatting sqref="F53:F54">
    <cfRule type="cellIs" dxfId="545" priority="539" operator="equal">
      <formula>0</formula>
    </cfRule>
  </conditionalFormatting>
  <conditionalFormatting sqref="E53:E54">
    <cfRule type="cellIs" dxfId="544" priority="538" operator="equal">
      <formula>0</formula>
    </cfRule>
  </conditionalFormatting>
  <conditionalFormatting sqref="C56">
    <cfRule type="cellIs" dxfId="543" priority="537" operator="equal">
      <formula>0</formula>
    </cfRule>
  </conditionalFormatting>
  <conditionalFormatting sqref="D55">
    <cfRule type="cellIs" dxfId="542" priority="536" operator="equal">
      <formula>0</formula>
    </cfRule>
  </conditionalFormatting>
  <conditionalFormatting sqref="D56">
    <cfRule type="cellIs" dxfId="541" priority="535" operator="equal">
      <formula>0</formula>
    </cfRule>
  </conditionalFormatting>
  <conditionalFormatting sqref="D83:D84">
    <cfRule type="cellIs" dxfId="536" priority="530" operator="equal">
      <formula>0</formula>
    </cfRule>
  </conditionalFormatting>
  <conditionalFormatting sqref="F83:F84">
    <cfRule type="cellIs" dxfId="535" priority="529" operator="equal">
      <formula>0</formula>
    </cfRule>
  </conditionalFormatting>
  <conditionalFormatting sqref="E83:E84">
    <cfRule type="cellIs" dxfId="534" priority="528" operator="equal">
      <formula>0</formula>
    </cfRule>
  </conditionalFormatting>
  <conditionalFormatting sqref="C86">
    <cfRule type="cellIs" dxfId="533" priority="527" operator="equal">
      <formula>0</formula>
    </cfRule>
  </conditionalFormatting>
  <conditionalFormatting sqref="D85">
    <cfRule type="cellIs" dxfId="532" priority="526" operator="equal">
      <formula>0</formula>
    </cfRule>
  </conditionalFormatting>
  <conditionalFormatting sqref="D86">
    <cfRule type="cellIs" dxfId="531" priority="525" operator="equal">
      <formula>0</formula>
    </cfRule>
  </conditionalFormatting>
  <conditionalFormatting sqref="E85">
    <cfRule type="cellIs" dxfId="530" priority="524" operator="equal">
      <formula>0</formula>
    </cfRule>
  </conditionalFormatting>
  <conditionalFormatting sqref="F85">
    <cfRule type="cellIs" dxfId="528" priority="522" operator="equal">
      <formula>0</formula>
    </cfRule>
  </conditionalFormatting>
  <conditionalFormatting sqref="D115:D116 D116:F116">
    <cfRule type="cellIs" dxfId="526" priority="520" operator="equal">
      <formula>0</formula>
    </cfRule>
  </conditionalFormatting>
  <conditionalFormatting sqref="F115:F116">
    <cfRule type="cellIs" dxfId="525" priority="519" operator="equal">
      <formula>0</formula>
    </cfRule>
  </conditionalFormatting>
  <conditionalFormatting sqref="E115:E116">
    <cfRule type="cellIs" dxfId="524" priority="518" operator="equal">
      <formula>0</formula>
    </cfRule>
  </conditionalFormatting>
  <conditionalFormatting sqref="C118">
    <cfRule type="cellIs" dxfId="523" priority="517" operator="equal">
      <formula>0</formula>
    </cfRule>
  </conditionalFormatting>
  <conditionalFormatting sqref="D117">
    <cfRule type="cellIs" dxfId="522" priority="516" operator="equal">
      <formula>0</formula>
    </cfRule>
  </conditionalFormatting>
  <conditionalFormatting sqref="D118">
    <cfRule type="cellIs" dxfId="521" priority="515" operator="equal">
      <formula>0</formula>
    </cfRule>
  </conditionalFormatting>
  <conditionalFormatting sqref="D123:D124 D124:F124">
    <cfRule type="cellIs" dxfId="516" priority="510" operator="equal">
      <formula>0</formula>
    </cfRule>
  </conditionalFormatting>
  <conditionalFormatting sqref="F123:F124">
    <cfRule type="cellIs" dxfId="515" priority="509" operator="equal">
      <formula>0</formula>
    </cfRule>
  </conditionalFormatting>
  <conditionalFormatting sqref="E123:E124">
    <cfRule type="cellIs" dxfId="514" priority="508" operator="equal">
      <formula>0</formula>
    </cfRule>
  </conditionalFormatting>
  <conditionalFormatting sqref="C126">
    <cfRule type="cellIs" dxfId="513" priority="507" operator="equal">
      <formula>0</formula>
    </cfRule>
  </conditionalFormatting>
  <conditionalFormatting sqref="D125">
    <cfRule type="cellIs" dxfId="512" priority="506" operator="equal">
      <formula>0</formula>
    </cfRule>
  </conditionalFormatting>
  <conditionalFormatting sqref="D126">
    <cfRule type="cellIs" dxfId="511" priority="505" operator="equal">
      <formula>0</formula>
    </cfRule>
  </conditionalFormatting>
  <conditionalFormatting sqref="E125">
    <cfRule type="cellIs" dxfId="510" priority="504" operator="equal">
      <formula>0</formula>
    </cfRule>
  </conditionalFormatting>
  <conditionalFormatting sqref="E126">
    <cfRule type="cellIs" dxfId="509" priority="503" operator="equal">
      <formula>0</formula>
    </cfRule>
  </conditionalFormatting>
  <conditionalFormatting sqref="F125">
    <cfRule type="cellIs" dxfId="508" priority="502" operator="equal">
      <formula>0</formula>
    </cfRule>
  </conditionalFormatting>
  <conditionalFormatting sqref="F126">
    <cfRule type="cellIs" dxfId="507" priority="501" operator="equal">
      <formula>0</formula>
    </cfRule>
  </conditionalFormatting>
  <conditionalFormatting sqref="D19:D20">
    <cfRule type="cellIs" dxfId="506" priority="500" operator="equal">
      <formula>0</formula>
    </cfRule>
  </conditionalFormatting>
  <conditionalFormatting sqref="E19">
    <cfRule type="cellIs" dxfId="493" priority="483" operator="equal">
      <formula>0</formula>
    </cfRule>
  </conditionalFormatting>
  <conditionalFormatting sqref="F19">
    <cfRule type="cellIs" dxfId="492" priority="482" operator="equal">
      <formula>0</formula>
    </cfRule>
  </conditionalFormatting>
  <conditionalFormatting sqref="D21">
    <cfRule type="cellIs" dxfId="491" priority="480" operator="equal">
      <formula>0</formula>
    </cfRule>
  </conditionalFormatting>
  <conditionalFormatting sqref="D21">
    <cfRule type="cellIs" dxfId="490" priority="479" operator="notEqual">
      <formula>0</formula>
    </cfRule>
  </conditionalFormatting>
  <conditionalFormatting sqref="D22">
    <cfRule type="cellIs" dxfId="489" priority="478" operator="equal">
      <formula>0</formula>
    </cfRule>
  </conditionalFormatting>
  <conditionalFormatting sqref="D22">
    <cfRule type="cellIs" dxfId="488" priority="477" operator="notEqual">
      <formula>0</formula>
    </cfRule>
  </conditionalFormatting>
  <conditionalFormatting sqref="E21">
    <cfRule type="cellIs" dxfId="487" priority="476" operator="equal">
      <formula>0</formula>
    </cfRule>
  </conditionalFormatting>
  <conditionalFormatting sqref="E21">
    <cfRule type="cellIs" dxfId="486" priority="475" operator="notEqual">
      <formula>0</formula>
    </cfRule>
  </conditionalFormatting>
  <conditionalFormatting sqref="E22">
    <cfRule type="cellIs" dxfId="485" priority="474" operator="equal">
      <formula>0</formula>
    </cfRule>
  </conditionalFormatting>
  <conditionalFormatting sqref="E22">
    <cfRule type="cellIs" dxfId="484" priority="473" operator="notEqual">
      <formula>0</formula>
    </cfRule>
  </conditionalFormatting>
  <conditionalFormatting sqref="F21">
    <cfRule type="cellIs" dxfId="483" priority="472" operator="equal">
      <formula>0</formula>
    </cfRule>
  </conditionalFormatting>
  <conditionalFormatting sqref="F21">
    <cfRule type="cellIs" dxfId="482" priority="471" operator="notEqual">
      <formula>0</formula>
    </cfRule>
  </conditionalFormatting>
  <conditionalFormatting sqref="F22">
    <cfRule type="cellIs" dxfId="481" priority="470" operator="equal">
      <formula>0</formula>
    </cfRule>
  </conditionalFormatting>
  <conditionalFormatting sqref="F22">
    <cfRule type="cellIs" dxfId="480" priority="469" operator="notEqual">
      <formula>0</formula>
    </cfRule>
  </conditionalFormatting>
  <conditionalFormatting sqref="D27">
    <cfRule type="cellIs" dxfId="479" priority="468" operator="equal">
      <formula>0</formula>
    </cfRule>
  </conditionalFormatting>
  <conditionalFormatting sqref="D27">
    <cfRule type="cellIs" dxfId="478" priority="467" operator="notEqual">
      <formula>0</formula>
    </cfRule>
  </conditionalFormatting>
  <conditionalFormatting sqref="D28">
    <cfRule type="cellIs" dxfId="477" priority="466" operator="equal">
      <formula>0</formula>
    </cfRule>
  </conditionalFormatting>
  <conditionalFormatting sqref="D28">
    <cfRule type="cellIs" dxfId="476" priority="465" operator="notEqual">
      <formula>0</formula>
    </cfRule>
  </conditionalFormatting>
  <conditionalFormatting sqref="E27">
    <cfRule type="cellIs" dxfId="475" priority="464" operator="equal">
      <formula>0</formula>
    </cfRule>
  </conditionalFormatting>
  <conditionalFormatting sqref="E27">
    <cfRule type="cellIs" dxfId="474" priority="463" operator="notEqual">
      <formula>0</formula>
    </cfRule>
  </conditionalFormatting>
  <conditionalFormatting sqref="E28">
    <cfRule type="cellIs" dxfId="473" priority="462" operator="equal">
      <formula>0</formula>
    </cfRule>
  </conditionalFormatting>
  <conditionalFormatting sqref="E28">
    <cfRule type="cellIs" dxfId="472" priority="461" operator="notEqual">
      <formula>0</formula>
    </cfRule>
  </conditionalFormatting>
  <conditionalFormatting sqref="F27">
    <cfRule type="cellIs" dxfId="471" priority="460" operator="equal">
      <formula>0</formula>
    </cfRule>
  </conditionalFormatting>
  <conditionalFormatting sqref="F27">
    <cfRule type="cellIs" dxfId="470" priority="459" operator="notEqual">
      <formula>0</formula>
    </cfRule>
  </conditionalFormatting>
  <conditionalFormatting sqref="F28">
    <cfRule type="cellIs" dxfId="469" priority="458" operator="equal">
      <formula>0</formula>
    </cfRule>
  </conditionalFormatting>
  <conditionalFormatting sqref="F28">
    <cfRule type="cellIs" dxfId="468" priority="457" operator="notEqual">
      <formula>0</formula>
    </cfRule>
  </conditionalFormatting>
  <conditionalFormatting sqref="D31">
    <cfRule type="cellIs" dxfId="467" priority="456" operator="equal">
      <formula>0</formula>
    </cfRule>
  </conditionalFormatting>
  <conditionalFormatting sqref="D31">
    <cfRule type="cellIs" dxfId="466" priority="455" operator="notEqual">
      <formula>0</formula>
    </cfRule>
  </conditionalFormatting>
  <conditionalFormatting sqref="D32">
    <cfRule type="cellIs" dxfId="465" priority="454" operator="equal">
      <formula>0</formula>
    </cfRule>
  </conditionalFormatting>
  <conditionalFormatting sqref="D32">
    <cfRule type="cellIs" dxfId="464" priority="453" operator="notEqual">
      <formula>0</formula>
    </cfRule>
  </conditionalFormatting>
  <conditionalFormatting sqref="E31">
    <cfRule type="cellIs" dxfId="463" priority="452" operator="equal">
      <formula>0</formula>
    </cfRule>
  </conditionalFormatting>
  <conditionalFormatting sqref="E31">
    <cfRule type="cellIs" dxfId="462" priority="451" operator="notEqual">
      <formula>0</formula>
    </cfRule>
  </conditionalFormatting>
  <conditionalFormatting sqref="E32">
    <cfRule type="cellIs" dxfId="461" priority="450" operator="equal">
      <formula>0</formula>
    </cfRule>
  </conditionalFormatting>
  <conditionalFormatting sqref="E32">
    <cfRule type="cellIs" dxfId="460" priority="449" operator="notEqual">
      <formula>0</formula>
    </cfRule>
  </conditionalFormatting>
  <conditionalFormatting sqref="F31">
    <cfRule type="cellIs" dxfId="459" priority="448" operator="equal">
      <formula>0</formula>
    </cfRule>
  </conditionalFormatting>
  <conditionalFormatting sqref="F31">
    <cfRule type="cellIs" dxfId="458" priority="447" operator="notEqual">
      <formula>0</formula>
    </cfRule>
  </conditionalFormatting>
  <conditionalFormatting sqref="F32">
    <cfRule type="cellIs" dxfId="457" priority="446" operator="equal">
      <formula>0</formula>
    </cfRule>
  </conditionalFormatting>
  <conditionalFormatting sqref="F32">
    <cfRule type="cellIs" dxfId="456" priority="445" operator="notEqual">
      <formula>0</formula>
    </cfRule>
  </conditionalFormatting>
  <conditionalFormatting sqref="D33">
    <cfRule type="cellIs" dxfId="455" priority="444" operator="equal">
      <formula>0</formula>
    </cfRule>
  </conditionalFormatting>
  <conditionalFormatting sqref="D33">
    <cfRule type="cellIs" dxfId="454" priority="443" operator="notEqual">
      <formula>0</formula>
    </cfRule>
  </conditionalFormatting>
  <conditionalFormatting sqref="D34">
    <cfRule type="cellIs" dxfId="453" priority="442" operator="equal">
      <formula>0</formula>
    </cfRule>
  </conditionalFormatting>
  <conditionalFormatting sqref="D34">
    <cfRule type="cellIs" dxfId="452" priority="441" operator="notEqual">
      <formula>0</formula>
    </cfRule>
  </conditionalFormatting>
  <conditionalFormatting sqref="E33">
    <cfRule type="cellIs" dxfId="451" priority="440" operator="equal">
      <formula>0</formula>
    </cfRule>
  </conditionalFormatting>
  <conditionalFormatting sqref="E33">
    <cfRule type="cellIs" dxfId="450" priority="439" operator="notEqual">
      <formula>0</formula>
    </cfRule>
  </conditionalFormatting>
  <conditionalFormatting sqref="E34">
    <cfRule type="cellIs" dxfId="449" priority="438" operator="equal">
      <formula>0</formula>
    </cfRule>
  </conditionalFormatting>
  <conditionalFormatting sqref="E34">
    <cfRule type="cellIs" dxfId="448" priority="437" operator="notEqual">
      <formula>0</formula>
    </cfRule>
  </conditionalFormatting>
  <conditionalFormatting sqref="F33">
    <cfRule type="cellIs" dxfId="447" priority="436" operator="equal">
      <formula>0</formula>
    </cfRule>
  </conditionalFormatting>
  <conditionalFormatting sqref="F33">
    <cfRule type="cellIs" dxfId="446" priority="435" operator="notEqual">
      <formula>0</formula>
    </cfRule>
  </conditionalFormatting>
  <conditionalFormatting sqref="F34">
    <cfRule type="cellIs" dxfId="445" priority="434" operator="equal">
      <formula>0</formula>
    </cfRule>
  </conditionalFormatting>
  <conditionalFormatting sqref="F34">
    <cfRule type="cellIs" dxfId="444" priority="433" operator="notEqual">
      <formula>0</formula>
    </cfRule>
  </conditionalFormatting>
  <conditionalFormatting sqref="D35">
    <cfRule type="cellIs" dxfId="443" priority="432" operator="equal">
      <formula>0</formula>
    </cfRule>
  </conditionalFormatting>
  <conditionalFormatting sqref="D35">
    <cfRule type="cellIs" dxfId="442" priority="431" operator="notEqual">
      <formula>0</formula>
    </cfRule>
  </conditionalFormatting>
  <conditionalFormatting sqref="D36">
    <cfRule type="cellIs" dxfId="441" priority="430" operator="equal">
      <formula>0</formula>
    </cfRule>
  </conditionalFormatting>
  <conditionalFormatting sqref="D36">
    <cfRule type="cellIs" dxfId="440" priority="429" operator="notEqual">
      <formula>0</formula>
    </cfRule>
  </conditionalFormatting>
  <conditionalFormatting sqref="E35">
    <cfRule type="cellIs" dxfId="439" priority="428" operator="equal">
      <formula>0</formula>
    </cfRule>
  </conditionalFormatting>
  <conditionalFormatting sqref="E35">
    <cfRule type="cellIs" dxfId="438" priority="427" operator="notEqual">
      <formula>0</formula>
    </cfRule>
  </conditionalFormatting>
  <conditionalFormatting sqref="E36">
    <cfRule type="cellIs" dxfId="437" priority="426" operator="equal">
      <formula>0</formula>
    </cfRule>
  </conditionalFormatting>
  <conditionalFormatting sqref="E36">
    <cfRule type="cellIs" dxfId="436" priority="425" operator="notEqual">
      <formula>0</formula>
    </cfRule>
  </conditionalFormatting>
  <conditionalFormatting sqref="F35">
    <cfRule type="cellIs" dxfId="435" priority="424" operator="equal">
      <formula>0</formula>
    </cfRule>
  </conditionalFormatting>
  <conditionalFormatting sqref="F35">
    <cfRule type="cellIs" dxfId="434" priority="423" operator="notEqual">
      <formula>0</formula>
    </cfRule>
  </conditionalFormatting>
  <conditionalFormatting sqref="F36">
    <cfRule type="cellIs" dxfId="433" priority="422" operator="equal">
      <formula>0</formula>
    </cfRule>
  </conditionalFormatting>
  <conditionalFormatting sqref="F36">
    <cfRule type="cellIs" dxfId="432" priority="421" operator="notEqual">
      <formula>0</formula>
    </cfRule>
  </conditionalFormatting>
  <conditionalFormatting sqref="D43">
    <cfRule type="cellIs" dxfId="431" priority="420" operator="equal">
      <formula>0</formula>
    </cfRule>
  </conditionalFormatting>
  <conditionalFormatting sqref="D43">
    <cfRule type="cellIs" dxfId="430" priority="419" operator="notEqual">
      <formula>0</formula>
    </cfRule>
  </conditionalFormatting>
  <conditionalFormatting sqref="D44">
    <cfRule type="cellIs" dxfId="429" priority="418" operator="equal">
      <formula>0</formula>
    </cfRule>
  </conditionalFormatting>
  <conditionalFormatting sqref="D44">
    <cfRule type="cellIs" dxfId="428" priority="417" operator="notEqual">
      <formula>0</formula>
    </cfRule>
  </conditionalFormatting>
  <conditionalFormatting sqref="E43">
    <cfRule type="cellIs" dxfId="427" priority="416" operator="equal">
      <formula>0</formula>
    </cfRule>
  </conditionalFormatting>
  <conditionalFormatting sqref="E43">
    <cfRule type="cellIs" dxfId="426" priority="415" operator="notEqual">
      <formula>0</formula>
    </cfRule>
  </conditionalFormatting>
  <conditionalFormatting sqref="E44">
    <cfRule type="cellIs" dxfId="425" priority="414" operator="equal">
      <formula>0</formula>
    </cfRule>
  </conditionalFormatting>
  <conditionalFormatting sqref="E44">
    <cfRule type="cellIs" dxfId="424" priority="413" operator="notEqual">
      <formula>0</formula>
    </cfRule>
  </conditionalFormatting>
  <conditionalFormatting sqref="F43">
    <cfRule type="cellIs" dxfId="423" priority="412" operator="equal">
      <formula>0</formula>
    </cfRule>
  </conditionalFormatting>
  <conditionalFormatting sqref="F43">
    <cfRule type="cellIs" dxfId="422" priority="411" operator="notEqual">
      <formula>0</formula>
    </cfRule>
  </conditionalFormatting>
  <conditionalFormatting sqref="F44">
    <cfRule type="cellIs" dxfId="421" priority="410" operator="equal">
      <formula>0</formula>
    </cfRule>
  </conditionalFormatting>
  <conditionalFormatting sqref="F44">
    <cfRule type="cellIs" dxfId="420" priority="409" operator="notEqual">
      <formula>0</formula>
    </cfRule>
  </conditionalFormatting>
  <conditionalFormatting sqref="D47">
    <cfRule type="cellIs" dxfId="419" priority="408" operator="equal">
      <formula>0</formula>
    </cfRule>
  </conditionalFormatting>
  <conditionalFormatting sqref="D47">
    <cfRule type="cellIs" dxfId="418" priority="407" operator="notEqual">
      <formula>0</formula>
    </cfRule>
  </conditionalFormatting>
  <conditionalFormatting sqref="D48">
    <cfRule type="cellIs" dxfId="417" priority="406" operator="equal">
      <formula>0</formula>
    </cfRule>
  </conditionalFormatting>
  <conditionalFormatting sqref="D48">
    <cfRule type="cellIs" dxfId="416" priority="405" operator="notEqual">
      <formula>0</formula>
    </cfRule>
  </conditionalFormatting>
  <conditionalFormatting sqref="E47">
    <cfRule type="cellIs" dxfId="415" priority="404" operator="equal">
      <formula>0</formula>
    </cfRule>
  </conditionalFormatting>
  <conditionalFormatting sqref="E47">
    <cfRule type="cellIs" dxfId="414" priority="403" operator="notEqual">
      <formula>0</formula>
    </cfRule>
  </conditionalFormatting>
  <conditionalFormatting sqref="E48">
    <cfRule type="cellIs" dxfId="413" priority="402" operator="equal">
      <formula>0</formula>
    </cfRule>
  </conditionalFormatting>
  <conditionalFormatting sqref="E48">
    <cfRule type="cellIs" dxfId="412" priority="401" operator="notEqual">
      <formula>0</formula>
    </cfRule>
  </conditionalFormatting>
  <conditionalFormatting sqref="F47">
    <cfRule type="cellIs" dxfId="411" priority="400" operator="equal">
      <formula>0</formula>
    </cfRule>
  </conditionalFormatting>
  <conditionalFormatting sqref="F47">
    <cfRule type="cellIs" dxfId="410" priority="399" operator="notEqual">
      <formula>0</formula>
    </cfRule>
  </conditionalFormatting>
  <conditionalFormatting sqref="F48">
    <cfRule type="cellIs" dxfId="409" priority="398" operator="equal">
      <formula>0</formula>
    </cfRule>
  </conditionalFormatting>
  <conditionalFormatting sqref="F48">
    <cfRule type="cellIs" dxfId="408" priority="397" operator="notEqual">
      <formula>0</formula>
    </cfRule>
  </conditionalFormatting>
  <conditionalFormatting sqref="D51">
    <cfRule type="cellIs" dxfId="407" priority="396" operator="equal">
      <formula>0</formula>
    </cfRule>
  </conditionalFormatting>
  <conditionalFormatting sqref="D51">
    <cfRule type="cellIs" dxfId="406" priority="395" operator="notEqual">
      <formula>0</formula>
    </cfRule>
  </conditionalFormatting>
  <conditionalFormatting sqref="D52">
    <cfRule type="cellIs" dxfId="405" priority="394" operator="equal">
      <formula>0</formula>
    </cfRule>
  </conditionalFormatting>
  <conditionalFormatting sqref="D52">
    <cfRule type="cellIs" dxfId="404" priority="393" operator="notEqual">
      <formula>0</formula>
    </cfRule>
  </conditionalFormatting>
  <conditionalFormatting sqref="E51">
    <cfRule type="cellIs" dxfId="403" priority="392" operator="equal">
      <formula>0</formula>
    </cfRule>
  </conditionalFormatting>
  <conditionalFormatting sqref="E51">
    <cfRule type="cellIs" dxfId="402" priority="391" operator="notEqual">
      <formula>0</formula>
    </cfRule>
  </conditionalFormatting>
  <conditionalFormatting sqref="E52">
    <cfRule type="cellIs" dxfId="401" priority="390" operator="equal">
      <formula>0</formula>
    </cfRule>
  </conditionalFormatting>
  <conditionalFormatting sqref="E52">
    <cfRule type="cellIs" dxfId="400" priority="389" operator="notEqual">
      <formula>0</formula>
    </cfRule>
  </conditionalFormatting>
  <conditionalFormatting sqref="F51">
    <cfRule type="cellIs" dxfId="399" priority="388" operator="equal">
      <formula>0</formula>
    </cfRule>
  </conditionalFormatting>
  <conditionalFormatting sqref="F51">
    <cfRule type="cellIs" dxfId="398" priority="387" operator="notEqual">
      <formula>0</formula>
    </cfRule>
  </conditionalFormatting>
  <conditionalFormatting sqref="F52">
    <cfRule type="cellIs" dxfId="397" priority="386" operator="equal">
      <formula>0</formula>
    </cfRule>
  </conditionalFormatting>
  <conditionalFormatting sqref="F52">
    <cfRule type="cellIs" dxfId="396" priority="385" operator="notEqual">
      <formula>0</formula>
    </cfRule>
  </conditionalFormatting>
  <conditionalFormatting sqref="D59">
    <cfRule type="cellIs" dxfId="395" priority="384" operator="equal">
      <formula>0</formula>
    </cfRule>
  </conditionalFormatting>
  <conditionalFormatting sqref="D59">
    <cfRule type="cellIs" dxfId="394" priority="383" operator="notEqual">
      <formula>0</formula>
    </cfRule>
  </conditionalFormatting>
  <conditionalFormatting sqref="D60">
    <cfRule type="cellIs" dxfId="393" priority="382" operator="equal">
      <formula>0</formula>
    </cfRule>
  </conditionalFormatting>
  <conditionalFormatting sqref="D60">
    <cfRule type="cellIs" dxfId="392" priority="381" operator="notEqual">
      <formula>0</formula>
    </cfRule>
  </conditionalFormatting>
  <conditionalFormatting sqref="E59">
    <cfRule type="cellIs" dxfId="391" priority="380" operator="equal">
      <formula>0</formula>
    </cfRule>
  </conditionalFormatting>
  <conditionalFormatting sqref="E59">
    <cfRule type="cellIs" dxfId="390" priority="379" operator="notEqual">
      <formula>0</formula>
    </cfRule>
  </conditionalFormatting>
  <conditionalFormatting sqref="E60">
    <cfRule type="cellIs" dxfId="389" priority="378" operator="equal">
      <formula>0</formula>
    </cfRule>
  </conditionalFormatting>
  <conditionalFormatting sqref="E60">
    <cfRule type="cellIs" dxfId="388" priority="377" operator="notEqual">
      <formula>0</formula>
    </cfRule>
  </conditionalFormatting>
  <conditionalFormatting sqref="F59">
    <cfRule type="cellIs" dxfId="387" priority="376" operator="equal">
      <formula>0</formula>
    </cfRule>
  </conditionalFormatting>
  <conditionalFormatting sqref="F59">
    <cfRule type="cellIs" dxfId="386" priority="375" operator="notEqual">
      <formula>0</formula>
    </cfRule>
  </conditionalFormatting>
  <conditionalFormatting sqref="F60">
    <cfRule type="cellIs" dxfId="385" priority="374" operator="equal">
      <formula>0</formula>
    </cfRule>
  </conditionalFormatting>
  <conditionalFormatting sqref="F60">
    <cfRule type="cellIs" dxfId="384" priority="373" operator="notEqual">
      <formula>0</formula>
    </cfRule>
  </conditionalFormatting>
  <conditionalFormatting sqref="D61">
    <cfRule type="cellIs" dxfId="383" priority="372" operator="equal">
      <formula>0</formula>
    </cfRule>
  </conditionalFormatting>
  <conditionalFormatting sqref="D61">
    <cfRule type="cellIs" dxfId="382" priority="371" operator="notEqual">
      <formula>0</formula>
    </cfRule>
  </conditionalFormatting>
  <conditionalFormatting sqref="D62">
    <cfRule type="cellIs" dxfId="381" priority="370" operator="equal">
      <formula>0</formula>
    </cfRule>
  </conditionalFormatting>
  <conditionalFormatting sqref="D62">
    <cfRule type="cellIs" dxfId="380" priority="369" operator="notEqual">
      <formula>0</formula>
    </cfRule>
  </conditionalFormatting>
  <conditionalFormatting sqref="E61">
    <cfRule type="cellIs" dxfId="379" priority="368" operator="equal">
      <formula>0</formula>
    </cfRule>
  </conditionalFormatting>
  <conditionalFormatting sqref="E61">
    <cfRule type="cellIs" dxfId="378" priority="367" operator="notEqual">
      <formula>0</formula>
    </cfRule>
  </conditionalFormatting>
  <conditionalFormatting sqref="E62">
    <cfRule type="cellIs" dxfId="377" priority="366" operator="equal">
      <formula>0</formula>
    </cfRule>
  </conditionalFormatting>
  <conditionalFormatting sqref="E62">
    <cfRule type="cellIs" dxfId="376" priority="365" operator="notEqual">
      <formula>0</formula>
    </cfRule>
  </conditionalFormatting>
  <conditionalFormatting sqref="F61">
    <cfRule type="cellIs" dxfId="375" priority="364" operator="equal">
      <formula>0</formula>
    </cfRule>
  </conditionalFormatting>
  <conditionalFormatting sqref="F61">
    <cfRule type="cellIs" dxfId="374" priority="363" operator="notEqual">
      <formula>0</formula>
    </cfRule>
  </conditionalFormatting>
  <conditionalFormatting sqref="F62">
    <cfRule type="cellIs" dxfId="373" priority="362" operator="equal">
      <formula>0</formula>
    </cfRule>
  </conditionalFormatting>
  <conditionalFormatting sqref="F62">
    <cfRule type="cellIs" dxfId="372" priority="361" operator="notEqual">
      <formula>0</formula>
    </cfRule>
  </conditionalFormatting>
  <conditionalFormatting sqref="D63">
    <cfRule type="cellIs" dxfId="371" priority="360" operator="equal">
      <formula>0</formula>
    </cfRule>
  </conditionalFormatting>
  <conditionalFormatting sqref="D63">
    <cfRule type="cellIs" dxfId="370" priority="359" operator="notEqual">
      <formula>0</formula>
    </cfRule>
  </conditionalFormatting>
  <conditionalFormatting sqref="D64">
    <cfRule type="cellIs" dxfId="369" priority="358" operator="equal">
      <formula>0</formula>
    </cfRule>
  </conditionalFormatting>
  <conditionalFormatting sqref="D64">
    <cfRule type="cellIs" dxfId="368" priority="357" operator="notEqual">
      <formula>0</formula>
    </cfRule>
  </conditionalFormatting>
  <conditionalFormatting sqref="E63">
    <cfRule type="cellIs" dxfId="367" priority="356" operator="equal">
      <formula>0</formula>
    </cfRule>
  </conditionalFormatting>
  <conditionalFormatting sqref="E63">
    <cfRule type="cellIs" dxfId="366" priority="355" operator="notEqual">
      <formula>0</formula>
    </cfRule>
  </conditionalFormatting>
  <conditionalFormatting sqref="E64">
    <cfRule type="cellIs" dxfId="365" priority="354" operator="equal">
      <formula>0</formula>
    </cfRule>
  </conditionalFormatting>
  <conditionalFormatting sqref="E64">
    <cfRule type="cellIs" dxfId="364" priority="353" operator="notEqual">
      <formula>0</formula>
    </cfRule>
  </conditionalFormatting>
  <conditionalFormatting sqref="F63">
    <cfRule type="cellIs" dxfId="363" priority="352" operator="equal">
      <formula>0</formula>
    </cfRule>
  </conditionalFormatting>
  <conditionalFormatting sqref="F63">
    <cfRule type="cellIs" dxfId="362" priority="351" operator="notEqual">
      <formula>0</formula>
    </cfRule>
  </conditionalFormatting>
  <conditionalFormatting sqref="F64">
    <cfRule type="cellIs" dxfId="361" priority="350" operator="equal">
      <formula>0</formula>
    </cfRule>
  </conditionalFormatting>
  <conditionalFormatting sqref="F64">
    <cfRule type="cellIs" dxfId="360" priority="349" operator="notEqual">
      <formula>0</formula>
    </cfRule>
  </conditionalFormatting>
  <conditionalFormatting sqref="D65">
    <cfRule type="cellIs" dxfId="359" priority="348" operator="equal">
      <formula>0</formula>
    </cfRule>
  </conditionalFormatting>
  <conditionalFormatting sqref="D65">
    <cfRule type="cellIs" dxfId="358" priority="347" operator="notEqual">
      <formula>0</formula>
    </cfRule>
  </conditionalFormatting>
  <conditionalFormatting sqref="D66">
    <cfRule type="cellIs" dxfId="357" priority="346" operator="equal">
      <formula>0</formula>
    </cfRule>
  </conditionalFormatting>
  <conditionalFormatting sqref="D66">
    <cfRule type="cellIs" dxfId="356" priority="345" operator="notEqual">
      <formula>0</formula>
    </cfRule>
  </conditionalFormatting>
  <conditionalFormatting sqref="E65">
    <cfRule type="cellIs" dxfId="355" priority="344" operator="equal">
      <formula>0</formula>
    </cfRule>
  </conditionalFormatting>
  <conditionalFormatting sqref="E65">
    <cfRule type="cellIs" dxfId="354" priority="343" operator="notEqual">
      <formula>0</formula>
    </cfRule>
  </conditionalFormatting>
  <conditionalFormatting sqref="E66">
    <cfRule type="cellIs" dxfId="353" priority="342" operator="equal">
      <formula>0</formula>
    </cfRule>
  </conditionalFormatting>
  <conditionalFormatting sqref="E66">
    <cfRule type="cellIs" dxfId="352" priority="341" operator="notEqual">
      <formula>0</formula>
    </cfRule>
  </conditionalFormatting>
  <conditionalFormatting sqref="F65">
    <cfRule type="cellIs" dxfId="351" priority="340" operator="equal">
      <formula>0</formula>
    </cfRule>
  </conditionalFormatting>
  <conditionalFormatting sqref="F65">
    <cfRule type="cellIs" dxfId="350" priority="339" operator="notEqual">
      <formula>0</formula>
    </cfRule>
  </conditionalFormatting>
  <conditionalFormatting sqref="F66">
    <cfRule type="cellIs" dxfId="349" priority="338" operator="equal">
      <formula>0</formula>
    </cfRule>
  </conditionalFormatting>
  <conditionalFormatting sqref="F66">
    <cfRule type="cellIs" dxfId="348" priority="337" operator="notEqual">
      <formula>0</formula>
    </cfRule>
  </conditionalFormatting>
  <conditionalFormatting sqref="D69">
    <cfRule type="cellIs" dxfId="347" priority="336" operator="equal">
      <formula>0</formula>
    </cfRule>
  </conditionalFormatting>
  <conditionalFormatting sqref="D69">
    <cfRule type="cellIs" dxfId="346" priority="335" operator="notEqual">
      <formula>0</formula>
    </cfRule>
  </conditionalFormatting>
  <conditionalFormatting sqref="D70">
    <cfRule type="cellIs" dxfId="345" priority="334" operator="equal">
      <formula>0</formula>
    </cfRule>
  </conditionalFormatting>
  <conditionalFormatting sqref="D70">
    <cfRule type="cellIs" dxfId="344" priority="333" operator="notEqual">
      <formula>0</formula>
    </cfRule>
  </conditionalFormatting>
  <conditionalFormatting sqref="E69">
    <cfRule type="cellIs" dxfId="343" priority="332" operator="equal">
      <formula>0</formula>
    </cfRule>
  </conditionalFormatting>
  <conditionalFormatting sqref="E69">
    <cfRule type="cellIs" dxfId="342" priority="331" operator="notEqual">
      <formula>0</formula>
    </cfRule>
  </conditionalFormatting>
  <conditionalFormatting sqref="E70">
    <cfRule type="cellIs" dxfId="341" priority="330" operator="equal">
      <formula>0</formula>
    </cfRule>
  </conditionalFormatting>
  <conditionalFormatting sqref="E70">
    <cfRule type="cellIs" dxfId="340" priority="329" operator="notEqual">
      <formula>0</formula>
    </cfRule>
  </conditionalFormatting>
  <conditionalFormatting sqref="F69">
    <cfRule type="cellIs" dxfId="339" priority="328" operator="equal">
      <formula>0</formula>
    </cfRule>
  </conditionalFormatting>
  <conditionalFormatting sqref="F69">
    <cfRule type="cellIs" dxfId="338" priority="327" operator="notEqual">
      <formula>0</formula>
    </cfRule>
  </conditionalFormatting>
  <conditionalFormatting sqref="F70">
    <cfRule type="cellIs" dxfId="337" priority="326" operator="equal">
      <formula>0</formula>
    </cfRule>
  </conditionalFormatting>
  <conditionalFormatting sqref="F70">
    <cfRule type="cellIs" dxfId="336" priority="325" operator="notEqual">
      <formula>0</formula>
    </cfRule>
  </conditionalFormatting>
  <conditionalFormatting sqref="D71">
    <cfRule type="cellIs" dxfId="335" priority="324" operator="equal">
      <formula>0</formula>
    </cfRule>
  </conditionalFormatting>
  <conditionalFormatting sqref="D71">
    <cfRule type="cellIs" dxfId="334" priority="323" operator="notEqual">
      <formula>0</formula>
    </cfRule>
  </conditionalFormatting>
  <conditionalFormatting sqref="D72">
    <cfRule type="cellIs" dxfId="333" priority="322" operator="equal">
      <formula>0</formula>
    </cfRule>
  </conditionalFormatting>
  <conditionalFormatting sqref="D72">
    <cfRule type="cellIs" dxfId="332" priority="321" operator="notEqual">
      <formula>0</formula>
    </cfRule>
  </conditionalFormatting>
  <conditionalFormatting sqref="E71">
    <cfRule type="cellIs" dxfId="331" priority="320" operator="equal">
      <formula>0</formula>
    </cfRule>
  </conditionalFormatting>
  <conditionalFormatting sqref="E71">
    <cfRule type="cellIs" dxfId="330" priority="319" operator="notEqual">
      <formula>0</formula>
    </cfRule>
  </conditionalFormatting>
  <conditionalFormatting sqref="E72">
    <cfRule type="cellIs" dxfId="329" priority="318" operator="equal">
      <formula>0</formula>
    </cfRule>
  </conditionalFormatting>
  <conditionalFormatting sqref="E72">
    <cfRule type="cellIs" dxfId="328" priority="317" operator="notEqual">
      <formula>0</formula>
    </cfRule>
  </conditionalFormatting>
  <conditionalFormatting sqref="F71">
    <cfRule type="cellIs" dxfId="327" priority="316" operator="equal">
      <formula>0</formula>
    </cfRule>
  </conditionalFormatting>
  <conditionalFormatting sqref="F71">
    <cfRule type="cellIs" dxfId="326" priority="315" operator="notEqual">
      <formula>0</formula>
    </cfRule>
  </conditionalFormatting>
  <conditionalFormatting sqref="F72">
    <cfRule type="cellIs" dxfId="325" priority="314" operator="equal">
      <formula>0</formula>
    </cfRule>
  </conditionalFormatting>
  <conditionalFormatting sqref="F72">
    <cfRule type="cellIs" dxfId="324" priority="313" operator="notEqual">
      <formula>0</formula>
    </cfRule>
  </conditionalFormatting>
  <conditionalFormatting sqref="D73">
    <cfRule type="cellIs" dxfId="323" priority="312" operator="equal">
      <formula>0</formula>
    </cfRule>
  </conditionalFormatting>
  <conditionalFormatting sqref="D73">
    <cfRule type="cellIs" dxfId="322" priority="311" operator="notEqual">
      <formula>0</formula>
    </cfRule>
  </conditionalFormatting>
  <conditionalFormatting sqref="D74">
    <cfRule type="cellIs" dxfId="321" priority="310" operator="equal">
      <formula>0</formula>
    </cfRule>
  </conditionalFormatting>
  <conditionalFormatting sqref="D74">
    <cfRule type="cellIs" dxfId="320" priority="309" operator="notEqual">
      <formula>0</formula>
    </cfRule>
  </conditionalFormatting>
  <conditionalFormatting sqref="E73">
    <cfRule type="cellIs" dxfId="319" priority="308" operator="equal">
      <formula>0</formula>
    </cfRule>
  </conditionalFormatting>
  <conditionalFormatting sqref="E73">
    <cfRule type="cellIs" dxfId="318" priority="307" operator="notEqual">
      <formula>0</formula>
    </cfRule>
  </conditionalFormatting>
  <conditionalFormatting sqref="E74">
    <cfRule type="cellIs" dxfId="317" priority="306" operator="equal">
      <formula>0</formula>
    </cfRule>
  </conditionalFormatting>
  <conditionalFormatting sqref="E74">
    <cfRule type="cellIs" dxfId="316" priority="305" operator="notEqual">
      <formula>0</formula>
    </cfRule>
  </conditionalFormatting>
  <conditionalFormatting sqref="F73">
    <cfRule type="cellIs" dxfId="315" priority="304" operator="equal">
      <formula>0</formula>
    </cfRule>
  </conditionalFormatting>
  <conditionalFormatting sqref="F73">
    <cfRule type="cellIs" dxfId="314" priority="303" operator="notEqual">
      <formula>0</formula>
    </cfRule>
  </conditionalFormatting>
  <conditionalFormatting sqref="F74">
    <cfRule type="cellIs" dxfId="313" priority="302" operator="equal">
      <formula>0</formula>
    </cfRule>
  </conditionalFormatting>
  <conditionalFormatting sqref="F74">
    <cfRule type="cellIs" dxfId="312" priority="301" operator="notEqual">
      <formula>0</formula>
    </cfRule>
  </conditionalFormatting>
  <conditionalFormatting sqref="D75">
    <cfRule type="cellIs" dxfId="311" priority="300" operator="equal">
      <formula>0</formula>
    </cfRule>
  </conditionalFormatting>
  <conditionalFormatting sqref="D75">
    <cfRule type="cellIs" dxfId="310" priority="299" operator="notEqual">
      <formula>0</formula>
    </cfRule>
  </conditionalFormatting>
  <conditionalFormatting sqref="D76">
    <cfRule type="cellIs" dxfId="309" priority="298" operator="equal">
      <formula>0</formula>
    </cfRule>
  </conditionalFormatting>
  <conditionalFormatting sqref="D76">
    <cfRule type="cellIs" dxfId="308" priority="297" operator="notEqual">
      <formula>0</formula>
    </cfRule>
  </conditionalFormatting>
  <conditionalFormatting sqref="E75">
    <cfRule type="cellIs" dxfId="307" priority="296" operator="equal">
      <formula>0</formula>
    </cfRule>
  </conditionalFormatting>
  <conditionalFormatting sqref="E75">
    <cfRule type="cellIs" dxfId="306" priority="295" operator="notEqual">
      <formula>0</formula>
    </cfRule>
  </conditionalFormatting>
  <conditionalFormatting sqref="E76">
    <cfRule type="cellIs" dxfId="305" priority="294" operator="equal">
      <formula>0</formula>
    </cfRule>
  </conditionalFormatting>
  <conditionalFormatting sqref="E76">
    <cfRule type="cellIs" dxfId="304" priority="293" operator="notEqual">
      <formula>0</formula>
    </cfRule>
  </conditionalFormatting>
  <conditionalFormatting sqref="F75">
    <cfRule type="cellIs" dxfId="303" priority="292" operator="equal">
      <formula>0</formula>
    </cfRule>
  </conditionalFormatting>
  <conditionalFormatting sqref="F75">
    <cfRule type="cellIs" dxfId="302" priority="291" operator="notEqual">
      <formula>0</formula>
    </cfRule>
  </conditionalFormatting>
  <conditionalFormatting sqref="F76">
    <cfRule type="cellIs" dxfId="301" priority="290" operator="equal">
      <formula>0</formula>
    </cfRule>
  </conditionalFormatting>
  <conditionalFormatting sqref="F76">
    <cfRule type="cellIs" dxfId="300" priority="289" operator="notEqual">
      <formula>0</formula>
    </cfRule>
  </conditionalFormatting>
  <conditionalFormatting sqref="D77">
    <cfRule type="cellIs" dxfId="299" priority="288" operator="equal">
      <formula>0</formula>
    </cfRule>
  </conditionalFormatting>
  <conditionalFormatting sqref="D77">
    <cfRule type="cellIs" dxfId="298" priority="287" operator="notEqual">
      <formula>0</formula>
    </cfRule>
  </conditionalFormatting>
  <conditionalFormatting sqref="D78">
    <cfRule type="cellIs" dxfId="297" priority="286" operator="equal">
      <formula>0</formula>
    </cfRule>
  </conditionalFormatting>
  <conditionalFormatting sqref="D78">
    <cfRule type="cellIs" dxfId="296" priority="285" operator="notEqual">
      <formula>0</formula>
    </cfRule>
  </conditionalFormatting>
  <conditionalFormatting sqref="E77">
    <cfRule type="cellIs" dxfId="295" priority="284" operator="equal">
      <formula>0</formula>
    </cfRule>
  </conditionalFormatting>
  <conditionalFormatting sqref="E77">
    <cfRule type="cellIs" dxfId="294" priority="283" operator="notEqual">
      <formula>0</formula>
    </cfRule>
  </conditionalFormatting>
  <conditionalFormatting sqref="E78">
    <cfRule type="cellIs" dxfId="293" priority="282" operator="equal">
      <formula>0</formula>
    </cfRule>
  </conditionalFormatting>
  <conditionalFormatting sqref="E78">
    <cfRule type="cellIs" dxfId="292" priority="281" operator="notEqual">
      <formula>0</formula>
    </cfRule>
  </conditionalFormatting>
  <conditionalFormatting sqref="F77">
    <cfRule type="cellIs" dxfId="291" priority="280" operator="equal">
      <formula>0</formula>
    </cfRule>
  </conditionalFormatting>
  <conditionalFormatting sqref="F77">
    <cfRule type="cellIs" dxfId="290" priority="279" operator="notEqual">
      <formula>0</formula>
    </cfRule>
  </conditionalFormatting>
  <conditionalFormatting sqref="F78">
    <cfRule type="cellIs" dxfId="289" priority="278" operator="equal">
      <formula>0</formula>
    </cfRule>
  </conditionalFormatting>
  <conditionalFormatting sqref="F78">
    <cfRule type="cellIs" dxfId="288" priority="277" operator="notEqual">
      <formula>0</formula>
    </cfRule>
  </conditionalFormatting>
  <conditionalFormatting sqref="D79">
    <cfRule type="cellIs" dxfId="287" priority="276" operator="equal">
      <formula>0</formula>
    </cfRule>
  </conditionalFormatting>
  <conditionalFormatting sqref="D79">
    <cfRule type="cellIs" dxfId="286" priority="275" operator="notEqual">
      <formula>0</formula>
    </cfRule>
  </conditionalFormatting>
  <conditionalFormatting sqref="D80">
    <cfRule type="cellIs" dxfId="285" priority="274" operator="equal">
      <formula>0</formula>
    </cfRule>
  </conditionalFormatting>
  <conditionalFormatting sqref="D80">
    <cfRule type="cellIs" dxfId="284" priority="273" operator="notEqual">
      <formula>0</formula>
    </cfRule>
  </conditionalFormatting>
  <conditionalFormatting sqref="E79">
    <cfRule type="cellIs" dxfId="283" priority="272" operator="equal">
      <formula>0</formula>
    </cfRule>
  </conditionalFormatting>
  <conditionalFormatting sqref="E79">
    <cfRule type="cellIs" dxfId="282" priority="271" operator="notEqual">
      <formula>0</formula>
    </cfRule>
  </conditionalFormatting>
  <conditionalFormatting sqref="E80">
    <cfRule type="cellIs" dxfId="281" priority="270" operator="equal">
      <formula>0</formula>
    </cfRule>
  </conditionalFormatting>
  <conditionalFormatting sqref="E80">
    <cfRule type="cellIs" dxfId="280" priority="269" operator="notEqual">
      <formula>0</formula>
    </cfRule>
  </conditionalFormatting>
  <conditionalFormatting sqref="F79">
    <cfRule type="cellIs" dxfId="279" priority="268" operator="equal">
      <formula>0</formula>
    </cfRule>
  </conditionalFormatting>
  <conditionalFormatting sqref="F79">
    <cfRule type="cellIs" dxfId="278" priority="267" operator="notEqual">
      <formula>0</formula>
    </cfRule>
  </conditionalFormatting>
  <conditionalFormatting sqref="F80">
    <cfRule type="cellIs" dxfId="277" priority="266" operator="equal">
      <formula>0</formula>
    </cfRule>
  </conditionalFormatting>
  <conditionalFormatting sqref="F80">
    <cfRule type="cellIs" dxfId="276" priority="265" operator="notEqual">
      <formula>0</formula>
    </cfRule>
  </conditionalFormatting>
  <conditionalFormatting sqref="D81">
    <cfRule type="cellIs" dxfId="275" priority="264" operator="equal">
      <formula>0</formula>
    </cfRule>
  </conditionalFormatting>
  <conditionalFormatting sqref="D81">
    <cfRule type="cellIs" dxfId="274" priority="263" operator="notEqual">
      <formula>0</formula>
    </cfRule>
  </conditionalFormatting>
  <conditionalFormatting sqref="D82">
    <cfRule type="cellIs" dxfId="273" priority="262" operator="equal">
      <formula>0</formula>
    </cfRule>
  </conditionalFormatting>
  <conditionalFormatting sqref="D82">
    <cfRule type="cellIs" dxfId="272" priority="261" operator="notEqual">
      <formula>0</formula>
    </cfRule>
  </conditionalFormatting>
  <conditionalFormatting sqref="E81">
    <cfRule type="cellIs" dxfId="271" priority="260" operator="equal">
      <formula>0</formula>
    </cfRule>
  </conditionalFormatting>
  <conditionalFormatting sqref="E81">
    <cfRule type="cellIs" dxfId="270" priority="259" operator="notEqual">
      <formula>0</formula>
    </cfRule>
  </conditionalFormatting>
  <conditionalFormatting sqref="E82">
    <cfRule type="cellIs" dxfId="269" priority="258" operator="equal">
      <formula>0</formula>
    </cfRule>
  </conditionalFormatting>
  <conditionalFormatting sqref="E82">
    <cfRule type="cellIs" dxfId="268" priority="257" operator="notEqual">
      <formula>0</formula>
    </cfRule>
  </conditionalFormatting>
  <conditionalFormatting sqref="F81">
    <cfRule type="cellIs" dxfId="267" priority="256" operator="equal">
      <formula>0</formula>
    </cfRule>
  </conditionalFormatting>
  <conditionalFormatting sqref="F81">
    <cfRule type="cellIs" dxfId="266" priority="255" operator="notEqual">
      <formula>0</formula>
    </cfRule>
  </conditionalFormatting>
  <conditionalFormatting sqref="F82">
    <cfRule type="cellIs" dxfId="265" priority="254" operator="equal">
      <formula>0</formula>
    </cfRule>
  </conditionalFormatting>
  <conditionalFormatting sqref="F82">
    <cfRule type="cellIs" dxfId="264" priority="253" operator="notEqual">
      <formula>0</formula>
    </cfRule>
  </conditionalFormatting>
  <conditionalFormatting sqref="D89">
    <cfRule type="cellIs" dxfId="263" priority="252" operator="equal">
      <formula>0</formula>
    </cfRule>
  </conditionalFormatting>
  <conditionalFormatting sqref="D89">
    <cfRule type="cellIs" dxfId="262" priority="251" operator="notEqual">
      <formula>0</formula>
    </cfRule>
  </conditionalFormatting>
  <conditionalFormatting sqref="D90">
    <cfRule type="cellIs" dxfId="261" priority="250" operator="equal">
      <formula>0</formula>
    </cfRule>
  </conditionalFormatting>
  <conditionalFormatting sqref="D90">
    <cfRule type="cellIs" dxfId="260" priority="249" operator="notEqual">
      <formula>0</formula>
    </cfRule>
  </conditionalFormatting>
  <conditionalFormatting sqref="E89">
    <cfRule type="cellIs" dxfId="259" priority="248" operator="equal">
      <formula>0</formula>
    </cfRule>
  </conditionalFormatting>
  <conditionalFormatting sqref="E89">
    <cfRule type="cellIs" dxfId="258" priority="247" operator="notEqual">
      <formula>0</formula>
    </cfRule>
  </conditionalFormatting>
  <conditionalFormatting sqref="E90">
    <cfRule type="cellIs" dxfId="257" priority="246" operator="equal">
      <formula>0</formula>
    </cfRule>
  </conditionalFormatting>
  <conditionalFormatting sqref="E90">
    <cfRule type="cellIs" dxfId="256" priority="245" operator="notEqual">
      <formula>0</formula>
    </cfRule>
  </conditionalFormatting>
  <conditionalFormatting sqref="F89">
    <cfRule type="cellIs" dxfId="255" priority="244" operator="equal">
      <formula>0</formula>
    </cfRule>
  </conditionalFormatting>
  <conditionalFormatting sqref="F89">
    <cfRule type="cellIs" dxfId="254" priority="243" operator="notEqual">
      <formula>0</formula>
    </cfRule>
  </conditionalFormatting>
  <conditionalFormatting sqref="F90">
    <cfRule type="cellIs" dxfId="253" priority="242" operator="equal">
      <formula>0</formula>
    </cfRule>
  </conditionalFormatting>
  <conditionalFormatting sqref="F90">
    <cfRule type="cellIs" dxfId="252" priority="241" operator="notEqual">
      <formula>0</formula>
    </cfRule>
  </conditionalFormatting>
  <conditionalFormatting sqref="D91">
    <cfRule type="cellIs" dxfId="251" priority="240" operator="equal">
      <formula>0</formula>
    </cfRule>
  </conditionalFormatting>
  <conditionalFormatting sqref="D91">
    <cfRule type="cellIs" dxfId="250" priority="239" operator="notEqual">
      <formula>0</formula>
    </cfRule>
  </conditionalFormatting>
  <conditionalFormatting sqref="D92">
    <cfRule type="cellIs" dxfId="249" priority="238" operator="equal">
      <formula>0</formula>
    </cfRule>
  </conditionalFormatting>
  <conditionalFormatting sqref="D92">
    <cfRule type="cellIs" dxfId="248" priority="237" operator="notEqual">
      <formula>0</formula>
    </cfRule>
  </conditionalFormatting>
  <conditionalFormatting sqref="E91">
    <cfRule type="cellIs" dxfId="247" priority="236" operator="equal">
      <formula>0</formula>
    </cfRule>
  </conditionalFormatting>
  <conditionalFormatting sqref="E91">
    <cfRule type="cellIs" dxfId="246" priority="235" operator="notEqual">
      <formula>0</formula>
    </cfRule>
  </conditionalFormatting>
  <conditionalFormatting sqref="E92">
    <cfRule type="cellIs" dxfId="245" priority="234" operator="equal">
      <formula>0</formula>
    </cfRule>
  </conditionalFormatting>
  <conditionalFormatting sqref="E92">
    <cfRule type="cellIs" dxfId="244" priority="233" operator="notEqual">
      <formula>0</formula>
    </cfRule>
  </conditionalFormatting>
  <conditionalFormatting sqref="F91">
    <cfRule type="cellIs" dxfId="243" priority="232" operator="equal">
      <formula>0</formula>
    </cfRule>
  </conditionalFormatting>
  <conditionalFormatting sqref="F91">
    <cfRule type="cellIs" dxfId="242" priority="231" operator="notEqual">
      <formula>0</formula>
    </cfRule>
  </conditionalFormatting>
  <conditionalFormatting sqref="F92">
    <cfRule type="cellIs" dxfId="241" priority="230" operator="equal">
      <formula>0</formula>
    </cfRule>
  </conditionalFormatting>
  <conditionalFormatting sqref="F92">
    <cfRule type="cellIs" dxfId="240" priority="229" operator="notEqual">
      <formula>0</formula>
    </cfRule>
  </conditionalFormatting>
  <conditionalFormatting sqref="D95">
    <cfRule type="cellIs" dxfId="239" priority="228" operator="equal">
      <formula>0</formula>
    </cfRule>
  </conditionalFormatting>
  <conditionalFormatting sqref="D95">
    <cfRule type="cellIs" dxfId="238" priority="227" operator="notEqual">
      <formula>0</formula>
    </cfRule>
  </conditionalFormatting>
  <conditionalFormatting sqref="D96">
    <cfRule type="cellIs" dxfId="237" priority="226" operator="equal">
      <formula>0</formula>
    </cfRule>
  </conditionalFormatting>
  <conditionalFormatting sqref="D96">
    <cfRule type="cellIs" dxfId="236" priority="225" operator="notEqual">
      <formula>0</formula>
    </cfRule>
  </conditionalFormatting>
  <conditionalFormatting sqref="E95">
    <cfRule type="cellIs" dxfId="235" priority="224" operator="equal">
      <formula>0</formula>
    </cfRule>
  </conditionalFormatting>
  <conditionalFormatting sqref="E95">
    <cfRule type="cellIs" dxfId="234" priority="223" operator="notEqual">
      <formula>0</formula>
    </cfRule>
  </conditionalFormatting>
  <conditionalFormatting sqref="E96">
    <cfRule type="cellIs" dxfId="233" priority="222" operator="equal">
      <formula>0</formula>
    </cfRule>
  </conditionalFormatting>
  <conditionalFormatting sqref="E96">
    <cfRule type="cellIs" dxfId="232" priority="221" operator="notEqual">
      <formula>0</formula>
    </cfRule>
  </conditionalFormatting>
  <conditionalFormatting sqref="F95">
    <cfRule type="cellIs" dxfId="231" priority="220" operator="equal">
      <formula>0</formula>
    </cfRule>
  </conditionalFormatting>
  <conditionalFormatting sqref="F95">
    <cfRule type="cellIs" dxfId="230" priority="219" operator="notEqual">
      <formula>0</formula>
    </cfRule>
  </conditionalFormatting>
  <conditionalFormatting sqref="F96">
    <cfRule type="cellIs" dxfId="229" priority="218" operator="equal">
      <formula>0</formula>
    </cfRule>
  </conditionalFormatting>
  <conditionalFormatting sqref="F96">
    <cfRule type="cellIs" dxfId="228" priority="217" operator="notEqual">
      <formula>0</formula>
    </cfRule>
  </conditionalFormatting>
  <conditionalFormatting sqref="D97">
    <cfRule type="cellIs" dxfId="227" priority="216" operator="equal">
      <formula>0</formula>
    </cfRule>
  </conditionalFormatting>
  <conditionalFormatting sqref="D97">
    <cfRule type="cellIs" dxfId="226" priority="215" operator="notEqual">
      <formula>0</formula>
    </cfRule>
  </conditionalFormatting>
  <conditionalFormatting sqref="D98">
    <cfRule type="cellIs" dxfId="225" priority="214" operator="equal">
      <formula>0</formula>
    </cfRule>
  </conditionalFormatting>
  <conditionalFormatting sqref="D98">
    <cfRule type="cellIs" dxfId="224" priority="213" operator="notEqual">
      <formula>0</formula>
    </cfRule>
  </conditionalFormatting>
  <conditionalFormatting sqref="E97">
    <cfRule type="cellIs" dxfId="223" priority="212" operator="equal">
      <formula>0</formula>
    </cfRule>
  </conditionalFormatting>
  <conditionalFormatting sqref="E97">
    <cfRule type="cellIs" dxfId="222" priority="211" operator="notEqual">
      <formula>0</formula>
    </cfRule>
  </conditionalFormatting>
  <conditionalFormatting sqref="E98">
    <cfRule type="cellIs" dxfId="221" priority="210" operator="equal">
      <formula>0</formula>
    </cfRule>
  </conditionalFormatting>
  <conditionalFormatting sqref="E98">
    <cfRule type="cellIs" dxfId="220" priority="209" operator="notEqual">
      <formula>0</formula>
    </cfRule>
  </conditionalFormatting>
  <conditionalFormatting sqref="F97">
    <cfRule type="cellIs" dxfId="219" priority="208" operator="equal">
      <formula>0</formula>
    </cfRule>
  </conditionalFormatting>
  <conditionalFormatting sqref="F97">
    <cfRule type="cellIs" dxfId="218" priority="207" operator="notEqual">
      <formula>0</formula>
    </cfRule>
  </conditionalFormatting>
  <conditionalFormatting sqref="F98">
    <cfRule type="cellIs" dxfId="217" priority="206" operator="equal">
      <formula>0</formula>
    </cfRule>
  </conditionalFormatting>
  <conditionalFormatting sqref="F98">
    <cfRule type="cellIs" dxfId="216" priority="205" operator="notEqual">
      <formula>0</formula>
    </cfRule>
  </conditionalFormatting>
  <conditionalFormatting sqref="D99">
    <cfRule type="cellIs" dxfId="215" priority="204" operator="equal">
      <formula>0</formula>
    </cfRule>
  </conditionalFormatting>
  <conditionalFormatting sqref="D99">
    <cfRule type="cellIs" dxfId="214" priority="203" operator="notEqual">
      <formula>0</formula>
    </cfRule>
  </conditionalFormatting>
  <conditionalFormatting sqref="D100">
    <cfRule type="cellIs" dxfId="213" priority="202" operator="equal">
      <formula>0</formula>
    </cfRule>
  </conditionalFormatting>
  <conditionalFormatting sqref="D100">
    <cfRule type="cellIs" dxfId="212" priority="201" operator="notEqual">
      <formula>0</formula>
    </cfRule>
  </conditionalFormatting>
  <conditionalFormatting sqref="E99">
    <cfRule type="cellIs" dxfId="211" priority="200" operator="equal">
      <formula>0</formula>
    </cfRule>
  </conditionalFormatting>
  <conditionalFormatting sqref="E99">
    <cfRule type="cellIs" dxfId="210" priority="199" operator="notEqual">
      <formula>0</formula>
    </cfRule>
  </conditionalFormatting>
  <conditionalFormatting sqref="E100">
    <cfRule type="cellIs" dxfId="209" priority="198" operator="equal">
      <formula>0</formula>
    </cfRule>
  </conditionalFormatting>
  <conditionalFormatting sqref="E100">
    <cfRule type="cellIs" dxfId="208" priority="197" operator="notEqual">
      <formula>0</formula>
    </cfRule>
  </conditionalFormatting>
  <conditionalFormatting sqref="F99">
    <cfRule type="cellIs" dxfId="207" priority="196" operator="equal">
      <formula>0</formula>
    </cfRule>
  </conditionalFormatting>
  <conditionalFormatting sqref="F99">
    <cfRule type="cellIs" dxfId="206" priority="195" operator="notEqual">
      <formula>0</formula>
    </cfRule>
  </conditionalFormatting>
  <conditionalFormatting sqref="F100">
    <cfRule type="cellIs" dxfId="205" priority="194" operator="equal">
      <formula>0</formula>
    </cfRule>
  </conditionalFormatting>
  <conditionalFormatting sqref="F100">
    <cfRule type="cellIs" dxfId="204" priority="193" operator="notEqual">
      <formula>0</formula>
    </cfRule>
  </conditionalFormatting>
  <conditionalFormatting sqref="D101">
    <cfRule type="cellIs" dxfId="203" priority="192" operator="equal">
      <formula>0</formula>
    </cfRule>
  </conditionalFormatting>
  <conditionalFormatting sqref="D101">
    <cfRule type="cellIs" dxfId="202" priority="191" operator="notEqual">
      <formula>0</formula>
    </cfRule>
  </conditionalFormatting>
  <conditionalFormatting sqref="D102">
    <cfRule type="cellIs" dxfId="201" priority="190" operator="equal">
      <formula>0</formula>
    </cfRule>
  </conditionalFormatting>
  <conditionalFormatting sqref="D102">
    <cfRule type="cellIs" dxfId="200" priority="189" operator="notEqual">
      <formula>0</formula>
    </cfRule>
  </conditionalFormatting>
  <conditionalFormatting sqref="E101">
    <cfRule type="cellIs" dxfId="199" priority="188" operator="equal">
      <formula>0</formula>
    </cfRule>
  </conditionalFormatting>
  <conditionalFormatting sqref="E101">
    <cfRule type="cellIs" dxfId="198" priority="187" operator="notEqual">
      <formula>0</formula>
    </cfRule>
  </conditionalFormatting>
  <conditionalFormatting sqref="E102">
    <cfRule type="cellIs" dxfId="197" priority="186" operator="equal">
      <formula>0</formula>
    </cfRule>
  </conditionalFormatting>
  <conditionalFormatting sqref="E102">
    <cfRule type="cellIs" dxfId="196" priority="185" operator="notEqual">
      <formula>0</formula>
    </cfRule>
  </conditionalFormatting>
  <conditionalFormatting sqref="F101">
    <cfRule type="cellIs" dxfId="195" priority="184" operator="equal">
      <formula>0</formula>
    </cfRule>
  </conditionalFormatting>
  <conditionalFormatting sqref="F101">
    <cfRule type="cellIs" dxfId="194" priority="183" operator="notEqual">
      <formula>0</formula>
    </cfRule>
  </conditionalFormatting>
  <conditionalFormatting sqref="F102">
    <cfRule type="cellIs" dxfId="193" priority="182" operator="equal">
      <formula>0</formula>
    </cfRule>
  </conditionalFormatting>
  <conditionalFormatting sqref="F102">
    <cfRule type="cellIs" dxfId="192" priority="181" operator="notEqual">
      <formula>0</formula>
    </cfRule>
  </conditionalFormatting>
  <conditionalFormatting sqref="D105">
    <cfRule type="cellIs" dxfId="191" priority="180" operator="equal">
      <formula>0</formula>
    </cfRule>
  </conditionalFormatting>
  <conditionalFormatting sqref="D105">
    <cfRule type="cellIs" dxfId="190" priority="179" operator="notEqual">
      <formula>0</formula>
    </cfRule>
  </conditionalFormatting>
  <conditionalFormatting sqref="D106">
    <cfRule type="cellIs" dxfId="189" priority="178" operator="equal">
      <formula>0</formula>
    </cfRule>
  </conditionalFormatting>
  <conditionalFormatting sqref="D106">
    <cfRule type="cellIs" dxfId="188" priority="177" operator="notEqual">
      <formula>0</formula>
    </cfRule>
  </conditionalFormatting>
  <conditionalFormatting sqref="E105">
    <cfRule type="cellIs" dxfId="187" priority="176" operator="equal">
      <formula>0</formula>
    </cfRule>
  </conditionalFormatting>
  <conditionalFormatting sqref="E105">
    <cfRule type="cellIs" dxfId="186" priority="175" operator="notEqual">
      <formula>0</formula>
    </cfRule>
  </conditionalFormatting>
  <conditionalFormatting sqref="E106">
    <cfRule type="cellIs" dxfId="185" priority="174" operator="equal">
      <formula>0</formula>
    </cfRule>
  </conditionalFormatting>
  <conditionalFormatting sqref="E106">
    <cfRule type="cellIs" dxfId="184" priority="173" operator="notEqual">
      <formula>0</formula>
    </cfRule>
  </conditionalFormatting>
  <conditionalFormatting sqref="F105">
    <cfRule type="cellIs" dxfId="183" priority="172" operator="equal">
      <formula>0</formula>
    </cfRule>
  </conditionalFormatting>
  <conditionalFormatting sqref="F105">
    <cfRule type="cellIs" dxfId="182" priority="171" operator="notEqual">
      <formula>0</formula>
    </cfRule>
  </conditionalFormatting>
  <conditionalFormatting sqref="F106">
    <cfRule type="cellIs" dxfId="181" priority="170" operator="equal">
      <formula>0</formula>
    </cfRule>
  </conditionalFormatting>
  <conditionalFormatting sqref="F106">
    <cfRule type="cellIs" dxfId="180" priority="169" operator="notEqual">
      <formula>0</formula>
    </cfRule>
  </conditionalFormatting>
  <conditionalFormatting sqref="D109">
    <cfRule type="cellIs" dxfId="167" priority="168" operator="equal">
      <formula>0</formula>
    </cfRule>
  </conditionalFormatting>
  <conditionalFormatting sqref="D109">
    <cfRule type="cellIs" dxfId="166" priority="167" operator="notEqual">
      <formula>0</formula>
    </cfRule>
  </conditionalFormatting>
  <conditionalFormatting sqref="D110">
    <cfRule type="cellIs" dxfId="165" priority="166" operator="equal">
      <formula>0</formula>
    </cfRule>
  </conditionalFormatting>
  <conditionalFormatting sqref="D110">
    <cfRule type="cellIs" dxfId="164" priority="165" operator="notEqual">
      <formula>0</formula>
    </cfRule>
  </conditionalFormatting>
  <conditionalFormatting sqref="E109">
    <cfRule type="cellIs" dxfId="163" priority="164" operator="equal">
      <formula>0</formula>
    </cfRule>
  </conditionalFormatting>
  <conditionalFormatting sqref="E109">
    <cfRule type="cellIs" dxfId="162" priority="163" operator="notEqual">
      <formula>0</formula>
    </cfRule>
  </conditionalFormatting>
  <conditionalFormatting sqref="E110">
    <cfRule type="cellIs" dxfId="161" priority="162" operator="equal">
      <formula>0</formula>
    </cfRule>
  </conditionalFormatting>
  <conditionalFormatting sqref="E110">
    <cfRule type="cellIs" dxfId="160" priority="161" operator="notEqual">
      <formula>0</formula>
    </cfRule>
  </conditionalFormatting>
  <conditionalFormatting sqref="F109">
    <cfRule type="cellIs" dxfId="159" priority="160" operator="equal">
      <formula>0</formula>
    </cfRule>
  </conditionalFormatting>
  <conditionalFormatting sqref="F109">
    <cfRule type="cellIs" dxfId="158" priority="159" operator="notEqual">
      <formula>0</formula>
    </cfRule>
  </conditionalFormatting>
  <conditionalFormatting sqref="F110">
    <cfRule type="cellIs" dxfId="157" priority="158" operator="equal">
      <formula>0</formula>
    </cfRule>
  </conditionalFormatting>
  <conditionalFormatting sqref="F110">
    <cfRule type="cellIs" dxfId="156" priority="157" operator="notEqual">
      <formula>0</formula>
    </cfRule>
  </conditionalFormatting>
  <conditionalFormatting sqref="D111">
    <cfRule type="cellIs" dxfId="155" priority="156" operator="equal">
      <formula>0</formula>
    </cfRule>
  </conditionalFormatting>
  <conditionalFormatting sqref="D111">
    <cfRule type="cellIs" dxfId="154" priority="155" operator="notEqual">
      <formula>0</formula>
    </cfRule>
  </conditionalFormatting>
  <conditionalFormatting sqref="D112">
    <cfRule type="cellIs" dxfId="153" priority="154" operator="equal">
      <formula>0</formula>
    </cfRule>
  </conditionalFormatting>
  <conditionalFormatting sqref="D112">
    <cfRule type="cellIs" dxfId="152" priority="153" operator="notEqual">
      <formula>0</formula>
    </cfRule>
  </conditionalFormatting>
  <conditionalFormatting sqref="E111">
    <cfRule type="cellIs" dxfId="151" priority="152" operator="equal">
      <formula>0</formula>
    </cfRule>
  </conditionalFormatting>
  <conditionalFormatting sqref="E111">
    <cfRule type="cellIs" dxfId="150" priority="151" operator="notEqual">
      <formula>0</formula>
    </cfRule>
  </conditionalFormatting>
  <conditionalFormatting sqref="E112">
    <cfRule type="cellIs" dxfId="149" priority="150" operator="equal">
      <formula>0</formula>
    </cfRule>
  </conditionalFormatting>
  <conditionalFormatting sqref="E112">
    <cfRule type="cellIs" dxfId="148" priority="149" operator="notEqual">
      <formula>0</formula>
    </cfRule>
  </conditionalFormatting>
  <conditionalFormatting sqref="F111">
    <cfRule type="cellIs" dxfId="147" priority="148" operator="equal">
      <formula>0</formula>
    </cfRule>
  </conditionalFormatting>
  <conditionalFormatting sqref="F111">
    <cfRule type="cellIs" dxfId="146" priority="147" operator="notEqual">
      <formula>0</formula>
    </cfRule>
  </conditionalFormatting>
  <conditionalFormatting sqref="F112">
    <cfRule type="cellIs" dxfId="145" priority="146" operator="equal">
      <formula>0</formula>
    </cfRule>
  </conditionalFormatting>
  <conditionalFormatting sqref="F112">
    <cfRule type="cellIs" dxfId="144" priority="145" operator="notEqual">
      <formula>0</formula>
    </cfRule>
  </conditionalFormatting>
  <conditionalFormatting sqref="D113">
    <cfRule type="cellIs" dxfId="143" priority="144" operator="equal">
      <formula>0</formula>
    </cfRule>
  </conditionalFormatting>
  <conditionalFormatting sqref="D113">
    <cfRule type="cellIs" dxfId="142" priority="143" operator="notEqual">
      <formula>0</formula>
    </cfRule>
  </conditionalFormatting>
  <conditionalFormatting sqref="D114">
    <cfRule type="cellIs" dxfId="141" priority="142" operator="equal">
      <formula>0</formula>
    </cfRule>
  </conditionalFormatting>
  <conditionalFormatting sqref="D114">
    <cfRule type="cellIs" dxfId="140" priority="141" operator="notEqual">
      <formula>0</formula>
    </cfRule>
  </conditionalFormatting>
  <conditionalFormatting sqref="E113">
    <cfRule type="cellIs" dxfId="139" priority="140" operator="equal">
      <formula>0</formula>
    </cfRule>
  </conditionalFormatting>
  <conditionalFormatting sqref="E113">
    <cfRule type="cellIs" dxfId="138" priority="139" operator="notEqual">
      <formula>0</formula>
    </cfRule>
  </conditionalFormatting>
  <conditionalFormatting sqref="E114">
    <cfRule type="cellIs" dxfId="137" priority="138" operator="equal">
      <formula>0</formula>
    </cfRule>
  </conditionalFormatting>
  <conditionalFormatting sqref="E114">
    <cfRule type="cellIs" dxfId="136" priority="137" operator="notEqual">
      <formula>0</formula>
    </cfRule>
  </conditionalFormatting>
  <conditionalFormatting sqref="F113">
    <cfRule type="cellIs" dxfId="135" priority="136" operator="equal">
      <formula>0</formula>
    </cfRule>
  </conditionalFormatting>
  <conditionalFormatting sqref="F113">
    <cfRule type="cellIs" dxfId="134" priority="135" operator="notEqual">
      <formula>0</formula>
    </cfRule>
  </conditionalFormatting>
  <conditionalFormatting sqref="F114">
    <cfRule type="cellIs" dxfId="133" priority="134" operator="equal">
      <formula>0</formula>
    </cfRule>
  </conditionalFormatting>
  <conditionalFormatting sqref="F114">
    <cfRule type="cellIs" dxfId="132" priority="133" operator="notEqual">
      <formula>0</formula>
    </cfRule>
  </conditionalFormatting>
  <conditionalFormatting sqref="D119">
    <cfRule type="cellIs" dxfId="131" priority="132" operator="equal">
      <formula>0</formula>
    </cfRule>
  </conditionalFormatting>
  <conditionalFormatting sqref="D119">
    <cfRule type="cellIs" dxfId="130" priority="131" operator="notEqual">
      <formula>0</formula>
    </cfRule>
  </conditionalFormatting>
  <conditionalFormatting sqref="D120">
    <cfRule type="cellIs" dxfId="129" priority="130" operator="equal">
      <formula>0</formula>
    </cfRule>
  </conditionalFormatting>
  <conditionalFormatting sqref="D120">
    <cfRule type="cellIs" dxfId="128" priority="129" operator="notEqual">
      <formula>0</formula>
    </cfRule>
  </conditionalFormatting>
  <conditionalFormatting sqref="E119">
    <cfRule type="cellIs" dxfId="127" priority="128" operator="equal">
      <formula>0</formula>
    </cfRule>
  </conditionalFormatting>
  <conditionalFormatting sqref="E119">
    <cfRule type="cellIs" dxfId="126" priority="127" operator="notEqual">
      <formula>0</formula>
    </cfRule>
  </conditionalFormatting>
  <conditionalFormatting sqref="E120">
    <cfRule type="cellIs" dxfId="125" priority="126" operator="equal">
      <formula>0</formula>
    </cfRule>
  </conditionalFormatting>
  <conditionalFormatting sqref="E120">
    <cfRule type="cellIs" dxfId="124" priority="125" operator="notEqual">
      <formula>0</formula>
    </cfRule>
  </conditionalFormatting>
  <conditionalFormatting sqref="F119">
    <cfRule type="cellIs" dxfId="123" priority="124" operator="equal">
      <formula>0</formula>
    </cfRule>
  </conditionalFormatting>
  <conditionalFormatting sqref="F119">
    <cfRule type="cellIs" dxfId="122" priority="123" operator="notEqual">
      <formula>0</formula>
    </cfRule>
  </conditionalFormatting>
  <conditionalFormatting sqref="F120">
    <cfRule type="cellIs" dxfId="121" priority="122" operator="equal">
      <formula>0</formula>
    </cfRule>
  </conditionalFormatting>
  <conditionalFormatting sqref="F120">
    <cfRule type="cellIs" dxfId="120" priority="121" operator="notEqual">
      <formula>0</formula>
    </cfRule>
  </conditionalFormatting>
  <conditionalFormatting sqref="D121">
    <cfRule type="cellIs" dxfId="119" priority="120" operator="equal">
      <formula>0</formula>
    </cfRule>
  </conditionalFormatting>
  <conditionalFormatting sqref="D121">
    <cfRule type="cellIs" dxfId="118" priority="119" operator="notEqual">
      <formula>0</formula>
    </cfRule>
  </conditionalFormatting>
  <conditionalFormatting sqref="D122">
    <cfRule type="cellIs" dxfId="117" priority="118" operator="equal">
      <formula>0</formula>
    </cfRule>
  </conditionalFormatting>
  <conditionalFormatting sqref="D122">
    <cfRule type="cellIs" dxfId="116" priority="117" operator="notEqual">
      <formula>0</formula>
    </cfRule>
  </conditionalFormatting>
  <conditionalFormatting sqref="E121">
    <cfRule type="cellIs" dxfId="115" priority="116" operator="equal">
      <formula>0</formula>
    </cfRule>
  </conditionalFormatting>
  <conditionalFormatting sqref="E121">
    <cfRule type="cellIs" dxfId="114" priority="115" operator="notEqual">
      <formula>0</formula>
    </cfRule>
  </conditionalFormatting>
  <conditionalFormatting sqref="E122">
    <cfRule type="cellIs" dxfId="113" priority="114" operator="equal">
      <formula>0</formula>
    </cfRule>
  </conditionalFormatting>
  <conditionalFormatting sqref="E122">
    <cfRule type="cellIs" dxfId="112" priority="113" operator="notEqual">
      <formula>0</formula>
    </cfRule>
  </conditionalFormatting>
  <conditionalFormatting sqref="F121">
    <cfRule type="cellIs" dxfId="111" priority="112" operator="equal">
      <formula>0</formula>
    </cfRule>
  </conditionalFormatting>
  <conditionalFormatting sqref="F121">
    <cfRule type="cellIs" dxfId="110" priority="111" operator="notEqual">
      <formula>0</formula>
    </cfRule>
  </conditionalFormatting>
  <conditionalFormatting sqref="F122">
    <cfRule type="cellIs" dxfId="109" priority="110" operator="equal">
      <formula>0</formula>
    </cfRule>
  </conditionalFormatting>
  <conditionalFormatting sqref="F122">
    <cfRule type="cellIs" dxfId="108" priority="109" operator="notEqual">
      <formula>0</formula>
    </cfRule>
  </conditionalFormatting>
  <conditionalFormatting sqref="D127">
    <cfRule type="cellIs" dxfId="95" priority="96" operator="equal">
      <formula>0</formula>
    </cfRule>
  </conditionalFormatting>
  <conditionalFormatting sqref="D127">
    <cfRule type="cellIs" dxfId="94" priority="95" operator="notEqual">
      <formula>0</formula>
    </cfRule>
  </conditionalFormatting>
  <conditionalFormatting sqref="D128">
    <cfRule type="cellIs" dxfId="93" priority="94" operator="equal">
      <formula>0</formula>
    </cfRule>
  </conditionalFormatting>
  <conditionalFormatting sqref="D128">
    <cfRule type="cellIs" dxfId="92" priority="93" operator="notEqual">
      <formula>0</formula>
    </cfRule>
  </conditionalFormatting>
  <conditionalFormatting sqref="E127">
    <cfRule type="cellIs" dxfId="91" priority="92" operator="equal">
      <formula>0</formula>
    </cfRule>
  </conditionalFormatting>
  <conditionalFormatting sqref="E127">
    <cfRule type="cellIs" dxfId="90" priority="91" operator="notEqual">
      <formula>0</formula>
    </cfRule>
  </conditionalFormatting>
  <conditionalFormatting sqref="E128">
    <cfRule type="cellIs" dxfId="89" priority="90" operator="equal">
      <formula>0</formula>
    </cfRule>
  </conditionalFormatting>
  <conditionalFormatting sqref="E128">
    <cfRule type="cellIs" dxfId="88" priority="89" operator="notEqual">
      <formula>0</formula>
    </cfRule>
  </conditionalFormatting>
  <conditionalFormatting sqref="F127">
    <cfRule type="cellIs" dxfId="87" priority="88" operator="equal">
      <formula>0</formula>
    </cfRule>
  </conditionalFormatting>
  <conditionalFormatting sqref="F127">
    <cfRule type="cellIs" dxfId="86" priority="87" operator="notEqual">
      <formula>0</formula>
    </cfRule>
  </conditionalFormatting>
  <conditionalFormatting sqref="F128">
    <cfRule type="cellIs" dxfId="85" priority="86" operator="equal">
      <formula>0</formula>
    </cfRule>
  </conditionalFormatting>
  <conditionalFormatting sqref="F128">
    <cfRule type="cellIs" dxfId="84" priority="85" operator="notEqual">
      <formula>0</formula>
    </cfRule>
  </conditionalFormatting>
  <conditionalFormatting sqref="D25:D26">
    <cfRule type="cellIs" dxfId="83" priority="84" operator="equal">
      <formula>0</formula>
    </cfRule>
  </conditionalFormatting>
  <conditionalFormatting sqref="E25">
    <cfRule type="cellIs" dxfId="82" priority="83" operator="equal">
      <formula>0</formula>
    </cfRule>
  </conditionalFormatting>
  <conditionalFormatting sqref="F25">
    <cfRule type="cellIs" dxfId="81" priority="82" operator="equal">
      <formula>0</formula>
    </cfRule>
  </conditionalFormatting>
  <conditionalFormatting sqref="D29:D30">
    <cfRule type="cellIs" dxfId="80" priority="81" operator="equal">
      <formula>0</formula>
    </cfRule>
  </conditionalFormatting>
  <conditionalFormatting sqref="E29">
    <cfRule type="cellIs" dxfId="79" priority="80" operator="equal">
      <formula>0</formula>
    </cfRule>
  </conditionalFormatting>
  <conditionalFormatting sqref="F29">
    <cfRule type="cellIs" dxfId="78" priority="79" operator="equal">
      <formula>0</formula>
    </cfRule>
  </conditionalFormatting>
  <conditionalFormatting sqref="D41:D42">
    <cfRule type="cellIs" dxfId="77" priority="78" operator="equal">
      <formula>0</formula>
    </cfRule>
  </conditionalFormatting>
  <conditionalFormatting sqref="E41">
    <cfRule type="cellIs" dxfId="76" priority="77" operator="equal">
      <formula>0</formula>
    </cfRule>
  </conditionalFormatting>
  <conditionalFormatting sqref="F41">
    <cfRule type="cellIs" dxfId="75" priority="76" operator="equal">
      <formula>0</formula>
    </cfRule>
  </conditionalFormatting>
  <conditionalFormatting sqref="D45">
    <cfRule type="cellIs" dxfId="74" priority="75" operator="equal">
      <formula>0</formula>
    </cfRule>
  </conditionalFormatting>
  <conditionalFormatting sqref="E45">
    <cfRule type="cellIs" dxfId="73" priority="74" operator="equal">
      <formula>0</formula>
    </cfRule>
  </conditionalFormatting>
  <conditionalFormatting sqref="F45">
    <cfRule type="cellIs" dxfId="72" priority="73" operator="equal">
      <formula>0</formula>
    </cfRule>
  </conditionalFormatting>
  <conditionalFormatting sqref="D49">
    <cfRule type="cellIs" dxfId="71" priority="72" operator="equal">
      <formula>0</formula>
    </cfRule>
  </conditionalFormatting>
  <conditionalFormatting sqref="E49">
    <cfRule type="cellIs" dxfId="70" priority="71" operator="equal">
      <formula>0</formula>
    </cfRule>
  </conditionalFormatting>
  <conditionalFormatting sqref="F49">
    <cfRule type="cellIs" dxfId="69" priority="70" operator="equal">
      <formula>0</formula>
    </cfRule>
  </conditionalFormatting>
  <conditionalFormatting sqref="D57:D58">
    <cfRule type="cellIs" dxfId="68" priority="69" operator="equal">
      <formula>0</formula>
    </cfRule>
  </conditionalFormatting>
  <conditionalFormatting sqref="D67:D68">
    <cfRule type="cellIs" dxfId="65" priority="66" operator="equal">
      <formula>0</formula>
    </cfRule>
  </conditionalFormatting>
  <conditionalFormatting sqref="D87:D88">
    <cfRule type="cellIs" dxfId="62" priority="63" operator="equal">
      <formula>0</formula>
    </cfRule>
  </conditionalFormatting>
  <conditionalFormatting sqref="E87:E88">
    <cfRule type="cellIs" dxfId="61" priority="62" operator="equal">
      <formula>0</formula>
    </cfRule>
  </conditionalFormatting>
  <conditionalFormatting sqref="F87:F88">
    <cfRule type="cellIs" dxfId="60" priority="61" operator="equal">
      <formula>0</formula>
    </cfRule>
  </conditionalFormatting>
  <conditionalFormatting sqref="D93:D94">
    <cfRule type="cellIs" dxfId="59" priority="60" operator="equal">
      <formula>0</formula>
    </cfRule>
  </conditionalFormatting>
  <conditionalFormatting sqref="D103:D104">
    <cfRule type="cellIs" dxfId="56" priority="57" operator="equal">
      <formula>0</formula>
    </cfRule>
  </conditionalFormatting>
  <conditionalFormatting sqref="D107:D108">
    <cfRule type="cellIs" dxfId="53" priority="54" operator="equal">
      <formula>0</formula>
    </cfRule>
  </conditionalFormatting>
  <conditionalFormatting sqref="C24">
    <cfRule type="cellIs" dxfId="50" priority="51" operator="equal">
      <formula>0</formula>
    </cfRule>
  </conditionalFormatting>
  <conditionalFormatting sqref="D23">
    <cfRule type="cellIs" dxfId="49" priority="50" operator="equal">
      <formula>0</formula>
    </cfRule>
  </conditionalFormatting>
  <conditionalFormatting sqref="D24">
    <cfRule type="cellIs" dxfId="48" priority="49" operator="equal">
      <formula>0</formula>
    </cfRule>
  </conditionalFormatting>
  <conditionalFormatting sqref="E20">
    <cfRule type="cellIs" dxfId="43" priority="44" operator="equal">
      <formula>0</formula>
    </cfRule>
  </conditionalFormatting>
  <conditionalFormatting sqref="F20">
    <cfRule type="cellIs" dxfId="42" priority="43" operator="equal">
      <formula>0</formula>
    </cfRule>
  </conditionalFormatting>
  <conditionalFormatting sqref="E23">
    <cfRule type="cellIs" dxfId="41" priority="42" operator="equal">
      <formula>0</formula>
    </cfRule>
  </conditionalFormatting>
  <conditionalFormatting sqref="E24">
    <cfRule type="cellIs" dxfId="40" priority="41" operator="equal">
      <formula>0</formula>
    </cfRule>
  </conditionalFormatting>
  <conditionalFormatting sqref="F23">
    <cfRule type="cellIs" dxfId="39" priority="40" operator="equal">
      <formula>0</formula>
    </cfRule>
  </conditionalFormatting>
  <conditionalFormatting sqref="F24">
    <cfRule type="cellIs" dxfId="38" priority="39" operator="equal">
      <formula>0</formula>
    </cfRule>
  </conditionalFormatting>
  <conditionalFormatting sqref="E26">
    <cfRule type="cellIs" dxfId="37" priority="38" operator="equal">
      <formula>0</formula>
    </cfRule>
  </conditionalFormatting>
  <conditionalFormatting sqref="F26">
    <cfRule type="cellIs" dxfId="36" priority="37" operator="equal">
      <formula>0</formula>
    </cfRule>
  </conditionalFormatting>
  <conditionalFormatting sqref="E30">
    <cfRule type="cellIs" dxfId="35" priority="36" operator="equal">
      <formula>0</formula>
    </cfRule>
  </conditionalFormatting>
  <conditionalFormatting sqref="F30">
    <cfRule type="cellIs" dxfId="34" priority="35" operator="equal">
      <formula>0</formula>
    </cfRule>
  </conditionalFormatting>
  <conditionalFormatting sqref="E15:E16">
    <cfRule type="cellIs" dxfId="33" priority="34" operator="equal">
      <formula>0</formula>
    </cfRule>
  </conditionalFormatting>
  <conditionalFormatting sqref="F15:F16">
    <cfRule type="cellIs" dxfId="32" priority="33" operator="equal">
      <formula>0</formula>
    </cfRule>
  </conditionalFormatting>
  <conditionalFormatting sqref="E39">
    <cfRule type="cellIs" dxfId="31" priority="32" operator="equal">
      <formula>0</formula>
    </cfRule>
  </conditionalFormatting>
  <conditionalFormatting sqref="E40">
    <cfRule type="cellIs" dxfId="30" priority="31" operator="equal">
      <formula>0</formula>
    </cfRule>
  </conditionalFormatting>
  <conditionalFormatting sqref="F39">
    <cfRule type="cellIs" dxfId="29" priority="30" operator="equal">
      <formula>0</formula>
    </cfRule>
  </conditionalFormatting>
  <conditionalFormatting sqref="F40">
    <cfRule type="cellIs" dxfId="28" priority="29" operator="equal">
      <formula>0</formula>
    </cfRule>
  </conditionalFormatting>
  <conditionalFormatting sqref="E42">
    <cfRule type="cellIs" dxfId="27" priority="28" operator="equal">
      <formula>0</formula>
    </cfRule>
  </conditionalFormatting>
  <conditionalFormatting sqref="F42">
    <cfRule type="cellIs" dxfId="26" priority="27" operator="equal">
      <formula>0</formula>
    </cfRule>
  </conditionalFormatting>
  <conditionalFormatting sqref="D46">
    <cfRule type="cellIs" dxfId="25" priority="26" operator="equal">
      <formula>0</formula>
    </cfRule>
  </conditionalFormatting>
  <conditionalFormatting sqref="E46">
    <cfRule type="cellIs" dxfId="24" priority="25" operator="equal">
      <formula>0</formula>
    </cfRule>
  </conditionalFormatting>
  <conditionalFormatting sqref="F46">
    <cfRule type="cellIs" dxfId="23" priority="24" operator="equal">
      <formula>0</formula>
    </cfRule>
  </conditionalFormatting>
  <conditionalFormatting sqref="D50">
    <cfRule type="cellIs" dxfId="22" priority="23" operator="equal">
      <formula>0</formula>
    </cfRule>
  </conditionalFormatting>
  <conditionalFormatting sqref="E50">
    <cfRule type="cellIs" dxfId="21" priority="22" operator="equal">
      <formula>0</formula>
    </cfRule>
  </conditionalFormatting>
  <conditionalFormatting sqref="F50">
    <cfRule type="cellIs" dxfId="20" priority="21" operator="equal">
      <formula>0</formula>
    </cfRule>
  </conditionalFormatting>
  <conditionalFormatting sqref="E55">
    <cfRule type="cellIs" dxfId="19" priority="20" operator="equal">
      <formula>0</formula>
    </cfRule>
  </conditionalFormatting>
  <conditionalFormatting sqref="E56">
    <cfRule type="cellIs" dxfId="18" priority="19" operator="equal">
      <formula>0</formula>
    </cfRule>
  </conditionalFormatting>
  <conditionalFormatting sqref="F55">
    <cfRule type="cellIs" dxfId="17" priority="18" operator="equal">
      <formula>0</formula>
    </cfRule>
  </conditionalFormatting>
  <conditionalFormatting sqref="F56">
    <cfRule type="cellIs" dxfId="16" priority="17" operator="equal">
      <formula>0</formula>
    </cfRule>
  </conditionalFormatting>
  <conditionalFormatting sqref="E57:E58">
    <cfRule type="cellIs" dxfId="15" priority="16" operator="equal">
      <formula>0</formula>
    </cfRule>
  </conditionalFormatting>
  <conditionalFormatting sqref="F57:F58">
    <cfRule type="cellIs" dxfId="14" priority="15" operator="equal">
      <formula>0</formula>
    </cfRule>
  </conditionalFormatting>
  <conditionalFormatting sqref="E67:E68">
    <cfRule type="cellIs" dxfId="13" priority="14" operator="equal">
      <formula>0</formula>
    </cfRule>
  </conditionalFormatting>
  <conditionalFormatting sqref="F67:F68">
    <cfRule type="cellIs" dxfId="12" priority="13" operator="equal">
      <formula>0</formula>
    </cfRule>
  </conditionalFormatting>
  <conditionalFormatting sqref="E93:E94">
    <cfRule type="cellIs" dxfId="11" priority="12" operator="equal">
      <formula>0</formula>
    </cfRule>
  </conditionalFormatting>
  <conditionalFormatting sqref="F93:F94">
    <cfRule type="cellIs" dxfId="10" priority="11" operator="equal">
      <formula>0</formula>
    </cfRule>
  </conditionalFormatting>
  <conditionalFormatting sqref="E103:E104">
    <cfRule type="cellIs" dxfId="9" priority="10" operator="equal">
      <formula>0</formula>
    </cfRule>
  </conditionalFormatting>
  <conditionalFormatting sqref="F103:F104">
    <cfRule type="cellIs" dxfId="8" priority="9" operator="equal">
      <formula>0</formula>
    </cfRule>
  </conditionalFormatting>
  <conditionalFormatting sqref="E107:E108">
    <cfRule type="cellIs" dxfId="7" priority="8" operator="equal">
      <formula>0</formula>
    </cfRule>
  </conditionalFormatting>
  <conditionalFormatting sqref="F107:F108">
    <cfRule type="cellIs" dxfId="6" priority="7" operator="equal">
      <formula>0</formula>
    </cfRule>
  </conditionalFormatting>
  <conditionalFormatting sqref="E117">
    <cfRule type="cellIs" dxfId="5" priority="6" operator="equal">
      <formula>0</formula>
    </cfRule>
  </conditionalFormatting>
  <conditionalFormatting sqref="E118">
    <cfRule type="cellIs" dxfId="4" priority="5" operator="equal">
      <formula>0</formula>
    </cfRule>
  </conditionalFormatting>
  <conditionalFormatting sqref="F117">
    <cfRule type="cellIs" dxfId="3" priority="4" operator="equal">
      <formula>0</formula>
    </cfRule>
  </conditionalFormatting>
  <conditionalFormatting sqref="F118">
    <cfRule type="cellIs" dxfId="2" priority="3" operator="equal">
      <formula>0</formula>
    </cfRule>
  </conditionalFormatting>
  <conditionalFormatting sqref="E86">
    <cfRule type="cellIs" dxfId="1" priority="2" operator="equal">
      <formula>0</formula>
    </cfRule>
  </conditionalFormatting>
  <conditionalFormatting sqref="F86">
    <cfRule type="cellIs" dxfId="0" priority="1" operator="equal">
      <formula>0</formula>
    </cfRule>
  </conditionalFormatting>
  <printOptions horizontalCentered="1"/>
  <pageMargins left="0.59055118110236227" right="0.59055118110236227" top="0.59055118110236227" bottom="0.59055118110236227" header="0.19685039370078741" footer="0.19685039370078741"/>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8</vt:i4>
      </vt:variant>
    </vt:vector>
  </HeadingPairs>
  <TitlesOfParts>
    <vt:vector size="16" baseType="lpstr">
      <vt:lpstr>Instruções de Preenchimento</vt:lpstr>
      <vt:lpstr>Resumo do Orçamento</vt:lpstr>
      <vt:lpstr>Orçamento Sintético</vt:lpstr>
      <vt:lpstr>Orçamento Analítico</vt:lpstr>
      <vt:lpstr>Insumos e Serviços</vt:lpstr>
      <vt:lpstr>Composição de BDI</vt:lpstr>
      <vt:lpstr>Composição de Encargos Sociais</vt:lpstr>
      <vt:lpstr>Cronograma</vt:lpstr>
      <vt:lpstr>'Composição de BDI'!Area_de_impressao</vt:lpstr>
      <vt:lpstr>Cronograma!Area_de_impressao</vt:lpstr>
      <vt:lpstr>'Insumos e Serviços'!Area_de_impressao</vt:lpstr>
      <vt:lpstr>'Orçamento Analítico'!Area_de_impressao</vt:lpstr>
      <vt:lpstr>'Orçamento Sintético'!Area_de_impressao</vt:lpstr>
      <vt:lpstr>Cronograma!Titulos_de_impressao</vt:lpstr>
      <vt:lpstr>'Orçamento Analítico'!Titulos_de_impressao</vt:lpstr>
      <vt:lpstr>'Orçamento Sintético'!Titulos_de_impressao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User</cp:lastModifiedBy>
  <cp:revision>0</cp:revision>
  <cp:lastPrinted>2021-07-04T16:28:42Z</cp:lastPrinted>
  <dcterms:created xsi:type="dcterms:W3CDTF">2021-06-07T21:34:17Z</dcterms:created>
  <dcterms:modified xsi:type="dcterms:W3CDTF">2021-07-04T16:29:11Z</dcterms:modified>
</cp:coreProperties>
</file>