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 activeTab="1"/>
  </bookViews>
  <sheets>
    <sheet name="Instruções de Preenchimento" sheetId="9" r:id="rId1"/>
    <sheet name="Resumo do Orçamento" sheetId="3" r:id="rId2"/>
    <sheet name="Orçamento Sintético" sheetId="1" r:id="rId3"/>
    <sheet name="Orçamento Analítico" sheetId="2" r:id="rId4"/>
    <sheet name="Insumos e Serviços" sheetId="11" r:id="rId5"/>
    <sheet name="Composição de BDI" sheetId="4" r:id="rId6"/>
    <sheet name="Composição de Encargos Sociais" sheetId="5" r:id="rId7"/>
    <sheet name="Cronograma" sheetId="8" r:id="rId8"/>
  </sheets>
  <externalReferences>
    <externalReference r:id="rId9"/>
  </externalReferences>
  <definedNames>
    <definedName name="_10Excel_BuiltIn_Print_Area_3_1_1_3_1">"#ref!"</definedName>
    <definedName name="_11Excel_BuiltIn_Print_Area_3_1_3_1">"#ref!"</definedName>
    <definedName name="_12Excel_BuiltIn_Print_Area_5_1_1">"#ref!"</definedName>
    <definedName name="_13Excel_BuiltIn_Print_Area_5_1_1_1">"#ref!"</definedName>
    <definedName name="_14Excel_BuiltIn_Print_Titles_2_1_1">"#ref!"</definedName>
    <definedName name="_15Excel_BuiltIn_Print_Titles_2_1_1_1">"#ref!"</definedName>
    <definedName name="_16Excel_BuiltIn_Print_Titles_3_1_3_1">"#ref!"</definedName>
    <definedName name="_1Excel_BuiltIn_Print_Area_1_1">"#ref!"</definedName>
    <definedName name="_2Excel_BuiltIn_Print_Area_2_1">"#ref!"</definedName>
    <definedName name="_3Excel_BuiltIn_Print_Area_2_1_1">"#ref!"</definedName>
    <definedName name="_4Excel_BuiltIn_Print_Area_2_1_1_1">"#ref!"</definedName>
    <definedName name="_5Excel_BuiltIn_Print_Area_3_1_1_1">"#ref!"</definedName>
    <definedName name="_6Excel_BuiltIn_Print_Area_3_1_1_1_1">"#ref!"</definedName>
    <definedName name="_7Excel_BuiltIn_Print_Area_3_1_1_1_1_1">"#ref!"</definedName>
    <definedName name="_8Excel_BuiltIn_Print_Area_3_1_1_1_1_3_1">"#ref!"</definedName>
    <definedName name="_9Excel_BuiltIn_Print_Area_3_1_1_1_3_1">"#ref!"</definedName>
    <definedName name="_Toc162077558_1" localSheetId="6">#REF!</definedName>
    <definedName name="_Toc162077558_1" localSheetId="0">#REF!</definedName>
    <definedName name="_Toc162077558_1">#REF!</definedName>
    <definedName name="_xlnm.Print_Area" localSheetId="5">'Composição de BDI'!$A$1:$D$23</definedName>
    <definedName name="_xlnm.Print_Area" localSheetId="6">'Composição de Encargos Sociais'!$A$1:$D$44</definedName>
    <definedName name="_xlnm.Print_Area" localSheetId="7">Cronograma!$A$1:$E$229</definedName>
    <definedName name="_xlnm.Print_Area" localSheetId="4">'Insumos e Serviços'!$A$1:$F$81</definedName>
    <definedName name="_xlnm.Print_Area" localSheetId="3">'Orçamento Analítico'!$A$1:$H$288</definedName>
    <definedName name="_xlnm.Print_Area" localSheetId="2">'Orçamento Sintético'!$A$1:$H$119</definedName>
    <definedName name="_xlnm.Print_Area" localSheetId="1">'Resumo do Orçamento'!$A$1:$D$19</definedName>
    <definedName name="Excel_BuiltIn_Print_Area_1" localSheetId="6">#REF!</definedName>
    <definedName name="Excel_BuiltIn_Print_Area_1" localSheetId="0">#REF!</definedName>
    <definedName name="Excel_BuiltIn_Print_Area_1">#REF!</definedName>
    <definedName name="Excel_BuiltIn_Print_Area_1_1" localSheetId="6">#REF!</definedName>
    <definedName name="Excel_BuiltIn_Print_Area_1_1" localSheetId="0">#REF!</definedName>
    <definedName name="Excel_BuiltIn_Print_Area_1_1">#REF!</definedName>
    <definedName name="Excel_BuiltIn_Print_Area_1_1_1" localSheetId="6">#REF!</definedName>
    <definedName name="Excel_BuiltIn_Print_Area_1_1_1" localSheetId="0">#REF!</definedName>
    <definedName name="Excel_BuiltIn_Print_Area_1_1_1">#REF!</definedName>
    <definedName name="Excel_BuiltIn_Print_Area_1_1_1_1" localSheetId="6">#REF!</definedName>
    <definedName name="Excel_BuiltIn_Print_Area_1_1_1_1" localSheetId="0">#REF!</definedName>
    <definedName name="Excel_BuiltIn_Print_Area_1_1_1_1">#REF!</definedName>
    <definedName name="Excel_BuiltIn_Print_Area_1_1_1_1_1" localSheetId="6">#REF!</definedName>
    <definedName name="Excel_BuiltIn_Print_Area_1_1_1_1_1" localSheetId="0">#REF!</definedName>
    <definedName name="Excel_BuiltIn_Print_Area_1_1_1_1_1">#REF!</definedName>
    <definedName name="Excel_BuiltIn_Print_Area_1_1_1_1_1_1" localSheetId="6">#REF!</definedName>
    <definedName name="Excel_BuiltIn_Print_Area_1_1_1_1_1_1" localSheetId="0">#REF!</definedName>
    <definedName name="Excel_BuiltIn_Print_Area_1_1_1_1_1_1">#REF!</definedName>
    <definedName name="Excel_BuiltIn_Print_Area_1_1_1_1_1_1_1_1" localSheetId="6">#REF!</definedName>
    <definedName name="Excel_BuiltIn_Print_Area_1_1_1_1_1_1_1_1" localSheetId="0">#REF!</definedName>
    <definedName name="Excel_BuiltIn_Print_Area_1_1_1_1_1_1_1_1">#REF!</definedName>
    <definedName name="Excel_BuiltIn_Print_Area_1_1_1_1_5" localSheetId="6">#REF!</definedName>
    <definedName name="Excel_BuiltIn_Print_Area_1_1_1_1_5" localSheetId="0">#REF!</definedName>
    <definedName name="Excel_BuiltIn_Print_Area_1_1_1_1_5">#REF!</definedName>
    <definedName name="Excel_BuiltIn_Print_Area_1_1_1_5" localSheetId="6">#REF!</definedName>
    <definedName name="Excel_BuiltIn_Print_Area_1_1_1_5" localSheetId="0">#REF!</definedName>
    <definedName name="Excel_BuiltIn_Print_Area_1_1_1_5">#REF!</definedName>
    <definedName name="Excel_BuiltIn_Print_Area_1_1_5" localSheetId="6">#REF!</definedName>
    <definedName name="Excel_BuiltIn_Print_Area_1_1_5" localSheetId="0">#REF!</definedName>
    <definedName name="Excel_BuiltIn_Print_Area_1_1_5">#REF!</definedName>
    <definedName name="Excel_BuiltIn_Print_Area_2" localSheetId="6">#REF!</definedName>
    <definedName name="Excel_BuiltIn_Print_Area_2" localSheetId="0">#REF!</definedName>
    <definedName name="Excel_BuiltIn_Print_Area_2">#REF!</definedName>
    <definedName name="Excel_BuiltIn_Print_Area_2_1" localSheetId="6">#REF!</definedName>
    <definedName name="Excel_BuiltIn_Print_Area_2_1" localSheetId="0">#REF!</definedName>
    <definedName name="Excel_BuiltIn_Print_Area_2_1">#REF!</definedName>
    <definedName name="Excel_BuiltIn_Print_Area_2_1_1" localSheetId="6">#REF!</definedName>
    <definedName name="Excel_BuiltIn_Print_Area_2_1_1" localSheetId="0">#REF!</definedName>
    <definedName name="Excel_BuiltIn_Print_Area_2_1_1">#REF!</definedName>
    <definedName name="Excel_BuiltIn_Print_Area_2_1_1_1" localSheetId="6">#REF!</definedName>
    <definedName name="Excel_BuiltIn_Print_Area_2_1_1_1" localSheetId="0">#REF!</definedName>
    <definedName name="Excel_BuiltIn_Print_Area_2_1_1_1">#REF!</definedName>
    <definedName name="Excel_BuiltIn_Print_Area_2_1_1_1_1" localSheetId="6">#REF!</definedName>
    <definedName name="Excel_BuiltIn_Print_Area_2_1_1_1_1" localSheetId="0">#REF!</definedName>
    <definedName name="Excel_BuiltIn_Print_Area_2_1_1_1_1">#REF!</definedName>
    <definedName name="Excel_BuiltIn_Print_Area_2_1_1_1_3">"#ref!"</definedName>
    <definedName name="Excel_BuiltIn_Print_Area_2_1_1_1_4">"#ref!"</definedName>
    <definedName name="Excel_BuiltIn_Print_Area_2_1_1_3">"#ref!"</definedName>
    <definedName name="Excel_BuiltIn_Print_Area_2_1_1_4">"#ref!"</definedName>
    <definedName name="Excel_BuiltIn_Print_Area_2_1_5" localSheetId="6">#REF!</definedName>
    <definedName name="Excel_BuiltIn_Print_Area_2_1_5" localSheetId="0">#REF!</definedName>
    <definedName name="Excel_BuiltIn_Print_Area_2_1_5">#REF!</definedName>
    <definedName name="Excel_BuiltIn_Print_Area_2_5" localSheetId="6">#REF!</definedName>
    <definedName name="Excel_BuiltIn_Print_Area_2_5" localSheetId="0">#REF!</definedName>
    <definedName name="Excel_BuiltIn_Print_Area_2_5">#REF!</definedName>
    <definedName name="Excel_BuiltIn_Print_Area_3_1" localSheetId="6">#REF!</definedName>
    <definedName name="Excel_BuiltIn_Print_Area_3_1" localSheetId="0">#REF!</definedName>
    <definedName name="Excel_BuiltIn_Print_Area_3_1">"#ref!"</definedName>
    <definedName name="Excel_BuiltIn_Print_Area_3_1_1" localSheetId="6">#REF!</definedName>
    <definedName name="Excel_BuiltIn_Print_Area_3_1_1" localSheetId="0">#REF!</definedName>
    <definedName name="Excel_BuiltIn_Print_Area_3_1_1">#REF!</definedName>
    <definedName name="Excel_BuiltIn_Print_Area_3_1_1_1" localSheetId="6">#REF!</definedName>
    <definedName name="Excel_BuiltIn_Print_Area_3_1_1_1" localSheetId="0">#REF!</definedName>
    <definedName name="Excel_BuiltIn_Print_Area_3_1_1_1_1" localSheetId="6">#REF!</definedName>
    <definedName name="Excel_BuiltIn_Print_Area_3_1_1_1_1" localSheetId="0">#REF!</definedName>
    <definedName name="Excel_BuiltIn_Print_Area_3_1_1_1_1_3" localSheetId="6">#REF!</definedName>
    <definedName name="Excel_BuiltIn_Print_Area_3_1_1_1_1_3" localSheetId="0">#REF!</definedName>
    <definedName name="Excel_BuiltIn_Print_Area_3_1_1_1_1_3">#REF!</definedName>
    <definedName name="Excel_BuiltIn_Print_Area_3_1_1_1_1_4" localSheetId="0">#REF!</definedName>
    <definedName name="Excel_BuiltIn_Print_Area_3_1_1_1_1_4">#REF!</definedName>
    <definedName name="Excel_BuiltIn_Print_Area_3_1_1_1_3" localSheetId="6">#REF!</definedName>
    <definedName name="Excel_BuiltIn_Print_Area_3_1_1_1_3" localSheetId="0">#REF!</definedName>
    <definedName name="Excel_BuiltIn_Print_Area_3_1_1_1_3">#REF!</definedName>
    <definedName name="Excel_BuiltIn_Print_Area_3_1_1_1_4" localSheetId="0">#REF!</definedName>
    <definedName name="Excel_BuiltIn_Print_Area_3_1_1_1_4">#REF!</definedName>
    <definedName name="Excel_BuiltIn_Print_Area_3_1_1_3" localSheetId="6">#REF!</definedName>
    <definedName name="Excel_BuiltIn_Print_Area_3_1_1_3" localSheetId="0">#REF!</definedName>
    <definedName name="Excel_BuiltIn_Print_Area_3_1_1_3">#REF!</definedName>
    <definedName name="Excel_BuiltIn_Print_Area_3_1_1_4" localSheetId="0">#REF!</definedName>
    <definedName name="Excel_BuiltIn_Print_Area_3_1_1_4">#REF!</definedName>
    <definedName name="Excel_BuiltIn_Print_Area_3_1_3" localSheetId="6">#REF!</definedName>
    <definedName name="Excel_BuiltIn_Print_Area_3_1_3" localSheetId="0">#REF!</definedName>
    <definedName name="Excel_BuiltIn_Print_Area_3_1_3">#REF!</definedName>
    <definedName name="Excel_BuiltIn_Print_Area_3_1_4" localSheetId="0">#REF!</definedName>
    <definedName name="Excel_BuiltIn_Print_Area_3_1_4">#REF!</definedName>
    <definedName name="Excel_BuiltIn_Print_Area_4_1" localSheetId="6">#REF!</definedName>
    <definedName name="Excel_BuiltIn_Print_Area_4_1" localSheetId="0">#REF!</definedName>
    <definedName name="Excel_BuiltIn_Print_Area_4_1">#REF!</definedName>
    <definedName name="Excel_BuiltIn_Print_Area_4_1_1" localSheetId="6">#REF!</definedName>
    <definedName name="Excel_BuiltIn_Print_Area_4_1_1" localSheetId="0">#REF!</definedName>
    <definedName name="Excel_BuiltIn_Print_Area_4_1_1">#REF!</definedName>
    <definedName name="Excel_BuiltIn_Print_Area_4_1_1_1" localSheetId="6">#REF!</definedName>
    <definedName name="Excel_BuiltIn_Print_Area_4_1_1_1" localSheetId="0">#REF!</definedName>
    <definedName name="Excel_BuiltIn_Print_Area_4_1_1_1">#REF!</definedName>
    <definedName name="Excel_BuiltIn_Print_Area_4_1_1_1_5" localSheetId="6">#REF!</definedName>
    <definedName name="Excel_BuiltIn_Print_Area_4_1_1_1_5" localSheetId="0">#REF!</definedName>
    <definedName name="Excel_BuiltIn_Print_Area_4_1_1_1_5">#REF!</definedName>
    <definedName name="Excel_BuiltIn_Print_Area_4_1_1_5" localSheetId="6">#REF!</definedName>
    <definedName name="Excel_BuiltIn_Print_Area_4_1_1_5" localSheetId="0">#REF!</definedName>
    <definedName name="Excel_BuiltIn_Print_Area_4_1_1_5">#REF!</definedName>
    <definedName name="Excel_BuiltIn_Print_Area_4_1_5" localSheetId="6">#REF!</definedName>
    <definedName name="Excel_BuiltIn_Print_Area_4_1_5" localSheetId="0">#REF!</definedName>
    <definedName name="Excel_BuiltIn_Print_Area_4_1_5">#REF!</definedName>
    <definedName name="Excel_BuiltIn_Print_Area_5_1" localSheetId="6">#REF!</definedName>
    <definedName name="Excel_BuiltIn_Print_Area_5_1" localSheetId="0">#REF!</definedName>
    <definedName name="Excel_BuiltIn_Print_Area_5_1">#REF!</definedName>
    <definedName name="Excel_BuiltIn_Print_Area_5_1_1" localSheetId="6">#REF!</definedName>
    <definedName name="Excel_BuiltIn_Print_Area_5_1_1" localSheetId="0">#REF!</definedName>
    <definedName name="Excel_BuiltIn_Print_Area_5_1_1">#REF!</definedName>
    <definedName name="Excel_BuiltIn_Print_Area_5_1_1_1" localSheetId="6">#REF!</definedName>
    <definedName name="Excel_BuiltIn_Print_Area_5_1_1_1" localSheetId="0">#REF!</definedName>
    <definedName name="Excel_BuiltIn_Print_Area_5_1_1_1">#REF!</definedName>
    <definedName name="Excel_BuiltIn_Print_Area_5_1_1_5" localSheetId="6">#REF!</definedName>
    <definedName name="Excel_BuiltIn_Print_Area_5_1_1_5" localSheetId="0">#REF!</definedName>
    <definedName name="Excel_BuiltIn_Print_Area_5_1_1_5">#REF!</definedName>
    <definedName name="Excel_BuiltIn_Print_Area_5_1_5" localSheetId="6">#REF!</definedName>
    <definedName name="Excel_BuiltIn_Print_Area_5_1_5" localSheetId="0">#REF!</definedName>
    <definedName name="Excel_BuiltIn_Print_Area_5_1_5">#REF!</definedName>
    <definedName name="Excel_BuiltIn_Print_Area_6_1" localSheetId="6">#REF!</definedName>
    <definedName name="Excel_BuiltIn_Print_Area_6_1" localSheetId="0">#REF!</definedName>
    <definedName name="Excel_BuiltIn_Print_Area_6_1">#REF!</definedName>
    <definedName name="Excel_BuiltIn_Print_Titles_1" localSheetId="6">#REF!</definedName>
    <definedName name="Excel_BuiltIn_Print_Titles_1" localSheetId="0">#REF!</definedName>
    <definedName name="Excel_BuiltIn_Print_Titles_1">#REF!</definedName>
    <definedName name="Excel_BuiltIn_Print_Titles_1_1" localSheetId="6">#REF!</definedName>
    <definedName name="Excel_BuiltIn_Print_Titles_1_1" localSheetId="0">#REF!</definedName>
    <definedName name="Excel_BuiltIn_Print_Titles_1_1">#REF!</definedName>
    <definedName name="Excel_BuiltIn_Print_Titles_1_1_1" localSheetId="6">#REF!</definedName>
    <definedName name="Excel_BuiltIn_Print_Titles_1_1_1" localSheetId="0">#REF!</definedName>
    <definedName name="Excel_BuiltIn_Print_Titles_1_1_1">#REF!</definedName>
    <definedName name="Excel_BuiltIn_Print_Titles_1_1_5" localSheetId="6">#REF!</definedName>
    <definedName name="Excel_BuiltIn_Print_Titles_1_1_5" localSheetId="0">#REF!</definedName>
    <definedName name="Excel_BuiltIn_Print_Titles_1_1_5">#REF!</definedName>
    <definedName name="Excel_BuiltIn_Print_Titles_2" localSheetId="6">#REF!</definedName>
    <definedName name="Excel_BuiltIn_Print_Titles_2" localSheetId="0">#REF!</definedName>
    <definedName name="Excel_BuiltIn_Print_Titles_2">#REF!</definedName>
    <definedName name="Excel_BuiltIn_Print_Titles_2_1" localSheetId="6">#REF!</definedName>
    <definedName name="Excel_BuiltIn_Print_Titles_2_1" localSheetId="0">#REF!</definedName>
    <definedName name="Excel_BuiltIn_Print_Titles_2_1">#REF!</definedName>
    <definedName name="Excel_BuiltIn_Print_Titles_2_1_1" localSheetId="6">#REF!</definedName>
    <definedName name="Excel_BuiltIn_Print_Titles_2_1_1" localSheetId="0">#REF!</definedName>
    <definedName name="Excel_BuiltIn_Print_Titles_2_1_1">#REF!</definedName>
    <definedName name="Excel_BuiltIn_Print_Titles_2_1_1_1" localSheetId="6">#REF!</definedName>
    <definedName name="Excel_BuiltIn_Print_Titles_2_1_1_1" localSheetId="0">#REF!</definedName>
    <definedName name="Excel_BuiltIn_Print_Titles_2_1_1_1">#REF!</definedName>
    <definedName name="Excel_BuiltIn_Print_Titles_2_1_1_1_1" localSheetId="6">#REF!</definedName>
    <definedName name="Excel_BuiltIn_Print_Titles_2_1_1_1_1" localSheetId="0">#REF!</definedName>
    <definedName name="Excel_BuiltIn_Print_Titles_2_1_1_1_1">#REF!</definedName>
    <definedName name="Excel_BuiltIn_Print_Titles_2_1_1_1_1_1" localSheetId="6">#REF!</definedName>
    <definedName name="Excel_BuiltIn_Print_Titles_2_1_1_1_1_1" localSheetId="0">#REF!</definedName>
    <definedName name="Excel_BuiltIn_Print_Titles_2_1_1_1_1_1">#REF!</definedName>
    <definedName name="Excel_BuiltIn_Print_Titles_2_1_1_1_5" localSheetId="6">#REF!</definedName>
    <definedName name="Excel_BuiltIn_Print_Titles_2_1_1_1_5" localSheetId="0">#REF!</definedName>
    <definedName name="Excel_BuiltIn_Print_Titles_2_1_1_1_5">#REF!</definedName>
    <definedName name="Excel_BuiltIn_Print_Titles_2_1_1_5" localSheetId="6">#REF!</definedName>
    <definedName name="Excel_BuiltIn_Print_Titles_2_1_1_5" localSheetId="0">#REF!</definedName>
    <definedName name="Excel_BuiltIn_Print_Titles_2_1_1_5">#REF!</definedName>
    <definedName name="Excel_BuiltIn_Print_Titles_2_1_5" localSheetId="6">#REF!</definedName>
    <definedName name="Excel_BuiltIn_Print_Titles_2_1_5" localSheetId="0">#REF!</definedName>
    <definedName name="Excel_BuiltIn_Print_Titles_2_1_5">#REF!</definedName>
    <definedName name="Excel_BuiltIn_Print_Titles_2_5" localSheetId="6">#REF!</definedName>
    <definedName name="Excel_BuiltIn_Print_Titles_2_5" localSheetId="0">#REF!</definedName>
    <definedName name="Excel_BuiltIn_Print_Titles_2_5">#REF!</definedName>
    <definedName name="Excel_BuiltIn_Print_Titles_3_1" localSheetId="6">#REF!</definedName>
    <definedName name="Excel_BuiltIn_Print_Titles_3_1" localSheetId="0">#REF!</definedName>
    <definedName name="Excel_BuiltIn_Print_Titles_3_1">'[1]Planilha Sintética'!#REF!</definedName>
    <definedName name="Excel_BuiltIn_Print_Titles_3_1_3" localSheetId="6">#REF!</definedName>
    <definedName name="Excel_BuiltIn_Print_Titles_3_1_3" localSheetId="0">#REF!</definedName>
    <definedName name="Excel_BuiltIn_Print_Titles_3_1_3">#REF!</definedName>
    <definedName name="Excel_BuiltIn_Print_Titles_3_1_4">#N/A</definedName>
    <definedName name="Excel_BuiltIn_Print_Titles_4" localSheetId="6">#REF!</definedName>
    <definedName name="Excel_BuiltIn_Print_Titles_4" localSheetId="0">#REF!</definedName>
    <definedName name="Excel_BuiltIn_Print_Titles_4">#REF!</definedName>
    <definedName name="Excel_BuiltIn_Print_Titles_4_1" localSheetId="6">#REF!</definedName>
    <definedName name="Excel_BuiltIn_Print_Titles_4_1" localSheetId="0">#REF!</definedName>
    <definedName name="Excel_BuiltIn_Print_Titles_4_1">#REF!</definedName>
    <definedName name="Excel_BuiltIn_Print_Titles_4_1_5" localSheetId="6">#REF!</definedName>
    <definedName name="Excel_BuiltIn_Print_Titles_4_1_5" localSheetId="0">#REF!</definedName>
    <definedName name="Excel_BuiltIn_Print_Titles_4_1_5">#REF!</definedName>
    <definedName name="Excel_BuiltIn_Print_Titles_5" localSheetId="6">#REF!</definedName>
    <definedName name="Excel_BuiltIn_Print_Titles_5" localSheetId="0">#REF!</definedName>
    <definedName name="Excel_BuiltIn_Print_Titles_5">#REF!</definedName>
    <definedName name="Excel_BuiltIn_Print_Titles_5_1" localSheetId="6">#REF!</definedName>
    <definedName name="Excel_BuiltIn_Print_Titles_5_1" localSheetId="0">#REF!</definedName>
    <definedName name="Excel_BuiltIn_Print_Titles_5_1">#REF!</definedName>
    <definedName name="Excel_BuiltIn_Print_Titles_5_5" localSheetId="6">#REF!</definedName>
    <definedName name="Excel_BuiltIn_Print_Titles_5_5" localSheetId="0">#REF!</definedName>
    <definedName name="Excel_BuiltIn_Print_Titles_5_5">#REF!</definedName>
    <definedName name="_xlnm.Print_Titles" localSheetId="5">'Composição de BDI'!$1:$8</definedName>
    <definedName name="_xlnm.Print_Titles" localSheetId="7">Cronograma!$1:$8</definedName>
    <definedName name="_xlnm.Print_Titles" localSheetId="4">'Insumos e Serviços'!$1:$8</definedName>
    <definedName name="_xlnm.Print_Titles" localSheetId="3">'Orçamento Analítico'!$1:$7</definedName>
    <definedName name="_xlnm.Print_Titles" localSheetId="2">'Orçamento Sintético'!$1:$8</definedName>
    <definedName name="Z_71409849_3ED0_4F48_B303_9AEF25621248_.wvu.PrintArea" localSheetId="6" hidden="1">'Composição de Encargos Sociais'!$A$1:$D$44</definedName>
  </definedNames>
  <calcPr calcId="101716" fullCalcOnLoad="1"/>
</workbook>
</file>

<file path=xl/calcChain.xml><?xml version="1.0" encoding="utf-8"?>
<calcChain xmlns="http://schemas.openxmlformats.org/spreadsheetml/2006/main">
  <c r="A1" i="11"/>
  <c r="A2"/>
  <c r="A3"/>
  <c r="A4"/>
  <c r="A5"/>
  <c r="A6"/>
  <c r="G114" i="1"/>
  <c r="H114"/>
  <c r="G115"/>
  <c r="H115"/>
  <c r="H113"/>
  <c r="C218" i="8"/>
  <c r="B217"/>
  <c r="G109" i="1"/>
  <c r="H109"/>
  <c r="G110"/>
  <c r="H110"/>
  <c r="G111"/>
  <c r="H111"/>
  <c r="H108"/>
  <c r="C208" i="8"/>
  <c r="B207"/>
  <c r="G18" i="1"/>
  <c r="H18"/>
  <c r="G19"/>
  <c r="H19"/>
  <c r="H17"/>
  <c r="C26" i="8"/>
  <c r="B25"/>
  <c r="A1" i="2"/>
  <c r="A2"/>
  <c r="A3"/>
  <c r="A4"/>
  <c r="A5"/>
  <c r="A6"/>
  <c r="A12"/>
  <c r="A18"/>
  <c r="A21"/>
  <c r="A22"/>
  <c r="G27"/>
  <c r="H27"/>
  <c r="G28"/>
  <c r="H28"/>
  <c r="H26"/>
  <c r="G22" i="1"/>
  <c r="H22"/>
  <c r="A27" i="2"/>
  <c r="A28"/>
  <c r="G31"/>
  <c r="H31"/>
  <c r="H30"/>
  <c r="G23" i="1"/>
  <c r="H23"/>
  <c r="A31" i="2"/>
  <c r="G34"/>
  <c r="H34"/>
  <c r="G35"/>
  <c r="H35"/>
  <c r="G36"/>
  <c r="H36"/>
  <c r="H33"/>
  <c r="G24" i="1"/>
  <c r="H24"/>
  <c r="A34" i="2"/>
  <c r="A35"/>
  <c r="A36"/>
  <c r="G39"/>
  <c r="H39"/>
  <c r="G40"/>
  <c r="H40"/>
  <c r="H38"/>
  <c r="G25" i="1"/>
  <c r="H25"/>
  <c r="A39" i="2"/>
  <c r="A40"/>
  <c r="G43"/>
  <c r="H43"/>
  <c r="G44"/>
  <c r="H44"/>
  <c r="H42"/>
  <c r="G26" i="1"/>
  <c r="H26"/>
  <c r="A43" i="2"/>
  <c r="A44"/>
  <c r="G47"/>
  <c r="H47"/>
  <c r="G48"/>
  <c r="H48"/>
  <c r="G49"/>
  <c r="H49"/>
  <c r="G50"/>
  <c r="H50"/>
  <c r="G51"/>
  <c r="H51"/>
  <c r="G52"/>
  <c r="H52"/>
  <c r="H46"/>
  <c r="G27" i="1"/>
  <c r="H27"/>
  <c r="A47" i="2"/>
  <c r="A48"/>
  <c r="A49"/>
  <c r="A50"/>
  <c r="A51"/>
  <c r="A52"/>
  <c r="G55"/>
  <c r="H55"/>
  <c r="G56"/>
  <c r="H56"/>
  <c r="G57"/>
  <c r="H57"/>
  <c r="G58"/>
  <c r="H58"/>
  <c r="H54"/>
  <c r="G28" i="1"/>
  <c r="H28"/>
  <c r="H21"/>
  <c r="C34" i="8"/>
  <c r="B33"/>
  <c r="A55" i="2"/>
  <c r="A56"/>
  <c r="A57"/>
  <c r="A58"/>
  <c r="G62"/>
  <c r="H62"/>
  <c r="G63"/>
  <c r="H63"/>
  <c r="H61"/>
  <c r="G30" i="1"/>
  <c r="H30"/>
  <c r="A62" i="2"/>
  <c r="A63"/>
  <c r="G66"/>
  <c r="H66"/>
  <c r="H65"/>
  <c r="G31" i="1"/>
  <c r="H31"/>
  <c r="A66" i="2"/>
  <c r="G69"/>
  <c r="H69"/>
  <c r="G70"/>
  <c r="H70"/>
  <c r="G71"/>
  <c r="H71"/>
  <c r="H68"/>
  <c r="G32" i="1"/>
  <c r="H32"/>
  <c r="A69" i="2"/>
  <c r="A70"/>
  <c r="A71"/>
  <c r="G74"/>
  <c r="H74"/>
  <c r="H73"/>
  <c r="G33" i="1"/>
  <c r="H33"/>
  <c r="A74" i="2"/>
  <c r="G77"/>
  <c r="H77"/>
  <c r="G78"/>
  <c r="H78"/>
  <c r="H76"/>
  <c r="G34" i="1"/>
  <c r="H34"/>
  <c r="G35"/>
  <c r="H35"/>
  <c r="A77" i="2"/>
  <c r="A78"/>
  <c r="G81"/>
  <c r="H81"/>
  <c r="H80"/>
  <c r="G36" i="1"/>
  <c r="H36"/>
  <c r="G37"/>
  <c r="H37"/>
  <c r="A81" i="2"/>
  <c r="G84"/>
  <c r="H84"/>
  <c r="G85"/>
  <c r="H85"/>
  <c r="H83"/>
  <c r="G38" i="1"/>
  <c r="H38"/>
  <c r="A84" i="2"/>
  <c r="A85"/>
  <c r="G88"/>
  <c r="H88"/>
  <c r="G89"/>
  <c r="H89"/>
  <c r="H87"/>
  <c r="G39" i="1"/>
  <c r="H39"/>
  <c r="A88" i="2"/>
  <c r="A89"/>
  <c r="G92"/>
  <c r="H92"/>
  <c r="G93"/>
  <c r="H93"/>
  <c r="H91"/>
  <c r="G40" i="1"/>
  <c r="H40"/>
  <c r="A92" i="2"/>
  <c r="A93"/>
  <c r="G96"/>
  <c r="H96"/>
  <c r="G97"/>
  <c r="H97"/>
  <c r="G98"/>
  <c r="H98"/>
  <c r="H95"/>
  <c r="G41" i="1"/>
  <c r="H41"/>
  <c r="A96" i="2"/>
  <c r="A97"/>
  <c r="A98"/>
  <c r="G101"/>
  <c r="H101"/>
  <c r="G102"/>
  <c r="H102"/>
  <c r="H100"/>
  <c r="G42" i="1"/>
  <c r="H42"/>
  <c r="H29"/>
  <c r="C50" i="8"/>
  <c r="B49"/>
  <c r="A101" i="2"/>
  <c r="A102"/>
  <c r="A108"/>
  <c r="A109"/>
  <c r="A110"/>
  <c r="A113"/>
  <c r="A114"/>
  <c r="A115"/>
  <c r="G119"/>
  <c r="H119"/>
  <c r="G120"/>
  <c r="H120"/>
  <c r="G121"/>
  <c r="H121"/>
  <c r="H118"/>
  <c r="G49" i="1"/>
  <c r="H49"/>
  <c r="A119" i="2"/>
  <c r="A120"/>
  <c r="A121"/>
  <c r="G124"/>
  <c r="H124"/>
  <c r="G125"/>
  <c r="H125"/>
  <c r="H123"/>
  <c r="G50" i="1"/>
  <c r="H50"/>
  <c r="H48"/>
  <c r="C88" i="8"/>
  <c r="B87"/>
  <c r="G52" i="1"/>
  <c r="H52"/>
  <c r="A124" i="2"/>
  <c r="A125"/>
  <c r="G129"/>
  <c r="H129"/>
  <c r="G130"/>
  <c r="H130"/>
  <c r="G131"/>
  <c r="H131"/>
  <c r="G132"/>
  <c r="H132"/>
  <c r="G133"/>
  <c r="H133"/>
  <c r="G134"/>
  <c r="H134"/>
  <c r="G135"/>
  <c r="H135"/>
  <c r="H128"/>
  <c r="G53" i="1"/>
  <c r="H53"/>
  <c r="A129" i="2"/>
  <c r="A130"/>
  <c r="A131"/>
  <c r="A132"/>
  <c r="A133"/>
  <c r="A134"/>
  <c r="A135"/>
  <c r="G138"/>
  <c r="H138"/>
  <c r="G139"/>
  <c r="H139"/>
  <c r="G140"/>
  <c r="H140"/>
  <c r="G141"/>
  <c r="H141"/>
  <c r="H137"/>
  <c r="G54" i="1"/>
  <c r="H54"/>
  <c r="A138" i="2"/>
  <c r="A139"/>
  <c r="A140"/>
  <c r="A141"/>
  <c r="G144"/>
  <c r="H144"/>
  <c r="G145"/>
  <c r="H145"/>
  <c r="G146"/>
  <c r="H146"/>
  <c r="G147"/>
  <c r="H147"/>
  <c r="G148"/>
  <c r="H148"/>
  <c r="G149"/>
  <c r="H149"/>
  <c r="G150"/>
  <c r="H150"/>
  <c r="H143"/>
  <c r="G55" i="1"/>
  <c r="H55"/>
  <c r="G56"/>
  <c r="H56"/>
  <c r="H51"/>
  <c r="C94" i="8"/>
  <c r="B93"/>
  <c r="G58" i="1"/>
  <c r="H58"/>
  <c r="H57"/>
  <c r="C106" i="8"/>
  <c r="B105"/>
  <c r="G60" i="1"/>
  <c r="H60"/>
  <c r="A144" i="2"/>
  <c r="A145"/>
  <c r="A146"/>
  <c r="A147"/>
  <c r="A148"/>
  <c r="A149"/>
  <c r="A150"/>
  <c r="G154"/>
  <c r="H154"/>
  <c r="G155"/>
  <c r="H155"/>
  <c r="G156"/>
  <c r="H156"/>
  <c r="G157"/>
  <c r="H157"/>
  <c r="H153"/>
  <c r="G61" i="1"/>
  <c r="H61"/>
  <c r="A154" i="2"/>
  <c r="A155"/>
  <c r="A156"/>
  <c r="A157"/>
  <c r="G160"/>
  <c r="H160"/>
  <c r="G161"/>
  <c r="H161"/>
  <c r="G162"/>
  <c r="H162"/>
  <c r="G163"/>
  <c r="H163"/>
  <c r="G164"/>
  <c r="H164"/>
  <c r="G165"/>
  <c r="H165"/>
  <c r="H159"/>
  <c r="G62" i="1"/>
  <c r="H62"/>
  <c r="A160" i="2"/>
  <c r="A161"/>
  <c r="A162"/>
  <c r="A163"/>
  <c r="A164"/>
  <c r="A165"/>
  <c r="G168"/>
  <c r="H168"/>
  <c r="G169"/>
  <c r="H169"/>
  <c r="G170"/>
  <c r="H170"/>
  <c r="G171"/>
  <c r="H171"/>
  <c r="G172"/>
  <c r="H172"/>
  <c r="H167"/>
  <c r="G63" i="1"/>
  <c r="H63"/>
  <c r="A168" i="2"/>
  <c r="A169"/>
  <c r="A170"/>
  <c r="A171"/>
  <c r="A172"/>
  <c r="G175"/>
  <c r="H175"/>
  <c r="G176"/>
  <c r="H176"/>
  <c r="G177"/>
  <c r="H177"/>
  <c r="G178"/>
  <c r="H178"/>
  <c r="G179"/>
  <c r="H179"/>
  <c r="H174"/>
  <c r="G64" i="1"/>
  <c r="H64"/>
  <c r="A175" i="2"/>
  <c r="A176"/>
  <c r="A177"/>
  <c r="A178"/>
  <c r="A179"/>
  <c r="G182"/>
  <c r="H182"/>
  <c r="G183"/>
  <c r="H183"/>
  <c r="G184"/>
  <c r="H184"/>
  <c r="G185"/>
  <c r="H185"/>
  <c r="G186"/>
  <c r="H186"/>
  <c r="G187"/>
  <c r="H187"/>
  <c r="H181"/>
  <c r="G65" i="1"/>
  <c r="H65"/>
  <c r="A182" i="2"/>
  <c r="A183"/>
  <c r="A184"/>
  <c r="A185"/>
  <c r="A186"/>
  <c r="A187"/>
  <c r="G190"/>
  <c r="H190"/>
  <c r="G191"/>
  <c r="H191"/>
  <c r="G192"/>
  <c r="H192"/>
  <c r="G193"/>
  <c r="H193"/>
  <c r="H189"/>
  <c r="G66" i="1"/>
  <c r="H66"/>
  <c r="A190" i="2"/>
  <c r="A191"/>
  <c r="A192"/>
  <c r="A193"/>
  <c r="G196"/>
  <c r="H196"/>
  <c r="G197"/>
  <c r="H197"/>
  <c r="H195"/>
  <c r="G67" i="1"/>
  <c r="H67"/>
  <c r="H59"/>
  <c r="C110" i="8"/>
  <c r="B109"/>
  <c r="A196" i="2"/>
  <c r="A197"/>
  <c r="G201"/>
  <c r="H201"/>
  <c r="G202"/>
  <c r="H202"/>
  <c r="G203"/>
  <c r="H203"/>
  <c r="G204"/>
  <c r="H204"/>
  <c r="G205"/>
  <c r="H205"/>
  <c r="H200"/>
  <c r="G69" i="1"/>
  <c r="H69"/>
  <c r="A201" i="2"/>
  <c r="A202"/>
  <c r="A203"/>
  <c r="A204"/>
  <c r="A205"/>
  <c r="G208"/>
  <c r="H208"/>
  <c r="G209"/>
  <c r="H209"/>
  <c r="G210"/>
  <c r="H210"/>
  <c r="G211"/>
  <c r="H211"/>
  <c r="G212"/>
  <c r="H212"/>
  <c r="G213"/>
  <c r="H213"/>
  <c r="G214"/>
  <c r="H214"/>
  <c r="G215"/>
  <c r="H215"/>
  <c r="H207"/>
  <c r="G70" i="1"/>
  <c r="H70"/>
  <c r="H68"/>
  <c r="C128" i="8"/>
  <c r="B127"/>
  <c r="G76" i="1"/>
  <c r="H76"/>
  <c r="A208" i="2"/>
  <c r="A209"/>
  <c r="A210"/>
  <c r="A211"/>
  <c r="A212"/>
  <c r="A213"/>
  <c r="A214"/>
  <c r="A215"/>
  <c r="A220"/>
  <c r="A223"/>
  <c r="A224"/>
  <c r="A225"/>
  <c r="A226"/>
  <c r="G230"/>
  <c r="H230"/>
  <c r="G231"/>
  <c r="H231"/>
  <c r="H229"/>
  <c r="G77" i="1"/>
  <c r="H77"/>
  <c r="H75"/>
  <c r="C142" i="8"/>
  <c r="B141"/>
  <c r="A230" i="2"/>
  <c r="A231"/>
  <c r="A235"/>
  <c r="A236"/>
  <c r="A237"/>
  <c r="G241"/>
  <c r="H241"/>
  <c r="G242"/>
  <c r="H242"/>
  <c r="G243"/>
  <c r="H243"/>
  <c r="G244"/>
  <c r="H244"/>
  <c r="H240"/>
  <c r="G82" i="1"/>
  <c r="H82"/>
  <c r="H81"/>
  <c r="C154" i="8"/>
  <c r="B153"/>
  <c r="G79" i="1"/>
  <c r="H79"/>
  <c r="G235" i="2"/>
  <c r="H235"/>
  <c r="G236"/>
  <c r="H236"/>
  <c r="G237"/>
  <c r="H237"/>
  <c r="H234"/>
  <c r="G80" i="1"/>
  <c r="H80"/>
  <c r="H78"/>
  <c r="C148" i="8"/>
  <c r="B147"/>
  <c r="A241" i="2"/>
  <c r="A242"/>
  <c r="A243"/>
  <c r="A244"/>
  <c r="A250"/>
  <c r="A251"/>
  <c r="A252"/>
  <c r="A253"/>
  <c r="A254"/>
  <c r="A257"/>
  <c r="A258"/>
  <c r="A259"/>
  <c r="A260"/>
  <c r="A261"/>
  <c r="G265"/>
  <c r="H265"/>
  <c r="G266"/>
  <c r="H266"/>
  <c r="G267"/>
  <c r="H267"/>
  <c r="H264"/>
  <c r="G92" i="1"/>
  <c r="H92"/>
  <c r="G93"/>
  <c r="H93"/>
  <c r="H91"/>
  <c r="C174" i="8"/>
  <c r="B173"/>
  <c r="A265" i="2"/>
  <c r="A266"/>
  <c r="A267"/>
  <c r="A273"/>
  <c r="A276"/>
  <c r="A277"/>
  <c r="A278"/>
  <c r="G283"/>
  <c r="H283"/>
  <c r="G284"/>
  <c r="H284"/>
  <c r="G285"/>
  <c r="H285"/>
  <c r="G286"/>
  <c r="H286"/>
  <c r="G287"/>
  <c r="H287"/>
  <c r="G288"/>
  <c r="H288"/>
  <c r="H282"/>
  <c r="G106" i="1"/>
  <c r="H106"/>
  <c r="H105"/>
  <c r="C202" i="8"/>
  <c r="B201"/>
  <c r="H104" i="1"/>
  <c r="C200" i="8"/>
  <c r="B199"/>
  <c r="G100" i="1"/>
  <c r="H100"/>
  <c r="G101"/>
  <c r="H101"/>
  <c r="G273" i="2"/>
  <c r="H273"/>
  <c r="H272"/>
  <c r="G102" i="1"/>
  <c r="H102"/>
  <c r="G276" i="2"/>
  <c r="H276"/>
  <c r="G277"/>
  <c r="H277"/>
  <c r="G278"/>
  <c r="H278"/>
  <c r="H275"/>
  <c r="G103" i="1"/>
  <c r="H103"/>
  <c r="H99"/>
  <c r="C190" i="8"/>
  <c r="B189"/>
  <c r="C188"/>
  <c r="B187"/>
  <c r="G96" i="1"/>
  <c r="H96"/>
  <c r="H95"/>
  <c r="C182" i="8"/>
  <c r="B181"/>
  <c r="H94" i="1"/>
  <c r="C180" i="8"/>
  <c r="B179"/>
  <c r="G86" i="1"/>
  <c r="H86"/>
  <c r="G87"/>
  <c r="H87"/>
  <c r="G88"/>
  <c r="H88"/>
  <c r="G250" i="2"/>
  <c r="H250"/>
  <c r="G251"/>
  <c r="H251"/>
  <c r="G252"/>
  <c r="H252"/>
  <c r="G253"/>
  <c r="H253"/>
  <c r="G254"/>
  <c r="H254"/>
  <c r="H249"/>
  <c r="G89" i="1"/>
  <c r="H89"/>
  <c r="G257" i="2"/>
  <c r="H257"/>
  <c r="G258"/>
  <c r="H258"/>
  <c r="G259"/>
  <c r="H259"/>
  <c r="G260"/>
  <c r="H260"/>
  <c r="G261"/>
  <c r="H261"/>
  <c r="H256"/>
  <c r="G90" i="1"/>
  <c r="H90"/>
  <c r="H85"/>
  <c r="C162" i="8"/>
  <c r="B161"/>
  <c r="H84" i="1"/>
  <c r="C160" i="8"/>
  <c r="B159"/>
  <c r="G220" i="2"/>
  <c r="H220"/>
  <c r="H219"/>
  <c r="G73" i="1"/>
  <c r="H73"/>
  <c r="G223" i="2"/>
  <c r="H223"/>
  <c r="G224"/>
  <c r="H224"/>
  <c r="G225"/>
  <c r="H225"/>
  <c r="G226"/>
  <c r="H226"/>
  <c r="H222"/>
  <c r="G74" i="1"/>
  <c r="H74"/>
  <c r="H72"/>
  <c r="C136" i="8"/>
  <c r="B135"/>
  <c r="H71" i="1"/>
  <c r="C134" i="8"/>
  <c r="B133"/>
  <c r="G108" i="2"/>
  <c r="H108"/>
  <c r="G109"/>
  <c r="H109"/>
  <c r="G110"/>
  <c r="H110"/>
  <c r="H107"/>
  <c r="G46" i="1"/>
  <c r="H46"/>
  <c r="G113" i="2"/>
  <c r="H113"/>
  <c r="G114"/>
  <c r="H114"/>
  <c r="G115"/>
  <c r="H115"/>
  <c r="H112"/>
  <c r="G47" i="1"/>
  <c r="H47"/>
  <c r="H45"/>
  <c r="C82" i="8"/>
  <c r="B81"/>
  <c r="H44" i="1"/>
  <c r="C80" i="8"/>
  <c r="B79"/>
  <c r="G18" i="2"/>
  <c r="H18"/>
  <c r="H17"/>
  <c r="G15" i="1"/>
  <c r="H15"/>
  <c r="G21" i="2"/>
  <c r="H21"/>
  <c r="G22"/>
  <c r="H22"/>
  <c r="H20"/>
  <c r="G16" i="1"/>
  <c r="H16"/>
  <c r="H14"/>
  <c r="C20" i="8"/>
  <c r="B19"/>
  <c r="H20" i="1"/>
  <c r="C32" i="8"/>
  <c r="B31"/>
  <c r="H13" i="1"/>
  <c r="C18" i="8"/>
  <c r="B17"/>
  <c r="C222"/>
  <c r="D115" i="1"/>
  <c r="B221" i="8"/>
  <c r="C220"/>
  <c r="D114" i="1"/>
  <c r="B219" i="8"/>
  <c r="C214"/>
  <c r="D111" i="1"/>
  <c r="B213" i="8"/>
  <c r="C212"/>
  <c r="D110" i="1"/>
  <c r="B211" i="8"/>
  <c r="C210"/>
  <c r="D109" i="1"/>
  <c r="B209" i="8"/>
  <c r="C204"/>
  <c r="B203"/>
  <c r="C198"/>
  <c r="B197"/>
  <c r="C196"/>
  <c r="B195"/>
  <c r="C194"/>
  <c r="D101" i="1"/>
  <c r="B193" i="8"/>
  <c r="C192"/>
  <c r="D100" i="1"/>
  <c r="B191" i="8"/>
  <c r="C184"/>
  <c r="D96" i="1"/>
  <c r="B183" i="8"/>
  <c r="C178"/>
  <c r="D178"/>
  <c r="E178"/>
  <c r="E177"/>
  <c r="D93" i="1"/>
  <c r="B177" i="8"/>
  <c r="C176"/>
  <c r="B175"/>
  <c r="C172"/>
  <c r="B171"/>
  <c r="C170"/>
  <c r="D170"/>
  <c r="E170"/>
  <c r="E169"/>
  <c r="B169"/>
  <c r="C168"/>
  <c r="D88" i="1"/>
  <c r="B167" i="8"/>
  <c r="C166"/>
  <c r="D166"/>
  <c r="E166"/>
  <c r="E165"/>
  <c r="D87" i="1"/>
  <c r="B165" i="8"/>
  <c r="C164"/>
  <c r="D86" i="1"/>
  <c r="B163" i="8"/>
  <c r="C156"/>
  <c r="B155"/>
  <c r="C152"/>
  <c r="B151"/>
  <c r="C150"/>
  <c r="D150"/>
  <c r="D79" i="1"/>
  <c r="B149" i="8"/>
  <c r="C146"/>
  <c r="B145"/>
  <c r="C144"/>
  <c r="D76" i="1"/>
  <c r="B143" i="8"/>
  <c r="C140"/>
  <c r="B139"/>
  <c r="C138"/>
  <c r="D138"/>
  <c r="E138"/>
  <c r="E137"/>
  <c r="B137"/>
  <c r="C132"/>
  <c r="B131"/>
  <c r="C130"/>
  <c r="D130"/>
  <c r="B129"/>
  <c r="C126"/>
  <c r="B125"/>
  <c r="C124"/>
  <c r="B123"/>
  <c r="C122"/>
  <c r="B121"/>
  <c r="C120"/>
  <c r="B119"/>
  <c r="C118"/>
  <c r="B117"/>
  <c r="C116"/>
  <c r="B115"/>
  <c r="C114"/>
  <c r="B113"/>
  <c r="C112"/>
  <c r="D60" i="1"/>
  <c r="B111" i="8"/>
  <c r="C108"/>
  <c r="D58" i="1"/>
  <c r="B107" i="8"/>
  <c r="C104"/>
  <c r="D56" i="1"/>
  <c r="B103" i="8"/>
  <c r="C102"/>
  <c r="B101"/>
  <c r="C100"/>
  <c r="B99"/>
  <c r="C98"/>
  <c r="B97"/>
  <c r="C96"/>
  <c r="D52" i="1"/>
  <c r="B95" i="8"/>
  <c r="C92"/>
  <c r="B91"/>
  <c r="C90"/>
  <c r="B89"/>
  <c r="C86"/>
  <c r="B85"/>
  <c r="C84"/>
  <c r="B83"/>
  <c r="C76"/>
  <c r="B75"/>
  <c r="C74"/>
  <c r="D74"/>
  <c r="E74"/>
  <c r="E73"/>
  <c r="B73"/>
  <c r="C72"/>
  <c r="B71"/>
  <c r="C70"/>
  <c r="D70"/>
  <c r="E70"/>
  <c r="E69"/>
  <c r="B69"/>
  <c r="C68"/>
  <c r="B67"/>
  <c r="C66"/>
  <c r="D66"/>
  <c r="E66"/>
  <c r="E65"/>
  <c r="D37" i="1"/>
  <c r="B65" i="8"/>
  <c r="C64"/>
  <c r="B63"/>
  <c r="C62"/>
  <c r="D62"/>
  <c r="E62"/>
  <c r="E61"/>
  <c r="D35" i="1"/>
  <c r="B61" i="8"/>
  <c r="C60"/>
  <c r="B59"/>
  <c r="C58"/>
  <c r="D58"/>
  <c r="E58"/>
  <c r="E57"/>
  <c r="B57"/>
  <c r="C56"/>
  <c r="B55"/>
  <c r="C54"/>
  <c r="B53"/>
  <c r="C52"/>
  <c r="D52"/>
  <c r="E52"/>
  <c r="B51"/>
  <c r="C48"/>
  <c r="B47"/>
  <c r="C46"/>
  <c r="B45"/>
  <c r="C44"/>
  <c r="B43"/>
  <c r="C42"/>
  <c r="B41"/>
  <c r="C40"/>
  <c r="B39"/>
  <c r="C38"/>
  <c r="D38"/>
  <c r="E38"/>
  <c r="E37"/>
  <c r="B37"/>
  <c r="C36"/>
  <c r="B35"/>
  <c r="C30"/>
  <c r="D19" i="1"/>
  <c r="B29" i="8"/>
  <c r="C28"/>
  <c r="D18" i="1"/>
  <c r="B27" i="8"/>
  <c r="C24"/>
  <c r="B23"/>
  <c r="C22"/>
  <c r="D22"/>
  <c r="B21"/>
  <c r="H112" i="1"/>
  <c r="C216" i="8"/>
  <c r="B215"/>
  <c r="H107" i="1"/>
  <c r="C206" i="8"/>
  <c r="B205"/>
  <c r="H97" i="1"/>
  <c r="C186" i="8"/>
  <c r="B185"/>
  <c r="H83" i="1"/>
  <c r="C158" i="8"/>
  <c r="B157"/>
  <c r="H43" i="1"/>
  <c r="C78" i="8"/>
  <c r="B77"/>
  <c r="H12" i="1"/>
  <c r="C16" i="8"/>
  <c r="B15"/>
  <c r="G12" i="2"/>
  <c r="H12"/>
  <c r="H11"/>
  <c r="G11" i="1"/>
  <c r="H11"/>
  <c r="C14" i="8"/>
  <c r="B13"/>
  <c r="H10" i="1"/>
  <c r="C12" i="8"/>
  <c r="B11"/>
  <c r="H9" i="1"/>
  <c r="C10" i="8"/>
  <c r="B9"/>
  <c r="C6"/>
  <c r="B6"/>
  <c r="A6"/>
  <c r="C5"/>
  <c r="B5"/>
  <c r="A5"/>
  <c r="C4"/>
  <c r="B4"/>
  <c r="A4"/>
  <c r="C3"/>
  <c r="B3"/>
  <c r="A3"/>
  <c r="C2"/>
  <c r="B2"/>
  <c r="A2"/>
  <c r="C1"/>
  <c r="B1"/>
  <c r="A1"/>
  <c r="D21" i="4"/>
  <c r="E51" i="8"/>
  <c r="E150"/>
  <c r="E130"/>
  <c r="D222"/>
  <c r="E222"/>
  <c r="E221"/>
  <c r="D220"/>
  <c r="D214"/>
  <c r="E214"/>
  <c r="E213"/>
  <c r="D212"/>
  <c r="E212"/>
  <c r="E211"/>
  <c r="D210"/>
  <c r="D204"/>
  <c r="D198"/>
  <c r="E198"/>
  <c r="E197"/>
  <c r="D196"/>
  <c r="E196"/>
  <c r="E195"/>
  <c r="D194"/>
  <c r="E194"/>
  <c r="E193"/>
  <c r="D192"/>
  <c r="D184"/>
  <c r="D176"/>
  <c r="D164"/>
  <c r="D168"/>
  <c r="E168"/>
  <c r="E167"/>
  <c r="D172"/>
  <c r="E172"/>
  <c r="E171"/>
  <c r="D156"/>
  <c r="D152"/>
  <c r="E152"/>
  <c r="E151"/>
  <c r="D144"/>
  <c r="D146"/>
  <c r="E146"/>
  <c r="E145"/>
  <c r="D140"/>
  <c r="E140"/>
  <c r="E139"/>
  <c r="D132"/>
  <c r="E132"/>
  <c r="E131"/>
  <c r="D126"/>
  <c r="E126"/>
  <c r="E125"/>
  <c r="D124"/>
  <c r="E124"/>
  <c r="E123"/>
  <c r="D122"/>
  <c r="E122"/>
  <c r="E121"/>
  <c r="D120"/>
  <c r="E120"/>
  <c r="E119"/>
  <c r="D118"/>
  <c r="E118"/>
  <c r="E117"/>
  <c r="D116"/>
  <c r="D114"/>
  <c r="E114"/>
  <c r="E113"/>
  <c r="D112"/>
  <c r="D108"/>
  <c r="D106"/>
  <c r="D104"/>
  <c r="E104"/>
  <c r="E103"/>
  <c r="D102"/>
  <c r="E102"/>
  <c r="E101"/>
  <c r="D100"/>
  <c r="E100"/>
  <c r="E99"/>
  <c r="D98"/>
  <c r="E98"/>
  <c r="E97"/>
  <c r="D96"/>
  <c r="D92"/>
  <c r="E92"/>
  <c r="E91"/>
  <c r="D90"/>
  <c r="D86"/>
  <c r="E86"/>
  <c r="E85"/>
  <c r="D84"/>
  <c r="D60"/>
  <c r="D64"/>
  <c r="E64"/>
  <c r="E63"/>
  <c r="D68"/>
  <c r="E68"/>
  <c r="E67"/>
  <c r="D72"/>
  <c r="E72"/>
  <c r="E71"/>
  <c r="D76"/>
  <c r="E76"/>
  <c r="E75"/>
  <c r="D56"/>
  <c r="E56"/>
  <c r="E55"/>
  <c r="D54"/>
  <c r="E54"/>
  <c r="E53"/>
  <c r="D48"/>
  <c r="E48"/>
  <c r="E47"/>
  <c r="D46"/>
  <c r="E46"/>
  <c r="E45"/>
  <c r="D44"/>
  <c r="E44"/>
  <c r="E43"/>
  <c r="D42"/>
  <c r="E42"/>
  <c r="E41"/>
  <c r="D40"/>
  <c r="D36"/>
  <c r="D30"/>
  <c r="E30"/>
  <c r="E29"/>
  <c r="D28"/>
  <c r="D24"/>
  <c r="E24"/>
  <c r="E23"/>
  <c r="D14"/>
  <c r="D12"/>
  <c r="C15" i="3"/>
  <c r="B15"/>
  <c r="C14"/>
  <c r="B14"/>
  <c r="B13"/>
  <c r="B12"/>
  <c r="B11"/>
  <c r="B10"/>
  <c r="C6"/>
  <c r="B6"/>
  <c r="A6"/>
  <c r="C5"/>
  <c r="B5"/>
  <c r="A5"/>
  <c r="C4"/>
  <c r="B4"/>
  <c r="A4"/>
  <c r="C3"/>
  <c r="B3"/>
  <c r="A3"/>
  <c r="C2"/>
  <c r="B2"/>
  <c r="A2"/>
  <c r="C1"/>
  <c r="B1"/>
  <c r="A1"/>
  <c r="B9"/>
  <c r="D162" i="8"/>
  <c r="D218"/>
  <c r="D208"/>
  <c r="E204"/>
  <c r="D202"/>
  <c r="D190"/>
  <c r="E184"/>
  <c r="D182"/>
  <c r="E116"/>
  <c r="D110"/>
  <c r="D94"/>
  <c r="D93"/>
  <c r="E60"/>
  <c r="E50"/>
  <c r="D50"/>
  <c r="D49"/>
  <c r="E40"/>
  <c r="D34"/>
  <c r="D32"/>
  <c r="E220"/>
  <c r="E218"/>
  <c r="E210"/>
  <c r="E208"/>
  <c r="E192"/>
  <c r="E190"/>
  <c r="E176"/>
  <c r="D174"/>
  <c r="E164"/>
  <c r="E162"/>
  <c r="D161"/>
  <c r="E156"/>
  <c r="D154"/>
  <c r="D153"/>
  <c r="D148"/>
  <c r="D147"/>
  <c r="E149"/>
  <c r="E148"/>
  <c r="E147"/>
  <c r="E144"/>
  <c r="D142"/>
  <c r="D141"/>
  <c r="D136"/>
  <c r="E136"/>
  <c r="D128"/>
  <c r="D127"/>
  <c r="E129"/>
  <c r="E128"/>
  <c r="E127"/>
  <c r="E112"/>
  <c r="D109"/>
  <c r="E108"/>
  <c r="E106"/>
  <c r="D105"/>
  <c r="E96"/>
  <c r="E94"/>
  <c r="E90"/>
  <c r="D88"/>
  <c r="D87"/>
  <c r="E84"/>
  <c r="D82"/>
  <c r="E36"/>
  <c r="E28"/>
  <c r="D26"/>
  <c r="D25"/>
  <c r="E22"/>
  <c r="D20"/>
  <c r="D11"/>
  <c r="D10"/>
  <c r="E14"/>
  <c r="E13"/>
  <c r="B117" i="1"/>
  <c r="E115"/>
  <c r="C115"/>
  <c r="E114"/>
  <c r="C114"/>
  <c r="E111"/>
  <c r="C111"/>
  <c r="E110"/>
  <c r="C110"/>
  <c r="E109"/>
  <c r="C109"/>
  <c r="E101"/>
  <c r="C101"/>
  <c r="E100"/>
  <c r="C100"/>
  <c r="E96"/>
  <c r="C96"/>
  <c r="E93"/>
  <c r="C93"/>
  <c r="E88"/>
  <c r="C88"/>
  <c r="E87"/>
  <c r="C87"/>
  <c r="E86"/>
  <c r="C86"/>
  <c r="E79"/>
  <c r="C79"/>
  <c r="E76"/>
  <c r="C76"/>
  <c r="E60"/>
  <c r="C60"/>
  <c r="E58"/>
  <c r="C58"/>
  <c r="E56"/>
  <c r="C56"/>
  <c r="E52"/>
  <c r="C52"/>
  <c r="E37"/>
  <c r="C37"/>
  <c r="E35"/>
  <c r="C35"/>
  <c r="E19"/>
  <c r="C19"/>
  <c r="E18"/>
  <c r="C18"/>
  <c r="C13" i="3"/>
  <c r="C9"/>
  <c r="D9" i="8"/>
  <c r="D18"/>
  <c r="E203"/>
  <c r="E202"/>
  <c r="E183"/>
  <c r="E182"/>
  <c r="D173"/>
  <c r="D160"/>
  <c r="D159"/>
  <c r="D134"/>
  <c r="E135"/>
  <c r="E115"/>
  <c r="E110"/>
  <c r="E109"/>
  <c r="D80"/>
  <c r="D78"/>
  <c r="D16"/>
  <c r="E59"/>
  <c r="E49"/>
  <c r="E39"/>
  <c r="E34"/>
  <c r="D216"/>
  <c r="D215"/>
  <c r="D217"/>
  <c r="E219"/>
  <c r="D207"/>
  <c r="D206"/>
  <c r="E209"/>
  <c r="D189"/>
  <c r="D188"/>
  <c r="E191"/>
  <c r="E175"/>
  <c r="E174"/>
  <c r="E163"/>
  <c r="E155"/>
  <c r="E154"/>
  <c r="E153"/>
  <c r="E143"/>
  <c r="E142"/>
  <c r="E141"/>
  <c r="D135"/>
  <c r="D133"/>
  <c r="E111"/>
  <c r="E107"/>
  <c r="E105"/>
  <c r="E95"/>
  <c r="E93"/>
  <c r="E89"/>
  <c r="E88"/>
  <c r="E87"/>
  <c r="D81"/>
  <c r="E83"/>
  <c r="E82"/>
  <c r="D31"/>
  <c r="D33"/>
  <c r="E35"/>
  <c r="E27"/>
  <c r="E26"/>
  <c r="E25"/>
  <c r="D19"/>
  <c r="E21"/>
  <c r="E20"/>
  <c r="E12"/>
  <c r="E6" i="2"/>
  <c r="C6"/>
  <c r="E5"/>
  <c r="C5"/>
  <c r="E4"/>
  <c r="C4"/>
  <c r="E3"/>
  <c r="C3"/>
  <c r="E2"/>
  <c r="D2"/>
  <c r="C2"/>
  <c r="E1"/>
  <c r="D1"/>
  <c r="C1"/>
  <c r="E282"/>
  <c r="D282"/>
  <c r="C282"/>
  <c r="B282"/>
  <c r="E275"/>
  <c r="D275"/>
  <c r="C275"/>
  <c r="B275"/>
  <c r="E272"/>
  <c r="D272"/>
  <c r="C272"/>
  <c r="B272"/>
  <c r="E264"/>
  <c r="D264"/>
  <c r="C264"/>
  <c r="B264"/>
  <c r="E256"/>
  <c r="D256"/>
  <c r="C256"/>
  <c r="B256"/>
  <c r="E249"/>
  <c r="D249"/>
  <c r="C249"/>
  <c r="B249"/>
  <c r="E240"/>
  <c r="D240"/>
  <c r="C240"/>
  <c r="B240"/>
  <c r="E234"/>
  <c r="D234"/>
  <c r="C234"/>
  <c r="B234"/>
  <c r="E229"/>
  <c r="D229"/>
  <c r="C229"/>
  <c r="B229"/>
  <c r="E219"/>
  <c r="D219"/>
  <c r="C219"/>
  <c r="B219"/>
  <c r="E207"/>
  <c r="D207"/>
  <c r="C207"/>
  <c r="B207"/>
  <c r="E195"/>
  <c r="D195"/>
  <c r="C195"/>
  <c r="B195"/>
  <c r="E189"/>
  <c r="D189"/>
  <c r="C189"/>
  <c r="B189"/>
  <c r="E181"/>
  <c r="D181"/>
  <c r="C181"/>
  <c r="B181"/>
  <c r="E174"/>
  <c r="D174"/>
  <c r="C174"/>
  <c r="B174"/>
  <c r="E167"/>
  <c r="D167"/>
  <c r="C167"/>
  <c r="B167"/>
  <c r="E159"/>
  <c r="D159"/>
  <c r="C159"/>
  <c r="B159"/>
  <c r="E153"/>
  <c r="D153"/>
  <c r="C153"/>
  <c r="B153"/>
  <c r="E143"/>
  <c r="D143"/>
  <c r="C143"/>
  <c r="B143"/>
  <c r="E137"/>
  <c r="D137"/>
  <c r="C137"/>
  <c r="B137"/>
  <c r="E128"/>
  <c r="D128"/>
  <c r="C128"/>
  <c r="B128"/>
  <c r="E123"/>
  <c r="D123"/>
  <c r="C123"/>
  <c r="B123"/>
  <c r="E118"/>
  <c r="D118"/>
  <c r="C118"/>
  <c r="B118"/>
  <c r="E112"/>
  <c r="D112"/>
  <c r="C112"/>
  <c r="B112"/>
  <c r="E107"/>
  <c r="D107"/>
  <c r="C107"/>
  <c r="B107"/>
  <c r="E100"/>
  <c r="D100"/>
  <c r="C100"/>
  <c r="B100"/>
  <c r="E95"/>
  <c r="D95"/>
  <c r="C95"/>
  <c r="B95"/>
  <c r="E91"/>
  <c r="D91"/>
  <c r="C91"/>
  <c r="B91"/>
  <c r="E87"/>
  <c r="D87"/>
  <c r="C87"/>
  <c r="B87"/>
  <c r="E83"/>
  <c r="D83"/>
  <c r="C83"/>
  <c r="B83"/>
  <c r="E80"/>
  <c r="D80"/>
  <c r="C80"/>
  <c r="B80"/>
  <c r="E73"/>
  <c r="D73"/>
  <c r="C73"/>
  <c r="B73"/>
  <c r="E68"/>
  <c r="D68"/>
  <c r="C68"/>
  <c r="B68"/>
  <c r="E65"/>
  <c r="D65"/>
  <c r="C65"/>
  <c r="B65"/>
  <c r="E61"/>
  <c r="D61"/>
  <c r="C61"/>
  <c r="B61"/>
  <c r="E54"/>
  <c r="D54"/>
  <c r="C54"/>
  <c r="B54"/>
  <c r="E46"/>
  <c r="D46"/>
  <c r="C46"/>
  <c r="B46"/>
  <c r="E42"/>
  <c r="D42"/>
  <c r="C42"/>
  <c r="B42"/>
  <c r="E38"/>
  <c r="D38"/>
  <c r="C38"/>
  <c r="B38"/>
  <c r="E30"/>
  <c r="D30"/>
  <c r="C30"/>
  <c r="B30"/>
  <c r="E26"/>
  <c r="D26"/>
  <c r="C26"/>
  <c r="B26"/>
  <c r="E17"/>
  <c r="D17"/>
  <c r="C17"/>
  <c r="B17"/>
  <c r="E11"/>
  <c r="D11"/>
  <c r="C11"/>
  <c r="B11"/>
  <c r="D6" i="5"/>
  <c r="C6"/>
  <c r="A6"/>
  <c r="D5"/>
  <c r="C5"/>
  <c r="A5"/>
  <c r="D4"/>
  <c r="C4"/>
  <c r="A4"/>
  <c r="D3"/>
  <c r="C3"/>
  <c r="A3"/>
  <c r="D2"/>
  <c r="C2"/>
  <c r="A2"/>
  <c r="D1"/>
  <c r="C1"/>
  <c r="A1"/>
  <c r="D6" i="4"/>
  <c r="C6"/>
  <c r="A6"/>
  <c r="D5"/>
  <c r="C5"/>
  <c r="A5"/>
  <c r="D4"/>
  <c r="C4"/>
  <c r="A4"/>
  <c r="D3"/>
  <c r="C3"/>
  <c r="A3"/>
  <c r="D2"/>
  <c r="C2"/>
  <c r="A2"/>
  <c r="D1"/>
  <c r="C1"/>
  <c r="A1"/>
  <c r="E6" i="11"/>
  <c r="C6"/>
  <c r="E5"/>
  <c r="C5"/>
  <c r="E4"/>
  <c r="C4"/>
  <c r="E3"/>
  <c r="C3"/>
  <c r="E2"/>
  <c r="D2"/>
  <c r="C2"/>
  <c r="E1"/>
  <c r="D1"/>
  <c r="C1"/>
  <c r="C98" i="2"/>
  <c r="E18" i="8"/>
  <c r="E173"/>
  <c r="E160"/>
  <c r="E134"/>
  <c r="E133"/>
  <c r="E80"/>
  <c r="E32"/>
  <c r="E16"/>
  <c r="E216"/>
  <c r="E215"/>
  <c r="E217"/>
  <c r="E206"/>
  <c r="E207"/>
  <c r="D205"/>
  <c r="E189"/>
  <c r="E188"/>
  <c r="D187"/>
  <c r="E161"/>
  <c r="E81"/>
  <c r="D77"/>
  <c r="D79"/>
  <c r="E31"/>
  <c r="E33"/>
  <c r="E19"/>
  <c r="D17"/>
  <c r="E11"/>
  <c r="E10"/>
  <c r="C12" i="3"/>
  <c r="C11"/>
  <c r="D22" i="2"/>
  <c r="C31"/>
  <c r="E35"/>
  <c r="D40"/>
  <c r="C47"/>
  <c r="E49"/>
  <c r="D52"/>
  <c r="C57"/>
  <c r="E62"/>
  <c r="D69"/>
  <c r="C74"/>
  <c r="D85"/>
  <c r="E96"/>
  <c r="E12"/>
  <c r="E36"/>
  <c r="D43"/>
  <c r="C48"/>
  <c r="E50"/>
  <c r="D55"/>
  <c r="C58"/>
  <c r="E63"/>
  <c r="D70"/>
  <c r="D77"/>
  <c r="E88"/>
  <c r="A288"/>
  <c r="A284"/>
  <c r="E288"/>
  <c r="D287"/>
  <c r="C286"/>
  <c r="E284"/>
  <c r="A287"/>
  <c r="A283"/>
  <c r="D288"/>
  <c r="C287"/>
  <c r="A286"/>
  <c r="E286"/>
  <c r="C285"/>
  <c r="D283"/>
  <c r="C278"/>
  <c r="E276"/>
  <c r="D273"/>
  <c r="C267"/>
  <c r="E265"/>
  <c r="D261"/>
  <c r="C260"/>
  <c r="E258"/>
  <c r="D257"/>
  <c r="C254"/>
  <c r="E252"/>
  <c r="D251"/>
  <c r="C250"/>
  <c r="E243"/>
  <c r="D242"/>
  <c r="C241"/>
  <c r="E236"/>
  <c r="D235"/>
  <c r="C231"/>
  <c r="E226"/>
  <c r="D225"/>
  <c r="A285"/>
  <c r="D286"/>
  <c r="D284"/>
  <c r="C283"/>
  <c r="E277"/>
  <c r="D276"/>
  <c r="C273"/>
  <c r="E266"/>
  <c r="D265"/>
  <c r="C261"/>
  <c r="E259"/>
  <c r="D258"/>
  <c r="C257"/>
  <c r="E253"/>
  <c r="D252"/>
  <c r="C251"/>
  <c r="E244"/>
  <c r="D243"/>
  <c r="C242"/>
  <c r="E237"/>
  <c r="D236"/>
  <c r="C235"/>
  <c r="E230"/>
  <c r="D226"/>
  <c r="C225"/>
  <c r="E223"/>
  <c r="D220"/>
  <c r="C215"/>
  <c r="E213"/>
  <c r="D212"/>
  <c r="C211"/>
  <c r="E209"/>
  <c r="D208"/>
  <c r="C205"/>
  <c r="E203"/>
  <c r="D202"/>
  <c r="C201"/>
  <c r="E196"/>
  <c r="D193"/>
  <c r="C192"/>
  <c r="E190"/>
  <c r="D187"/>
  <c r="C186"/>
  <c r="E184"/>
  <c r="D183"/>
  <c r="C288"/>
  <c r="E287"/>
  <c r="E283"/>
  <c r="C277"/>
  <c r="D267"/>
  <c r="E261"/>
  <c r="C259"/>
  <c r="D254"/>
  <c r="E251"/>
  <c r="C244"/>
  <c r="D241"/>
  <c r="E235"/>
  <c r="C230"/>
  <c r="D224"/>
  <c r="E220"/>
  <c r="E214"/>
  <c r="C213"/>
  <c r="D211"/>
  <c r="D209"/>
  <c r="E205"/>
  <c r="C204"/>
  <c r="C202"/>
  <c r="D197"/>
  <c r="E193"/>
  <c r="E191"/>
  <c r="C190"/>
  <c r="D186"/>
  <c r="D184"/>
  <c r="E182"/>
  <c r="D179"/>
  <c r="C178"/>
  <c r="E176"/>
  <c r="D175"/>
  <c r="C172"/>
  <c r="E170"/>
  <c r="D169"/>
  <c r="C168"/>
  <c r="E164"/>
  <c r="D163"/>
  <c r="C162"/>
  <c r="E160"/>
  <c r="D157"/>
  <c r="C156"/>
  <c r="E154"/>
  <c r="D150"/>
  <c r="C149"/>
  <c r="E147"/>
  <c r="D146"/>
  <c r="C145"/>
  <c r="E141"/>
  <c r="D140"/>
  <c r="C139"/>
  <c r="E135"/>
  <c r="D134"/>
  <c r="C133"/>
  <c r="E131"/>
  <c r="D130"/>
  <c r="C129"/>
  <c r="E124"/>
  <c r="D121"/>
  <c r="C120"/>
  <c r="E115"/>
  <c r="D114"/>
  <c r="C113"/>
  <c r="E109"/>
  <c r="D108"/>
  <c r="C102"/>
  <c r="E98"/>
  <c r="D97"/>
  <c r="C96"/>
  <c r="E92"/>
  <c r="D89"/>
  <c r="C88"/>
  <c r="E84"/>
  <c r="D81"/>
  <c r="C78"/>
  <c r="E74"/>
  <c r="D71"/>
  <c r="C70"/>
  <c r="E66"/>
  <c r="D63"/>
  <c r="C62"/>
  <c r="E57"/>
  <c r="D56"/>
  <c r="C55"/>
  <c r="E51"/>
  <c r="D50"/>
  <c r="C49"/>
  <c r="E47"/>
  <c r="D44"/>
  <c r="C43"/>
  <c r="E39"/>
  <c r="D36"/>
  <c r="C35"/>
  <c r="E31"/>
  <c r="D28"/>
  <c r="C27"/>
  <c r="E21"/>
  <c r="D18"/>
  <c r="E285"/>
  <c r="E278"/>
  <c r="C276"/>
  <c r="D266"/>
  <c r="E260"/>
  <c r="C258"/>
  <c r="D253"/>
  <c r="E250"/>
  <c r="C243"/>
  <c r="D237"/>
  <c r="E231"/>
  <c r="C226"/>
  <c r="C224"/>
  <c r="C220"/>
  <c r="D214"/>
  <c r="E212"/>
  <c r="E210"/>
  <c r="C209"/>
  <c r="D205"/>
  <c r="D203"/>
  <c r="E201"/>
  <c r="C197"/>
  <c r="C193"/>
  <c r="D191"/>
  <c r="E187"/>
  <c r="E185"/>
  <c r="C184"/>
  <c r="D182"/>
  <c r="C179"/>
  <c r="E177"/>
  <c r="D176"/>
  <c r="C175"/>
  <c r="E171"/>
  <c r="D170"/>
  <c r="C169"/>
  <c r="E165"/>
  <c r="D164"/>
  <c r="C163"/>
  <c r="E161"/>
  <c r="D160"/>
  <c r="C157"/>
  <c r="E155"/>
  <c r="D154"/>
  <c r="C150"/>
  <c r="E148"/>
  <c r="D147"/>
  <c r="C146"/>
  <c r="E144"/>
  <c r="D141"/>
  <c r="C140"/>
  <c r="E138"/>
  <c r="D135"/>
  <c r="C134"/>
  <c r="E132"/>
  <c r="D131"/>
  <c r="C130"/>
  <c r="E125"/>
  <c r="D124"/>
  <c r="C121"/>
  <c r="E119"/>
  <c r="D115"/>
  <c r="C114"/>
  <c r="E110"/>
  <c r="D109"/>
  <c r="C108"/>
  <c r="E101"/>
  <c r="D98"/>
  <c r="C97"/>
  <c r="E93"/>
  <c r="D92"/>
  <c r="C89"/>
  <c r="E85"/>
  <c r="D84"/>
  <c r="C81"/>
  <c r="E77"/>
  <c r="D74"/>
  <c r="C71"/>
  <c r="E69"/>
  <c r="D66"/>
  <c r="C63"/>
  <c r="E58"/>
  <c r="D57"/>
  <c r="C56"/>
  <c r="E52"/>
  <c r="D51"/>
  <c r="C50"/>
  <c r="E48"/>
  <c r="D47"/>
  <c r="C44"/>
  <c r="E40"/>
  <c r="D39"/>
  <c r="C36"/>
  <c r="E34"/>
  <c r="D31"/>
  <c r="C28"/>
  <c r="E22"/>
  <c r="D21"/>
  <c r="C18"/>
  <c r="D285"/>
  <c r="D278"/>
  <c r="E273"/>
  <c r="C266"/>
  <c r="D260"/>
  <c r="E257"/>
  <c r="C253"/>
  <c r="D250"/>
  <c r="E242"/>
  <c r="C237"/>
  <c r="D231"/>
  <c r="E225"/>
  <c r="D223"/>
  <c r="E215"/>
  <c r="C214"/>
  <c r="C212"/>
  <c r="D210"/>
  <c r="E208"/>
  <c r="E204"/>
  <c r="C203"/>
  <c r="D201"/>
  <c r="D196"/>
  <c r="E192"/>
  <c r="C191"/>
  <c r="C187"/>
  <c r="D185"/>
  <c r="E183"/>
  <c r="C182"/>
  <c r="E178"/>
  <c r="D177"/>
  <c r="C176"/>
  <c r="E172"/>
  <c r="D171"/>
  <c r="C170"/>
  <c r="E168"/>
  <c r="D165"/>
  <c r="C164"/>
  <c r="E162"/>
  <c r="D161"/>
  <c r="C160"/>
  <c r="E156"/>
  <c r="D155"/>
  <c r="C154"/>
  <c r="E149"/>
  <c r="D148"/>
  <c r="C147"/>
  <c r="E145"/>
  <c r="D144"/>
  <c r="C141"/>
  <c r="E139"/>
  <c r="D138"/>
  <c r="C135"/>
  <c r="E133"/>
  <c r="D132"/>
  <c r="C131"/>
  <c r="E129"/>
  <c r="D125"/>
  <c r="C124"/>
  <c r="E120"/>
  <c r="D119"/>
  <c r="C115"/>
  <c r="E113"/>
  <c r="D110"/>
  <c r="C109"/>
  <c r="C284"/>
  <c r="D277"/>
  <c r="E267"/>
  <c r="C265"/>
  <c r="D259"/>
  <c r="E254"/>
  <c r="C252"/>
  <c r="D244"/>
  <c r="E241"/>
  <c r="C236"/>
  <c r="D230"/>
  <c r="E224"/>
  <c r="C223"/>
  <c r="D215"/>
  <c r="D213"/>
  <c r="E211"/>
  <c r="C210"/>
  <c r="C208"/>
  <c r="D204"/>
  <c r="E202"/>
  <c r="E197"/>
  <c r="C196"/>
  <c r="D192"/>
  <c r="D190"/>
  <c r="E186"/>
  <c r="C185"/>
  <c r="C183"/>
  <c r="E179"/>
  <c r="D178"/>
  <c r="C177"/>
  <c r="E175"/>
  <c r="D172"/>
  <c r="C171"/>
  <c r="E169"/>
  <c r="D168"/>
  <c r="C165"/>
  <c r="E163"/>
  <c r="D162"/>
  <c r="C161"/>
  <c r="E157"/>
  <c r="D156"/>
  <c r="C155"/>
  <c r="E150"/>
  <c r="D149"/>
  <c r="C148"/>
  <c r="E146"/>
  <c r="D145"/>
  <c r="C144"/>
  <c r="E140"/>
  <c r="D139"/>
  <c r="C138"/>
  <c r="E134"/>
  <c r="D133"/>
  <c r="C132"/>
  <c r="E130"/>
  <c r="D129"/>
  <c r="C125"/>
  <c r="E121"/>
  <c r="D120"/>
  <c r="C119"/>
  <c r="E114"/>
  <c r="D113"/>
  <c r="C110"/>
  <c r="E108"/>
  <c r="D102"/>
  <c r="C101"/>
  <c r="E97"/>
  <c r="D96"/>
  <c r="C93"/>
  <c r="E89"/>
  <c r="D88"/>
  <c r="C85"/>
  <c r="E81"/>
  <c r="D78"/>
  <c r="C77"/>
  <c r="C12"/>
  <c r="E18"/>
  <c r="D27"/>
  <c r="C34"/>
  <c r="D12"/>
  <c r="C21"/>
  <c r="E27"/>
  <c r="D34"/>
  <c r="C39"/>
  <c r="E43"/>
  <c r="D48"/>
  <c r="C51"/>
  <c r="E55"/>
  <c r="D58"/>
  <c r="C66"/>
  <c r="E70"/>
  <c r="E78"/>
  <c r="C92"/>
  <c r="D101"/>
  <c r="C22"/>
  <c r="E28"/>
  <c r="D35"/>
  <c r="C40"/>
  <c r="E44"/>
  <c r="D49"/>
  <c r="C52"/>
  <c r="E56"/>
  <c r="D62"/>
  <c r="C69"/>
  <c r="E71"/>
  <c r="C84"/>
  <c r="D93"/>
  <c r="E102"/>
  <c r="E78" i="8"/>
  <c r="E77"/>
  <c r="D200"/>
  <c r="D201"/>
  <c r="E205"/>
  <c r="E187"/>
  <c r="E159"/>
  <c r="E79"/>
  <c r="E15"/>
  <c r="E17"/>
  <c r="D15"/>
  <c r="E9"/>
  <c r="G117" i="1"/>
  <c r="C10" i="3"/>
  <c r="D199" i="8"/>
  <c r="D186"/>
  <c r="D185"/>
  <c r="E201"/>
  <c r="E200"/>
  <c r="D180"/>
  <c r="D181"/>
  <c r="D17" i="3"/>
  <c r="E199" i="8"/>
  <c r="E186"/>
  <c r="E185"/>
  <c r="D179"/>
  <c r="D158"/>
  <c r="D224"/>
  <c r="E180"/>
  <c r="E181"/>
  <c r="D14" i="3"/>
  <c r="D15"/>
  <c r="D9"/>
  <c r="D13"/>
  <c r="D12"/>
  <c r="D11"/>
  <c r="D10"/>
  <c r="E179" i="8"/>
  <c r="E158"/>
  <c r="E224"/>
  <c r="D157"/>
  <c r="E157"/>
  <c r="D228"/>
  <c r="D18" i="4"/>
  <c r="D23"/>
  <c r="D225" i="8"/>
  <c r="D226"/>
  <c r="D229"/>
  <c r="E228"/>
  <c r="E225"/>
  <c r="E226"/>
  <c r="E229"/>
  <c r="D223"/>
  <c r="D227"/>
  <c r="C221"/>
  <c r="C213"/>
  <c r="C205"/>
  <c r="C197"/>
  <c r="C189"/>
  <c r="C181"/>
  <c r="C173"/>
  <c r="C165"/>
  <c r="C157"/>
  <c r="C149"/>
  <c r="C141"/>
  <c r="C133"/>
  <c r="C125"/>
  <c r="C117"/>
  <c r="C109"/>
  <c r="C101"/>
  <c r="C93"/>
  <c r="C85"/>
  <c r="C77"/>
  <c r="C69"/>
  <c r="C61"/>
  <c r="C53"/>
  <c r="C45"/>
  <c r="C37"/>
  <c r="C29"/>
  <c r="C21"/>
  <c r="C13"/>
  <c r="C219"/>
  <c r="C211"/>
  <c r="C203"/>
  <c r="C195"/>
  <c r="C187"/>
  <c r="C179"/>
  <c r="C171"/>
  <c r="C163"/>
  <c r="C155"/>
  <c r="C147"/>
  <c r="C139"/>
  <c r="C131"/>
  <c r="C123"/>
  <c r="C115"/>
  <c r="C107"/>
  <c r="C99"/>
  <c r="C91"/>
  <c r="C83"/>
  <c r="C75"/>
  <c r="C67"/>
  <c r="C59"/>
  <c r="C51"/>
  <c r="C43"/>
  <c r="C35"/>
  <c r="C27"/>
  <c r="C19"/>
  <c r="C11"/>
  <c r="C71"/>
  <c r="C55"/>
  <c r="C39"/>
  <c r="C23"/>
  <c r="C217"/>
  <c r="C209"/>
  <c r="C201"/>
  <c r="C193"/>
  <c r="C185"/>
  <c r="C177"/>
  <c r="C169"/>
  <c r="C161"/>
  <c r="C153"/>
  <c r="C145"/>
  <c r="C137"/>
  <c r="C129"/>
  <c r="C121"/>
  <c r="C113"/>
  <c r="C105"/>
  <c r="C97"/>
  <c r="C89"/>
  <c r="C81"/>
  <c r="C73"/>
  <c r="C65"/>
  <c r="C57"/>
  <c r="C49"/>
  <c r="C41"/>
  <c r="C33"/>
  <c r="C25"/>
  <c r="C17"/>
  <c r="C9"/>
  <c r="C215"/>
  <c r="C207"/>
  <c r="C199"/>
  <c r="C191"/>
  <c r="C183"/>
  <c r="C175"/>
  <c r="C167"/>
  <c r="C159"/>
  <c r="C151"/>
  <c r="C143"/>
  <c r="C135"/>
  <c r="C127"/>
  <c r="C119"/>
  <c r="C111"/>
  <c r="C103"/>
  <c r="C95"/>
  <c r="C87"/>
  <c r="C79"/>
  <c r="C63"/>
  <c r="C47"/>
  <c r="C31"/>
  <c r="C15"/>
  <c r="E223"/>
  <c r="E227"/>
  <c r="D38" i="5"/>
  <c r="D31"/>
  <c r="D19"/>
  <c r="D10" i="4"/>
  <c r="C18" i="3"/>
  <c r="E118" i="1"/>
  <c r="G118"/>
  <c r="G119"/>
  <c r="D18" i="3"/>
  <c r="D19"/>
  <c r="D40" i="5"/>
  <c r="D41"/>
  <c r="D42"/>
  <c r="D44"/>
  <c r="E20" i="2"/>
  <c r="C20"/>
  <c r="B20"/>
  <c r="D20"/>
  <c r="D33"/>
  <c r="E33"/>
  <c r="B33"/>
  <c r="C33"/>
  <c r="E76"/>
  <c r="C76"/>
  <c r="B76"/>
  <c r="D76"/>
  <c r="D200"/>
  <c r="C200"/>
  <c r="B200"/>
  <c r="E200"/>
  <c r="E222"/>
  <c r="D222"/>
  <c r="B222"/>
  <c r="C222"/>
</calcChain>
</file>

<file path=xl/sharedStrings.xml><?xml version="1.0" encoding="utf-8"?>
<sst xmlns="http://schemas.openxmlformats.org/spreadsheetml/2006/main" count="1585" uniqueCount="625">
  <si>
    <t>Orçamento Sintética</t>
  </si>
  <si>
    <t>Item</t>
  </si>
  <si>
    <t>Código</t>
  </si>
  <si>
    <t>Banco</t>
  </si>
  <si>
    <t>Descrição</t>
  </si>
  <si>
    <t>Und</t>
  </si>
  <si>
    <t>Quant.</t>
  </si>
  <si>
    <t>Valor Unit</t>
  </si>
  <si>
    <t>Total</t>
  </si>
  <si>
    <t xml:space="preserve"> 01 </t>
  </si>
  <si>
    <t>SERVIÇOS TÉCNICO - PROFISSIONAIS</t>
  </si>
  <si>
    <t xml:space="preserve"> 01.08 </t>
  </si>
  <si>
    <t>TAXAS E EMOLUMENTOS</t>
  </si>
  <si>
    <t xml:space="preserve"> 01.08.1 </t>
  </si>
  <si>
    <t xml:space="preserve"> MPDFT0009 </t>
  </si>
  <si>
    <t>Próprio</t>
  </si>
  <si>
    <t>Registro do contrato junto ao conselho de classe (ART)</t>
  </si>
  <si>
    <t>vb</t>
  </si>
  <si>
    <t xml:space="preserve"> 02 </t>
  </si>
  <si>
    <t>SERVIÇOS PRELIMINARES</t>
  </si>
  <si>
    <t xml:space="preserve"> 02.01 </t>
  </si>
  <si>
    <t>CANTEIRO DE OBRAS</t>
  </si>
  <si>
    <t xml:space="preserve"> 02.01.100 </t>
  </si>
  <si>
    <t>Construções Provisórias</t>
  </si>
  <si>
    <t xml:space="preserve"> 02.01.100.1 </t>
  </si>
  <si>
    <t xml:space="preserve"> MPDFT0490 </t>
  </si>
  <si>
    <t>Aluguel de container para almoxarifado</t>
  </si>
  <si>
    <t>mês</t>
  </si>
  <si>
    <t xml:space="preserve"> 02.01.100.2 </t>
  </si>
  <si>
    <t xml:space="preserve"> MPDFT0622 </t>
  </si>
  <si>
    <t>Copia da SBC (210002) - TRANSPORTE, MONTAGEM, DESMONTAGEM E REMOÇÃO DE CONTEINERS EM OBRAS</t>
  </si>
  <si>
    <t>UN</t>
  </si>
  <si>
    <t xml:space="preserve"> 02.01.400 </t>
  </si>
  <si>
    <t>Proteção e Sinalização</t>
  </si>
  <si>
    <t xml:space="preserve"> 02.01.400.1 </t>
  </si>
  <si>
    <t xml:space="preserve"> 97053 </t>
  </si>
  <si>
    <t>SINAPI</t>
  </si>
  <si>
    <t>SINALIZAÇÃO COM FITA FIXADA EM CONE PLÁSTICO, INCLUINDO CONE. AF_11/2017</t>
  </si>
  <si>
    <t>M</t>
  </si>
  <si>
    <t xml:space="preserve"> 02.01.400.2 </t>
  </si>
  <si>
    <t xml:space="preserve"> 98458 </t>
  </si>
  <si>
    <t>TAPUME COM COMPENSADO DE MADEIRA. AF_05/2018</t>
  </si>
  <si>
    <t>m²</t>
  </si>
  <si>
    <t xml:space="preserve"> 02.02 </t>
  </si>
  <si>
    <t>DEMOLIÇÃO</t>
  </si>
  <si>
    <t xml:space="preserve"> 02.02.100 </t>
  </si>
  <si>
    <t>Demolição Convencional</t>
  </si>
  <si>
    <t xml:space="preserve"> 02.02.100.1 </t>
  </si>
  <si>
    <t xml:space="preserve"> MPDFT0600 </t>
  </si>
  <si>
    <t>Copia da CPOS (04.09.100) - Retirada de guarda-corpo ou gradil em geral</t>
  </si>
  <si>
    <t xml:space="preserve"> 02.02.100.2 </t>
  </si>
  <si>
    <t xml:space="preserve"> MPDFT0601 </t>
  </si>
  <si>
    <t>Copia da CPOS (04.09.080) - Retirada de batente, corrimão ou peças lineares metálicas, fixados</t>
  </si>
  <si>
    <t>m</t>
  </si>
  <si>
    <t xml:space="preserve"> 02.02.100.3 </t>
  </si>
  <si>
    <t xml:space="preserve"> MPDFT0926 </t>
  </si>
  <si>
    <t>Baseado em SINAPI (99855) - REINSTALAÇÃO DE CORRIMÃO</t>
  </si>
  <si>
    <t xml:space="preserve"> 02.02.100.4 </t>
  </si>
  <si>
    <t xml:space="preserve"> MPDFT0182 </t>
  </si>
  <si>
    <t>Copia da SETOP (DEM-REV-015) - DEMOLIÇÃO DE REVESTIMENTO DE PEDRA (MÁRMORE, GRANITO, ARDÓSIA, SÃO TOMÉ, ETC.), INCLUSIVE AFASTAMENTO</t>
  </si>
  <si>
    <t xml:space="preserve"> 02.02.100.5 </t>
  </si>
  <si>
    <t xml:space="preserve"> MPDFT0104 </t>
  </si>
  <si>
    <t>Copia da SEINFRA (C1049) - DEMOLIÇÃO DE CONCRETO SIMPLES</t>
  </si>
  <si>
    <t>m³</t>
  </si>
  <si>
    <t xml:space="preserve"> 02.02.100.6 </t>
  </si>
  <si>
    <t xml:space="preserve"> MPDFT0478 </t>
  </si>
  <si>
    <t>Demolição de caixas de esgoto, água pluvial e águas servidas, inclusive fundo em concreto, escavação e reaterro</t>
  </si>
  <si>
    <t>un</t>
  </si>
  <si>
    <t xml:space="preserve"> 02.02.100.7 </t>
  </si>
  <si>
    <t xml:space="preserve"> MPDFT0778 </t>
  </si>
  <si>
    <t>Copia da SINAPI (97634) - DEMOLIÇÃO DE PISO, DE FORMA MECANIZADA COM MARTELETE, SEM REAPROVEITAMENTO. AF_12/2017</t>
  </si>
  <si>
    <t xml:space="preserve"> 02.02.300 </t>
  </si>
  <si>
    <t>Remoções</t>
  </si>
  <si>
    <t xml:space="preserve"> 02.02.300.1 </t>
  </si>
  <si>
    <t xml:space="preserve"> MPDFT1025 </t>
  </si>
  <si>
    <t>Copia da SINAPI (98504) - REMOÇÃO DE GRAMA EM PLACAS COM REAPROVEITAMENTO.</t>
  </si>
  <si>
    <t xml:space="preserve"> 02.02.300.2 </t>
  </si>
  <si>
    <t xml:space="preserve"> MPDFT0105 </t>
  </si>
  <si>
    <t>Copia da ORSE (227) - Remoção de estrutura metálica chumbada em concreto (alambrado, guarda-corpo)</t>
  </si>
  <si>
    <t xml:space="preserve"> 02.02.300.3 </t>
  </si>
  <si>
    <t xml:space="preserve"> MPDFT0810 </t>
  </si>
  <si>
    <t>Copia da CPOS (04.21.130) - Remoção de poste de concreto</t>
  </si>
  <si>
    <t xml:space="preserve"> 02.02.300.4 </t>
  </si>
  <si>
    <t xml:space="preserve"> MPDFT0943 </t>
  </si>
  <si>
    <t>Baseado em SIURB (010211) - Carga manual e remoção de terra ou entulho</t>
  </si>
  <si>
    <t xml:space="preserve"> 02.02.300.5 </t>
  </si>
  <si>
    <t xml:space="preserve"> MPDFT0107 </t>
  </si>
  <si>
    <t>Copia da SBC (022605) - RETIRADA E RECOLOCACAO DE ESQUADRIA DE ALUMINIO</t>
  </si>
  <si>
    <t xml:space="preserve"> 02.02.300.6 </t>
  </si>
  <si>
    <t xml:space="preserve"> 97635 </t>
  </si>
  <si>
    <t>DEMOLIÇÃO DE PAVIMENTO INTERTRAVADO, DE FORMA MANUAL, COM REAPROVEITAMENTO. AF_12/2017</t>
  </si>
  <si>
    <t xml:space="preserve"> 02.02.300.7 </t>
  </si>
  <si>
    <t xml:space="preserve"> MPDFT0115 </t>
  </si>
  <si>
    <t>Copia da CPOS (04.40.030) - Retirada manual de guia pré-moldada, inclusive limpeza e empilhamento</t>
  </si>
  <si>
    <t xml:space="preserve"> 02.02.300.8 </t>
  </si>
  <si>
    <t xml:space="preserve"> 97661 </t>
  </si>
  <si>
    <t>REMOÇÃO DE CABOS ELÉTRICOS, DE FORMA MANUAL, SEM REAPROVEITAMENTO. AF_12/2017</t>
  </si>
  <si>
    <t xml:space="preserve"> 02.02.300.9 </t>
  </si>
  <si>
    <t xml:space="preserve"> MPDFT0218 </t>
  </si>
  <si>
    <t>Copia da SETOP (DEM-IMP-005) - REMOÇÃO DE IMPERMEABILIZAÇÃO E PROTEÇÃO MECÂNICA</t>
  </si>
  <si>
    <t xml:space="preserve"> 02.02.300.10 </t>
  </si>
  <si>
    <t xml:space="preserve"> MPDFT0604 </t>
  </si>
  <si>
    <t>Copia da SBC (022194) - RETIRADA GRADES DE FERRO</t>
  </si>
  <si>
    <t xml:space="preserve"> 02.02.300.11 </t>
  </si>
  <si>
    <t xml:space="preserve"> MPDFT0004 </t>
  </si>
  <si>
    <t>Transporte de material – bota-fora, D.M.T = 35,0 km</t>
  </si>
  <si>
    <t xml:space="preserve"> 02.02.300.12 </t>
  </si>
  <si>
    <t xml:space="preserve"> MPDFT1096 </t>
  </si>
  <si>
    <t>Baseado da SEDOP (091518) - Remoção cuidadosa de Pele de vidro. Incluindo o mapeamento estocagem adequada.</t>
  </si>
  <si>
    <t xml:space="preserve"> 02.02.300.13 </t>
  </si>
  <si>
    <t xml:space="preserve"> MPDFT1103 </t>
  </si>
  <si>
    <t>Copia da ORSE (12345) - Remoção e reassentamento de Porta automática de vidro</t>
  </si>
  <si>
    <t xml:space="preserve"> 04 </t>
  </si>
  <si>
    <t>ARQUITETURA E ELEMENTOS DE URBANISMO</t>
  </si>
  <si>
    <t xml:space="preserve"> 04.01 </t>
  </si>
  <si>
    <t>ARQUITETURA</t>
  </si>
  <si>
    <t xml:space="preserve"> 04.01.250 </t>
  </si>
  <si>
    <t>Esquadria de alumínio</t>
  </si>
  <si>
    <t xml:space="preserve"> 04.01.250.1 </t>
  </si>
  <si>
    <t xml:space="preserve"> MPDFT1107 </t>
  </si>
  <si>
    <t>Baseado em MPDFT1088 - Reinstalação de Alçapão 100x50cm</t>
  </si>
  <si>
    <t xml:space="preserve"> 04.01.250.2 </t>
  </si>
  <si>
    <t xml:space="preserve"> MPDFT1108 </t>
  </si>
  <si>
    <t>Baseado em MPDFT1088 - Reinstalação de tampas de caixa de inspeção 25 x 25cm</t>
  </si>
  <si>
    <t xml:space="preserve"> 04.01.300 </t>
  </si>
  <si>
    <t>Vidros e Plásticos</t>
  </si>
  <si>
    <t xml:space="preserve"> 04.01.300.1 </t>
  </si>
  <si>
    <t xml:space="preserve"> MPDFT1097 </t>
  </si>
  <si>
    <t>Baseado da SEDOP (091518) - Reinstalação de Pele de vidro</t>
  </si>
  <si>
    <t xml:space="preserve"> 04.01.300.2 </t>
  </si>
  <si>
    <t xml:space="preserve"> MPDFT0501 </t>
  </si>
  <si>
    <t>Copia da SEDOP (171062) - Instalação de sensor para porta automática (somente instalação, sem fornecimento)</t>
  </si>
  <si>
    <t xml:space="preserve"> 04.01.510 </t>
  </si>
  <si>
    <t>Revestimentos de pisos</t>
  </si>
  <si>
    <t xml:space="preserve"> 04.01.510.1 </t>
  </si>
  <si>
    <t xml:space="preserve"> 101865 </t>
  </si>
  <si>
    <t>REASSENTAMENTO DE BLOCOS RETANGULAR PARA PISO INTERTRAVADO, ESPESSURA DE 10 CM, EM VIA/ESTACIONAMENTO, COM REAPROVEITAMENTO DOS BLOCOS RETANGULAR. AF_12/2020</t>
  </si>
  <si>
    <t xml:space="preserve"> 04.01.510.2 </t>
  </si>
  <si>
    <t xml:space="preserve"> MPDFT0929 </t>
  </si>
  <si>
    <t>Baseado em SINAPI (101092) - Piso em granito levigado, Vermelho Brasília, e = 2cm</t>
  </si>
  <si>
    <t xml:space="preserve"> 04.01.510.3 </t>
  </si>
  <si>
    <t xml:space="preserve"> MPDFT0130 </t>
  </si>
  <si>
    <t>Copia da ORSE (7324) - Piso tátil rígido de concreto, DM 25x25cm, espessura 20mm, modelo direcional ou alerta, cor amarela</t>
  </si>
  <si>
    <t xml:space="preserve"> 04.01.510.4 </t>
  </si>
  <si>
    <t xml:space="preserve"> MPDFT1104 </t>
  </si>
  <si>
    <t>Copia da SINAPI (98671) - PISO EM GRANITO BRANCO ITAÚNA 2MM POLIDO APLICADO EM AMBIENTES INTERNOS.</t>
  </si>
  <si>
    <t xml:space="preserve"> 04.01.510.5 </t>
  </si>
  <si>
    <t xml:space="preserve"> 102492 </t>
  </si>
  <si>
    <t>PINTURA DE PISO COM TINTA ACRÍLICA, APLICAÇÃO MANUAL, 3 DEMÃOS, INCLUSO FUNDO PREPARADOR. AF_05/2021</t>
  </si>
  <si>
    <t xml:space="preserve"> 04.01.560 </t>
  </si>
  <si>
    <t>Pinturas</t>
  </si>
  <si>
    <t xml:space="preserve"> 04.01.560.1 </t>
  </si>
  <si>
    <t xml:space="preserve"> 100726 </t>
  </si>
  <si>
    <t>PINTURA COM TINTA ALQUÍDICA DE FUNDO E ACABAMENTO (ESMALTE SINTÉTICO GRAFITE) APLICADA A ROLO OU PINCEL SOBRE SUPERFÍCIES METÁLICAS (EXCETO PERFIL) EXECUTADO EM OBRA (POR DEMÃO). AF_01/2020</t>
  </si>
  <si>
    <t xml:space="preserve"> 04.01.600 </t>
  </si>
  <si>
    <t>Impermeabilizações</t>
  </si>
  <si>
    <t xml:space="preserve"> 04.01.600.1 </t>
  </si>
  <si>
    <t xml:space="preserve"> 99814 </t>
  </si>
  <si>
    <t>LIMPEZA DE SUPERFÍCIE COM JATO DE ALTA PRESSÃO. AF_04/2019</t>
  </si>
  <si>
    <t xml:space="preserve"> 04.01.600.2 </t>
  </si>
  <si>
    <t xml:space="preserve"> MPDFT1058 </t>
  </si>
  <si>
    <t>Cópia da Sinapi (87747) - Regularização / preparação de superfície com argamassa, e = 3cm, traço 1:3 (cimento e areia), com adição de de emulsão adesiva a base de resinas especiais de alto desempenho</t>
  </si>
  <si>
    <t xml:space="preserve"> 04.01.600.3 </t>
  </si>
  <si>
    <t xml:space="preserve"> MPDFT0480 </t>
  </si>
  <si>
    <t>Copia da SINAPI (98546) - Impermeabilização de superfície com manta asfáltica (com polímeros elastoméricos), e=4mm, ref. Torodin Extra, colada com asfalto derretido</t>
  </si>
  <si>
    <t xml:space="preserve"> 04.01.600.4 </t>
  </si>
  <si>
    <t xml:space="preserve"> MPDFT0547 </t>
  </si>
  <si>
    <t>Copia da SINAPI (98546) - Impermeabilização de ralos ou ponto emergente com manta asfáltica (com polímeros elastoméricos), e=4mm, ref. Torodin Extra, colada com asfalto derretido</t>
  </si>
  <si>
    <t xml:space="preserve"> 04.01.600.5 </t>
  </si>
  <si>
    <t xml:space="preserve"> MPDFT0632 </t>
  </si>
  <si>
    <t>Copia da SINAPI (98565) - Proteção mecânica horizontal, preparo mecânico, espessura 3cm, incluso camada separadora geotextil e junta plástica</t>
  </si>
  <si>
    <t xml:space="preserve"> 04.01.600.6 </t>
  </si>
  <si>
    <t xml:space="preserve"> MPDFT0481 </t>
  </si>
  <si>
    <t>Copia da SINAPI (98546) - Impermeabilização de superfície com manta asfáltica antirraiz (com polímeros elastoméricos), e=4mm, ref. Torodin Extra, colada com asfalto derretido</t>
  </si>
  <si>
    <t xml:space="preserve"> 04.01.600.7 </t>
  </si>
  <si>
    <t xml:space="preserve"> MPDFT0564 </t>
  </si>
  <si>
    <t>Calha em formato 'U', L=0,35m, moldada in loco, com alvenaria de blocos cerâmicos maciços</t>
  </si>
  <si>
    <t xml:space="preserve"> 04.01.600.8 </t>
  </si>
  <si>
    <t xml:space="preserve"> MPDFT1109 </t>
  </si>
  <si>
    <t>Copia da SINAPI (73881/001) - Instalação de Geomanta drenante sobre proteção mecânica.</t>
  </si>
  <si>
    <t xml:space="preserve"> 04.01.800 </t>
  </si>
  <si>
    <t>Equipamentos e Acessórios</t>
  </si>
  <si>
    <t xml:space="preserve"> 04.01.800.1 </t>
  </si>
  <si>
    <t xml:space="preserve"> MPDFT1095 </t>
  </si>
  <si>
    <t>Baseado da ORSE (12979) - Recolocação de Guarda-corpo em tubo de aço galvanizado de 1,1m de altura</t>
  </si>
  <si>
    <t xml:space="preserve"> 04.01.800.2 </t>
  </si>
  <si>
    <t xml:space="preserve"> MPDFT1110 </t>
  </si>
  <si>
    <t>Copia da SINAPI (99839) - Recomposição de Guarda corpo em aço Galvanizado</t>
  </si>
  <si>
    <t xml:space="preserve"> 04.04 </t>
  </si>
  <si>
    <t>PAISAGISMO</t>
  </si>
  <si>
    <t xml:space="preserve"> 04.04.200 </t>
  </si>
  <si>
    <t>Preparo do Solo para Plantio</t>
  </si>
  <si>
    <t xml:space="preserve"> 04.04.200.1 </t>
  </si>
  <si>
    <t xml:space="preserve"> 04.04.200.2 </t>
  </si>
  <si>
    <t xml:space="preserve"> MPDFT0591 </t>
  </si>
  <si>
    <t>Carga, descarga e espalhamento de solo, inclusive transporte em caminhão basculante 14 m3, DMT 20km</t>
  </si>
  <si>
    <t xml:space="preserve"> 04.04.300 </t>
  </si>
  <si>
    <t>Vegetação</t>
  </si>
  <si>
    <t xml:space="preserve"> 04.04.300.1 </t>
  </si>
  <si>
    <t xml:space="preserve"> 98504 </t>
  </si>
  <si>
    <t>PLANTIO DE GRAMA EM PLACAS. AF_05/2018</t>
  </si>
  <si>
    <t xml:space="preserve"> 04.04.300.2 </t>
  </si>
  <si>
    <t xml:space="preserve"> MPDFT1024 </t>
  </si>
  <si>
    <t>Copia da SINAPI (98504) - REPLANTIO DE GRAMA EM PLACAS.</t>
  </si>
  <si>
    <t xml:space="preserve"> 04.04.400 </t>
  </si>
  <si>
    <t>Passeios</t>
  </si>
  <si>
    <t xml:space="preserve"> 04.04.400.1 </t>
  </si>
  <si>
    <t xml:space="preserve"> 94994 </t>
  </si>
  <si>
    <t>EXECUÇÃO DE PASSEIO (CALÇADA) OU PISO DE CONCRETO COM CONCRETO MOLDADO IN LOCO, FEITO EM OBRA, ACABAMENTO CONVENCIONAL, ESPESSURA 8 CM, ARMADO. AF_07/2016</t>
  </si>
  <si>
    <t xml:space="preserve"> 04.04.400.2 </t>
  </si>
  <si>
    <t xml:space="preserve"> MPDFT0102 </t>
  </si>
  <si>
    <t>Copia da SBC (030412) - Junta de dilatação para impermeabilização, com asfalto oxidado aplicado à quente, DM 2x2cm</t>
  </si>
  <si>
    <t xml:space="preserve"> 04.05 </t>
  </si>
  <si>
    <t>PAVIMENTAÇÃO</t>
  </si>
  <si>
    <t xml:space="preserve"> 04.05.1 </t>
  </si>
  <si>
    <t xml:space="preserve"> MPDFT1023 </t>
  </si>
  <si>
    <t>Copia da SINAPI (94276) - Assentamento de guia (meio-fio) reaproveitada, em concreto pré-fabricado DM 1,00x15x30, exclusive guia (meio fio)</t>
  </si>
  <si>
    <t xml:space="preserve"> 05 </t>
  </si>
  <si>
    <t>INSTALAÇÕES HIDRÁULICAS E SANITÁRIAS</t>
  </si>
  <si>
    <t xml:space="preserve"> 05.03 </t>
  </si>
  <si>
    <t>DRENAGEM DE ÁGUAS PLUVIAIS</t>
  </si>
  <si>
    <t xml:space="preserve"> 05.03.300 </t>
  </si>
  <si>
    <t>Tubulações e Conexões de PVC</t>
  </si>
  <si>
    <t xml:space="preserve"> 05.03.300.1 </t>
  </si>
  <si>
    <t xml:space="preserve"> 91791 </t>
  </si>
  <si>
    <t>(COMPOSIÇÃO REPRESENTATIVA) DO SERVIÇO DE INSTALAÇÃO DE TUBOS DE PVC, SÉRIE R, ÁGUA PLUVIAL, DN 150 MM (INSTALADO EM CONDUTORES VERTICAIS), INCLUSIVE CONEXÕES, CORTES E FIXAÇÕES, PARA PRÉDIOS. AF_10/2015</t>
  </si>
  <si>
    <t xml:space="preserve"> 05.03.300.2 </t>
  </si>
  <si>
    <t xml:space="preserve"> 89590 </t>
  </si>
  <si>
    <t>JOELHO 90 GRAUS, PVC, SERIE R, ÁGUA PLUVIAL, DN 150 MM, JUNTA ELÁSTICA, FORNECIDO E INSTALADO EM CONDUTORES VERTICAIS DE ÁGUAS PLUVIAIS. AF_12/2014</t>
  </si>
  <si>
    <t xml:space="preserve"> 05.03.300.3 </t>
  </si>
  <si>
    <t xml:space="preserve"> 89698 </t>
  </si>
  <si>
    <t>JUNÇÃO SIMPLES, PVC, SERIE R, ÁGUA PLUVIAL, DN 150 X 150 MM, JUNTA ELÁSTICA, FORNECIDO E INSTALADO EM CONDUTORES VERTICAIS DE ÁGUAS PLUVIAIS. AF_12/2014</t>
  </si>
  <si>
    <t xml:space="preserve"> 05.03.300.4 </t>
  </si>
  <si>
    <t xml:space="preserve"> MPDFT1105 </t>
  </si>
  <si>
    <t>Copia da SINAPI (89863) - JUNÇÃO SIMPLES, PVC, SERIE NORMAL, ESGOTO PREDIAL, DN 200 X 150 MM, JUNTA ELÁSTICA, FORNECIDO E INSTALADO</t>
  </si>
  <si>
    <t xml:space="preserve"> 05.03.300.5 </t>
  </si>
  <si>
    <t xml:space="preserve"> MPDFT0853 </t>
  </si>
  <si>
    <t>Copia da SINAPI (89677) - CAP / TAMPÃO, PVC, SERIE R, ÁGUA PLUVIAL, DN 150 MM, JUNTA ELÁSTICA, FORNECIDO E INSTALADO EM CONDUTORES VERTICAIS DE ÁGUAS PLUVIAIS. AF_12/2014</t>
  </si>
  <si>
    <t xml:space="preserve"> 05.03.900 </t>
  </si>
  <si>
    <t>Acessórios</t>
  </si>
  <si>
    <t xml:space="preserve"> 05.03.900.1 </t>
  </si>
  <si>
    <t xml:space="preserve"> MPDFT0603 </t>
  </si>
  <si>
    <t>Copia da CPOS (49.06.170) - Grelha em alumínio para caixas e canaletas</t>
  </si>
  <si>
    <t xml:space="preserve"> 05.03.900.2 </t>
  </si>
  <si>
    <t xml:space="preserve"> 90441 </t>
  </si>
  <si>
    <t>FURO EM CONCRETO PARA DIÂMETROS MAIORES QUE 75 MM. AF_05/2015</t>
  </si>
  <si>
    <t xml:space="preserve"> 05.04 </t>
  </si>
  <si>
    <t>SERVIÇOS DIVERSOS</t>
  </si>
  <si>
    <t xml:space="preserve"> 05.04.300 </t>
  </si>
  <si>
    <t>Caixas de Passagem</t>
  </si>
  <si>
    <t xml:space="preserve"> 05.04.300.1 </t>
  </si>
  <si>
    <t xml:space="preserve"> 99257 </t>
  </si>
  <si>
    <t>CAIXA ENTERRADA HIDRÁULICA RETANGULAR EM ALVENARIA COM TIJOLOS CERÂMICOS MACIÇOS, DIMENSÕES INTERNAS: 1X1X0,6 M PARA REDE DE DRENAGEM. AF_12/2020</t>
  </si>
  <si>
    <t xml:space="preserve"> 06 </t>
  </si>
  <si>
    <t>INSTALAÇÕES ELÉTRICAS E ELETRÔNICAS</t>
  </si>
  <si>
    <t xml:space="preserve"> 06.01 </t>
  </si>
  <si>
    <t>INSTALAÇÕES ELÉTRICAS</t>
  </si>
  <si>
    <t xml:space="preserve"> 06.01.400 </t>
  </si>
  <si>
    <t>Rede Elétrica Secundária</t>
  </si>
  <si>
    <t xml:space="preserve"> 06.01.400.1 </t>
  </si>
  <si>
    <t xml:space="preserve"> 91872 </t>
  </si>
  <si>
    <t>ELETRODUTO RÍGIDO ROSCÁVEL, PVC, DN 32 MM (1"), PARA CIRCUITOS TERMINAIS, INSTALADO EM PAREDE - FORNECIMENTO E INSTALAÇÃO. AF_12/2015</t>
  </si>
  <si>
    <t xml:space="preserve"> 06.01.400.2 </t>
  </si>
  <si>
    <t xml:space="preserve"> 91929 </t>
  </si>
  <si>
    <t>CABO DE COBRE FLEXÍVEL ISOLADO, 4 MM², ANTI-CHAMA 0,6/1,0 KV, PARA CIRCUITOS TERMINAIS - FORNECIMENTO E INSTALAÇÃO. AF_12/2015</t>
  </si>
  <si>
    <t xml:space="preserve"> 06.01.400.3 </t>
  </si>
  <si>
    <t xml:space="preserve"> MPDFT1106 </t>
  </si>
  <si>
    <t>Base nova para poste, em concreto 30 x 30 cm, aço de 8mm.</t>
  </si>
  <si>
    <t xml:space="preserve"> 06.01.400.4 </t>
  </si>
  <si>
    <t xml:space="preserve"> MPDFT0811 </t>
  </si>
  <si>
    <t>Copia da SINAPI (101175) - Chumbamento de poste com concreto magro 30cm de diâmetro e 1metro de profundidade, inclusive escavação.</t>
  </si>
  <si>
    <t xml:space="preserve"> 06.10 </t>
  </si>
  <si>
    <t xml:space="preserve"> 06.10.300 </t>
  </si>
  <si>
    <t xml:space="preserve"> 06.10.300.1 </t>
  </si>
  <si>
    <t xml:space="preserve"> MPDFT1015 </t>
  </si>
  <si>
    <t>Cópia da Sinapi (97881) - Caixa de passagem pré-moldadas, com dimensões de 30x30x30cm, incluso tampão em ferro fundido T33, fundo em lastro de concreto magro e=7cm sobre colchão de brita e=10cm</t>
  </si>
  <si>
    <t xml:space="preserve"> 09 </t>
  </si>
  <si>
    <t>SERVIÇOS COMPLEMENTARES</t>
  </si>
  <si>
    <t xml:space="preserve"> 09.02 </t>
  </si>
  <si>
    <t>LIMPEZA DE OBRAS</t>
  </si>
  <si>
    <t xml:space="preserve"> 09.02.1 </t>
  </si>
  <si>
    <t xml:space="preserve"> 99811 </t>
  </si>
  <si>
    <t>LIMPEZA DE CONTRAPISO COM VASSOURA A SECO. AF_04/2019</t>
  </si>
  <si>
    <t xml:space="preserve"> 09.02.2 </t>
  </si>
  <si>
    <t xml:space="preserve"> 99806 </t>
  </si>
  <si>
    <t>LIMPEZA DE REVESTIMENTO CERÂMICO EM PAREDE COM PANO ÚMIDO AF_04/2019</t>
  </si>
  <si>
    <t xml:space="preserve"> 09.02.3 </t>
  </si>
  <si>
    <t xml:space="preserve"> 99803 </t>
  </si>
  <si>
    <t>LIMPEZA DE PISO CERÂMICO OU PORCELANATO COM PANO ÚMIDO. AF_04/2019</t>
  </si>
  <si>
    <t xml:space="preserve"> 10 </t>
  </si>
  <si>
    <t>SERVIÇOS AUXILIARES E ADMINISTRATIVOS</t>
  </si>
  <si>
    <t xml:space="preserve"> 10.01 </t>
  </si>
  <si>
    <t>PESSOAL</t>
  </si>
  <si>
    <t xml:space="preserve"> 10.01.1 </t>
  </si>
  <si>
    <t xml:space="preserve"> 93572 </t>
  </si>
  <si>
    <t>ENCARREGADO GERAL DE OBRAS COM ENCARGOS COMPLEMENTARES</t>
  </si>
  <si>
    <t>MES</t>
  </si>
  <si>
    <t xml:space="preserve"> 10.01.2 </t>
  </si>
  <si>
    <t xml:space="preserve"> 90778 </t>
  </si>
  <si>
    <t>ENGENHEIRO CIVIL DE OBRA PLENO COM ENCARGOS COMPLEMENTARES</t>
  </si>
  <si>
    <t>H</t>
  </si>
  <si>
    <t>Total sem BDI</t>
  </si>
  <si>
    <t>Total do BDI</t>
  </si>
  <si>
    <t>Total Geral</t>
  </si>
  <si>
    <t>Data:</t>
  </si>
  <si>
    <t>Insumo</t>
  </si>
  <si>
    <t>Mão de Obra</t>
  </si>
  <si>
    <t>Composição</t>
  </si>
  <si>
    <t>Material</t>
  </si>
  <si>
    <t>SERVENTE COM ENCARGOS COMPLEMENTARES</t>
  </si>
  <si>
    <t xml:space="preserve"> 88316 </t>
  </si>
  <si>
    <t>CAIXA DE CONCRETO ARMADO PRE-MOLDADO, COM FUNDO E TAMPA, DIMENSOES DE 0,30 X 0,30 X 0,30 M</t>
  </si>
  <si>
    <t xml:space="preserve"> 00041627 </t>
  </si>
  <si>
    <t>TAMPAO FOFO SIMPLES COM BASE, CLASSE A15 CARGA MAX 1,5 T, 300 X 300 MM, REDE PLUVIAL/ESGOTO</t>
  </si>
  <si>
    <t xml:space="preserve"> 00011315 </t>
  </si>
  <si>
    <t>PREPARO DE FUNDO DE VALA COM LARGURA MENOR QUE 1,5 M, COM CAMADA DE BRITA, LANÇAMENTO MANUAL. AF_08/2020</t>
  </si>
  <si>
    <t xml:space="preserve"> 101619 </t>
  </si>
  <si>
    <t>PEDREIRO COM ENCARGOS COMPLEMENTARES</t>
  </si>
  <si>
    <t xml:space="preserve"> 88309 </t>
  </si>
  <si>
    <t>LASTRO DE CONCRETO MAGRO, APLICADO EM PISOS OU RADIERS. AF_08/2017</t>
  </si>
  <si>
    <t xml:space="preserve"> 96620 </t>
  </si>
  <si>
    <t>CONCRETO MAGRO PARA LASTRO, TRAÇO 1:4,5:4,5 (CIMENTO/ AREIA MÉDIA/ BRITA 1)  - PREPARO MECÂNICO COM BETONEIRA 400 L. AF_07/2016</t>
  </si>
  <si>
    <t xml:space="preserve"> 94962 </t>
  </si>
  <si>
    <t>(COMPOSIÇÃO REPRESENTATIVA) EXECUÇÃO DE ESTRUTURAS DE CONCRETO ARMADO, PARA EDIFICAÇÃO HABITACIONAL UNIFAMILIAR COM DOIS PAVIMENTOS (CASA EM EMPREENDIMENTOS), FCK = 25 MPA. AF_01/2017</t>
  </si>
  <si>
    <t xml:space="preserve"> 95954 </t>
  </si>
  <si>
    <t>ELETRICISTA COM ENCARGOS COMPLEMENTARES</t>
  </si>
  <si>
    <t xml:space="preserve"> 88264 </t>
  </si>
  <si>
    <t>AUXILIAR DE ELETRICISTA COM ENCARGOS COMPLEMENTARES</t>
  </si>
  <si>
    <t xml:space="preserve"> 88247 </t>
  </si>
  <si>
    <t>CHI</t>
  </si>
  <si>
    <t>CHP</t>
  </si>
  <si>
    <t>ENCANADOR OU BOMBEIRO HIDRÁULICO COM ENCARGOS COMPLEMENTARES</t>
  </si>
  <si>
    <t xml:space="preserve"> 88267 </t>
  </si>
  <si>
    <t>AUXILIAR DE ENCANADOR OU BOMBEIRO HIDRÁULICO COM ENCARGOS COMPLEMENTARES</t>
  </si>
  <si>
    <t xml:space="preserve"> 88248 </t>
  </si>
  <si>
    <t>MARTELETE OU ROMPEDOR PNEUMÁTICO MANUAL, 28 KG, COM SILENCIADOR - CHI DIURNO. AF_07/2016</t>
  </si>
  <si>
    <t xml:space="preserve"> 5952 </t>
  </si>
  <si>
    <t>MARTELETE OU ROMPEDOR PNEUMÁTICO MANUAL, 28 KG, COM SILENCIADOR - CHP DIURNO. AF_07/2016</t>
  </si>
  <si>
    <t xml:space="preserve"> 5795 </t>
  </si>
  <si>
    <t>Grelha reta com tela. Conjunto grelha + porta. 20/100cm. Linha leve. CostaNavarro</t>
  </si>
  <si>
    <t xml:space="preserve"> CM1530 </t>
  </si>
  <si>
    <t>ANEL BORRACHA, PARA TUBO PVC, REDE COLETOR ESGOTO, DN 200 MM (NBR 7362)</t>
  </si>
  <si>
    <t xml:space="preserve"> 00000306 </t>
  </si>
  <si>
    <t>CAP PVC, SERIE R, DN 150 MM, PARA ESGOTO PREDIAL</t>
  </si>
  <si>
    <t xml:space="preserve"> 00020089 </t>
  </si>
  <si>
    <t>PASTA LUBRIFICANTE PARA TUBOS E CONEXOES COM JUNTA ELASTICA (USO EM PVC, ACO, POLIETILENO E OUTROS) ( DE *400* G)</t>
  </si>
  <si>
    <t xml:space="preserve"> 00020078 </t>
  </si>
  <si>
    <t>Junção simples, PVC leve, 200x150 mm, para esgoto predial</t>
  </si>
  <si>
    <t xml:space="preserve"> CM1784 </t>
  </si>
  <si>
    <t>ANEL BORRACHA, PARA TUBO PVC, REDE COLETOR ESGOTO, DN 150 MM (NBR 7362)</t>
  </si>
  <si>
    <t xml:space="preserve"> 00000305 </t>
  </si>
  <si>
    <t>AREIA MEDIA - POSTO JAZIDA/FORNECEDOR (RETIRADO NA JAZIDA, SEM TRANSPORTE)</t>
  </si>
  <si>
    <t xml:space="preserve"> 00000370 </t>
  </si>
  <si>
    <t>ARGAMASSA TRAÇO 1:3 (CIMENTO E AREIA MÉDIA), PREPARO MANUAL. AF_08/2014</t>
  </si>
  <si>
    <t xml:space="preserve"> 88629 </t>
  </si>
  <si>
    <t>KG</t>
  </si>
  <si>
    <t>ASFALTO MODIFICADO TIPO III - NBR 9910 (ASFALTO OXIDADO PARA IMPERMEABILIZACAO, COEFICIENTE DE PENETRACAO 15-25)</t>
  </si>
  <si>
    <t xml:space="preserve"> 00000509 </t>
  </si>
  <si>
    <t>JARDINEIRO COM ENCARGOS COMPLEMENTARES</t>
  </si>
  <si>
    <t xml:space="preserve"> 88441 </t>
  </si>
  <si>
    <t>ARGILA, ARGILA VERMELHA OU ARGILA ARENOSA (RETIRADA NA JAZIDA, SEM TRANSPORTE)</t>
  </si>
  <si>
    <t xml:space="preserve"> 00006079 </t>
  </si>
  <si>
    <t>CARGA, MANOBRA E DESCARGA DE SOLOS E MATERIAIS GRANULARES EM CAMINHÃO BASCULANTE 14 M³ - CARGA COM ESCAVADEIRA HIDRÁULICA (CAÇAMBA DE 1,20 M³ / 155 HP) E DESCARGA LIVRE (UNIDADE: M3). AF_07/2020</t>
  </si>
  <si>
    <t xml:space="preserve"> 100979 </t>
  </si>
  <si>
    <t>M3XKM</t>
  </si>
  <si>
    <t>TRANSPORTE COM CAMINHÃO BASCULANTE DE 14 M³, EM VIA URBANA PAVIMENTADA, DMT ATÉ 30 KM (UNIDADE: M3XKM). AF_07/2020</t>
  </si>
  <si>
    <t xml:space="preserve"> 95876 </t>
  </si>
  <si>
    <t>TRANSPORTE HORIZONTAL COM CARREGADEIRA, DE MASSA/ GRANEL (UNIDADE: M3XKM). AF_07/2019</t>
  </si>
  <si>
    <t xml:space="preserve"> 100207 </t>
  </si>
  <si>
    <t>TUBO ACO GALVANIZADO COM COSTURA, CLASSE LEVE, DN 50 MM ( 2"),  E = 3,00 MM,  *4,40* KG/M (NBR 5580)</t>
  </si>
  <si>
    <t xml:space="preserve"> 00021013 </t>
  </si>
  <si>
    <t>TUBO ACO GALVANIZADO COM COSTURA, CLASSE LEVE, DN 40 MM ( 1 1/2"),  E = 3,00 MM,  *3,48* KG/M (NBR 5580)</t>
  </si>
  <si>
    <t xml:space="preserve"> 00021012 </t>
  </si>
  <si>
    <t>PARAFUSO DE ACO TIPO CHUMBADOR PARABOLT, DIAMETRO 3/8", COMPRIMENTO 75 MM</t>
  </si>
  <si>
    <t xml:space="preserve"> 00011964 </t>
  </si>
  <si>
    <t>ELETRODO REVESTIDO AWS - E6013, DIAMETRO IGUAL A 2,50 MM</t>
  </si>
  <si>
    <t xml:space="preserve"> 00011002 </t>
  </si>
  <si>
    <t>CHAPA DE ACO GROSSA, ASTM A36, E = 3/8 " (9,53 MM) 74,69 KG/M2</t>
  </si>
  <si>
    <t xml:space="preserve"> 00001332 </t>
  </si>
  <si>
    <t>BARRA DE FERRO CHATA, RETANGULAR (QUALQUER BITOLA)</t>
  </si>
  <si>
    <t xml:space="preserve"> 00000546 </t>
  </si>
  <si>
    <t>SERRALHEIRO COM ENCARGOS COMPLEMENTARES</t>
  </si>
  <si>
    <t xml:space="preserve"> 88315 </t>
  </si>
  <si>
    <t>AUXILIAR DE SERRALHEIRO COM ENCARGOS COMPLEMENTARES</t>
  </si>
  <si>
    <t xml:space="preserve"> 88251 </t>
  </si>
  <si>
    <t>GEOTEXTIL NAO TECIDO AGULHADO DE FILAMENTOS CONTINUOS 100% POLIESTER, RESITENCIA A TRACAO = 14 KN/M</t>
  </si>
  <si>
    <t xml:space="preserve"> 00004021 </t>
  </si>
  <si>
    <t>MASSA ÚNICA, PARA RECEBIMENTO DE PINTURA, EM ARGAMASSA TRAÇO 1:2:8, PREPARO MECÂNICO COM BETONEIRA 400L, APLICADA MANUALMENTE EM FACES INTERNAS DE PAREDES, ESPESSURA DE 20MM, COM EXECUÇÃO DE TALISCAS. AF_06/2014</t>
  </si>
  <si>
    <t xml:space="preserve"> 87529 </t>
  </si>
  <si>
    <t>CHAPISCO APLICADO EM ALVENARIAS E ESTRUTURAS DE CONCRETO INTERNAS, COM COLHER DE PEDREIRO.  ARGAMASSA TRAÇO 1:3 COM PREPARO EM BETONEIRA 400L. AF_06/2014</t>
  </si>
  <si>
    <t xml:space="preserve"> 87879 </t>
  </si>
  <si>
    <t>CONTRAPISO EM ARGAMASSA TRAÇO 1:4 (CIMENTO E AREIA), PREPARO MECÂNICO COM BETONEIRA 400 L, APLICADO EM ÁREAS SECAS SOBRE LAJE, NÃO ADERIDO, ESPESSURA 6CM. AF_06/2014</t>
  </si>
  <si>
    <t xml:space="preserve"> 87700 </t>
  </si>
  <si>
    <t>ALVENARIA EM TIJOLO CERAMICO MACICO 5X10X20CM 1/2 VEZ (ESPESSURA 10CM), ASSENTADO COM ARGAMASSA TRACO 1:2:8 (CIMENTO, CAL E AREIA)</t>
  </si>
  <si>
    <t xml:space="preserve"> 72132 </t>
  </si>
  <si>
    <t>Manta asfáltica elastomérica em poliéster 4mm, antirraiz</t>
  </si>
  <si>
    <t xml:space="preserve"> CM1475 </t>
  </si>
  <si>
    <t>ASFALTO MODIFICADO TIPO II - NBR 9910 (ASFALTO OXIDADO PARA IMPERMEABILIZACAO, COEFICIENTE DE PENETRACAO 20-35)</t>
  </si>
  <si>
    <t xml:space="preserve"> 00000516 </t>
  </si>
  <si>
    <t>L</t>
  </si>
  <si>
    <t>PRIMER PARA MANTA ASFALTICA A BASE DE ASFALTO MODIFICADO DILUIDO EM SOLVENTE, APLICACAO A FRIO</t>
  </si>
  <si>
    <t xml:space="preserve"> 00000511 </t>
  </si>
  <si>
    <t>GAS DE COZINHA - GLP</t>
  </si>
  <si>
    <t xml:space="preserve"> 00004226 </t>
  </si>
  <si>
    <t>IMPERMEABILIZADOR COM ENCARGOS COMPLEMENTARES</t>
  </si>
  <si>
    <t xml:space="preserve"> 88270 </t>
  </si>
  <si>
    <t>AJUDANTE ESPECIALIZADO COM ENCARGOS COMPLEMENTARES</t>
  </si>
  <si>
    <t xml:space="preserve"> 88243 </t>
  </si>
  <si>
    <t>JUNTA PLASTICA DE DILATACAO PARA PISOS, COR CINZA, 17 X 3 MM (ALTURA X ESPESSURA)</t>
  </si>
  <si>
    <t xml:space="preserve"> 00003671 </t>
  </si>
  <si>
    <t>CONTRAPISO EM ARGAMASSA TRAÇO 1:4 (CIMENTO E AREIA), PREPARO MECÂNICO COM BETONEIRA 400 L, APLICADO EM ÁREAS MOLHADAS SOBRE IMPERMEABILIZAÇÃO, ESPESSURA 3CM. AF_06/2014</t>
  </si>
  <si>
    <t xml:space="preserve"> 87755 </t>
  </si>
  <si>
    <t>MANTA ASFALTICA ELASTOMERICA EM POLIESTER 4 MM, TIPO III, CLASSE B, ACABAMENTO PP (NBR 9952)</t>
  </si>
  <si>
    <t xml:space="preserve"> 00004015 </t>
  </si>
  <si>
    <t>ADITIVO ADESIVO LIQUIDO PARA ARGAMASSAS DE REVESTIMENTOS CIMENTICIOS</t>
  </si>
  <si>
    <t xml:space="preserve"> 00007334 </t>
  </si>
  <si>
    <t>ARGAMASSA TRAÇO 1:3 (CIMENTO E AREIA MÉDIA) PARA CONTRAPISO, PREPARO MECÂNICO COM BETONEIRA 400 L. AF_06/2014</t>
  </si>
  <si>
    <t xml:space="preserve"> 87298 </t>
  </si>
  <si>
    <t>Granito Branco Itaúna, ou equivalente, e=2cm, acabamento polido</t>
  </si>
  <si>
    <t xml:space="preserve"> CM0061 </t>
  </si>
  <si>
    <t>l</t>
  </si>
  <si>
    <t>Solução hidrofugante à base de silano-siloxano Nitoprimer 40, fab. Anchortec Quartzolit</t>
  </si>
  <si>
    <t xml:space="preserve"> CM0169 </t>
  </si>
  <si>
    <t>ARGAMASSA COLANTE TIPO ACIII</t>
  </si>
  <si>
    <t xml:space="preserve"> 00037595 </t>
  </si>
  <si>
    <t>REJUNTE COLORIDO, CIMENTICIO</t>
  </si>
  <si>
    <t xml:space="preserve"> 00034357 </t>
  </si>
  <si>
    <t>MARMORISTA/GRANITEIRO COM ENCARGOS COMPLEMENTARES</t>
  </si>
  <si>
    <t xml:space="preserve"> 88274 </t>
  </si>
  <si>
    <t>ARGAMASSA COLANTE AC-II</t>
  </si>
  <si>
    <t xml:space="preserve"> 00034353 </t>
  </si>
  <si>
    <t>PISO PODOTATIL DE CONCRETO - DIRECIONAL E ALERTA, *40 X 40 X 2,5* CM</t>
  </si>
  <si>
    <t xml:space="preserve"> 00036178 </t>
  </si>
  <si>
    <t>Granito Vermelho Brasília, ou equivalente, e=2cm, acabamento levigado</t>
  </si>
  <si>
    <t xml:space="preserve"> CM0165 </t>
  </si>
  <si>
    <t>Borracha para vedação de pele de vidro</t>
  </si>
  <si>
    <t xml:space="preserve"> CM1780 </t>
  </si>
  <si>
    <t>VIDRACEIRO COM ENCARGOS COMPLEMENTARES</t>
  </si>
  <si>
    <t xml:space="preserve"> 88325 </t>
  </si>
  <si>
    <t>Plástico bolha</t>
  </si>
  <si>
    <t xml:space="preserve"> CM0748 </t>
  </si>
  <si>
    <t>CARGA MANUAL DE ENTULHO EM CAMINHAO BASCULANTE 6 M3</t>
  </si>
  <si>
    <t xml:space="preserve"> 72897 </t>
  </si>
  <si>
    <t>TRANSPORTE COM CAMINHÃO BASCULANTE DE 6 M3, EM VIA URBANA PAVIMENTADA, DMT ACIMA DE 30 KM (UNIDADE: M3XKM). AF_01/2018</t>
  </si>
  <si>
    <t xml:space="preserve"> 97915 </t>
  </si>
  <si>
    <t>GUINDAUTO HIDRÁULICO, CAPACIDADE MÁXIMA DE CARGA 6200 KG, MOMENTO MÁXIMO DE CARGA 11,7 TM, ALCANCE MÁXIMO HORIZONTAL 9,70 M, INCLUSIVE CAMINHÃO TOCO PBT 16.000 KG, POTÊNCIA DE 189 CV - CHP DIURNO. AF_06/2014</t>
  </si>
  <si>
    <t xml:space="preserve"> 5928 </t>
  </si>
  <si>
    <t>AZULEJISTA OU LADRILHISTA COM ENCARGOS COMPLEMENTARES</t>
  </si>
  <si>
    <t xml:space="preserve"> 88256 </t>
  </si>
  <si>
    <t>REATERRO MANUAL DE VALAS COM COMPACTAÇÃO MECANIZADA. AF_04/2016</t>
  </si>
  <si>
    <t xml:space="preserve"> 93382 </t>
  </si>
  <si>
    <t>ESCAVAÇÃO MECANIZADA DE VALA COM PROF. ATÉ 1,5 M (MÉDIA ENTRE MONTANTE E JUSANTE/UMA COMPOSIÇÃO POR TRECHO), COM RETROESCAVADEIRA (0,26 M3/88 HP), LARG. MENOR QUE 0,8 M, EM SOLO DE 1A CATEGORIA, EM LOCAIS COM ALTO NÍVEL DE INTERFERÊNCIA. AF_01/2015</t>
  </si>
  <si>
    <t xml:space="preserve"> 90099 </t>
  </si>
  <si>
    <t>BUCHA DE NYLON SEM ABA S10, COM PARAFUSO DE 6,10 X 65 MM EM ACO ZINCADO COM ROSCA SOBERBA, CABECA CHATA E FENDA PHILLIPS</t>
  </si>
  <si>
    <t xml:space="preserve"> 00007568 </t>
  </si>
  <si>
    <t>GUINDAUTO HIDRÁULICO, CAPACIDADE MÁXIMA DE CARGA 6500 KG, MOMENTO MÁXIMO DE CARGA 5,8 TM, ALCANCE MÁXIMO HORIZONTAL 7,60 M, INCLUSIVE CAMINHÃO TOCO PBT 9.700 KG, POTÊNCIA DE 160 CV - CHP DIURNO. AF_08/2015</t>
  </si>
  <si>
    <t xml:space="preserve"> 91634 </t>
  </si>
  <si>
    <t>LOCACAO DE CONTAINER 2,30  X  6,00 M, ALT. 2,50 M, PARA ESCRITORIO, SEM DIVISORIAS INTERNAS E SEM SANITARIO</t>
  </si>
  <si>
    <t xml:space="preserve"> 00010776 </t>
  </si>
  <si>
    <t>Anotação de Resposanbilidade Técnica (Faixa 3 - Tabela A - CONFEA)</t>
  </si>
  <si>
    <t xml:space="preserve"> CM0645 </t>
  </si>
  <si>
    <t>Planilha Orçamentária Analítica</t>
  </si>
  <si>
    <t>Peso (%)</t>
  </si>
  <si>
    <t>Planilha Orçamentária Resumida</t>
  </si>
  <si>
    <t>Composição de BDI</t>
  </si>
  <si>
    <t>ITEM</t>
  </si>
  <si>
    <t>DISCRIMINAÇÃO</t>
  </si>
  <si>
    <t>%</t>
  </si>
  <si>
    <t>Grupo A</t>
  </si>
  <si>
    <t>% em relação ao custo direto CD</t>
  </si>
  <si>
    <t>A1</t>
  </si>
  <si>
    <t>Despesas Indiretas</t>
  </si>
  <si>
    <t>a1</t>
  </si>
  <si>
    <t>Administração Central</t>
  </si>
  <si>
    <t>a2</t>
  </si>
  <si>
    <t>Seguro + garantia</t>
  </si>
  <si>
    <t>a3</t>
  </si>
  <si>
    <t>Risco</t>
  </si>
  <si>
    <t>a4</t>
  </si>
  <si>
    <t>Despesa Financeira</t>
  </si>
  <si>
    <t>a5</t>
  </si>
  <si>
    <t>Lucro</t>
  </si>
  <si>
    <t>Grupo B</t>
  </si>
  <si>
    <t>% em relação ao valor total VT</t>
  </si>
  <si>
    <t>B1</t>
  </si>
  <si>
    <t>Tributos</t>
  </si>
  <si>
    <t>Pis</t>
  </si>
  <si>
    <t>Cofins</t>
  </si>
  <si>
    <t>ISS (2% após desconto das mercadorias aplicadas)</t>
  </si>
  <si>
    <t>BDI</t>
  </si>
  <si>
    <t>BDI = [(((1+(a1+a2+a3))*(1+a4)*(1+a5)))/(1-B1)-1]</t>
  </si>
  <si>
    <t>Composição de Encargos Sociais</t>
  </si>
  <si>
    <t>Discriminação</t>
  </si>
  <si>
    <t>GRUPO A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</si>
  <si>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</si>
  <si>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</si>
  <si>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</si>
  <si>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</si>
  <si>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</si>
  <si>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</si>
  <si>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</si>
  <si>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</si>
  <si>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</si>
  <si>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</si>
  <si>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</si>
  <si>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</si>
  <si>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Trabalho</t>
  </si>
  <si>
    <t>A8</t>
  </si>
  <si>
    <t>Fundo de Garantia por Tempo de Serviços</t>
  </si>
  <si>
    <t>A9</t>
  </si>
  <si>
    <t>SECONCI</t>
  </si>
  <si>
    <t>A</t>
  </si>
  <si>
    <t xml:space="preserve"> Total dos Encargos Sociais Básicos</t>
  </si>
  <si>
    <t>GRUPO B</t>
  </si>
  <si>
    <t>Repouso Semanal Remunerado</t>
  </si>
  <si>
    <t>B2</t>
  </si>
  <si>
    <t>Feriados</t>
  </si>
  <si>
    <t>B3</t>
  </si>
  <si>
    <t>Auxílio-enfermidade</t>
  </si>
  <si>
    <t>B4</t>
  </si>
  <si>
    <t>13º Salário</t>
  </si>
  <si>
    <t>B5</t>
  </si>
  <si>
    <t>Licença-paternidade</t>
  </si>
  <si>
    <t>B6</t>
  </si>
  <si>
    <t>Faltas justificadas</t>
  </si>
  <si>
    <t>B7</t>
  </si>
  <si>
    <t>Dias de chuva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</si>
  <si>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</si>
  <si>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</si>
  <si>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</si>
  <si>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</si>
  <si>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</si>
  <si>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</si>
  <si>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</si>
  <si>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Total de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</si>
  <si>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</si>
  <si>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</si>
  <si>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</si>
  <si>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</si>
  <si>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</si>
  <si>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</si>
  <si>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indenizadas (inclusive 1/3)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</si>
  <si>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</si>
  <si>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</si>
  <si>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</si>
  <si>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</si>
  <si>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</si>
  <si>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</si>
  <si>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</si>
  <si>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A sobre B</t>
  </si>
  <si>
    <t>D2</t>
  </si>
  <si>
    <t>Reincidência do FGTS sobre API e Grupo A sobre APT</t>
  </si>
  <si>
    <t xml:space="preserve">D </t>
  </si>
  <si>
    <t>Total das Taxas incidências e reincidências</t>
  </si>
  <si>
    <t>Total das taxas incidências e reincidências</t>
  </si>
  <si>
    <t>Valor Acumulado</t>
  </si>
  <si>
    <t>Custo Acumulado</t>
  </si>
  <si>
    <t>Porcentagem Acumulado</t>
  </si>
  <si>
    <t>Custo</t>
  </si>
  <si>
    <t>Porcentagem</t>
  </si>
  <si>
    <t>60 DIAS</t>
  </si>
  <si>
    <t>30 DIAS</t>
  </si>
  <si>
    <t>Total Por Etapa</t>
  </si>
  <si>
    <t>Cronograma Físico e Financeiro</t>
  </si>
  <si>
    <t>Instruções de Preenchimento do Modelo de Proposta</t>
  </si>
  <si>
    <t>CONSIDERAÇÕES GERAIS</t>
  </si>
  <si>
    <r>
      <t xml:space="preserve">O cabeçalho deverá ser preenchido somente na </t>
    </r>
    <r>
      <rPr>
        <b/>
        <sz val="8"/>
        <color indexed="10"/>
        <rFont val="Arial"/>
        <family val="2"/>
      </rPr>
      <t>PLANILHA DE ORÇAMENTO SINTÉTICO</t>
    </r>
    <r>
      <rPr>
        <sz val="8"/>
        <rFont val="Arial"/>
        <family val="2"/>
      </rPr>
      <t>, pois será repetido automaticamente nas demais planilhas. Para isso, o mouse deverá ser posicionado sobre a célula que contem a informação, e posteriormente pressionado F2</t>
    </r>
  </si>
  <si>
    <t>Sugerimos a seguinte sequência de preenchimento de planilhas:</t>
  </si>
  <si>
    <t>2.1</t>
  </si>
  <si>
    <r>
      <t xml:space="preserve">Valide os valores constantes na </t>
    </r>
    <r>
      <rPr>
        <b/>
        <sz val="8"/>
        <rFont val="Arial"/>
        <family val="2"/>
      </rPr>
      <t>Planilha de Insumos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 Serviços</t>
    </r>
    <r>
      <rPr>
        <sz val="8"/>
        <rFont val="Arial"/>
        <family val="2"/>
      </rPr>
      <t>, observando as orientações contidas no edital no tocante aos valores máximos.</t>
    </r>
  </si>
  <si>
    <t>2.2</t>
  </si>
  <si>
    <r>
      <t xml:space="preserve">Valide os coeficientes de participação dos insumos, constantes na </t>
    </r>
    <r>
      <rPr>
        <b/>
        <sz val="8"/>
        <rFont val="Arial"/>
        <family val="2"/>
      </rPr>
      <t>Planilha de Orçamento Analítico</t>
    </r>
    <r>
      <rPr>
        <sz val="8"/>
        <rFont val="Arial"/>
        <family val="2"/>
      </rPr>
      <t>.</t>
    </r>
  </si>
  <si>
    <t>2.3</t>
  </si>
  <si>
    <r>
      <t xml:space="preserve">Preencha os coeficientes relativo à cada item da </t>
    </r>
    <r>
      <rPr>
        <b/>
        <sz val="8"/>
        <rFont val="Arial"/>
        <family val="2"/>
      </rPr>
      <t xml:space="preserve">Planilha de Composição do BDI, </t>
    </r>
    <r>
      <rPr>
        <sz val="8"/>
        <rFont val="Arial"/>
        <family val="2"/>
      </rPr>
      <t>realizando os ajustes que julgar necessário, observando as orientações sobre esta planilha, que estão descritas abaixo;</t>
    </r>
  </si>
  <si>
    <t>2.4</t>
  </si>
  <si>
    <t>2.5</t>
  </si>
  <si>
    <r>
      <t xml:space="preserve">Neste momento o valor final da proposta já será conhecido. Preencha a </t>
    </r>
    <r>
      <rPr>
        <b/>
        <sz val="8"/>
        <rFont val="Arial"/>
        <family val="2"/>
      </rPr>
      <t>Planilha de Composição de Encargos Sociais</t>
    </r>
    <r>
      <rPr>
        <sz val="8"/>
        <rFont val="Arial"/>
        <family val="2"/>
      </rPr>
      <t xml:space="preserve"> com os percentuais de cada item que a compoe.</t>
    </r>
  </si>
  <si>
    <t>SOBRE A PLANILHA DE ORÇAMENTO SINTÉTICO</t>
  </si>
  <si>
    <r>
      <t xml:space="preserve">A Planilha Orçamentária </t>
    </r>
    <r>
      <rPr>
        <b/>
        <u/>
        <sz val="8"/>
        <color indexed="10"/>
        <rFont val="Arial"/>
        <family val="2"/>
      </rPr>
      <t>não</t>
    </r>
    <r>
      <rPr>
        <sz val="8"/>
        <rFont val="Arial"/>
        <family val="2"/>
      </rPr>
      <t xml:space="preserve"> poderá sofrer alterações em sua estrutura (adição ou subtração de serviços, ou mesmo alteração na quantidade dos itens);</t>
    </r>
  </si>
  <si>
    <r>
      <t xml:space="preserve">Os preços unitários desta planilha estão vinculados, por dependência, às demais planilhas (Orçamento Analítico, Insumos e Serviços). Desta forma </t>
    </r>
    <r>
      <rPr>
        <b/>
        <u/>
        <sz val="8"/>
        <color indexed="10"/>
        <rFont val="Arial"/>
        <family val="2"/>
      </rPr>
      <t>NENHUM</t>
    </r>
    <r>
      <rPr>
        <sz val="8"/>
        <rFont val="Arial"/>
        <family val="2"/>
      </rPr>
      <t xml:space="preserve"> valor unitário deverá ser preenchido diretamente nesta planilha;</t>
    </r>
  </si>
  <si>
    <t>SOBRE A PLANILHA DE ORÇAMENTO ANALÍTICO</t>
  </si>
  <si>
    <r>
      <t xml:space="preserve">Esta planilha é referencial, portanto os </t>
    </r>
    <r>
      <rPr>
        <b/>
        <sz val="8"/>
        <rFont val="Arial"/>
        <family val="2"/>
      </rPr>
      <t xml:space="preserve">coeficientes </t>
    </r>
    <r>
      <rPr>
        <sz val="8"/>
        <rFont val="Arial"/>
        <family val="2"/>
      </rPr>
      <t>de participação dos insumos poderão sofrer alterações;</t>
    </r>
  </si>
  <si>
    <t>Esta planilha contem vínculos. Tornando-se dependente dos preços, descrições e unidades constantes tanto na Planilha de Insumos e Serviços quanto na Planilha de Orçamento Sintético;</t>
  </si>
  <si>
    <t>Os valores unitários de serviços compostos nesta planilha, são transportados automaticamente para a Planilha de Orçamento Sintético;</t>
  </si>
  <si>
    <t>SOBRE A PLANILHA DE INSUMOS E SERVIÇOS</t>
  </si>
  <si>
    <t>Esta planilha constitui a base para estruturação dos preços unitários e totais.</t>
  </si>
  <si>
    <t>Valide os valores constantes nesta planilha, observando as orientações contidas no edital no tocante aos valores máximos.</t>
  </si>
  <si>
    <r>
      <t>Os valores unitários deverão ser preenchidos com</t>
    </r>
    <r>
      <rPr>
        <b/>
        <u/>
        <sz val="8"/>
        <color indexed="10"/>
        <rFont val="Arial"/>
        <family val="2"/>
      </rPr>
      <t xml:space="preserve"> no máximo duas casas decimais</t>
    </r>
    <r>
      <rPr>
        <sz val="8"/>
        <rFont val="Arial"/>
        <family val="2"/>
      </rPr>
      <t>. Caso opte por aplicar um percentual lde desconto, certifique-se de utilizar fórmula de arredondamento ou truncamento respeitando este limite.</t>
    </r>
  </si>
  <si>
    <r>
      <t xml:space="preserve">Indique a marca e modelo dos itens (quando aplicável). </t>
    </r>
    <r>
      <rPr>
        <b/>
        <u/>
        <sz val="8"/>
        <color indexed="10"/>
        <rFont val="Arial"/>
        <family val="2"/>
      </rPr>
      <t>A não indicação  de marca e ou modelo de referência constitui afronta ao edital, sob pena de desclassificação da proposta.</t>
    </r>
  </si>
  <si>
    <t>D</t>
  </si>
  <si>
    <t>SOBRE A PLANILHA DE COMPOSIÇÃO DE BDI</t>
  </si>
  <si>
    <t>Os itens constantes nesta planilha foram adotados por este Órgão com base no decreto 7.983 de 8 de abril de 2013. Os percentuais são referenciais e foram baseados no Acórdão TCU 2622/2013-Plenário. É de responsabilidade da licitante o preenchimento dos percetuais desta planilha, em conformidade com sua realidade;</t>
  </si>
  <si>
    <t>O percentual aplicável do ISS está vinculado ao percentual de mão de obra informado na Planilha de Composição de Custo Total, e será automaticamente ajustado quando executado a orientação contida em 2.4;</t>
  </si>
  <si>
    <t>D3</t>
  </si>
  <si>
    <t>O valor final da composição do BDI está vinculado, por precedência, à Planilha de Orçamento Sintético.</t>
  </si>
  <si>
    <t>E</t>
  </si>
  <si>
    <t>SOBRE A PLANILHA DE COMPOSIÇÃO DE ENCARGOS SOCIAIS</t>
  </si>
  <si>
    <t>E1</t>
  </si>
  <si>
    <t>Esta planilha é meramente demonstrativa (não influi sobre o valor final do orçamento).</t>
  </si>
  <si>
    <t>F</t>
  </si>
  <si>
    <t>SOBRE O CRONOGRAMA FÍSICO-FINANCEIRO</t>
  </si>
  <si>
    <t>F.1</t>
  </si>
  <si>
    <t>Os itens e valores desta planiha são provenientes da Planilha de Orçamento Sintético;</t>
  </si>
  <si>
    <t>F.2</t>
  </si>
  <si>
    <r>
      <t xml:space="preserve">Os </t>
    </r>
    <r>
      <rPr>
        <b/>
        <sz val="8"/>
        <color indexed="10"/>
        <rFont val="Arial"/>
        <family val="2"/>
      </rPr>
      <t>serviços</t>
    </r>
    <r>
      <rPr>
        <sz val="8"/>
        <rFont val="Arial"/>
        <family val="2"/>
      </rPr>
      <t xml:space="preserve"> a serem executados mensalmente, deverão ser informadas na</t>
    </r>
    <r>
      <rPr>
        <b/>
        <sz val="8"/>
        <color indexed="10"/>
        <rFont val="Arial"/>
        <family val="2"/>
      </rPr>
      <t xml:space="preserve"> linha do percentual</t>
    </r>
    <r>
      <rPr>
        <sz val="8"/>
        <rFont val="Arial"/>
        <family val="2"/>
      </rPr>
      <t>, e os valores serão preenchidos automaticamente, inclusive nas etapas macro;</t>
    </r>
  </si>
  <si>
    <t>F.3</t>
  </si>
  <si>
    <t>O ajuste final (última etapa) de um determinado item, deverá respeitar a fórmula inserida no último mês do cronograma, transportando-a quando necessário.</t>
  </si>
  <si>
    <t>P. Execução:</t>
  </si>
  <si>
    <t>Licitação:</t>
  </si>
  <si>
    <t>P. Validade:</t>
  </si>
  <si>
    <t>Razão Social:</t>
  </si>
  <si>
    <t>Telefone:</t>
  </si>
  <si>
    <t>P. Garantia:</t>
  </si>
  <si>
    <t>CNPJ:</t>
  </si>
  <si>
    <t>E-mail:</t>
  </si>
  <si>
    <t>G</t>
  </si>
  <si>
    <r>
      <rPr>
        <b/>
        <sz val="8"/>
        <color indexed="8"/>
        <rFont val="Arial"/>
        <family val="2"/>
      </rPr>
      <t xml:space="preserve">Objeto: </t>
    </r>
    <r>
      <rPr>
        <sz val="8"/>
        <color indexed="8"/>
        <rFont val="Arial"/>
        <family val="2"/>
      </rPr>
      <t>Recuperação de laje do reservatório de Brasília II</t>
    </r>
  </si>
  <si>
    <r>
      <rPr>
        <b/>
        <sz val="8"/>
        <color indexed="8"/>
        <rFont val="Arial"/>
        <family val="2"/>
      </rPr>
      <t>Local:</t>
    </r>
    <r>
      <rPr>
        <sz val="8"/>
        <color indexed="8"/>
        <rFont val="Arial"/>
        <family val="2"/>
      </rPr>
      <t xml:space="preserve"> Setor de Múltiplas Atividades Sul - SMAS Trecho 4 Lote 6/8 – Brasília – DF</t>
    </r>
  </si>
  <si>
    <t>Insumos e Serviços</t>
  </si>
  <si>
    <t>Classificação</t>
  </si>
  <si>
    <t>Marca</t>
  </si>
  <si>
    <t>Modelo</t>
  </si>
  <si>
    <t>************</t>
  </si>
  <si>
    <r>
      <t xml:space="preserve">Preencha o percentual referente à mão-de-obra na célula </t>
    </r>
    <r>
      <rPr>
        <b/>
        <sz val="8"/>
        <color indexed="10"/>
        <rFont val="Arial"/>
        <family val="2"/>
      </rPr>
      <t xml:space="preserve">B118 </t>
    </r>
    <r>
      <rPr>
        <sz val="8"/>
        <rFont val="Arial"/>
        <family val="2"/>
      </rPr>
      <t xml:space="preserve">da </t>
    </r>
    <r>
      <rPr>
        <b/>
        <sz val="8"/>
        <rFont val="Arial"/>
        <family val="2"/>
      </rPr>
      <t>Planilha de Orçamento Sintético</t>
    </r>
    <r>
      <rPr>
        <sz val="8"/>
        <rFont val="Arial"/>
        <family val="2"/>
      </rPr>
      <t>;</t>
    </r>
  </si>
  <si>
    <t>Valor Mensal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</si>
</sst>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\ %"/>
    <numFmt numFmtId="165" formatCode="0.0000"/>
  </numFmts>
  <fonts count="33">
    <font>
      <sz val="11"/>
      <name val="Arial"/>
      <family val="1"/>
    </font>
    <font>
      <b/>
      <sz val="11"/>
      <name val="Arial"/>
      <family val="1"/>
    </font>
    <font>
      <b/>
      <sz val="10"/>
      <name val="Arial"/>
      <family val="1"/>
    </font>
    <font>
      <sz val="10"/>
      <color indexed="8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1"/>
      <name val="Arial"/>
      <family val="1"/>
    </font>
    <font>
      <b/>
      <sz val="8"/>
      <name val="Arial"/>
      <family val="1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8"/>
      <name val="Arial"/>
      <family val="2"/>
      <charset val="1"/>
    </font>
    <font>
      <sz val="8"/>
      <name val="Aria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</font>
    <font>
      <sz val="4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1"/>
    </font>
    <font>
      <sz val="8"/>
      <color indexed="8"/>
      <name val="Arial"/>
      <family val="2"/>
    </font>
    <font>
      <sz val="8"/>
      <color indexed="8"/>
      <name val="Arial"/>
      <family val="1"/>
    </font>
    <font>
      <b/>
      <i/>
      <sz val="8"/>
      <color indexed="8"/>
      <name val="Arial"/>
      <family val="1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ck">
        <color indexed="8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0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5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04">
    <xf numFmtId="0" fontId="0" fillId="0" borderId="0" xfId="0"/>
    <xf numFmtId="0" fontId="5" fillId="2" borderId="0" xfId="0" applyFont="1" applyFill="1" applyAlignment="1">
      <alignment horizontal="center" vertical="top" wrapText="1"/>
    </xf>
    <xf numFmtId="0" fontId="1" fillId="2" borderId="2" xfId="0" applyFont="1" applyFill="1" applyBorder="1" applyAlignment="1">
      <alignment horizontal="right" vertical="top" wrapText="1"/>
    </xf>
    <xf numFmtId="0" fontId="4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8" fillId="0" borderId="0" xfId="0" applyFont="1"/>
    <xf numFmtId="0" fontId="2" fillId="4" borderId="1" xfId="0" applyFont="1" applyFill="1" applyBorder="1" applyAlignment="1">
      <alignment horizontal="center" vertical="top" wrapText="1"/>
    </xf>
    <xf numFmtId="0" fontId="10" fillId="5" borderId="4" xfId="6" applyFont="1" applyFill="1" applyBorder="1" applyAlignment="1">
      <alignment horizontal="center" vertical="distributed" wrapText="1"/>
    </xf>
    <xf numFmtId="10" fontId="13" fillId="5" borderId="5" xfId="8" applyNumberFormat="1" applyFont="1" applyFill="1" applyBorder="1" applyAlignment="1">
      <alignment horizontal="center" vertical="distributed" wrapText="1"/>
    </xf>
    <xf numFmtId="0" fontId="10" fillId="6" borderId="4" xfId="6" applyFont="1" applyFill="1" applyBorder="1" applyAlignment="1">
      <alignment horizontal="center" vertical="distributed" wrapText="1"/>
    </xf>
    <xf numFmtId="10" fontId="13" fillId="6" borderId="5" xfId="8" applyNumberFormat="1" applyFont="1" applyFill="1" applyBorder="1" applyAlignment="1">
      <alignment horizontal="center" vertical="distributed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/>
    </xf>
    <xf numFmtId="0" fontId="14" fillId="0" borderId="5" xfId="0" applyFont="1" applyBorder="1" applyAlignment="1">
      <alignment vertical="top"/>
    </xf>
    <xf numFmtId="10" fontId="14" fillId="0" borderId="1" xfId="8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left" vertical="top" wrapText="1"/>
    </xf>
    <xf numFmtId="0" fontId="10" fillId="4" borderId="4" xfId="6" applyFont="1" applyFill="1" applyBorder="1" applyAlignment="1">
      <alignment horizontal="center" vertical="distributed" wrapText="1"/>
    </xf>
    <xf numFmtId="10" fontId="13" fillId="4" borderId="5" xfId="8" applyNumberFormat="1" applyFont="1" applyFill="1" applyBorder="1" applyAlignment="1">
      <alignment horizontal="center" vertical="distributed" wrapText="1"/>
    </xf>
    <xf numFmtId="0" fontId="16" fillId="0" borderId="0" xfId="1" applyFont="1"/>
    <xf numFmtId="0" fontId="8" fillId="0" borderId="0" xfId="2" applyFont="1"/>
    <xf numFmtId="0" fontId="17" fillId="0" borderId="0" xfId="2" applyFont="1"/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10" fontId="8" fillId="0" borderId="1" xfId="8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10" fontId="10" fillId="0" borderId="1" xfId="8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4" xfId="0" applyFont="1" applyBorder="1" applyAlignment="1">
      <alignment vertical="top"/>
    </xf>
    <xf numFmtId="0" fontId="18" fillId="0" borderId="5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10" fontId="18" fillId="0" borderId="1" xfId="8" applyNumberFormat="1" applyFont="1" applyFill="1" applyBorder="1" applyAlignment="1">
      <alignment horizontal="center" vertical="top" wrapText="1"/>
    </xf>
    <xf numFmtId="10" fontId="13" fillId="0" borderId="1" xfId="8" applyNumberFormat="1" applyFont="1" applyFill="1" applyBorder="1" applyAlignment="1">
      <alignment horizontal="center" vertical="top" wrapText="1"/>
    </xf>
    <xf numFmtId="0" fontId="0" fillId="0" borderId="0" xfId="2" applyFont="1"/>
    <xf numFmtId="0" fontId="0" fillId="0" borderId="0" xfId="2" applyFont="1" applyAlignment="1">
      <alignment wrapText="1"/>
    </xf>
    <xf numFmtId="0" fontId="0" fillId="0" borderId="0" xfId="2" applyFont="1" applyAlignment="1">
      <alignment horizontal="center"/>
    </xf>
    <xf numFmtId="0" fontId="15" fillId="0" borderId="0" xfId="2"/>
    <xf numFmtId="0" fontId="20" fillId="0" borderId="6" xfId="7" applyFont="1" applyBorder="1"/>
    <xf numFmtId="0" fontId="20" fillId="0" borderId="7" xfId="7" applyFont="1" applyBorder="1"/>
    <xf numFmtId="0" fontId="10" fillId="5" borderId="8" xfId="7" applyFont="1" applyFill="1" applyBorder="1" applyAlignment="1">
      <alignment horizontal="center"/>
    </xf>
    <xf numFmtId="0" fontId="21" fillId="5" borderId="9" xfId="5" applyFont="1" applyFill="1" applyBorder="1" applyAlignment="1">
      <alignment vertical="distributed" wrapText="1"/>
    </xf>
    <xf numFmtId="0" fontId="8" fillId="0" borderId="10" xfId="7" applyFont="1" applyBorder="1" applyAlignment="1">
      <alignment horizontal="center"/>
    </xf>
    <xf numFmtId="0" fontId="8" fillId="0" borderId="11" xfId="7" applyFont="1" applyBorder="1" applyAlignment="1">
      <alignment horizontal="justify" vertical="distributed" wrapText="1"/>
    </xf>
    <xf numFmtId="0" fontId="8" fillId="0" borderId="12" xfId="7" applyFont="1" applyBorder="1" applyAlignment="1">
      <alignment horizontal="center"/>
    </xf>
    <xf numFmtId="0" fontId="8" fillId="0" borderId="13" xfId="7" applyFont="1" applyBorder="1" applyAlignment="1">
      <alignment horizontal="justify" vertical="distributed" wrapText="1"/>
    </xf>
    <xf numFmtId="0" fontId="15" fillId="0" borderId="14" xfId="7" applyBorder="1"/>
    <xf numFmtId="0" fontId="15" fillId="0" borderId="15" xfId="7" applyBorder="1"/>
    <xf numFmtId="0" fontId="10" fillId="5" borderId="10" xfId="7" applyFont="1" applyFill="1" applyBorder="1" applyAlignment="1">
      <alignment horizontal="center"/>
    </xf>
    <xf numFmtId="0" fontId="21" fillId="5" borderId="11" xfId="5" applyFont="1" applyFill="1" applyBorder="1" applyAlignment="1">
      <alignment vertical="distributed" wrapText="1"/>
    </xf>
    <xf numFmtId="0" fontId="10" fillId="5" borderId="10" xfId="0" applyFont="1" applyFill="1" applyBorder="1" applyAlignment="1">
      <alignment horizontal="center"/>
    </xf>
    <xf numFmtId="0" fontId="21" fillId="5" borderId="11" xfId="3" applyFont="1" applyFill="1" applyBorder="1" applyAlignment="1">
      <alignment vertical="distributed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justify" vertical="distributed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justify" vertical="distributed" wrapText="1"/>
    </xf>
    <xf numFmtId="0" fontId="16" fillId="0" borderId="6" xfId="4" applyFont="1" applyBorder="1" applyAlignment="1">
      <alignment horizontal="left" vertical="center"/>
    </xf>
    <xf numFmtId="0" fontId="16" fillId="0" borderId="16" xfId="0" applyFont="1" applyBorder="1" applyAlignment="1">
      <alignment vertical="center"/>
    </xf>
    <xf numFmtId="0" fontId="16" fillId="0" borderId="16" xfId="4" applyFont="1" applyBorder="1" applyAlignment="1">
      <alignment horizontal="left" vertical="center"/>
    </xf>
    <xf numFmtId="0" fontId="21" fillId="0" borderId="17" xfId="4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17" fontId="16" fillId="0" borderId="6" xfId="4" applyNumberFormat="1" applyFont="1" applyBorder="1" applyAlignment="1">
      <alignment horizontal="left" vertical="center"/>
    </xf>
    <xf numFmtId="14" fontId="21" fillId="0" borderId="17" xfId="4" applyNumberFormat="1" applyFont="1" applyBorder="1" applyAlignment="1">
      <alignment horizontal="center" vertical="center"/>
    </xf>
    <xf numFmtId="0" fontId="7" fillId="4" borderId="0" xfId="0" applyFont="1" applyFill="1" applyAlignment="1">
      <alignment horizontal="right" vertical="top" wrapText="1"/>
    </xf>
    <xf numFmtId="43" fontId="10" fillId="4" borderId="0" xfId="9" applyFont="1" applyFill="1" applyAlignment="1">
      <alignment vertical="top" wrapText="1"/>
    </xf>
    <xf numFmtId="43" fontId="10" fillId="4" borderId="0" xfId="9" applyFont="1" applyFill="1" applyAlignment="1">
      <alignment horizontal="center" vertical="top" wrapText="1"/>
    </xf>
    <xf numFmtId="0" fontId="26" fillId="5" borderId="4" xfId="0" applyFont="1" applyFill="1" applyBorder="1" applyAlignment="1">
      <alignment horizontal="left" vertical="top" wrapText="1"/>
    </xf>
    <xf numFmtId="4" fontId="26" fillId="5" borderId="1" xfId="0" applyNumberFormat="1" applyFont="1" applyFill="1" applyBorder="1" applyAlignment="1">
      <alignment horizontal="right" vertical="top" wrapText="1"/>
    </xf>
    <xf numFmtId="164" fontId="26" fillId="5" borderId="1" xfId="0" applyNumberFormat="1" applyFont="1" applyFill="1" applyBorder="1" applyAlignment="1">
      <alignment horizontal="right" vertical="top" wrapText="1"/>
    </xf>
    <xf numFmtId="0" fontId="16" fillId="0" borderId="19" xfId="4" applyFont="1" applyBorder="1" applyAlignment="1">
      <alignment horizontal="left" vertical="center"/>
    </xf>
    <xf numFmtId="4" fontId="8" fillId="0" borderId="20" xfId="0" applyNumberFormat="1" applyFont="1" applyBorder="1" applyAlignment="1">
      <alignment vertical="center"/>
    </xf>
    <xf numFmtId="0" fontId="16" fillId="0" borderId="20" xfId="4" applyFont="1" applyBorder="1" applyAlignment="1">
      <alignment horizontal="left" vertical="center"/>
    </xf>
    <xf numFmtId="0" fontId="8" fillId="0" borderId="14" xfId="3" applyFont="1" applyBorder="1" applyAlignment="1">
      <alignment horizontal="left" vertical="center"/>
    </xf>
    <xf numFmtId="0" fontId="16" fillId="0" borderId="15" xfId="4" applyFont="1" applyBorder="1" applyAlignment="1">
      <alignment horizontal="left" vertical="center"/>
    </xf>
    <xf numFmtId="0" fontId="8" fillId="0" borderId="6" xfId="3" applyFont="1" applyBorder="1" applyAlignment="1">
      <alignment horizontal="left" vertical="center"/>
    </xf>
    <xf numFmtId="0" fontId="16" fillId="0" borderId="7" xfId="4" applyFont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left" vertical="center" wrapText="1"/>
    </xf>
    <xf numFmtId="4" fontId="26" fillId="5" borderId="1" xfId="0" applyNumberFormat="1" applyFont="1" applyFill="1" applyBorder="1" applyAlignment="1">
      <alignment horizontal="right" vertical="center" wrapText="1"/>
    </xf>
    <xf numFmtId="0" fontId="26" fillId="6" borderId="1" xfId="0" applyFont="1" applyFill="1" applyBorder="1" applyAlignment="1">
      <alignment horizontal="left" vertical="center" wrapText="1"/>
    </xf>
    <xf numFmtId="0" fontId="26" fillId="6" borderId="1" xfId="0" applyFont="1" applyFill="1" applyBorder="1" applyAlignment="1">
      <alignment horizontal="right" vertical="center" wrapText="1"/>
    </xf>
    <xf numFmtId="4" fontId="26" fillId="6" borderId="1" xfId="0" applyNumberFormat="1" applyFont="1" applyFill="1" applyBorder="1" applyAlignment="1">
      <alignment horizontal="righ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43" fontId="28" fillId="0" borderId="1" xfId="9" applyFont="1" applyFill="1" applyBorder="1" applyAlignment="1">
      <alignment horizontal="right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right" vertical="top" wrapText="1"/>
    </xf>
    <xf numFmtId="4" fontId="26" fillId="0" borderId="1" xfId="0" applyNumberFormat="1" applyFont="1" applyBorder="1" applyAlignment="1">
      <alignment horizontal="right" vertical="center" wrapText="1"/>
    </xf>
    <xf numFmtId="17" fontId="16" fillId="0" borderId="20" xfId="4" applyNumberFormat="1" applyFont="1" applyBorder="1" applyAlignment="1">
      <alignment horizontal="left" vertical="center"/>
    </xf>
    <xf numFmtId="0" fontId="19" fillId="4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4" fontId="21" fillId="0" borderId="18" xfId="4" applyNumberFormat="1" applyFont="1" applyBorder="1" applyAlignment="1">
      <alignment horizontal="center" vertical="center"/>
    </xf>
    <xf numFmtId="0" fontId="26" fillId="7" borderId="1" xfId="0" applyFont="1" applyFill="1" applyBorder="1" applyAlignment="1">
      <alignment horizontal="left" vertical="center" wrapText="1"/>
    </xf>
    <xf numFmtId="0" fontId="26" fillId="7" borderId="5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right" vertical="center" wrapText="1"/>
    </xf>
    <xf numFmtId="4" fontId="26" fillId="7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justify" vertical="center" wrapText="1"/>
    </xf>
    <xf numFmtId="165" fontId="8" fillId="4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165" fontId="2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4" borderId="21" xfId="0" applyFont="1" applyFill="1" applyBorder="1" applyAlignment="1">
      <alignment horizontal="center" vertical="top" wrapText="1"/>
    </xf>
    <xf numFmtId="9" fontId="7" fillId="4" borderId="21" xfId="8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right" vertical="top"/>
    </xf>
    <xf numFmtId="43" fontId="7" fillId="4" borderId="0" xfId="9" applyFont="1" applyFill="1" applyAlignment="1">
      <alignment vertical="top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10" fontId="29" fillId="5" borderId="24" xfId="8" applyNumberFormat="1" applyFont="1" applyFill="1" applyBorder="1" applyAlignment="1">
      <alignment horizontal="right" vertical="top" wrapText="1"/>
    </xf>
    <xf numFmtId="10" fontId="30" fillId="5" borderId="24" xfId="8" applyNumberFormat="1" applyFont="1" applyFill="1" applyBorder="1" applyAlignment="1">
      <alignment horizontal="right" vertical="top" wrapText="1"/>
    </xf>
    <xf numFmtId="43" fontId="26" fillId="5" borderId="25" xfId="9" applyFont="1" applyFill="1" applyBorder="1" applyAlignment="1">
      <alignment horizontal="right" vertical="top" wrapText="1"/>
    </xf>
    <xf numFmtId="43" fontId="31" fillId="5" borderId="25" xfId="9" applyFont="1" applyFill="1" applyBorder="1" applyAlignment="1">
      <alignment horizontal="right" vertical="top" wrapText="1"/>
    </xf>
    <xf numFmtId="10" fontId="30" fillId="3" borderId="24" xfId="8" applyNumberFormat="1" applyFont="1" applyFill="1" applyBorder="1" applyAlignment="1">
      <alignment horizontal="right" vertical="top" wrapText="1"/>
    </xf>
    <xf numFmtId="43" fontId="31" fillId="3" borderId="25" xfId="9" applyFont="1" applyFill="1" applyBorder="1" applyAlignment="1">
      <alignment horizontal="right" vertical="top" wrapText="1"/>
    </xf>
    <xf numFmtId="10" fontId="32" fillId="0" borderId="24" xfId="8" applyNumberFormat="1" applyFont="1" applyFill="1" applyBorder="1" applyAlignment="1">
      <alignment horizontal="right" vertical="top" wrapText="1"/>
    </xf>
    <xf numFmtId="43" fontId="27" fillId="0" borderId="25" xfId="9" applyFont="1" applyFill="1" applyBorder="1" applyAlignment="1">
      <alignment horizontal="right" vertical="top" wrapText="1"/>
    </xf>
    <xf numFmtId="0" fontId="10" fillId="2" borderId="0" xfId="0" applyFont="1" applyFill="1" applyAlignment="1">
      <alignment horizontal="left" vertical="top" wrapText="1"/>
    </xf>
    <xf numFmtId="10" fontId="10" fillId="2" borderId="0" xfId="8" applyNumberFormat="1" applyFont="1" applyFill="1" applyAlignment="1">
      <alignment horizontal="right" vertical="top" wrapText="1"/>
    </xf>
    <xf numFmtId="4" fontId="10" fillId="2" borderId="0" xfId="0" applyNumberFormat="1" applyFont="1" applyFill="1" applyAlignment="1">
      <alignment horizontal="right" vertical="top" wrapText="1"/>
    </xf>
    <xf numFmtId="43" fontId="10" fillId="2" borderId="0" xfId="9" applyFont="1" applyFill="1" applyAlignment="1">
      <alignment horizontal="right" vertical="top" wrapText="1"/>
    </xf>
    <xf numFmtId="0" fontId="31" fillId="3" borderId="1" xfId="0" applyFont="1" applyFill="1" applyBorder="1" applyAlignment="1">
      <alignment horizontal="right" vertical="top" wrapText="1"/>
    </xf>
    <xf numFmtId="43" fontId="31" fillId="3" borderId="1" xfId="9" applyFont="1" applyFill="1" applyBorder="1" applyAlignment="1">
      <alignment horizontal="right" vertical="top" wrapText="1"/>
    </xf>
    <xf numFmtId="10" fontId="29" fillId="4" borderId="24" xfId="8" applyNumberFormat="1" applyFont="1" applyFill="1" applyBorder="1" applyAlignment="1">
      <alignment horizontal="right" vertical="top" wrapText="1"/>
    </xf>
    <xf numFmtId="10" fontId="30" fillId="4" borderId="24" xfId="8" applyNumberFormat="1" applyFont="1" applyFill="1" applyBorder="1" applyAlignment="1">
      <alignment horizontal="right" vertical="top" wrapText="1"/>
    </xf>
    <xf numFmtId="43" fontId="26" fillId="4" borderId="25" xfId="9" applyFont="1" applyFill="1" applyBorder="1" applyAlignment="1">
      <alignment horizontal="right" vertical="top" wrapText="1"/>
    </xf>
    <xf numFmtId="43" fontId="31" fillId="4" borderId="25" xfId="9" applyFont="1" applyFill="1" applyBorder="1" applyAlignment="1">
      <alignment horizontal="right" vertical="top" wrapText="1"/>
    </xf>
    <xf numFmtId="0" fontId="19" fillId="4" borderId="26" xfId="7" applyFont="1" applyFill="1" applyBorder="1" applyAlignment="1">
      <alignment horizontal="center"/>
    </xf>
    <xf numFmtId="0" fontId="19" fillId="4" borderId="27" xfId="7" applyFont="1" applyFill="1" applyBorder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0" borderId="0" xfId="0"/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7" xfId="4" applyFont="1" applyBorder="1" applyAlignment="1">
      <alignment horizontal="center" vertical="center"/>
    </xf>
    <xf numFmtId="0" fontId="21" fillId="0" borderId="22" xfId="4" applyFont="1" applyBorder="1" applyAlignment="1">
      <alignment horizontal="center" vertical="center"/>
    </xf>
    <xf numFmtId="0" fontId="21" fillId="0" borderId="14" xfId="3" applyFont="1" applyBorder="1" applyAlignment="1">
      <alignment horizontal="center" vertical="center"/>
    </xf>
    <xf numFmtId="0" fontId="21" fillId="0" borderId="15" xfId="3" applyFont="1" applyBorder="1" applyAlignment="1">
      <alignment horizontal="center" vertical="center"/>
    </xf>
    <xf numFmtId="43" fontId="7" fillId="4" borderId="0" xfId="9" applyFont="1" applyFill="1" applyAlignment="1">
      <alignment horizontal="center" vertical="top" wrapText="1"/>
    </xf>
    <xf numFmtId="0" fontId="21" fillId="0" borderId="17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6" xfId="3" applyFont="1" applyBorder="1" applyAlignment="1">
      <alignment horizontal="center" vertical="center"/>
    </xf>
    <xf numFmtId="0" fontId="21" fillId="0" borderId="7" xfId="3" applyFont="1" applyBorder="1" applyAlignment="1">
      <alignment horizontal="center" vertical="center"/>
    </xf>
    <xf numFmtId="0" fontId="21" fillId="0" borderId="23" xfId="4" applyFont="1" applyBorder="1" applyAlignment="1">
      <alignment horizontal="center" vertical="center"/>
    </xf>
    <xf numFmtId="14" fontId="21" fillId="0" borderId="17" xfId="3" applyNumberFormat="1" applyFont="1" applyBorder="1" applyAlignment="1">
      <alignment horizontal="center" vertical="center"/>
    </xf>
    <xf numFmtId="14" fontId="21" fillId="0" borderId="22" xfId="3" applyNumberFormat="1" applyFont="1" applyBorder="1" applyAlignment="1">
      <alignment horizontal="center" vertical="center"/>
    </xf>
    <xf numFmtId="17" fontId="16" fillId="0" borderId="6" xfId="4" applyNumberFormat="1" applyFont="1" applyBorder="1" applyAlignment="1">
      <alignment horizontal="justify" vertical="center"/>
    </xf>
    <xf numFmtId="17" fontId="16" fillId="0" borderId="7" xfId="4" applyNumberFormat="1" applyFont="1" applyBorder="1" applyAlignment="1">
      <alignment horizontal="justify" vertical="center"/>
    </xf>
    <xf numFmtId="0" fontId="7" fillId="4" borderId="29" xfId="0" applyFont="1" applyFill="1" applyBorder="1" applyAlignment="1">
      <alignment horizontal="center" vertical="top" wrapText="1"/>
    </xf>
    <xf numFmtId="0" fontId="7" fillId="4" borderId="30" xfId="0" applyFont="1" applyFill="1" applyBorder="1" applyAlignment="1">
      <alignment horizontal="center" vertical="top" wrapText="1"/>
    </xf>
    <xf numFmtId="9" fontId="7" fillId="4" borderId="29" xfId="8" applyFont="1" applyFill="1" applyBorder="1" applyAlignment="1">
      <alignment horizontal="center" vertical="top" wrapText="1"/>
    </xf>
    <xf numFmtId="9" fontId="7" fillId="4" borderId="30" xfId="8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wrapText="1"/>
    </xf>
    <xf numFmtId="0" fontId="21" fillId="0" borderId="32" xfId="3" applyFont="1" applyBorder="1" applyAlignment="1">
      <alignment horizontal="center" vertical="center"/>
    </xf>
    <xf numFmtId="14" fontId="21" fillId="0" borderId="17" xfId="4" applyNumberFormat="1" applyFont="1" applyBorder="1" applyAlignment="1">
      <alignment horizontal="center" vertical="center"/>
    </xf>
    <xf numFmtId="14" fontId="21" fillId="0" borderId="23" xfId="4" applyNumberFormat="1" applyFont="1" applyBorder="1" applyAlignment="1">
      <alignment horizontal="center" vertical="center"/>
    </xf>
    <xf numFmtId="0" fontId="9" fillId="2" borderId="31" xfId="0" applyFont="1" applyFill="1" applyBorder="1" applyAlignment="1">
      <alignment horizontal="center" wrapText="1"/>
    </xf>
    <xf numFmtId="0" fontId="10" fillId="6" borderId="33" xfId="6" applyFont="1" applyFill="1" applyBorder="1" applyAlignment="1">
      <alignment horizontal="justify" vertical="distributed" wrapText="1"/>
    </xf>
    <xf numFmtId="0" fontId="10" fillId="4" borderId="33" xfId="6" applyFont="1" applyFill="1" applyBorder="1" applyAlignment="1">
      <alignment horizontal="justify" vertical="distributed" wrapText="1"/>
    </xf>
    <xf numFmtId="0" fontId="11" fillId="0" borderId="3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10" fillId="5" borderId="33" xfId="6" applyFont="1" applyFill="1" applyBorder="1" applyAlignment="1">
      <alignment horizontal="justify" vertical="distributed" wrapText="1"/>
    </xf>
    <xf numFmtId="0" fontId="10" fillId="6" borderId="4" xfId="6" applyFont="1" applyFill="1" applyBorder="1" applyAlignment="1">
      <alignment horizontal="center" vertical="distributed" wrapText="1"/>
    </xf>
    <xf numFmtId="0" fontId="10" fillId="6" borderId="33" xfId="6" applyFont="1" applyFill="1" applyBorder="1" applyAlignment="1">
      <alignment horizontal="center" vertical="distributed" wrapText="1"/>
    </xf>
    <xf numFmtId="0" fontId="10" fillId="6" borderId="5" xfId="6" applyFont="1" applyFill="1" applyBorder="1" applyAlignment="1">
      <alignment horizontal="center" vertical="distributed" wrapText="1"/>
    </xf>
    <xf numFmtId="0" fontId="10" fillId="4" borderId="4" xfId="6" applyFont="1" applyFill="1" applyBorder="1" applyAlignment="1">
      <alignment horizontal="center" vertical="distributed" wrapText="1"/>
    </xf>
    <xf numFmtId="0" fontId="10" fillId="4" borderId="33" xfId="6" applyFont="1" applyFill="1" applyBorder="1" applyAlignment="1">
      <alignment horizontal="center" vertical="distributed" wrapText="1"/>
    </xf>
    <xf numFmtId="0" fontId="11" fillId="0" borderId="31" xfId="3" applyFont="1" applyBorder="1" applyAlignment="1">
      <alignment horizontal="center" vertical="center"/>
    </xf>
    <xf numFmtId="0" fontId="27" fillId="0" borderId="1" xfId="0" applyFont="1" applyBorder="1" applyAlignment="1">
      <alignment horizontal="justify" vertical="top" wrapText="1"/>
    </xf>
    <xf numFmtId="0" fontId="26" fillId="3" borderId="24" xfId="0" applyFont="1" applyFill="1" applyBorder="1" applyAlignment="1">
      <alignment vertical="top" wrapText="1"/>
    </xf>
    <xf numFmtId="0" fontId="26" fillId="3" borderId="25" xfId="0" applyFont="1" applyFill="1" applyBorder="1" applyAlignment="1">
      <alignment vertical="top" wrapText="1"/>
    </xf>
    <xf numFmtId="0" fontId="26" fillId="4" borderId="24" xfId="0" applyFont="1" applyFill="1" applyBorder="1" applyAlignment="1">
      <alignment horizontal="justify" vertical="top" wrapText="1"/>
    </xf>
    <xf numFmtId="0" fontId="26" fillId="4" borderId="25" xfId="0" applyFont="1" applyFill="1" applyBorder="1" applyAlignment="1">
      <alignment horizontal="justify" vertical="top" wrapText="1"/>
    </xf>
    <xf numFmtId="0" fontId="26" fillId="5" borderId="1" xfId="0" applyFont="1" applyFill="1" applyBorder="1" applyAlignment="1">
      <alignment vertical="top" wrapText="1"/>
    </xf>
    <xf numFmtId="0" fontId="26" fillId="5" borderId="24" xfId="0" applyFont="1" applyFill="1" applyBorder="1" applyAlignment="1">
      <alignment vertical="top" wrapText="1"/>
    </xf>
    <xf numFmtId="0" fontId="26" fillId="5" borderId="25" xfId="0" applyFont="1" applyFill="1" applyBorder="1" applyAlignment="1">
      <alignment vertical="top" wrapText="1"/>
    </xf>
    <xf numFmtId="0" fontId="26" fillId="3" borderId="1" xfId="0" applyFont="1" applyFill="1" applyBorder="1" applyAlignment="1">
      <alignment horizontal="justify" vertical="top" wrapText="1"/>
    </xf>
    <xf numFmtId="0" fontId="27" fillId="0" borderId="24" xfId="0" applyFont="1" applyBorder="1" applyAlignment="1">
      <alignment horizontal="justify" vertical="top" wrapText="1"/>
    </xf>
    <xf numFmtId="0" fontId="27" fillId="0" borderId="25" xfId="0" applyFont="1" applyBorder="1" applyAlignment="1">
      <alignment horizontal="justify" vertical="top" wrapText="1"/>
    </xf>
    <xf numFmtId="0" fontId="31" fillId="4" borderId="1" xfId="0" applyFont="1" applyFill="1" applyBorder="1" applyAlignment="1">
      <alignment horizontal="justify" vertical="top" wrapText="1"/>
    </xf>
    <xf numFmtId="0" fontId="10" fillId="2" borderId="34" xfId="0" applyFont="1" applyFill="1" applyBorder="1" applyAlignment="1">
      <alignment horizontal="right" vertical="top" wrapText="1"/>
    </xf>
    <xf numFmtId="0" fontId="10" fillId="2" borderId="35" xfId="0" applyFont="1" applyFill="1" applyBorder="1" applyAlignment="1">
      <alignment horizontal="right" vertical="top" wrapText="1"/>
    </xf>
    <xf numFmtId="0" fontId="31" fillId="3" borderId="4" xfId="0" applyFont="1" applyFill="1" applyBorder="1" applyAlignment="1">
      <alignment horizontal="right" vertical="top" wrapText="1"/>
    </xf>
    <xf numFmtId="0" fontId="31" fillId="3" borderId="5" xfId="0" applyFont="1" applyFill="1" applyBorder="1" applyAlignment="1">
      <alignment horizontal="right" vertical="top" wrapText="1"/>
    </xf>
    <xf numFmtId="0" fontId="26" fillId="5" borderId="1" xfId="0" applyFont="1" applyFill="1" applyBorder="1" applyAlignment="1">
      <alignment horizontal="justify" vertical="top" wrapText="1"/>
    </xf>
    <xf numFmtId="0" fontId="26" fillId="3" borderId="1" xfId="0" applyFont="1" applyFill="1" applyBorder="1" applyAlignment="1">
      <alignment vertical="top" wrapText="1"/>
    </xf>
    <xf numFmtId="0" fontId="10" fillId="2" borderId="0" xfId="0" applyFont="1" applyFill="1" applyAlignment="1">
      <alignment horizontal="right" vertical="top" wrapText="1"/>
    </xf>
  </cellXfs>
  <cellStyles count="10">
    <cellStyle name="Normal" xfId="0" builtinId="0"/>
    <cellStyle name="Normal 2" xfId="1"/>
    <cellStyle name="Normal_Orç 037_2009 - Ar Condicionado Salas Técnicas - PJ Sobradinho" xfId="2"/>
    <cellStyle name="Normal_Orç 041_2009 Adaptação Copa PJ Ceilândia" xfId="3"/>
    <cellStyle name="Normal_Orç 041_2009 Adaptação Copa PJ Ceilândia_Orçamento Sintético" xfId="4"/>
    <cellStyle name="Normal_Orç 041_2009 Adaptação Copa PJ Ceilândia_Plan1" xfId="5"/>
    <cellStyle name="Normal_Plan1" xfId="6"/>
    <cellStyle name="Normal_Plan1_1 2" xfId="7"/>
    <cellStyle name="Porcentagem" xfId="8" builtinId="5"/>
    <cellStyle name="Separador de milhares" xfId="9" builtinId="3"/>
  </cellStyles>
  <dxfs count="519"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theme="0" tint="-4.9989318521683403E-2"/>
      </font>
    </dxf>
    <dxf>
      <font>
        <color theme="0" tint="-4.9989318521683403E-2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ont>
        <color rgb="FFFFFF0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D8ECF6"/>
      </font>
    </dxf>
    <dxf>
      <font>
        <color rgb="FFFFFF00"/>
      </font>
    </dxf>
    <dxf>
      <font>
        <color rgb="FFFFFF0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ill>
        <gradientFill degree="90">
          <stop position="0">
            <color theme="6" tint="0.80001220740379042"/>
          </stop>
          <stop position="1">
            <color theme="6" tint="0.40000610370189521"/>
          </stop>
        </gradientFill>
      </fill>
    </dxf>
    <dxf>
      <font>
        <color theme="0"/>
      </font>
    </dxf>
    <dxf>
      <font>
        <color rgb="FFD8ECF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ag/Documents/Trabalhos/MPDFT/Or&#231;%20006_2020%20PJBSI%20-%20CO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file____R__DIPRO_NOR_or_C3_A7a"/>
      <sheetName val="Planilha Sintética"/>
      <sheetName val="Composição de BDI"/>
      <sheetName val="Composição de Encargos Sociais"/>
      <sheetName val="Cronograma"/>
    </sheetNames>
    <sheetDataSet>
      <sheetData sheetId="0" refreshError="1"/>
      <sheetData sheetId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showGridLines="0" workbookViewId="0">
      <selection sqref="A1:B1"/>
    </sheetView>
  </sheetViews>
  <sheetFormatPr defaultRowHeight="14.25"/>
  <cols>
    <col min="1" max="1" width="6" customWidth="1"/>
    <col min="2" max="2" width="73.75" customWidth="1"/>
  </cols>
  <sheetData>
    <row r="1" spans="1:2">
      <c r="A1" s="143" t="s">
        <v>564</v>
      </c>
      <c r="B1" s="144"/>
    </row>
    <row r="2" spans="1:2">
      <c r="A2" s="41"/>
      <c r="B2" s="42"/>
    </row>
    <row r="3" spans="1:2">
      <c r="A3" s="43"/>
      <c r="B3" s="44" t="s">
        <v>565</v>
      </c>
    </row>
    <row r="4" spans="1:2" ht="33.75">
      <c r="A4" s="45">
        <v>1</v>
      </c>
      <c r="B4" s="46" t="s">
        <v>566</v>
      </c>
    </row>
    <row r="5" spans="1:2">
      <c r="A5" s="45">
        <v>2</v>
      </c>
      <c r="B5" s="46" t="s">
        <v>567</v>
      </c>
    </row>
    <row r="6" spans="1:2" ht="22.5">
      <c r="A6" s="45" t="s">
        <v>568</v>
      </c>
      <c r="B6" s="46" t="s">
        <v>569</v>
      </c>
    </row>
    <row r="7" spans="1:2">
      <c r="A7" s="45" t="s">
        <v>570</v>
      </c>
      <c r="B7" s="46" t="s">
        <v>571</v>
      </c>
    </row>
    <row r="8" spans="1:2" ht="22.5">
      <c r="A8" s="45" t="s">
        <v>572</v>
      </c>
      <c r="B8" s="46" t="s">
        <v>573</v>
      </c>
    </row>
    <row r="9" spans="1:2">
      <c r="A9" s="45" t="s">
        <v>574</v>
      </c>
      <c r="B9" s="46" t="s">
        <v>623</v>
      </c>
    </row>
    <row r="10" spans="1:2" ht="22.5">
      <c r="A10" s="47" t="s">
        <v>575</v>
      </c>
      <c r="B10" s="48" t="s">
        <v>576</v>
      </c>
    </row>
    <row r="11" spans="1:2">
      <c r="A11" s="49"/>
      <c r="B11" s="50"/>
    </row>
    <row r="12" spans="1:2">
      <c r="A12" s="43" t="s">
        <v>511</v>
      </c>
      <c r="B12" s="44" t="s">
        <v>577</v>
      </c>
    </row>
    <row r="13" spans="1:2" ht="22.5">
      <c r="A13" s="45" t="s">
        <v>470</v>
      </c>
      <c r="B13" s="46" t="s">
        <v>578</v>
      </c>
    </row>
    <row r="14" spans="1:2" ht="22.5">
      <c r="A14" s="45" t="s">
        <v>495</v>
      </c>
      <c r="B14" s="46" t="s">
        <v>579</v>
      </c>
    </row>
    <row r="15" spans="1:2">
      <c r="A15" s="51" t="s">
        <v>533</v>
      </c>
      <c r="B15" s="52" t="s">
        <v>580</v>
      </c>
    </row>
    <row r="16" spans="1:2">
      <c r="A16" s="45" t="s">
        <v>484</v>
      </c>
      <c r="B16" s="46" t="s">
        <v>581</v>
      </c>
    </row>
    <row r="17" spans="1:2" ht="22.5">
      <c r="A17" s="45" t="s">
        <v>515</v>
      </c>
      <c r="B17" s="46" t="s">
        <v>582</v>
      </c>
    </row>
    <row r="18" spans="1:2" ht="22.5">
      <c r="A18" s="45" t="s">
        <v>517</v>
      </c>
      <c r="B18" s="46" t="s">
        <v>583</v>
      </c>
    </row>
    <row r="19" spans="1:2">
      <c r="A19" s="51" t="s">
        <v>546</v>
      </c>
      <c r="B19" s="52" t="s">
        <v>584</v>
      </c>
    </row>
    <row r="20" spans="1:2">
      <c r="A20" s="45" t="s">
        <v>536</v>
      </c>
      <c r="B20" s="46" t="s">
        <v>585</v>
      </c>
    </row>
    <row r="21" spans="1:2" ht="22.5">
      <c r="A21" s="45" t="s">
        <v>538</v>
      </c>
      <c r="B21" s="46" t="s">
        <v>586</v>
      </c>
    </row>
    <row r="22" spans="1:2" ht="22.5">
      <c r="A22" s="45" t="s">
        <v>540</v>
      </c>
      <c r="B22" s="46" t="s">
        <v>587</v>
      </c>
    </row>
    <row r="23" spans="1:2" ht="22.5">
      <c r="A23" s="45" t="s">
        <v>542</v>
      </c>
      <c r="B23" s="46" t="s">
        <v>588</v>
      </c>
    </row>
    <row r="24" spans="1:2">
      <c r="A24" s="51" t="s">
        <v>589</v>
      </c>
      <c r="B24" s="52" t="s">
        <v>590</v>
      </c>
    </row>
    <row r="25" spans="1:2" ht="33.75">
      <c r="A25" s="45" t="s">
        <v>548</v>
      </c>
      <c r="B25" s="46" t="s">
        <v>591</v>
      </c>
    </row>
    <row r="26" spans="1:2" ht="22.5">
      <c r="A26" s="45" t="s">
        <v>550</v>
      </c>
      <c r="B26" s="46" t="s">
        <v>592</v>
      </c>
    </row>
    <row r="27" spans="1:2">
      <c r="A27" s="45" t="s">
        <v>593</v>
      </c>
      <c r="B27" s="46" t="s">
        <v>594</v>
      </c>
    </row>
    <row r="28" spans="1:2">
      <c r="A28" s="51" t="s">
        <v>595</v>
      </c>
      <c r="B28" s="52" t="s">
        <v>596</v>
      </c>
    </row>
    <row r="29" spans="1:2">
      <c r="A29" s="45" t="s">
        <v>597</v>
      </c>
      <c r="B29" s="46" t="s">
        <v>598</v>
      </c>
    </row>
    <row r="30" spans="1:2">
      <c r="A30" s="53" t="s">
        <v>599</v>
      </c>
      <c r="B30" s="54" t="s">
        <v>600</v>
      </c>
    </row>
    <row r="31" spans="1:2">
      <c r="A31" s="55" t="s">
        <v>601</v>
      </c>
      <c r="B31" s="56" t="s">
        <v>602</v>
      </c>
    </row>
    <row r="32" spans="1:2" ht="22.5">
      <c r="A32" s="55" t="s">
        <v>603</v>
      </c>
      <c r="B32" s="56" t="s">
        <v>604</v>
      </c>
    </row>
    <row r="33" spans="1:2" ht="22.5">
      <c r="A33" s="57" t="s">
        <v>605</v>
      </c>
      <c r="B33" s="58" t="s">
        <v>606</v>
      </c>
    </row>
  </sheetData>
  <mergeCells count="1">
    <mergeCell ref="A1:B1"/>
  </mergeCells>
  <phoneticPr fontId="14" type="noConversion"/>
  <printOptions horizontalCentered="1"/>
  <pageMargins left="0.59055118110236227" right="0.59055118110236227" top="0.59055118110236227" bottom="0.59055118110236227" header="0.19685039370078741" footer="0.19685039370078741"/>
  <pageSetup paperSize="9" orientation="portrait" r:id="rId1"/>
  <headerFooter alignWithMargins="0">
    <oddHeader>&amp;C&amp;"Arial,Negrito"&amp;20ESTA PLANILHA NÃO PRECISA SER IMPRESSA</oddHeader>
    <oddFooter>&amp;C&amp;"Arial,Negrito"&amp;20ESTA PLANILHA NÃO PRECISA SER IMPRESSA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tabSelected="1" showOutlineSymbols="0" showWhiteSpace="0" workbookViewId="0"/>
  </sheetViews>
  <sheetFormatPr defaultRowHeight="14.25"/>
  <cols>
    <col min="1" max="1" width="10" bestFit="1" customWidth="1"/>
    <col min="2" max="2" width="60" bestFit="1" customWidth="1"/>
    <col min="3" max="3" width="10" bestFit="1" customWidth="1"/>
    <col min="4" max="4" width="18.125" bestFit="1" customWidth="1"/>
  </cols>
  <sheetData>
    <row r="1" spans="1:4" ht="14.25" customHeight="1">
      <c r="A1" s="59" t="str">
        <f ca="1">'Orçamento Sintético'!A1</f>
        <v>P. Execução:</v>
      </c>
      <c r="B1" s="60" t="str">
        <f ca="1">'Orçamento Sintético'!D1</f>
        <v>Objeto: Recuperação de laje do reservatório de Brasília II</v>
      </c>
      <c r="C1" s="61" t="str">
        <f ca="1">'Orçamento Sintético'!C1</f>
        <v>Licitação:</v>
      </c>
      <c r="D1" s="147"/>
    </row>
    <row r="2" spans="1:4" ht="14.25" customHeight="1">
      <c r="A2" s="62" t="str">
        <f ca="1">'Orçamento Sintético'!A2</f>
        <v>A</v>
      </c>
      <c r="B2" s="63" t="str">
        <f ca="1">'Orçamento Sintético'!D2</f>
        <v>Local: Setor de Múltiplas Atividades Sul - SMAS Trecho 4 Lote 6/8 – Brasília – DF</v>
      </c>
      <c r="C2" s="64" t="str">
        <f ca="1">'Orçamento Sintético'!C2</f>
        <v>B</v>
      </c>
      <c r="D2" s="148"/>
    </row>
    <row r="3" spans="1:4">
      <c r="A3" s="65" t="str">
        <f ca="1">'Orçamento Sintético'!A3</f>
        <v>P. Validade:</v>
      </c>
      <c r="B3" s="65" t="str">
        <f ca="1">'Orçamento Sintético'!C3</f>
        <v>Razão Social:</v>
      </c>
      <c r="C3" s="59" t="str">
        <f ca="1">'Orçamento Sintético'!E1</f>
        <v>Data:</v>
      </c>
      <c r="D3" s="148"/>
    </row>
    <row r="4" spans="1:4">
      <c r="A4" s="62" t="str">
        <f ca="1">'Orçamento Sintético'!A4</f>
        <v>C</v>
      </c>
      <c r="B4" s="66" t="str">
        <f ca="1">'Orçamento Sintético'!C4</f>
        <v>D</v>
      </c>
      <c r="C4" s="66">
        <f ca="1">'Orçamento Sintético'!E2</f>
        <v>1</v>
      </c>
      <c r="D4" s="148"/>
    </row>
    <row r="5" spans="1:4" ht="15" customHeight="1">
      <c r="A5" s="59" t="str">
        <f ca="1">'Orçamento Sintético'!A5</f>
        <v>P. Garantia:</v>
      </c>
      <c r="B5" s="65" t="str">
        <f ca="1">'Orçamento Sintético'!C5</f>
        <v>CNPJ:</v>
      </c>
      <c r="C5" s="59" t="str">
        <f ca="1">'Orçamento Sintético'!E3</f>
        <v>Telefone:</v>
      </c>
      <c r="D5" s="148"/>
    </row>
    <row r="6" spans="1:4">
      <c r="A6" s="62" t="str">
        <f ca="1">'Orçamento Sintético'!A6</f>
        <v>F</v>
      </c>
      <c r="B6" s="66" t="str">
        <f ca="1">'Orçamento Sintético'!C6</f>
        <v>G</v>
      </c>
      <c r="C6" s="66" t="str">
        <f ca="1">'Orçamento Sintético'!E4</f>
        <v>E</v>
      </c>
      <c r="D6" s="149"/>
    </row>
    <row r="7" spans="1:4" ht="15" customHeight="1">
      <c r="A7" s="145" t="s">
        <v>463</v>
      </c>
      <c r="B7" s="146"/>
      <c r="C7" s="146"/>
      <c r="D7" s="146"/>
    </row>
    <row r="8" spans="1:4" ht="30" customHeight="1">
      <c r="A8" s="6" t="s">
        <v>1</v>
      </c>
      <c r="B8" s="6" t="s">
        <v>4</v>
      </c>
      <c r="C8" s="6" t="s">
        <v>8</v>
      </c>
      <c r="D8" s="6" t="s">
        <v>462</v>
      </c>
    </row>
    <row r="9" spans="1:4" ht="24" customHeight="1">
      <c r="A9" s="70" t="s">
        <v>9</v>
      </c>
      <c r="B9" s="70" t="str">
        <f ca="1">VLOOKUP(A9,'Orçamento Sintético'!$A:$H,4,0)</f>
        <v>SERVIÇOS TÉCNICO - PROFISSIONAIS</v>
      </c>
      <c r="C9" s="71">
        <f ca="1">VLOOKUP(A9,'Orçamento Sintético'!$A:$H,8,0)</f>
        <v>244.19</v>
      </c>
      <c r="D9" s="72">
        <f>ROUND(C9/$D$17,4)</f>
        <v>1.6999999999999999E-3</v>
      </c>
    </row>
    <row r="10" spans="1:4" ht="24" customHeight="1">
      <c r="A10" s="70" t="s">
        <v>18</v>
      </c>
      <c r="B10" s="70" t="str">
        <f ca="1">VLOOKUP(A10,'Orçamento Sintético'!$A:$H,4,0)</f>
        <v>SERVIÇOS PRELIMINARES</v>
      </c>
      <c r="C10" s="71">
        <f ca="1">VLOOKUP(A10,'Orçamento Sintético'!$A:$H,8,0)</f>
        <v>37718.69</v>
      </c>
      <c r="D10" s="72">
        <f t="shared" ref="D10:D15" si="0">ROUND(C10/$D$17,4)</f>
        <v>0.25659999999999999</v>
      </c>
    </row>
    <row r="11" spans="1:4" ht="24" customHeight="1">
      <c r="A11" s="70" t="s">
        <v>112</v>
      </c>
      <c r="B11" s="70" t="str">
        <f ca="1">VLOOKUP(A11,'Orçamento Sintético'!$A:$H,4,0)</f>
        <v>ARQUITETURA E ELEMENTOS DE URBANISMO</v>
      </c>
      <c r="C11" s="71">
        <f ca="1">VLOOKUP(A11,'Orçamento Sintético'!$A:$H,8,0)</f>
        <v>74486.689999999988</v>
      </c>
      <c r="D11" s="72">
        <f t="shared" si="0"/>
        <v>0.50680000000000003</v>
      </c>
    </row>
    <row r="12" spans="1:4" ht="24" customHeight="1">
      <c r="A12" s="70" t="s">
        <v>217</v>
      </c>
      <c r="B12" s="70" t="str">
        <f ca="1">VLOOKUP(A12,'Orçamento Sintético'!$A:$H,4,0)</f>
        <v>INSTALAÇÕES HIDRÁULICAS E SANITÁRIAS</v>
      </c>
      <c r="C12" s="71">
        <f ca="1">VLOOKUP(A12,'Orçamento Sintético'!$A:$H,8,0)</f>
        <v>12583.99</v>
      </c>
      <c r="D12" s="72">
        <f t="shared" si="0"/>
        <v>8.5599999999999996E-2</v>
      </c>
    </row>
    <row r="13" spans="1:4" ht="24" customHeight="1">
      <c r="A13" s="70" t="s">
        <v>253</v>
      </c>
      <c r="B13" s="70" t="str">
        <f ca="1">VLOOKUP(A13,'Orçamento Sintético'!$A:$H,4,0)</f>
        <v>INSTALAÇÕES ELÉTRICAS E ELETRÔNICAS</v>
      </c>
      <c r="C13" s="71">
        <f ca="1">VLOOKUP(A13,'Orçamento Sintético'!$A:$H,8,0)</f>
        <v>2483.3199999999997</v>
      </c>
      <c r="D13" s="72">
        <f t="shared" si="0"/>
        <v>1.6899999999999998E-2</v>
      </c>
    </row>
    <row r="14" spans="1:4" ht="24" customHeight="1">
      <c r="A14" s="70" t="s">
        <v>276</v>
      </c>
      <c r="B14" s="70" t="str">
        <f ca="1">VLOOKUP(A14,'Orçamento Sintético'!$A:$H,4,0)</f>
        <v>SERVIÇOS COMPLEMENTARES</v>
      </c>
      <c r="C14" s="71">
        <f ca="1">VLOOKUP(A14,'Orçamento Sintético'!$A:$H,8,0)</f>
        <v>915.3</v>
      </c>
      <c r="D14" s="72">
        <f t="shared" si="0"/>
        <v>6.1999999999999998E-3</v>
      </c>
    </row>
    <row r="15" spans="1:4" ht="24" customHeight="1">
      <c r="A15" s="70" t="s">
        <v>289</v>
      </c>
      <c r="B15" s="70" t="str">
        <f ca="1">VLOOKUP(A15,'Orçamento Sintético'!$A:$H,4,0)</f>
        <v>SERVIÇOS AUXILIARES E ADMINISTRATIVOS</v>
      </c>
      <c r="C15" s="71">
        <f ca="1">VLOOKUP(A15,'Orçamento Sintético'!$A:$H,8,0)</f>
        <v>18547.599999999999</v>
      </c>
      <c r="D15" s="72">
        <f t="shared" si="0"/>
        <v>0.12620000000000001</v>
      </c>
    </row>
    <row r="16" spans="1:4">
      <c r="A16" s="3"/>
      <c r="B16" s="3"/>
      <c r="C16" s="3"/>
      <c r="D16" s="3"/>
    </row>
    <row r="17" spans="1:4">
      <c r="A17" s="67"/>
      <c r="B17" s="67" t="s">
        <v>301</v>
      </c>
      <c r="C17" s="68"/>
      <c r="D17" s="68">
        <f>SUM(C9:C15)</f>
        <v>146979.78</v>
      </c>
    </row>
    <row r="18" spans="1:4">
      <c r="A18" s="67"/>
      <c r="B18" s="67" t="s">
        <v>302</v>
      </c>
      <c r="C18" s="69" t="str">
        <f ca="1">"("&amp;'Composição de BDI'!$D$23*100&amp;"%)"</f>
        <v>(22,12%)</v>
      </c>
      <c r="D18" s="68">
        <f ca="1">TRUNC(D17*'Composição de BDI'!$D$23,2)</f>
        <v>32511.919999999998</v>
      </c>
    </row>
    <row r="19" spans="1:4">
      <c r="A19" s="67"/>
      <c r="B19" s="67" t="s">
        <v>303</v>
      </c>
      <c r="C19" s="68"/>
      <c r="D19" s="68">
        <f>SUM(D17:D18)</f>
        <v>179491.7</v>
      </c>
    </row>
  </sheetData>
  <sheetCalcPr fullCalcOnLoad="1"/>
  <mergeCells count="2">
    <mergeCell ref="A7:D7"/>
    <mergeCell ref="D1:D6"/>
  </mergeCells>
  <phoneticPr fontId="1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5" fitToHeight="0" orientation="portrait" r:id="rId1"/>
  <headerFooter>
    <oddHeader>&amp;L &amp;C &amp;R</oddHeader>
    <oddFooter>&amp;L &amp;C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showOutlineSymbols="0" showWhiteSpace="0" workbookViewId="0"/>
  </sheetViews>
  <sheetFormatPr defaultRowHeight="14.25"/>
  <cols>
    <col min="1" max="2" width="10" bestFit="1" customWidth="1"/>
    <col min="3" max="3" width="13.25" bestFit="1" customWidth="1"/>
    <col min="4" max="4" width="60" bestFit="1" customWidth="1"/>
    <col min="5" max="5" width="8" bestFit="1" customWidth="1"/>
    <col min="6" max="9" width="13" bestFit="1" customWidth="1"/>
  </cols>
  <sheetData>
    <row r="1" spans="1:9" ht="15" customHeight="1">
      <c r="A1" s="59" t="s">
        <v>607</v>
      </c>
      <c r="B1" s="73"/>
      <c r="C1" s="61" t="s">
        <v>608</v>
      </c>
      <c r="D1" s="60" t="s">
        <v>616</v>
      </c>
      <c r="E1" s="59" t="s">
        <v>304</v>
      </c>
      <c r="F1" s="74"/>
      <c r="G1" s="157"/>
      <c r="H1" s="158"/>
    </row>
    <row r="2" spans="1:9" ht="15" customHeight="1">
      <c r="A2" s="150" t="s">
        <v>511</v>
      </c>
      <c r="B2" s="159"/>
      <c r="C2" s="64" t="s">
        <v>533</v>
      </c>
      <c r="D2" s="63" t="s">
        <v>617</v>
      </c>
      <c r="E2" s="160">
        <v>1</v>
      </c>
      <c r="F2" s="161"/>
      <c r="G2" s="152"/>
      <c r="H2" s="153"/>
    </row>
    <row r="3" spans="1:9">
      <c r="A3" s="162" t="s">
        <v>609</v>
      </c>
      <c r="B3" s="163"/>
      <c r="C3" s="162" t="s">
        <v>610</v>
      </c>
      <c r="D3" s="163"/>
      <c r="E3" s="59" t="s">
        <v>611</v>
      </c>
      <c r="F3" s="75"/>
      <c r="G3" s="76"/>
      <c r="H3" s="77"/>
    </row>
    <row r="4" spans="1:9">
      <c r="A4" s="150" t="s">
        <v>546</v>
      </c>
      <c r="B4" s="159"/>
      <c r="C4" s="150" t="s">
        <v>589</v>
      </c>
      <c r="D4" s="159"/>
      <c r="E4" s="150" t="s">
        <v>595</v>
      </c>
      <c r="F4" s="151"/>
      <c r="G4" s="152"/>
      <c r="H4" s="153"/>
    </row>
    <row r="5" spans="1:9">
      <c r="A5" s="78" t="s">
        <v>612</v>
      </c>
      <c r="B5" s="79"/>
      <c r="C5" s="59" t="s">
        <v>613</v>
      </c>
      <c r="D5" s="73"/>
      <c r="E5" s="59" t="s">
        <v>614</v>
      </c>
      <c r="F5" s="75"/>
      <c r="G5" s="76"/>
      <c r="H5" s="77"/>
    </row>
    <row r="6" spans="1:9" ht="14.25" customHeight="1">
      <c r="A6" s="155" t="s">
        <v>599</v>
      </c>
      <c r="B6" s="156"/>
      <c r="C6" s="150" t="s">
        <v>615</v>
      </c>
      <c r="D6" s="159"/>
      <c r="E6" s="150" t="s">
        <v>300</v>
      </c>
      <c r="F6" s="151"/>
      <c r="G6" s="155"/>
      <c r="H6" s="156"/>
    </row>
    <row r="7" spans="1:9" ht="15" customHeight="1">
      <c r="A7" s="145" t="s">
        <v>0</v>
      </c>
      <c r="B7" s="146"/>
      <c r="C7" s="146"/>
      <c r="D7" s="146"/>
      <c r="E7" s="146"/>
      <c r="F7" s="146"/>
      <c r="G7" s="146"/>
      <c r="H7" s="146"/>
    </row>
    <row r="8" spans="1:9" ht="15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80" t="s">
        <v>6</v>
      </c>
      <c r="G8" s="6" t="s">
        <v>7</v>
      </c>
      <c r="H8" s="81" t="s">
        <v>8</v>
      </c>
      <c r="I8" s="2"/>
    </row>
    <row r="9" spans="1:9">
      <c r="A9" s="82" t="s">
        <v>9</v>
      </c>
      <c r="B9" s="82"/>
      <c r="C9" s="82"/>
      <c r="D9" s="82" t="s">
        <v>10</v>
      </c>
      <c r="E9" s="82"/>
      <c r="F9" s="83"/>
      <c r="G9" s="82"/>
      <c r="H9" s="83">
        <f>H10</f>
        <v>244.19</v>
      </c>
    </row>
    <row r="10" spans="1:9">
      <c r="A10" s="84" t="s">
        <v>11</v>
      </c>
      <c r="B10" s="84"/>
      <c r="C10" s="84"/>
      <c r="D10" s="84" t="s">
        <v>12</v>
      </c>
      <c r="E10" s="84"/>
      <c r="F10" s="85"/>
      <c r="G10" s="84"/>
      <c r="H10" s="86">
        <f>H11</f>
        <v>244.19</v>
      </c>
    </row>
    <row r="11" spans="1:9">
      <c r="A11" s="87" t="s">
        <v>13</v>
      </c>
      <c r="B11" s="88" t="s">
        <v>14</v>
      </c>
      <c r="C11" s="88" t="s">
        <v>15</v>
      </c>
      <c r="D11" s="89" t="s">
        <v>16</v>
      </c>
      <c r="E11" s="88" t="s">
        <v>17</v>
      </c>
      <c r="F11" s="90">
        <v>1</v>
      </c>
      <c r="G11" s="91">
        <f ca="1">VLOOKUP(A11,'Orçamento Analítico'!$A:$H,8,0)</f>
        <v>244.19</v>
      </c>
      <c r="H11" s="91">
        <f>TRUNC(F11 * G11, 2)</f>
        <v>244.19</v>
      </c>
    </row>
    <row r="12" spans="1:9">
      <c r="A12" s="82" t="s">
        <v>18</v>
      </c>
      <c r="B12" s="82"/>
      <c r="C12" s="82"/>
      <c r="D12" s="82" t="s">
        <v>19</v>
      </c>
      <c r="E12" s="82"/>
      <c r="F12" s="83"/>
      <c r="G12" s="82"/>
      <c r="H12" s="83">
        <f>H13+H20</f>
        <v>37718.69</v>
      </c>
    </row>
    <row r="13" spans="1:9">
      <c r="A13" s="84" t="s">
        <v>20</v>
      </c>
      <c r="B13" s="84"/>
      <c r="C13" s="84"/>
      <c r="D13" s="84" t="s">
        <v>21</v>
      </c>
      <c r="E13" s="84"/>
      <c r="F13" s="85"/>
      <c r="G13" s="84"/>
      <c r="H13" s="86">
        <f>H14+H17</f>
        <v>15083.210000000001</v>
      </c>
    </row>
    <row r="14" spans="1:9">
      <c r="A14" s="92" t="s">
        <v>22</v>
      </c>
      <c r="B14" s="92"/>
      <c r="C14" s="92"/>
      <c r="D14" s="92" t="s">
        <v>23</v>
      </c>
      <c r="E14" s="92"/>
      <c r="F14" s="93"/>
      <c r="G14" s="92"/>
      <c r="H14" s="94">
        <f>SUM(H15:H16)</f>
        <v>1832.03</v>
      </c>
    </row>
    <row r="15" spans="1:9">
      <c r="A15" s="87" t="s">
        <v>24</v>
      </c>
      <c r="B15" s="88" t="s">
        <v>25</v>
      </c>
      <c r="C15" s="88" t="s">
        <v>15</v>
      </c>
      <c r="D15" s="89" t="s">
        <v>26</v>
      </c>
      <c r="E15" s="88" t="s">
        <v>27</v>
      </c>
      <c r="F15" s="90">
        <v>2</v>
      </c>
      <c r="G15" s="91">
        <f ca="1">VLOOKUP(A15,'Orçamento Analítico'!$A:$H,8,0)</f>
        <v>457.03</v>
      </c>
      <c r="H15" s="91">
        <f>TRUNC(F15 * G15, 2)</f>
        <v>914.06</v>
      </c>
    </row>
    <row r="16" spans="1:9" ht="22.5">
      <c r="A16" s="87" t="s">
        <v>28</v>
      </c>
      <c r="B16" s="88" t="s">
        <v>29</v>
      </c>
      <c r="C16" s="88" t="s">
        <v>15</v>
      </c>
      <c r="D16" s="89" t="s">
        <v>30</v>
      </c>
      <c r="E16" s="88" t="s">
        <v>31</v>
      </c>
      <c r="F16" s="90">
        <v>1</v>
      </c>
      <c r="G16" s="91">
        <f ca="1">VLOOKUP(A16,'Orçamento Analítico'!$A:$H,8,0)</f>
        <v>917.97</v>
      </c>
      <c r="H16" s="91">
        <f>TRUNC(F16 * G16, 2)</f>
        <v>917.97</v>
      </c>
    </row>
    <row r="17" spans="1:8">
      <c r="A17" s="92" t="s">
        <v>32</v>
      </c>
      <c r="B17" s="92"/>
      <c r="C17" s="92"/>
      <c r="D17" s="92" t="s">
        <v>33</v>
      </c>
      <c r="E17" s="92"/>
      <c r="F17" s="93"/>
      <c r="G17" s="92"/>
      <c r="H17" s="94">
        <f>SUM(H18:H19)</f>
        <v>13251.18</v>
      </c>
    </row>
    <row r="18" spans="1:8">
      <c r="A18" s="87" t="s">
        <v>34</v>
      </c>
      <c r="B18" s="88" t="s">
        <v>35</v>
      </c>
      <c r="C18" s="88" t="str">
        <f ca="1">VLOOKUP(B18,'Insumos e Serviços'!$A:$F,2,0)</f>
        <v>SINAPI</v>
      </c>
      <c r="D18" s="89" t="str">
        <f ca="1">VLOOKUP(B18,'Insumos e Serviços'!$A:$F,4,0)</f>
        <v>SINALIZAÇÃO COM FITA FIXADA EM CONE PLÁSTICO, INCLUINDO CONE. AF_11/2017</v>
      </c>
      <c r="E18" s="88" t="str">
        <f ca="1">VLOOKUP(B18,'Insumos e Serviços'!$A:$F,5,0)</f>
        <v>M</v>
      </c>
      <c r="F18" s="90">
        <v>36</v>
      </c>
      <c r="G18" s="91">
        <f ca="1">VLOOKUP(B18,'Insumos e Serviços'!$A:$F,6,0)</f>
        <v>10.68</v>
      </c>
      <c r="H18" s="91">
        <f>TRUNC(F18 * G18, 2)</f>
        <v>384.48</v>
      </c>
    </row>
    <row r="19" spans="1:8">
      <c r="A19" s="87" t="s">
        <v>39</v>
      </c>
      <c r="B19" s="88" t="s">
        <v>40</v>
      </c>
      <c r="C19" s="88" t="str">
        <f ca="1">VLOOKUP(B19,'Insumos e Serviços'!$A:$F,2,0)</f>
        <v>SINAPI</v>
      </c>
      <c r="D19" s="89" t="str">
        <f ca="1">VLOOKUP(B19,'Insumos e Serviços'!$A:$F,4,0)</f>
        <v>TAPUME COM COMPENSADO DE MADEIRA. AF_05/2018</v>
      </c>
      <c r="E19" s="88" t="str">
        <f ca="1">VLOOKUP(B19,'Insumos e Serviços'!$A:$F,5,0)</f>
        <v>m²</v>
      </c>
      <c r="F19" s="90">
        <v>110</v>
      </c>
      <c r="G19" s="91">
        <f ca="1">VLOOKUP(B19,'Insumos e Serviços'!$A:$F,6,0)</f>
        <v>116.97</v>
      </c>
      <c r="H19" s="91">
        <f>TRUNC(F19 * G19, 2)</f>
        <v>12866.7</v>
      </c>
    </row>
    <row r="20" spans="1:8">
      <c r="A20" s="84" t="s">
        <v>43</v>
      </c>
      <c r="B20" s="84"/>
      <c r="C20" s="84"/>
      <c r="D20" s="84" t="s">
        <v>44</v>
      </c>
      <c r="E20" s="84"/>
      <c r="F20" s="85"/>
      <c r="G20" s="84"/>
      <c r="H20" s="86">
        <f>H21+H29</f>
        <v>22635.48</v>
      </c>
    </row>
    <row r="21" spans="1:8">
      <c r="A21" s="92" t="s">
        <v>45</v>
      </c>
      <c r="B21" s="92"/>
      <c r="C21" s="92"/>
      <c r="D21" s="92" t="s">
        <v>46</v>
      </c>
      <c r="E21" s="92"/>
      <c r="F21" s="93"/>
      <c r="G21" s="92"/>
      <c r="H21" s="94">
        <f>SUM(H22:H28)</f>
        <v>5319.12</v>
      </c>
    </row>
    <row r="22" spans="1:8">
      <c r="A22" s="87" t="s">
        <v>47</v>
      </c>
      <c r="B22" s="88" t="s">
        <v>48</v>
      </c>
      <c r="C22" s="88" t="s">
        <v>15</v>
      </c>
      <c r="D22" s="89" t="s">
        <v>49</v>
      </c>
      <c r="E22" s="88" t="s">
        <v>42</v>
      </c>
      <c r="F22" s="90">
        <v>35</v>
      </c>
      <c r="G22" s="91">
        <f ca="1">VLOOKUP(A22,'Orçamento Analítico'!$A:$H,8,0)</f>
        <v>29.05</v>
      </c>
      <c r="H22" s="91">
        <f t="shared" ref="H22:H28" si="0">TRUNC(F22 * G22, 2)</f>
        <v>1016.75</v>
      </c>
    </row>
    <row r="23" spans="1:8" ht="22.5">
      <c r="A23" s="87" t="s">
        <v>50</v>
      </c>
      <c r="B23" s="88" t="s">
        <v>51</v>
      </c>
      <c r="C23" s="88" t="s">
        <v>15</v>
      </c>
      <c r="D23" s="89" t="s">
        <v>52</v>
      </c>
      <c r="E23" s="88" t="s">
        <v>53</v>
      </c>
      <c r="F23" s="90">
        <v>44</v>
      </c>
      <c r="G23" s="91">
        <f ca="1">VLOOKUP(A23,'Orçamento Analítico'!$A:$H,8,0)</f>
        <v>7.17</v>
      </c>
      <c r="H23" s="91">
        <f t="shared" si="0"/>
        <v>315.48</v>
      </c>
    </row>
    <row r="24" spans="1:8">
      <c r="A24" s="87" t="s">
        <v>54</v>
      </c>
      <c r="B24" s="88" t="s">
        <v>55</v>
      </c>
      <c r="C24" s="88" t="s">
        <v>15</v>
      </c>
      <c r="D24" s="89" t="s">
        <v>56</v>
      </c>
      <c r="E24" s="88" t="s">
        <v>38</v>
      </c>
      <c r="F24" s="90">
        <v>67</v>
      </c>
      <c r="G24" s="91">
        <f ca="1">VLOOKUP(A24,'Orçamento Analítico'!$A:$H,8,0)</f>
        <v>40.57</v>
      </c>
      <c r="H24" s="91">
        <f t="shared" si="0"/>
        <v>2718.19</v>
      </c>
    </row>
    <row r="25" spans="1:8" ht="22.5">
      <c r="A25" s="87" t="s">
        <v>57</v>
      </c>
      <c r="B25" s="88" t="s">
        <v>58</v>
      </c>
      <c r="C25" s="88" t="s">
        <v>15</v>
      </c>
      <c r="D25" s="89" t="s">
        <v>59</v>
      </c>
      <c r="E25" s="88" t="s">
        <v>42</v>
      </c>
      <c r="F25" s="90">
        <v>11</v>
      </c>
      <c r="G25" s="91">
        <f ca="1">VLOOKUP(A25,'Orçamento Analítico'!$A:$H,8,0)</f>
        <v>23.99</v>
      </c>
      <c r="H25" s="91">
        <f t="shared" si="0"/>
        <v>263.89</v>
      </c>
    </row>
    <row r="26" spans="1:8">
      <c r="A26" s="87" t="s">
        <v>60</v>
      </c>
      <c r="B26" s="88" t="s">
        <v>61</v>
      </c>
      <c r="C26" s="88" t="s">
        <v>15</v>
      </c>
      <c r="D26" s="89" t="s">
        <v>62</v>
      </c>
      <c r="E26" s="88" t="s">
        <v>63</v>
      </c>
      <c r="F26" s="90">
        <v>3</v>
      </c>
      <c r="G26" s="91">
        <f ca="1">VLOOKUP(A26,'Orçamento Analítico'!$A:$H,8,0)</f>
        <v>260</v>
      </c>
      <c r="H26" s="91">
        <f t="shared" si="0"/>
        <v>780</v>
      </c>
    </row>
    <row r="27" spans="1:8" ht="22.5">
      <c r="A27" s="87" t="s">
        <v>64</v>
      </c>
      <c r="B27" s="88" t="s">
        <v>65</v>
      </c>
      <c r="C27" s="88" t="s">
        <v>15</v>
      </c>
      <c r="D27" s="89" t="s">
        <v>66</v>
      </c>
      <c r="E27" s="88" t="s">
        <v>67</v>
      </c>
      <c r="F27" s="90">
        <v>2</v>
      </c>
      <c r="G27" s="91">
        <f ca="1">VLOOKUP(A27,'Orçamento Analítico'!$A:$H,8,0)</f>
        <v>107.28999999999999</v>
      </c>
      <c r="H27" s="91">
        <f t="shared" si="0"/>
        <v>214.58</v>
      </c>
    </row>
    <row r="28" spans="1:8" ht="22.5">
      <c r="A28" s="87" t="s">
        <v>68</v>
      </c>
      <c r="B28" s="88" t="s">
        <v>69</v>
      </c>
      <c r="C28" s="88" t="s">
        <v>15</v>
      </c>
      <c r="D28" s="89" t="s">
        <v>70</v>
      </c>
      <c r="E28" s="88" t="s">
        <v>42</v>
      </c>
      <c r="F28" s="90">
        <v>1</v>
      </c>
      <c r="G28" s="91">
        <f ca="1">VLOOKUP(A28,'Orçamento Analítico'!$A:$H,8,0)</f>
        <v>10.23</v>
      </c>
      <c r="H28" s="91">
        <f t="shared" si="0"/>
        <v>10.23</v>
      </c>
    </row>
    <row r="29" spans="1:8">
      <c r="A29" s="92" t="s">
        <v>71</v>
      </c>
      <c r="B29" s="92"/>
      <c r="C29" s="92"/>
      <c r="D29" s="92" t="s">
        <v>72</v>
      </c>
      <c r="E29" s="92"/>
      <c r="F29" s="93"/>
      <c r="G29" s="92"/>
      <c r="H29" s="94">
        <f>SUM(H30:H42)</f>
        <v>17316.36</v>
      </c>
    </row>
    <row r="30" spans="1:8">
      <c r="A30" s="87" t="s">
        <v>73</v>
      </c>
      <c r="B30" s="88" t="s">
        <v>74</v>
      </c>
      <c r="C30" s="88" t="s">
        <v>15</v>
      </c>
      <c r="D30" s="89" t="s">
        <v>75</v>
      </c>
      <c r="E30" s="88" t="s">
        <v>42</v>
      </c>
      <c r="F30" s="90">
        <v>152</v>
      </c>
      <c r="G30" s="91">
        <f ca="1">VLOOKUP(A30,'Orçamento Analítico'!$A:$H,8,0)</f>
        <v>3.65</v>
      </c>
      <c r="H30" s="91">
        <f t="shared" ref="H30:H42" si="1">TRUNC(F30 * G30, 2)</f>
        <v>554.79999999999995</v>
      </c>
    </row>
    <row r="31" spans="1:8" ht="22.5">
      <c r="A31" s="87" t="s">
        <v>76</v>
      </c>
      <c r="B31" s="88" t="s">
        <v>77</v>
      </c>
      <c r="C31" s="88" t="s">
        <v>15</v>
      </c>
      <c r="D31" s="89" t="s">
        <v>78</v>
      </c>
      <c r="E31" s="88" t="s">
        <v>42</v>
      </c>
      <c r="F31" s="90">
        <v>35</v>
      </c>
      <c r="G31" s="91">
        <f ca="1">VLOOKUP(A31,'Orçamento Analítico'!$A:$H,8,0)</f>
        <v>52.83</v>
      </c>
      <c r="H31" s="91">
        <f t="shared" si="1"/>
        <v>1849.05</v>
      </c>
    </row>
    <row r="32" spans="1:8">
      <c r="A32" s="87" t="s">
        <v>79</v>
      </c>
      <c r="B32" s="88" t="s">
        <v>80</v>
      </c>
      <c r="C32" s="88" t="s">
        <v>15</v>
      </c>
      <c r="D32" s="89" t="s">
        <v>81</v>
      </c>
      <c r="E32" s="88" t="s">
        <v>67</v>
      </c>
      <c r="F32" s="90">
        <v>2</v>
      </c>
      <c r="G32" s="91">
        <f ca="1">VLOOKUP(A32,'Orçamento Analítico'!$A:$H,8,0)</f>
        <v>212.29</v>
      </c>
      <c r="H32" s="91">
        <f t="shared" si="1"/>
        <v>424.58</v>
      </c>
    </row>
    <row r="33" spans="1:8">
      <c r="A33" s="87" t="s">
        <v>82</v>
      </c>
      <c r="B33" s="88" t="s">
        <v>83</v>
      </c>
      <c r="C33" s="88" t="s">
        <v>15</v>
      </c>
      <c r="D33" s="89" t="s">
        <v>84</v>
      </c>
      <c r="E33" s="88" t="s">
        <v>63</v>
      </c>
      <c r="F33" s="90">
        <v>122</v>
      </c>
      <c r="G33" s="91">
        <f ca="1">VLOOKUP(A33,'Orçamento Analítico'!$A:$H,8,0)</f>
        <v>21.13</v>
      </c>
      <c r="H33" s="91">
        <f t="shared" si="1"/>
        <v>2577.86</v>
      </c>
    </row>
    <row r="34" spans="1:8">
      <c r="A34" s="87" t="s">
        <v>85</v>
      </c>
      <c r="B34" s="88" t="s">
        <v>86</v>
      </c>
      <c r="C34" s="88" t="s">
        <v>15</v>
      </c>
      <c r="D34" s="89" t="s">
        <v>87</v>
      </c>
      <c r="E34" s="88" t="s">
        <v>42</v>
      </c>
      <c r="F34" s="90">
        <v>5</v>
      </c>
      <c r="G34" s="91">
        <f ca="1">VLOOKUP(A34,'Orçamento Analítico'!$A:$H,8,0)</f>
        <v>137.97999999999999</v>
      </c>
      <c r="H34" s="91">
        <f t="shared" si="1"/>
        <v>689.9</v>
      </c>
    </row>
    <row r="35" spans="1:8" ht="22.5">
      <c r="A35" s="87" t="s">
        <v>88</v>
      </c>
      <c r="B35" s="88" t="s">
        <v>89</v>
      </c>
      <c r="C35" s="88" t="str">
        <f ca="1">VLOOKUP(B35,'Insumos e Serviços'!$A:$F,2,0)</f>
        <v>SINAPI</v>
      </c>
      <c r="D35" s="89" t="str">
        <f ca="1">VLOOKUP(B35,'Insumos e Serviços'!$A:$F,4,0)</f>
        <v>DEMOLIÇÃO DE PAVIMENTO INTERTRAVADO, DE FORMA MANUAL, COM REAPROVEITAMENTO. AF_12/2017</v>
      </c>
      <c r="E35" s="88" t="str">
        <f ca="1">VLOOKUP(B35,'Insumos e Serviços'!$A:$F,5,0)</f>
        <v>m²</v>
      </c>
      <c r="F35" s="90">
        <v>60</v>
      </c>
      <c r="G35" s="91">
        <f ca="1">VLOOKUP(B35,'Insumos e Serviços'!$A:$F,6,0)</f>
        <v>13.09</v>
      </c>
      <c r="H35" s="91">
        <f t="shared" si="1"/>
        <v>785.4</v>
      </c>
    </row>
    <row r="36" spans="1:8" ht="22.5">
      <c r="A36" s="87" t="s">
        <v>91</v>
      </c>
      <c r="B36" s="88" t="s">
        <v>92</v>
      </c>
      <c r="C36" s="88" t="s">
        <v>15</v>
      </c>
      <c r="D36" s="89" t="s">
        <v>93</v>
      </c>
      <c r="E36" s="88" t="s">
        <v>53</v>
      </c>
      <c r="F36" s="90">
        <v>28</v>
      </c>
      <c r="G36" s="91">
        <f ca="1">VLOOKUP(A36,'Orçamento Analítico'!$A:$H,8,0)</f>
        <v>7.04</v>
      </c>
      <c r="H36" s="91">
        <f t="shared" si="1"/>
        <v>197.12</v>
      </c>
    </row>
    <row r="37" spans="1:8" ht="22.5">
      <c r="A37" s="87" t="s">
        <v>94</v>
      </c>
      <c r="B37" s="88" t="s">
        <v>95</v>
      </c>
      <c r="C37" s="88" t="str">
        <f ca="1">VLOOKUP(B37,'Insumos e Serviços'!$A:$F,2,0)</f>
        <v>SINAPI</v>
      </c>
      <c r="D37" s="89" t="str">
        <f ca="1">VLOOKUP(B37,'Insumos e Serviços'!$A:$F,4,0)</f>
        <v>REMOÇÃO DE CABOS ELÉTRICOS, DE FORMA MANUAL, SEM REAPROVEITAMENTO. AF_12/2017</v>
      </c>
      <c r="E37" s="88" t="str">
        <f ca="1">VLOOKUP(B37,'Insumos e Serviços'!$A:$F,5,0)</f>
        <v>M</v>
      </c>
      <c r="F37" s="90">
        <v>25</v>
      </c>
      <c r="G37" s="91">
        <f ca="1">VLOOKUP(B37,'Insumos e Serviços'!$A:$F,6,0)</f>
        <v>0.56000000000000005</v>
      </c>
      <c r="H37" s="91">
        <f t="shared" si="1"/>
        <v>14</v>
      </c>
    </row>
    <row r="38" spans="1:8" ht="22.5">
      <c r="A38" s="87" t="s">
        <v>97</v>
      </c>
      <c r="B38" s="88" t="s">
        <v>98</v>
      </c>
      <c r="C38" s="88" t="s">
        <v>15</v>
      </c>
      <c r="D38" s="89" t="s">
        <v>99</v>
      </c>
      <c r="E38" s="88" t="s">
        <v>42</v>
      </c>
      <c r="F38" s="90">
        <v>197</v>
      </c>
      <c r="G38" s="91">
        <f ca="1">VLOOKUP(A38,'Orçamento Analítico'!$A:$H,8,0)</f>
        <v>40.75</v>
      </c>
      <c r="H38" s="91">
        <f t="shared" si="1"/>
        <v>8027.75</v>
      </c>
    </row>
    <row r="39" spans="1:8">
      <c r="A39" s="87" t="s">
        <v>100</v>
      </c>
      <c r="B39" s="88" t="s">
        <v>101</v>
      </c>
      <c r="C39" s="88" t="s">
        <v>15</v>
      </c>
      <c r="D39" s="89" t="s">
        <v>102</v>
      </c>
      <c r="E39" s="88" t="s">
        <v>42</v>
      </c>
      <c r="F39" s="90">
        <v>2</v>
      </c>
      <c r="G39" s="91">
        <f ca="1">VLOOKUP(A39,'Orçamento Analítico'!$A:$H,8,0)</f>
        <v>67.64</v>
      </c>
      <c r="H39" s="91">
        <f t="shared" si="1"/>
        <v>135.28</v>
      </c>
    </row>
    <row r="40" spans="1:8">
      <c r="A40" s="87" t="s">
        <v>103</v>
      </c>
      <c r="B40" s="88" t="s">
        <v>104</v>
      </c>
      <c r="C40" s="88" t="s">
        <v>15</v>
      </c>
      <c r="D40" s="89" t="s">
        <v>105</v>
      </c>
      <c r="E40" s="88" t="s">
        <v>63</v>
      </c>
      <c r="F40" s="90">
        <v>3</v>
      </c>
      <c r="G40" s="91">
        <f ca="1">VLOOKUP(A40,'Orçamento Analítico'!$A:$H,8,0)</f>
        <v>50.49</v>
      </c>
      <c r="H40" s="91">
        <f t="shared" si="1"/>
        <v>151.47</v>
      </c>
    </row>
    <row r="41" spans="1:8" ht="22.5">
      <c r="A41" s="87" t="s">
        <v>106</v>
      </c>
      <c r="B41" s="88" t="s">
        <v>107</v>
      </c>
      <c r="C41" s="88" t="s">
        <v>15</v>
      </c>
      <c r="D41" s="89" t="s">
        <v>108</v>
      </c>
      <c r="E41" s="88" t="s">
        <v>42</v>
      </c>
      <c r="F41" s="90">
        <v>5</v>
      </c>
      <c r="G41" s="91">
        <f ca="1">VLOOKUP(A41,'Orçamento Analítico'!$A:$H,8,0)</f>
        <v>278.35000000000002</v>
      </c>
      <c r="H41" s="91">
        <f t="shared" si="1"/>
        <v>1391.75</v>
      </c>
    </row>
    <row r="42" spans="1:8">
      <c r="A42" s="87" t="s">
        <v>109</v>
      </c>
      <c r="B42" s="88" t="s">
        <v>110</v>
      </c>
      <c r="C42" s="88" t="s">
        <v>15</v>
      </c>
      <c r="D42" s="89" t="s">
        <v>111</v>
      </c>
      <c r="E42" s="88" t="s">
        <v>42</v>
      </c>
      <c r="F42" s="90">
        <v>13</v>
      </c>
      <c r="G42" s="91">
        <f ca="1">VLOOKUP(A42,'Orçamento Analítico'!$A:$H,8,0)</f>
        <v>39.799999999999997</v>
      </c>
      <c r="H42" s="91">
        <f t="shared" si="1"/>
        <v>517.4</v>
      </c>
    </row>
    <row r="43" spans="1:8">
      <c r="A43" s="82" t="s">
        <v>112</v>
      </c>
      <c r="B43" s="82"/>
      <c r="C43" s="82"/>
      <c r="D43" s="82" t="s">
        <v>113</v>
      </c>
      <c r="E43" s="82"/>
      <c r="F43" s="83"/>
      <c r="G43" s="82"/>
      <c r="H43" s="83">
        <f>H44+H71+H81</f>
        <v>74486.689999999988</v>
      </c>
    </row>
    <row r="44" spans="1:8">
      <c r="A44" s="84" t="s">
        <v>114</v>
      </c>
      <c r="B44" s="84"/>
      <c r="C44" s="84"/>
      <c r="D44" s="84" t="s">
        <v>115</v>
      </c>
      <c r="E44" s="84"/>
      <c r="F44" s="85"/>
      <c r="G44" s="84"/>
      <c r="H44" s="86">
        <f>H45+H48+H51+H57+H59+H68</f>
        <v>68252.59</v>
      </c>
    </row>
    <row r="45" spans="1:8">
      <c r="A45" s="92" t="s">
        <v>116</v>
      </c>
      <c r="B45" s="92"/>
      <c r="C45" s="92"/>
      <c r="D45" s="92" t="s">
        <v>117</v>
      </c>
      <c r="E45" s="92"/>
      <c r="F45" s="93"/>
      <c r="G45" s="92"/>
      <c r="H45" s="94">
        <f>SUM(H46:H47)</f>
        <v>79.92</v>
      </c>
    </row>
    <row r="46" spans="1:8">
      <c r="A46" s="87" t="s">
        <v>118</v>
      </c>
      <c r="B46" s="88" t="s">
        <v>119</v>
      </c>
      <c r="C46" s="88" t="s">
        <v>15</v>
      </c>
      <c r="D46" s="89" t="s">
        <v>120</v>
      </c>
      <c r="E46" s="88" t="s">
        <v>67</v>
      </c>
      <c r="F46" s="90">
        <v>2</v>
      </c>
      <c r="G46" s="91">
        <f ca="1">VLOOKUP(A46,'Orçamento Analítico'!$A:$H,8,0)</f>
        <v>26.32</v>
      </c>
      <c r="H46" s="91">
        <f>TRUNC(F46 * G46, 2)</f>
        <v>52.64</v>
      </c>
    </row>
    <row r="47" spans="1:8">
      <c r="A47" s="87" t="s">
        <v>121</v>
      </c>
      <c r="B47" s="88" t="s">
        <v>122</v>
      </c>
      <c r="C47" s="88" t="s">
        <v>15</v>
      </c>
      <c r="D47" s="89" t="s">
        <v>123</v>
      </c>
      <c r="E47" s="88" t="s">
        <v>67</v>
      </c>
      <c r="F47" s="90">
        <v>2</v>
      </c>
      <c r="G47" s="91">
        <f ca="1">VLOOKUP(A47,'Orçamento Analítico'!$A:$H,8,0)</f>
        <v>13.64</v>
      </c>
      <c r="H47" s="91">
        <f>TRUNC(F47 * G47, 2)</f>
        <v>27.28</v>
      </c>
    </row>
    <row r="48" spans="1:8">
      <c r="A48" s="92" t="s">
        <v>124</v>
      </c>
      <c r="B48" s="92"/>
      <c r="C48" s="92"/>
      <c r="D48" s="92" t="s">
        <v>125</v>
      </c>
      <c r="E48" s="92"/>
      <c r="F48" s="93"/>
      <c r="G48" s="92"/>
      <c r="H48" s="94">
        <f>SUM(H49:H50)</f>
        <v>1338.09</v>
      </c>
    </row>
    <row r="49" spans="1:8">
      <c r="A49" s="87" t="s">
        <v>126</v>
      </c>
      <c r="B49" s="88" t="s">
        <v>127</v>
      </c>
      <c r="C49" s="88" t="s">
        <v>15</v>
      </c>
      <c r="D49" s="89" t="s">
        <v>128</v>
      </c>
      <c r="E49" s="88" t="s">
        <v>42</v>
      </c>
      <c r="F49" s="90">
        <v>5</v>
      </c>
      <c r="G49" s="91">
        <f ca="1">VLOOKUP(A49,'Orçamento Analítico'!$A:$H,8,0)</f>
        <v>214.97</v>
      </c>
      <c r="H49" s="91">
        <f>TRUNC(F49 * G49, 2)</f>
        <v>1074.8499999999999</v>
      </c>
    </row>
    <row r="50" spans="1:8" ht="22.5">
      <c r="A50" s="87" t="s">
        <v>129</v>
      </c>
      <c r="B50" s="88" t="s">
        <v>130</v>
      </c>
      <c r="C50" s="88" t="s">
        <v>15</v>
      </c>
      <c r="D50" s="89" t="s">
        <v>131</v>
      </c>
      <c r="E50" s="88" t="s">
        <v>31</v>
      </c>
      <c r="F50" s="90">
        <v>2</v>
      </c>
      <c r="G50" s="91">
        <f ca="1">VLOOKUP(A50,'Orçamento Analítico'!$A:$H,8,0)</f>
        <v>131.62</v>
      </c>
      <c r="H50" s="91">
        <f>TRUNC(F50 * G50, 2)</f>
        <v>263.24</v>
      </c>
    </row>
    <row r="51" spans="1:8">
      <c r="A51" s="92" t="s">
        <v>132</v>
      </c>
      <c r="B51" s="92"/>
      <c r="C51" s="92"/>
      <c r="D51" s="92" t="s">
        <v>133</v>
      </c>
      <c r="E51" s="92"/>
      <c r="F51" s="93"/>
      <c r="G51" s="92"/>
      <c r="H51" s="94">
        <f>SUM(H52:H56)</f>
        <v>6478.4400000000005</v>
      </c>
    </row>
    <row r="52" spans="1:8" ht="33.75">
      <c r="A52" s="87" t="s">
        <v>134</v>
      </c>
      <c r="B52" s="88" t="s">
        <v>135</v>
      </c>
      <c r="C52" s="88" t="str">
        <f ca="1">VLOOKUP(B52,'Insumos e Serviços'!$A:$F,2,0)</f>
        <v>SINAPI</v>
      </c>
      <c r="D52" s="89" t="str">
        <f ca="1">VLOOKUP(B52,'Insumos e Serviços'!$A:$F,4,0)</f>
        <v>REASSENTAMENTO DE BLOCOS RETANGULAR PARA PISO INTERTRAVADO, ESPESSURA DE 10 CM, EM VIA/ESTACIONAMENTO, COM REAPROVEITAMENTO DOS BLOCOS RETANGULAR. AF_12/2020</v>
      </c>
      <c r="E52" s="88" t="str">
        <f ca="1">VLOOKUP(B52,'Insumos e Serviços'!$A:$F,5,0)</f>
        <v>m²</v>
      </c>
      <c r="F52" s="90">
        <v>72</v>
      </c>
      <c r="G52" s="91">
        <f ca="1">VLOOKUP(B52,'Insumos e Serviços'!$A:$F,6,0)</f>
        <v>31.27</v>
      </c>
      <c r="H52" s="91">
        <f>TRUNC(F52 * G52, 2)</f>
        <v>2251.44</v>
      </c>
    </row>
    <row r="53" spans="1:8">
      <c r="A53" s="87" t="s">
        <v>137</v>
      </c>
      <c r="B53" s="88" t="s">
        <v>138</v>
      </c>
      <c r="C53" s="88" t="s">
        <v>15</v>
      </c>
      <c r="D53" s="89" t="s">
        <v>139</v>
      </c>
      <c r="E53" s="88" t="s">
        <v>42</v>
      </c>
      <c r="F53" s="90">
        <v>6</v>
      </c>
      <c r="G53" s="91">
        <f ca="1">VLOOKUP(A53,'Orçamento Analítico'!$A:$H,8,0)</f>
        <v>301.02</v>
      </c>
      <c r="H53" s="91">
        <f>TRUNC(F53 * G53, 2)</f>
        <v>1806.12</v>
      </c>
    </row>
    <row r="54" spans="1:8" ht="22.5">
      <c r="A54" s="87" t="s">
        <v>140</v>
      </c>
      <c r="B54" s="88" t="s">
        <v>141</v>
      </c>
      <c r="C54" s="88" t="s">
        <v>15</v>
      </c>
      <c r="D54" s="89" t="s">
        <v>142</v>
      </c>
      <c r="E54" s="88" t="s">
        <v>42</v>
      </c>
      <c r="F54" s="90">
        <v>1</v>
      </c>
      <c r="G54" s="91">
        <f ca="1">VLOOKUP(A54,'Orçamento Analítico'!$A:$H,8,0)</f>
        <v>111.08</v>
      </c>
      <c r="H54" s="91">
        <f>TRUNC(F54 * G54, 2)</f>
        <v>111.08</v>
      </c>
    </row>
    <row r="55" spans="1:8" ht="22.5">
      <c r="A55" s="87" t="s">
        <v>143</v>
      </c>
      <c r="B55" s="88" t="s">
        <v>144</v>
      </c>
      <c r="C55" s="88" t="s">
        <v>15</v>
      </c>
      <c r="D55" s="89" t="s">
        <v>145</v>
      </c>
      <c r="E55" s="88" t="s">
        <v>42</v>
      </c>
      <c r="F55" s="90">
        <v>6</v>
      </c>
      <c r="G55" s="91">
        <f ca="1">VLOOKUP(A55,'Orçamento Analítico'!$A:$H,8,0)</f>
        <v>378.63</v>
      </c>
      <c r="H55" s="91">
        <f>TRUNC(F55 * G55, 2)</f>
        <v>2271.7800000000002</v>
      </c>
    </row>
    <row r="56" spans="1:8" ht="22.5">
      <c r="A56" s="87" t="s">
        <v>146</v>
      </c>
      <c r="B56" s="88" t="s">
        <v>147</v>
      </c>
      <c r="C56" s="88" t="str">
        <f ca="1">VLOOKUP(B56,'Insumos e Serviços'!$A:$F,2,0)</f>
        <v>SINAPI</v>
      </c>
      <c r="D56" s="89" t="str">
        <f ca="1">VLOOKUP(B56,'Insumos e Serviços'!$A:$F,4,0)</f>
        <v>PINTURA DE PISO COM TINTA ACRÍLICA, APLICAÇÃO MANUAL, 3 DEMÃOS, INCLUSO FUNDO PREPARADOR. AF_05/2021</v>
      </c>
      <c r="E56" s="88" t="str">
        <f ca="1">VLOOKUP(B56,'Insumos e Serviços'!$A:$F,5,0)</f>
        <v>m²</v>
      </c>
      <c r="F56" s="90">
        <v>2</v>
      </c>
      <c r="G56" s="91">
        <f ca="1">VLOOKUP(B56,'Insumos e Serviços'!$A:$F,6,0)</f>
        <v>19.010000000000002</v>
      </c>
      <c r="H56" s="91">
        <f>TRUNC(F56 * G56, 2)</f>
        <v>38.020000000000003</v>
      </c>
    </row>
    <row r="57" spans="1:8">
      <c r="A57" s="92" t="s">
        <v>149</v>
      </c>
      <c r="B57" s="92"/>
      <c r="C57" s="92"/>
      <c r="D57" s="92" t="s">
        <v>150</v>
      </c>
      <c r="E57" s="92"/>
      <c r="F57" s="93"/>
      <c r="G57" s="92"/>
      <c r="H57" s="94">
        <f>SUM(H58)</f>
        <v>1652.72</v>
      </c>
    </row>
    <row r="58" spans="1:8" ht="33.75">
      <c r="A58" s="87" t="s">
        <v>151</v>
      </c>
      <c r="B58" s="88" t="s">
        <v>152</v>
      </c>
      <c r="C58" s="88" t="str">
        <f ca="1">VLOOKUP(B58,'Insumos e Serviços'!$A:$F,2,0)</f>
        <v>SINAPI</v>
      </c>
      <c r="D58" s="89" t="str">
        <f ca="1">VLOOKUP(B58,'Insumos e Serviços'!$A:$F,4,0)</f>
        <v>PINTURA COM TINTA ALQUÍDICA DE FUNDO E ACABAMENTO (ESMALTE SINTÉTICO GRAFITE) APLICADA A ROLO OU PINCEL SOBRE SUPERFÍCIES METÁLICAS (EXCETO PERFIL) EXECUTADO EM OBRA (POR DEMÃO). AF_01/2020</v>
      </c>
      <c r="E58" s="88" t="str">
        <f ca="1">VLOOKUP(B58,'Insumos e Serviços'!$A:$F,5,0)</f>
        <v>m²</v>
      </c>
      <c r="F58" s="90">
        <v>73</v>
      </c>
      <c r="G58" s="91">
        <f ca="1">VLOOKUP(B58,'Insumos e Serviços'!$A:$F,6,0)</f>
        <v>22.64</v>
      </c>
      <c r="H58" s="91">
        <f>TRUNC(F58 * G58, 2)</f>
        <v>1652.72</v>
      </c>
    </row>
    <row r="59" spans="1:8">
      <c r="A59" s="92" t="s">
        <v>154</v>
      </c>
      <c r="B59" s="92"/>
      <c r="C59" s="92"/>
      <c r="D59" s="92" t="s">
        <v>155</v>
      </c>
      <c r="E59" s="92"/>
      <c r="F59" s="93"/>
      <c r="G59" s="92"/>
      <c r="H59" s="94">
        <f>SUM(H60:H67)</f>
        <v>54498.020000000004</v>
      </c>
    </row>
    <row r="60" spans="1:8">
      <c r="A60" s="87" t="s">
        <v>156</v>
      </c>
      <c r="B60" s="88" t="s">
        <v>157</v>
      </c>
      <c r="C60" s="88" t="str">
        <f ca="1">VLOOKUP(B60,'Insumos e Serviços'!$A:$F,2,0)</f>
        <v>SINAPI</v>
      </c>
      <c r="D60" s="89" t="str">
        <f ca="1">VLOOKUP(B60,'Insumos e Serviços'!$A:$F,4,0)</f>
        <v>LIMPEZA DE SUPERFÍCIE COM JATO DE ALTA PRESSÃO. AF_04/2019</v>
      </c>
      <c r="E60" s="88" t="str">
        <f ca="1">VLOOKUP(B60,'Insumos e Serviços'!$A:$F,5,0)</f>
        <v>m²</v>
      </c>
      <c r="F60" s="90">
        <v>197</v>
      </c>
      <c r="G60" s="91">
        <f ca="1">VLOOKUP(B60,'Insumos e Serviços'!$A:$F,6,0)</f>
        <v>1.57</v>
      </c>
      <c r="H60" s="91">
        <f>TRUNC(F60 * G60, 2)</f>
        <v>309.29000000000002</v>
      </c>
    </row>
    <row r="61" spans="1:8" ht="33.75">
      <c r="A61" s="87" t="s">
        <v>159</v>
      </c>
      <c r="B61" s="88" t="s">
        <v>160</v>
      </c>
      <c r="C61" s="88" t="s">
        <v>15</v>
      </c>
      <c r="D61" s="89" t="s">
        <v>161</v>
      </c>
      <c r="E61" s="88" t="s">
        <v>42</v>
      </c>
      <c r="F61" s="90">
        <v>197</v>
      </c>
      <c r="G61" s="91">
        <f ca="1">VLOOKUP(A61,'Orçamento Analítico'!$A:$H,8,0)</f>
        <v>47.45</v>
      </c>
      <c r="H61" s="91">
        <f t="shared" ref="H61:H67" si="2">TRUNC(F61 * G61, 2)</f>
        <v>9347.65</v>
      </c>
    </row>
    <row r="62" spans="1:8" ht="22.5">
      <c r="A62" s="87" t="s">
        <v>162</v>
      </c>
      <c r="B62" s="88" t="s">
        <v>163</v>
      </c>
      <c r="C62" s="88" t="s">
        <v>15</v>
      </c>
      <c r="D62" s="89" t="s">
        <v>164</v>
      </c>
      <c r="E62" s="88" t="s">
        <v>42</v>
      </c>
      <c r="F62" s="90">
        <v>23</v>
      </c>
      <c r="G62" s="91">
        <f ca="1">VLOOKUP(A62,'Orçamento Analítico'!$A:$H,8,0)</f>
        <v>101.19999999999999</v>
      </c>
      <c r="H62" s="91">
        <f t="shared" si="2"/>
        <v>2327.6</v>
      </c>
    </row>
    <row r="63" spans="1:8" ht="22.5">
      <c r="A63" s="87" t="s">
        <v>165</v>
      </c>
      <c r="B63" s="88" t="s">
        <v>166</v>
      </c>
      <c r="C63" s="88" t="s">
        <v>15</v>
      </c>
      <c r="D63" s="89" t="s">
        <v>167</v>
      </c>
      <c r="E63" s="88" t="s">
        <v>67</v>
      </c>
      <c r="F63" s="90">
        <v>6</v>
      </c>
      <c r="G63" s="91">
        <f ca="1">VLOOKUP(A63,'Orçamento Analítico'!$A:$H,8,0)</f>
        <v>34.270000000000003</v>
      </c>
      <c r="H63" s="91">
        <f t="shared" si="2"/>
        <v>205.62</v>
      </c>
    </row>
    <row r="64" spans="1:8" ht="22.5">
      <c r="A64" s="87" t="s">
        <v>168</v>
      </c>
      <c r="B64" s="88" t="s">
        <v>169</v>
      </c>
      <c r="C64" s="88" t="s">
        <v>15</v>
      </c>
      <c r="D64" s="89" t="s">
        <v>170</v>
      </c>
      <c r="E64" s="88" t="s">
        <v>42</v>
      </c>
      <c r="F64" s="90">
        <v>197</v>
      </c>
      <c r="G64" s="91">
        <f ca="1">VLOOKUP(A64,'Orçamento Analítico'!$A:$H,8,0)</f>
        <v>78.900000000000006</v>
      </c>
      <c r="H64" s="91">
        <f t="shared" si="2"/>
        <v>15543.3</v>
      </c>
    </row>
    <row r="65" spans="1:8" ht="22.5">
      <c r="A65" s="87" t="s">
        <v>171</v>
      </c>
      <c r="B65" s="88" t="s">
        <v>172</v>
      </c>
      <c r="C65" s="88" t="s">
        <v>15</v>
      </c>
      <c r="D65" s="89" t="s">
        <v>173</v>
      </c>
      <c r="E65" s="88" t="s">
        <v>42</v>
      </c>
      <c r="F65" s="90">
        <v>197</v>
      </c>
      <c r="G65" s="91">
        <f ca="1">VLOOKUP(A65,'Orçamento Analítico'!$A:$H,8,0)</f>
        <v>122.88999999999999</v>
      </c>
      <c r="H65" s="91">
        <f t="shared" si="2"/>
        <v>24209.33</v>
      </c>
    </row>
    <row r="66" spans="1:8">
      <c r="A66" s="87" t="s">
        <v>174</v>
      </c>
      <c r="B66" s="88" t="s">
        <v>175</v>
      </c>
      <c r="C66" s="88" t="s">
        <v>15</v>
      </c>
      <c r="D66" s="89" t="s">
        <v>176</v>
      </c>
      <c r="E66" s="88" t="s">
        <v>53</v>
      </c>
      <c r="F66" s="90">
        <v>10</v>
      </c>
      <c r="G66" s="91">
        <f ca="1">VLOOKUP(A66,'Orçamento Analítico'!$A:$H,8,0)</f>
        <v>119.79</v>
      </c>
      <c r="H66" s="91">
        <f t="shared" si="2"/>
        <v>1197.9000000000001</v>
      </c>
    </row>
    <row r="67" spans="1:8">
      <c r="A67" s="87" t="s">
        <v>177</v>
      </c>
      <c r="B67" s="88" t="s">
        <v>178</v>
      </c>
      <c r="C67" s="88" t="s">
        <v>15</v>
      </c>
      <c r="D67" s="89" t="s">
        <v>179</v>
      </c>
      <c r="E67" s="88" t="s">
        <v>42</v>
      </c>
      <c r="F67" s="90">
        <v>197</v>
      </c>
      <c r="G67" s="91">
        <f ca="1">VLOOKUP(A67,'Orçamento Analítico'!$A:$H,8,0)</f>
        <v>6.89</v>
      </c>
      <c r="H67" s="91">
        <f t="shared" si="2"/>
        <v>1357.33</v>
      </c>
    </row>
    <row r="68" spans="1:8">
      <c r="A68" s="92" t="s">
        <v>180</v>
      </c>
      <c r="B68" s="92"/>
      <c r="C68" s="92"/>
      <c r="D68" s="92" t="s">
        <v>181</v>
      </c>
      <c r="E68" s="92"/>
      <c r="F68" s="93"/>
      <c r="G68" s="92"/>
      <c r="H68" s="94">
        <f>SUM(H69:H70)</f>
        <v>4205.3999999999996</v>
      </c>
    </row>
    <row r="69" spans="1:8" ht="22.5">
      <c r="A69" s="87" t="s">
        <v>182</v>
      </c>
      <c r="B69" s="88" t="s">
        <v>183</v>
      </c>
      <c r="C69" s="88" t="s">
        <v>15</v>
      </c>
      <c r="D69" s="89" t="s">
        <v>184</v>
      </c>
      <c r="E69" s="88" t="s">
        <v>53</v>
      </c>
      <c r="F69" s="90">
        <v>32</v>
      </c>
      <c r="G69" s="91">
        <f ca="1">VLOOKUP(A69,'Orçamento Analítico'!$A:$H,8,0)</f>
        <v>69</v>
      </c>
      <c r="H69" s="91">
        <f>TRUNC(F69 * G69, 2)</f>
        <v>2208</v>
      </c>
    </row>
    <row r="70" spans="1:8">
      <c r="A70" s="87" t="s">
        <v>185</v>
      </c>
      <c r="B70" s="88" t="s">
        <v>186</v>
      </c>
      <c r="C70" s="88" t="s">
        <v>15</v>
      </c>
      <c r="D70" s="89" t="s">
        <v>187</v>
      </c>
      <c r="E70" s="88" t="s">
        <v>38</v>
      </c>
      <c r="F70" s="90">
        <v>4</v>
      </c>
      <c r="G70" s="91">
        <f ca="1">VLOOKUP(A70,'Orçamento Analítico'!$A:$H,8,0)</f>
        <v>499.35</v>
      </c>
      <c r="H70" s="91">
        <f>TRUNC(F70 * G70, 2)</f>
        <v>1997.4</v>
      </c>
    </row>
    <row r="71" spans="1:8">
      <c r="A71" s="84" t="s">
        <v>188</v>
      </c>
      <c r="B71" s="84"/>
      <c r="C71" s="84"/>
      <c r="D71" s="84" t="s">
        <v>189</v>
      </c>
      <c r="E71" s="84"/>
      <c r="F71" s="85"/>
      <c r="G71" s="84"/>
      <c r="H71" s="86">
        <f>H72+H75+H78</f>
        <v>5403.34</v>
      </c>
    </row>
    <row r="72" spans="1:8">
      <c r="A72" s="92" t="s">
        <v>190</v>
      </c>
      <c r="B72" s="92"/>
      <c r="C72" s="92"/>
      <c r="D72" s="92" t="s">
        <v>191</v>
      </c>
      <c r="E72" s="92"/>
      <c r="F72" s="93"/>
      <c r="G72" s="92"/>
      <c r="H72" s="94">
        <f>SUM(H73:H74)</f>
        <v>3884.42</v>
      </c>
    </row>
    <row r="73" spans="1:8">
      <c r="A73" s="87" t="s">
        <v>192</v>
      </c>
      <c r="B73" s="88" t="s">
        <v>83</v>
      </c>
      <c r="C73" s="88" t="s">
        <v>15</v>
      </c>
      <c r="D73" s="89" t="s">
        <v>84</v>
      </c>
      <c r="E73" s="88" t="s">
        <v>63</v>
      </c>
      <c r="F73" s="90">
        <v>122</v>
      </c>
      <c r="G73" s="91">
        <f ca="1">VLOOKUP(A73,'Orçamento Analítico'!$A:$H,8,0)</f>
        <v>21.13</v>
      </c>
      <c r="H73" s="91">
        <f>TRUNC(F73 * G73, 2)</f>
        <v>2577.86</v>
      </c>
    </row>
    <row r="74" spans="1:8" ht="22.5">
      <c r="A74" s="87" t="s">
        <v>193</v>
      </c>
      <c r="B74" s="88" t="s">
        <v>194</v>
      </c>
      <c r="C74" s="88" t="s">
        <v>15</v>
      </c>
      <c r="D74" s="89" t="s">
        <v>195</v>
      </c>
      <c r="E74" s="88" t="s">
        <v>63</v>
      </c>
      <c r="F74" s="90">
        <v>24</v>
      </c>
      <c r="G74" s="91">
        <f ca="1">VLOOKUP(A74,'Orçamento Analítico'!$A:$H,8,0)</f>
        <v>54.44</v>
      </c>
      <c r="H74" s="91">
        <f>TRUNC(F74 * G74, 2)</f>
        <v>1306.56</v>
      </c>
    </row>
    <row r="75" spans="1:8">
      <c r="A75" s="92" t="s">
        <v>196</v>
      </c>
      <c r="B75" s="92"/>
      <c r="C75" s="92"/>
      <c r="D75" s="92" t="s">
        <v>197</v>
      </c>
      <c r="E75" s="92"/>
      <c r="F75" s="93"/>
      <c r="G75" s="92"/>
      <c r="H75" s="94">
        <f>SUM(H76:H77)</f>
        <v>906.96</v>
      </c>
    </row>
    <row r="76" spans="1:8">
      <c r="A76" s="87" t="s">
        <v>198</v>
      </c>
      <c r="B76" s="88" t="s">
        <v>199</v>
      </c>
      <c r="C76" s="88" t="str">
        <f ca="1">VLOOKUP(B76,'Insumos e Serviços'!$A:$F,2,0)</f>
        <v>SINAPI</v>
      </c>
      <c r="D76" s="89" t="str">
        <f ca="1">VLOOKUP(B76,'Insumos e Serviços'!$A:$F,4,0)</f>
        <v>PLANTIO DE GRAMA EM PLACAS. AF_05/2018</v>
      </c>
      <c r="E76" s="88" t="str">
        <f ca="1">VLOOKUP(B76,'Insumos e Serviços'!$A:$F,5,0)</f>
        <v>m²</v>
      </c>
      <c r="F76" s="90">
        <v>31</v>
      </c>
      <c r="G76" s="91">
        <f ca="1">VLOOKUP(B76,'Insumos e Serviços'!$A:$F,6,0)</f>
        <v>11.36</v>
      </c>
      <c r="H76" s="91">
        <f>TRUNC(F76 * G76, 2)</f>
        <v>352.16</v>
      </c>
    </row>
    <row r="77" spans="1:8">
      <c r="A77" s="87" t="s">
        <v>201</v>
      </c>
      <c r="B77" s="88" t="s">
        <v>202</v>
      </c>
      <c r="C77" s="88" t="s">
        <v>15</v>
      </c>
      <c r="D77" s="89" t="s">
        <v>203</v>
      </c>
      <c r="E77" s="88" t="s">
        <v>42</v>
      </c>
      <c r="F77" s="90">
        <v>152</v>
      </c>
      <c r="G77" s="91">
        <f ca="1">VLOOKUP(A77,'Orçamento Analítico'!$A:$H,8,0)</f>
        <v>3.65</v>
      </c>
      <c r="H77" s="91">
        <f>TRUNC(F77 * G77, 2)</f>
        <v>554.79999999999995</v>
      </c>
    </row>
    <row r="78" spans="1:8">
      <c r="A78" s="92" t="s">
        <v>204</v>
      </c>
      <c r="B78" s="92"/>
      <c r="C78" s="92"/>
      <c r="D78" s="92" t="s">
        <v>205</v>
      </c>
      <c r="E78" s="92"/>
      <c r="F78" s="93"/>
      <c r="G78" s="92"/>
      <c r="H78" s="94">
        <f>SUM(H79:H80)</f>
        <v>611.96</v>
      </c>
    </row>
    <row r="79" spans="1:8" ht="33.75">
      <c r="A79" s="87" t="s">
        <v>206</v>
      </c>
      <c r="B79" s="88" t="s">
        <v>207</v>
      </c>
      <c r="C79" s="88" t="str">
        <f ca="1">VLOOKUP(B79,'Insumos e Serviços'!$A:$F,2,0)</f>
        <v>SINAPI</v>
      </c>
      <c r="D79" s="89" t="str">
        <f ca="1">VLOOKUP(B79,'Insumos e Serviços'!$A:$F,4,0)</f>
        <v>EXECUÇÃO DE PASSEIO (CALÇADA) OU PISO DE CONCRETO COM CONCRETO MOLDADO IN LOCO, FEITO EM OBRA, ACABAMENTO CONVENCIONAL, ESPESSURA 8 CM, ARMADO. AF_07/2016</v>
      </c>
      <c r="E79" s="88" t="str">
        <f ca="1">VLOOKUP(B79,'Insumos e Serviços'!$A:$F,5,0)</f>
        <v>m²</v>
      </c>
      <c r="F79" s="90">
        <v>3</v>
      </c>
      <c r="G79" s="91">
        <f ca="1">VLOOKUP(B79,'Insumos e Serviços'!$A:$F,6,0)</f>
        <v>116.52</v>
      </c>
      <c r="H79" s="91">
        <f>TRUNC(F79 * G79, 2)</f>
        <v>349.56</v>
      </c>
    </row>
    <row r="80" spans="1:8" ht="22.5">
      <c r="A80" s="87" t="s">
        <v>209</v>
      </c>
      <c r="B80" s="88" t="s">
        <v>210</v>
      </c>
      <c r="C80" s="88" t="s">
        <v>15</v>
      </c>
      <c r="D80" s="89" t="s">
        <v>211</v>
      </c>
      <c r="E80" s="88" t="s">
        <v>53</v>
      </c>
      <c r="F80" s="90">
        <v>20</v>
      </c>
      <c r="G80" s="91">
        <f ca="1">VLOOKUP(A80,'Orçamento Analítico'!$A:$H,8,0)</f>
        <v>13.120000000000001</v>
      </c>
      <c r="H80" s="91">
        <f>TRUNC(F80 * G80, 2)</f>
        <v>262.39999999999998</v>
      </c>
    </row>
    <row r="81" spans="1:8">
      <c r="A81" s="84" t="s">
        <v>212</v>
      </c>
      <c r="B81" s="84"/>
      <c r="C81" s="84"/>
      <c r="D81" s="84" t="s">
        <v>213</v>
      </c>
      <c r="E81" s="84"/>
      <c r="F81" s="85"/>
      <c r="G81" s="84"/>
      <c r="H81" s="86">
        <f>H82</f>
        <v>830.76</v>
      </c>
    </row>
    <row r="82" spans="1:8" ht="22.5">
      <c r="A82" s="87" t="s">
        <v>214</v>
      </c>
      <c r="B82" s="88" t="s">
        <v>215</v>
      </c>
      <c r="C82" s="88" t="s">
        <v>15</v>
      </c>
      <c r="D82" s="89" t="s">
        <v>216</v>
      </c>
      <c r="E82" s="88" t="s">
        <v>38</v>
      </c>
      <c r="F82" s="90">
        <v>42</v>
      </c>
      <c r="G82" s="91">
        <f ca="1">VLOOKUP(A82,'Orçamento Analítico'!$A:$H,8,0)</f>
        <v>19.78</v>
      </c>
      <c r="H82" s="91">
        <f>TRUNC(F82 * G82, 2)</f>
        <v>830.76</v>
      </c>
    </row>
    <row r="83" spans="1:8">
      <c r="A83" s="82" t="s">
        <v>217</v>
      </c>
      <c r="B83" s="82"/>
      <c r="C83" s="82"/>
      <c r="D83" s="82" t="s">
        <v>218</v>
      </c>
      <c r="E83" s="82"/>
      <c r="F83" s="83"/>
      <c r="G83" s="82"/>
      <c r="H83" s="83">
        <f>H84+H94</f>
        <v>12583.99</v>
      </c>
    </row>
    <row r="84" spans="1:8">
      <c r="A84" s="84" t="s">
        <v>219</v>
      </c>
      <c r="B84" s="84"/>
      <c r="C84" s="84"/>
      <c r="D84" s="84" t="s">
        <v>220</v>
      </c>
      <c r="E84" s="84"/>
      <c r="F84" s="85"/>
      <c r="G84" s="84"/>
      <c r="H84" s="86">
        <f>H85+H91</f>
        <v>10811.75</v>
      </c>
    </row>
    <row r="85" spans="1:8">
      <c r="A85" s="92" t="s">
        <v>221</v>
      </c>
      <c r="B85" s="92"/>
      <c r="C85" s="92"/>
      <c r="D85" s="92" t="s">
        <v>222</v>
      </c>
      <c r="E85" s="92"/>
      <c r="F85" s="93"/>
      <c r="G85" s="92"/>
      <c r="H85" s="94">
        <f>SUM(H86:H90)</f>
        <v>7472.4500000000007</v>
      </c>
    </row>
    <row r="86" spans="1:8" ht="33.75">
      <c r="A86" s="87" t="s">
        <v>223</v>
      </c>
      <c r="B86" s="88" t="s">
        <v>224</v>
      </c>
      <c r="C86" s="88" t="str">
        <f ca="1">VLOOKUP(B86,'Insumos e Serviços'!$A:$F,2,0)</f>
        <v>SINAPI</v>
      </c>
      <c r="D86" s="89" t="str">
        <f ca="1">VLOOKUP(B86,'Insumos e Serviços'!$A:$F,4,0)</f>
        <v>(COMPOSIÇÃO REPRESENTATIVA) DO SERVIÇO DE INSTALAÇÃO DE TUBOS DE PVC, SÉRIE R, ÁGUA PLUVIAL, DN 150 MM (INSTALADO EM CONDUTORES VERTICAIS), INCLUSIVE CONEXÕES, CORTES E FIXAÇÕES, PARA PRÉDIOS. AF_10/2015</v>
      </c>
      <c r="E86" s="88" t="str">
        <f ca="1">VLOOKUP(B86,'Insumos e Serviços'!$A:$F,5,0)</f>
        <v>M</v>
      </c>
      <c r="F86" s="90">
        <v>52</v>
      </c>
      <c r="G86" s="91">
        <f ca="1">VLOOKUP(B86,'Insumos e Serviços'!$A:$F,6,0)</f>
        <v>89.44</v>
      </c>
      <c r="H86" s="91">
        <f>TRUNC(F86 * G86, 2)</f>
        <v>4650.88</v>
      </c>
    </row>
    <row r="87" spans="1:8" ht="22.5">
      <c r="A87" s="87" t="s">
        <v>226</v>
      </c>
      <c r="B87" s="88" t="s">
        <v>227</v>
      </c>
      <c r="C87" s="88" t="str">
        <f ca="1">VLOOKUP(B87,'Insumos e Serviços'!$A:$F,2,0)</f>
        <v>SINAPI</v>
      </c>
      <c r="D87" s="89" t="str">
        <f ca="1">VLOOKUP(B87,'Insumos e Serviços'!$A:$F,4,0)</f>
        <v>JOELHO 90 GRAUS, PVC, SERIE R, ÁGUA PLUVIAL, DN 150 MM, JUNTA ELÁSTICA, FORNECIDO E INSTALADO EM CONDUTORES VERTICAIS DE ÁGUAS PLUVIAIS. AF_12/2014</v>
      </c>
      <c r="E87" s="88" t="str">
        <f ca="1">VLOOKUP(B87,'Insumos e Serviços'!$A:$F,5,0)</f>
        <v>UN</v>
      </c>
      <c r="F87" s="90">
        <v>5</v>
      </c>
      <c r="G87" s="91">
        <f ca="1">VLOOKUP(B87,'Insumos e Serviços'!$A:$F,6,0)</f>
        <v>123.57</v>
      </c>
      <c r="H87" s="91">
        <f>TRUNC(F87 * G87, 2)</f>
        <v>617.85</v>
      </c>
    </row>
    <row r="88" spans="1:8" ht="22.5">
      <c r="A88" s="87" t="s">
        <v>229</v>
      </c>
      <c r="B88" s="88" t="s">
        <v>230</v>
      </c>
      <c r="C88" s="88" t="str">
        <f ca="1">VLOOKUP(B88,'Insumos e Serviços'!$A:$F,2,0)</f>
        <v>SINAPI</v>
      </c>
      <c r="D88" s="89" t="str">
        <f ca="1">VLOOKUP(B88,'Insumos e Serviços'!$A:$F,4,0)</f>
        <v>JUNÇÃO SIMPLES, PVC, SERIE R, ÁGUA PLUVIAL, DN 150 X 150 MM, JUNTA ELÁSTICA, FORNECIDO E INSTALADO EM CONDUTORES VERTICAIS DE ÁGUAS PLUVIAIS. AF_12/2014</v>
      </c>
      <c r="E88" s="88" t="str">
        <f ca="1">VLOOKUP(B88,'Insumos e Serviços'!$A:$F,5,0)</f>
        <v>UN</v>
      </c>
      <c r="F88" s="90">
        <v>6</v>
      </c>
      <c r="G88" s="91">
        <f ca="1">VLOOKUP(B88,'Insumos e Serviços'!$A:$F,6,0)</f>
        <v>211.39</v>
      </c>
      <c r="H88" s="91">
        <f>TRUNC(F88 * G88, 2)</f>
        <v>1268.3399999999999</v>
      </c>
    </row>
    <row r="89" spans="1:8" ht="22.5">
      <c r="A89" s="87" t="s">
        <v>232</v>
      </c>
      <c r="B89" s="88" t="s">
        <v>233</v>
      </c>
      <c r="C89" s="88" t="s">
        <v>15</v>
      </c>
      <c r="D89" s="89" t="s">
        <v>234</v>
      </c>
      <c r="E89" s="88" t="s">
        <v>31</v>
      </c>
      <c r="F89" s="90">
        <v>2</v>
      </c>
      <c r="G89" s="91">
        <f ca="1">VLOOKUP(A89,'Orçamento Analítico'!$A:$H,8,0)</f>
        <v>283.95</v>
      </c>
      <c r="H89" s="91">
        <f>TRUNC(F89 * G89, 2)</f>
        <v>567.9</v>
      </c>
    </row>
    <row r="90" spans="1:8" ht="33.75">
      <c r="A90" s="87" t="s">
        <v>235</v>
      </c>
      <c r="B90" s="88" t="s">
        <v>236</v>
      </c>
      <c r="C90" s="88" t="s">
        <v>15</v>
      </c>
      <c r="D90" s="89" t="s">
        <v>237</v>
      </c>
      <c r="E90" s="88" t="s">
        <v>31</v>
      </c>
      <c r="F90" s="90">
        <v>4</v>
      </c>
      <c r="G90" s="91">
        <f ca="1">VLOOKUP(A90,'Orçamento Analítico'!$A:$H,8,0)</f>
        <v>91.87</v>
      </c>
      <c r="H90" s="91">
        <f>TRUNC(F90 * G90, 2)</f>
        <v>367.48</v>
      </c>
    </row>
    <row r="91" spans="1:8">
      <c r="A91" s="92" t="s">
        <v>238</v>
      </c>
      <c r="B91" s="92"/>
      <c r="C91" s="92"/>
      <c r="D91" s="92" t="s">
        <v>239</v>
      </c>
      <c r="E91" s="92"/>
      <c r="F91" s="93"/>
      <c r="G91" s="92"/>
      <c r="H91" s="94">
        <f>SUM(H92:H93)</f>
        <v>3339.3</v>
      </c>
    </row>
    <row r="92" spans="1:8">
      <c r="A92" s="87" t="s">
        <v>240</v>
      </c>
      <c r="B92" s="88" t="s">
        <v>241</v>
      </c>
      <c r="C92" s="88" t="s">
        <v>15</v>
      </c>
      <c r="D92" s="89" t="s">
        <v>242</v>
      </c>
      <c r="E92" s="88" t="s">
        <v>53</v>
      </c>
      <c r="F92" s="90">
        <v>10</v>
      </c>
      <c r="G92" s="91">
        <f ca="1">VLOOKUP(A92,'Orçamento Analítico'!$A:$H,8,0)</f>
        <v>277.55</v>
      </c>
      <c r="H92" s="91">
        <f>TRUNC(F92 * G92, 2)</f>
        <v>2775.5</v>
      </c>
    </row>
    <row r="93" spans="1:8">
      <c r="A93" s="87" t="s">
        <v>243</v>
      </c>
      <c r="B93" s="88" t="s">
        <v>244</v>
      </c>
      <c r="C93" s="88" t="str">
        <f ca="1">VLOOKUP(B93,'Insumos e Serviços'!$A:$F,2,0)</f>
        <v>SINAPI</v>
      </c>
      <c r="D93" s="89" t="str">
        <f ca="1">VLOOKUP(B93,'Insumos e Serviços'!$A:$F,4,0)</f>
        <v>FURO EM CONCRETO PARA DIÂMETROS MAIORES QUE 75 MM. AF_05/2015</v>
      </c>
      <c r="E93" s="88" t="str">
        <f ca="1">VLOOKUP(B93,'Insumos e Serviços'!$A:$F,5,0)</f>
        <v>UN</v>
      </c>
      <c r="F93" s="90">
        <v>5</v>
      </c>
      <c r="G93" s="91">
        <f ca="1">VLOOKUP(B93,'Insumos e Serviços'!$A:$F,6,0)</f>
        <v>112.76</v>
      </c>
      <c r="H93" s="91">
        <f>TRUNC(F93 * G93, 2)</f>
        <v>563.79999999999995</v>
      </c>
    </row>
    <row r="94" spans="1:8">
      <c r="A94" s="84" t="s">
        <v>246</v>
      </c>
      <c r="B94" s="84"/>
      <c r="C94" s="84"/>
      <c r="D94" s="84" t="s">
        <v>247</v>
      </c>
      <c r="E94" s="84"/>
      <c r="F94" s="85"/>
      <c r="G94" s="84"/>
      <c r="H94" s="86">
        <f>H95</f>
        <v>1772.24</v>
      </c>
    </row>
    <row r="95" spans="1:8">
      <c r="A95" s="92" t="s">
        <v>248</v>
      </c>
      <c r="B95" s="92"/>
      <c r="C95" s="92"/>
      <c r="D95" s="92" t="s">
        <v>249</v>
      </c>
      <c r="E95" s="92"/>
      <c r="F95" s="93"/>
      <c r="G95" s="92"/>
      <c r="H95" s="94">
        <f>H96</f>
        <v>1772.24</v>
      </c>
    </row>
    <row r="96" spans="1:8" ht="22.5">
      <c r="A96" s="87" t="s">
        <v>250</v>
      </c>
      <c r="B96" s="88" t="s">
        <v>251</v>
      </c>
      <c r="C96" s="88" t="str">
        <f ca="1">VLOOKUP(B96,'Insumos e Serviços'!$A:$F,2,0)</f>
        <v>SINAPI</v>
      </c>
      <c r="D96" s="89" t="str">
        <f ca="1">VLOOKUP(B96,'Insumos e Serviços'!$A:$F,4,0)</f>
        <v>CAIXA ENTERRADA HIDRÁULICA RETANGULAR EM ALVENARIA COM TIJOLOS CERÂMICOS MACIÇOS, DIMENSÕES INTERNAS: 1X1X0,6 M PARA REDE DE DRENAGEM. AF_12/2020</v>
      </c>
      <c r="E96" s="88" t="str">
        <f ca="1">VLOOKUP(B96,'Insumos e Serviços'!$A:$F,5,0)</f>
        <v>UN</v>
      </c>
      <c r="F96" s="90">
        <v>2</v>
      </c>
      <c r="G96" s="91">
        <f ca="1">VLOOKUP(B96,'Insumos e Serviços'!$A:$F,6,0)</f>
        <v>886.12</v>
      </c>
      <c r="H96" s="91">
        <f>TRUNC(F96 * G96, 2)</f>
        <v>1772.24</v>
      </c>
    </row>
    <row r="97" spans="1:8">
      <c r="A97" s="82" t="s">
        <v>253</v>
      </c>
      <c r="B97" s="82"/>
      <c r="C97" s="82"/>
      <c r="D97" s="82" t="s">
        <v>254</v>
      </c>
      <c r="E97" s="82"/>
      <c r="F97" s="83"/>
      <c r="G97" s="82"/>
      <c r="H97" s="83">
        <f>H98+H104</f>
        <v>2483.3199999999997</v>
      </c>
    </row>
    <row r="98" spans="1:8">
      <c r="A98" s="84" t="s">
        <v>255</v>
      </c>
      <c r="B98" s="84"/>
      <c r="C98" s="84"/>
      <c r="D98" s="84" t="s">
        <v>256</v>
      </c>
      <c r="E98" s="84"/>
      <c r="F98" s="85"/>
      <c r="G98" s="84"/>
      <c r="H98" s="86">
        <v>1775.1</v>
      </c>
    </row>
    <row r="99" spans="1:8">
      <c r="A99" s="92" t="s">
        <v>257</v>
      </c>
      <c r="B99" s="92"/>
      <c r="C99" s="92"/>
      <c r="D99" s="92" t="s">
        <v>258</v>
      </c>
      <c r="E99" s="92"/>
      <c r="F99" s="93"/>
      <c r="G99" s="92"/>
      <c r="H99" s="94">
        <f>SUM(H100:H103)</f>
        <v>1775.1</v>
      </c>
    </row>
    <row r="100" spans="1:8" ht="22.5">
      <c r="A100" s="87" t="s">
        <v>259</v>
      </c>
      <c r="B100" s="88" t="s">
        <v>260</v>
      </c>
      <c r="C100" s="88" t="str">
        <f ca="1">VLOOKUP(B100,'Insumos e Serviços'!$A:$F,2,0)</f>
        <v>SINAPI</v>
      </c>
      <c r="D100" s="89" t="str">
        <f ca="1">VLOOKUP(B100,'Insumos e Serviços'!$A:$F,4,0)</f>
        <v>ELETRODUTO RÍGIDO ROSCÁVEL, PVC, DN 32 MM (1"), PARA CIRCUITOS TERMINAIS, INSTALADO EM PAREDE - FORNECIMENTO E INSTALAÇÃO. AF_12/2015</v>
      </c>
      <c r="E100" s="88" t="str">
        <f ca="1">VLOOKUP(B100,'Insumos e Serviços'!$A:$F,5,0)</f>
        <v>M</v>
      </c>
      <c r="F100" s="90">
        <v>25</v>
      </c>
      <c r="G100" s="91">
        <f ca="1">VLOOKUP(B100,'Insumos e Serviços'!$A:$F,6,0)</f>
        <v>14.86</v>
      </c>
      <c r="H100" s="91">
        <f>TRUNC(F100 * G100, 2)</f>
        <v>371.5</v>
      </c>
    </row>
    <row r="101" spans="1:8" ht="22.5">
      <c r="A101" s="87" t="s">
        <v>262</v>
      </c>
      <c r="B101" s="88" t="s">
        <v>263</v>
      </c>
      <c r="C101" s="88" t="str">
        <f ca="1">VLOOKUP(B101,'Insumos e Serviços'!$A:$F,2,0)</f>
        <v>SINAPI</v>
      </c>
      <c r="D101" s="89" t="str">
        <f ca="1">VLOOKUP(B101,'Insumos e Serviços'!$A:$F,4,0)</f>
        <v>CABO DE COBRE FLEXÍVEL ISOLADO, 4 MM², ANTI-CHAMA 0,6/1,0 KV, PARA CIRCUITOS TERMINAIS - FORNECIMENTO E INSTALAÇÃO. AF_12/2015</v>
      </c>
      <c r="E101" s="88" t="str">
        <f ca="1">VLOOKUP(B101,'Insumos e Serviços'!$A:$F,5,0)</f>
        <v>M</v>
      </c>
      <c r="F101" s="90">
        <v>111</v>
      </c>
      <c r="G101" s="91">
        <f ca="1">VLOOKUP(B101,'Insumos e Serviços'!$A:$F,6,0)</f>
        <v>7.6</v>
      </c>
      <c r="H101" s="91">
        <f>TRUNC(F101 * G101, 2)</f>
        <v>843.6</v>
      </c>
    </row>
    <row r="102" spans="1:8">
      <c r="A102" s="87" t="s">
        <v>265</v>
      </c>
      <c r="B102" s="88" t="s">
        <v>266</v>
      </c>
      <c r="C102" s="88" t="s">
        <v>15</v>
      </c>
      <c r="D102" s="89" t="s">
        <v>267</v>
      </c>
      <c r="E102" s="88" t="s">
        <v>53</v>
      </c>
      <c r="F102" s="90">
        <v>2</v>
      </c>
      <c r="G102" s="91">
        <f ca="1">VLOOKUP(A102,'Orçamento Analítico'!$A:$H,8,0)</f>
        <v>202.28</v>
      </c>
      <c r="H102" s="91">
        <f>TRUNC(F102 * G102, 2)</f>
        <v>404.56</v>
      </c>
    </row>
    <row r="103" spans="1:8" ht="22.5">
      <c r="A103" s="87" t="s">
        <v>268</v>
      </c>
      <c r="B103" s="88" t="s">
        <v>269</v>
      </c>
      <c r="C103" s="88" t="s">
        <v>15</v>
      </c>
      <c r="D103" s="89" t="s">
        <v>270</v>
      </c>
      <c r="E103" s="88" t="s">
        <v>67</v>
      </c>
      <c r="F103" s="90">
        <v>2</v>
      </c>
      <c r="G103" s="91">
        <f ca="1">VLOOKUP(A103,'Orçamento Analítico'!$A:$H,8,0)</f>
        <v>77.72</v>
      </c>
      <c r="H103" s="91">
        <f>TRUNC(F103 * G103, 2)</f>
        <v>155.44</v>
      </c>
    </row>
    <row r="104" spans="1:8">
      <c r="A104" s="84" t="s">
        <v>271</v>
      </c>
      <c r="B104" s="84"/>
      <c r="C104" s="84"/>
      <c r="D104" s="84" t="s">
        <v>247</v>
      </c>
      <c r="E104" s="84"/>
      <c r="F104" s="85"/>
      <c r="G104" s="84"/>
      <c r="H104" s="86">
        <f>H105</f>
        <v>708.22</v>
      </c>
    </row>
    <row r="105" spans="1:8">
      <c r="A105" s="92" t="s">
        <v>272</v>
      </c>
      <c r="B105" s="92"/>
      <c r="C105" s="92"/>
      <c r="D105" s="92" t="s">
        <v>249</v>
      </c>
      <c r="E105" s="92"/>
      <c r="F105" s="93"/>
      <c r="G105" s="92"/>
      <c r="H105" s="94">
        <f>H106</f>
        <v>708.22</v>
      </c>
    </row>
    <row r="106" spans="1:8" ht="33.75">
      <c r="A106" s="87" t="s">
        <v>273</v>
      </c>
      <c r="B106" s="88" t="s">
        <v>274</v>
      </c>
      <c r="C106" s="88" t="s">
        <v>15</v>
      </c>
      <c r="D106" s="89" t="s">
        <v>275</v>
      </c>
      <c r="E106" s="88" t="s">
        <v>67</v>
      </c>
      <c r="F106" s="90">
        <v>2</v>
      </c>
      <c r="G106" s="91">
        <f ca="1">VLOOKUP(A106,'Orçamento Analítico'!$A:$H,8,0)</f>
        <v>354.11</v>
      </c>
      <c r="H106" s="91">
        <f>TRUNC(F106 * G106, 2)</f>
        <v>708.22</v>
      </c>
    </row>
    <row r="107" spans="1:8">
      <c r="A107" s="82" t="s">
        <v>276</v>
      </c>
      <c r="B107" s="82"/>
      <c r="C107" s="82"/>
      <c r="D107" s="82" t="s">
        <v>277</v>
      </c>
      <c r="E107" s="82"/>
      <c r="F107" s="83"/>
      <c r="G107" s="82"/>
      <c r="H107" s="83">
        <f>H108</f>
        <v>915.3</v>
      </c>
    </row>
    <row r="108" spans="1:8">
      <c r="A108" s="84" t="s">
        <v>278</v>
      </c>
      <c r="B108" s="84"/>
      <c r="C108" s="84"/>
      <c r="D108" s="84" t="s">
        <v>279</v>
      </c>
      <c r="E108" s="84"/>
      <c r="F108" s="85"/>
      <c r="G108" s="84"/>
      <c r="H108" s="86">
        <f>SUM(H109:H111)</f>
        <v>915.3</v>
      </c>
    </row>
    <row r="109" spans="1:8">
      <c r="A109" s="87" t="s">
        <v>280</v>
      </c>
      <c r="B109" s="88" t="s">
        <v>281</v>
      </c>
      <c r="C109" s="88" t="str">
        <f ca="1">VLOOKUP(B109,'Insumos e Serviços'!$A:$F,2,0)</f>
        <v>SINAPI</v>
      </c>
      <c r="D109" s="89" t="str">
        <f ca="1">VLOOKUP(B109,'Insumos e Serviços'!$A:$F,4,0)</f>
        <v>LIMPEZA DE CONTRAPISO COM VASSOURA A SECO. AF_04/2019</v>
      </c>
      <c r="E109" s="88" t="str">
        <f ca="1">VLOOKUP(B109,'Insumos e Serviços'!$A:$F,5,0)</f>
        <v>m²</v>
      </c>
      <c r="F109" s="90">
        <v>262</v>
      </c>
      <c r="G109" s="91">
        <f ca="1">VLOOKUP(B109,'Insumos e Serviços'!$A:$F,6,0)</f>
        <v>2.9</v>
      </c>
      <c r="H109" s="91">
        <f>TRUNC(F109 * G109, 2)</f>
        <v>759.8</v>
      </c>
    </row>
    <row r="110" spans="1:8">
      <c r="A110" s="87" t="s">
        <v>283</v>
      </c>
      <c r="B110" s="88" t="s">
        <v>284</v>
      </c>
      <c r="C110" s="88" t="str">
        <f ca="1">VLOOKUP(B110,'Insumos e Serviços'!$A:$F,2,0)</f>
        <v>SINAPI</v>
      </c>
      <c r="D110" s="89" t="str">
        <f ca="1">VLOOKUP(B110,'Insumos e Serviços'!$A:$F,4,0)</f>
        <v>LIMPEZA DE REVESTIMENTO CERÂMICO EM PAREDE COM PANO ÚMIDO AF_04/2019</v>
      </c>
      <c r="E110" s="88" t="str">
        <f ca="1">VLOOKUP(B110,'Insumos e Serviços'!$A:$F,5,0)</f>
        <v>m²</v>
      </c>
      <c r="F110" s="90">
        <v>193</v>
      </c>
      <c r="G110" s="91">
        <f ca="1">VLOOKUP(B110,'Insumos e Serviços'!$A:$F,6,0)</f>
        <v>0.7</v>
      </c>
      <c r="H110" s="91">
        <f>TRUNC(F110 * G110, 2)</f>
        <v>135.1</v>
      </c>
    </row>
    <row r="111" spans="1:8">
      <c r="A111" s="87" t="s">
        <v>286</v>
      </c>
      <c r="B111" s="88" t="s">
        <v>287</v>
      </c>
      <c r="C111" s="88" t="str">
        <f ca="1">VLOOKUP(B111,'Insumos e Serviços'!$A:$F,2,0)</f>
        <v>SINAPI</v>
      </c>
      <c r="D111" s="89" t="str">
        <f ca="1">VLOOKUP(B111,'Insumos e Serviços'!$A:$F,4,0)</f>
        <v>LIMPEZA DE PISO CERÂMICO OU PORCELANATO COM PANO ÚMIDO. AF_04/2019</v>
      </c>
      <c r="E111" s="88" t="str">
        <f ca="1">VLOOKUP(B111,'Insumos e Serviços'!$A:$F,5,0)</f>
        <v>m²</v>
      </c>
      <c r="F111" s="90">
        <v>12</v>
      </c>
      <c r="G111" s="91">
        <f ca="1">VLOOKUP(B111,'Insumos e Serviços'!$A:$F,6,0)</f>
        <v>1.7</v>
      </c>
      <c r="H111" s="91">
        <f>TRUNC(F111 * G111, 2)</f>
        <v>20.399999999999999</v>
      </c>
    </row>
    <row r="112" spans="1:8">
      <c r="A112" s="82" t="s">
        <v>289</v>
      </c>
      <c r="B112" s="82"/>
      <c r="C112" s="82"/>
      <c r="D112" s="82" t="s">
        <v>290</v>
      </c>
      <c r="E112" s="82"/>
      <c r="F112" s="83"/>
      <c r="G112" s="82"/>
      <c r="H112" s="83">
        <f>H113</f>
        <v>18547.599999999999</v>
      </c>
    </row>
    <row r="113" spans="1:8">
      <c r="A113" s="84" t="s">
        <v>291</v>
      </c>
      <c r="B113" s="84"/>
      <c r="C113" s="84"/>
      <c r="D113" s="84" t="s">
        <v>292</v>
      </c>
      <c r="E113" s="84"/>
      <c r="F113" s="85"/>
      <c r="G113" s="84"/>
      <c r="H113" s="86">
        <f>SUM(H114:H115)</f>
        <v>18547.599999999999</v>
      </c>
    </row>
    <row r="114" spans="1:8">
      <c r="A114" s="87" t="s">
        <v>293</v>
      </c>
      <c r="B114" s="88" t="s">
        <v>294</v>
      </c>
      <c r="C114" s="88" t="str">
        <f ca="1">VLOOKUP(B114,'Insumos e Serviços'!$A:$F,2,0)</f>
        <v>SINAPI</v>
      </c>
      <c r="D114" s="89" t="str">
        <f ca="1">VLOOKUP(B114,'Insumos e Serviços'!$A:$F,4,0)</f>
        <v>ENCARREGADO GERAL DE OBRAS COM ENCARGOS COMPLEMENTARES</v>
      </c>
      <c r="E114" s="88" t="str">
        <f ca="1">VLOOKUP(B114,'Insumos e Serviços'!$A:$F,5,0)</f>
        <v>MES</v>
      </c>
      <c r="F114" s="90">
        <v>2</v>
      </c>
      <c r="G114" s="91">
        <f ca="1">VLOOKUP(B114,'Insumos e Serviços'!$A:$F,6,0)</f>
        <v>3465.25</v>
      </c>
      <c r="H114" s="91">
        <f>TRUNC(F114 * G114, 2)</f>
        <v>6930.5</v>
      </c>
    </row>
    <row r="115" spans="1:8">
      <c r="A115" s="87" t="s">
        <v>297</v>
      </c>
      <c r="B115" s="88" t="s">
        <v>298</v>
      </c>
      <c r="C115" s="88" t="str">
        <f ca="1">VLOOKUP(B115,'Insumos e Serviços'!$A:$F,2,0)</f>
        <v>SINAPI</v>
      </c>
      <c r="D115" s="89" t="str">
        <f ca="1">VLOOKUP(B115,'Insumos e Serviços'!$A:$F,4,0)</f>
        <v>ENGENHEIRO CIVIL DE OBRA PLENO COM ENCARGOS COMPLEMENTARES</v>
      </c>
      <c r="E115" s="88" t="str">
        <f ca="1">VLOOKUP(B115,'Insumos e Serviços'!$A:$F,5,0)</f>
        <v>H</v>
      </c>
      <c r="F115" s="90">
        <v>110</v>
      </c>
      <c r="G115" s="91">
        <f ca="1">VLOOKUP(B115,'Insumos e Serviços'!$A:$F,6,0)</f>
        <v>105.61</v>
      </c>
      <c r="H115" s="91">
        <f>TRUNC(F115 * G115, 2)</f>
        <v>11617.1</v>
      </c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14" t="s">
        <v>308</v>
      </c>
      <c r="B117" s="115">
        <f>1-B118</f>
        <v>0.5</v>
      </c>
      <c r="C117" s="67"/>
      <c r="D117" s="116" t="s">
        <v>301</v>
      </c>
      <c r="E117" s="116"/>
      <c r="F117" s="117"/>
      <c r="G117" s="154">
        <f>H9+H12+H43+H83+H97+H107+H112</f>
        <v>146979.78</v>
      </c>
      <c r="H117" s="154"/>
    </row>
    <row r="118" spans="1:8">
      <c r="A118" s="164" t="s">
        <v>306</v>
      </c>
      <c r="B118" s="166">
        <v>0.5</v>
      </c>
      <c r="C118" s="67"/>
      <c r="D118" s="67" t="s">
        <v>302</v>
      </c>
      <c r="E118" s="67" t="str">
        <f ca="1">CONCATENATE("(",'Composição de BDI'!$D$23*100,"%)")</f>
        <v>(22,12%)</v>
      </c>
      <c r="F118" s="117"/>
      <c r="G118" s="154">
        <f ca="1">TRUNC(G117*'Composição de BDI'!$D$23,2)</f>
        <v>32511.919999999998</v>
      </c>
      <c r="H118" s="154"/>
    </row>
    <row r="119" spans="1:8">
      <c r="A119" s="165"/>
      <c r="B119" s="167"/>
      <c r="C119" s="67"/>
      <c r="D119" s="116" t="s">
        <v>303</v>
      </c>
      <c r="E119" s="116"/>
      <c r="F119" s="117"/>
      <c r="G119" s="154">
        <f>G117+G118</f>
        <v>179491.7</v>
      </c>
      <c r="H119" s="154"/>
    </row>
  </sheetData>
  <sheetCalcPr fullCalcOnLoad="1"/>
  <mergeCells count="20">
    <mergeCell ref="A118:A119"/>
    <mergeCell ref="B118:B119"/>
    <mergeCell ref="G118:H118"/>
    <mergeCell ref="G119:H119"/>
    <mergeCell ref="G1:H1"/>
    <mergeCell ref="A6:B6"/>
    <mergeCell ref="C6:D6"/>
    <mergeCell ref="A2:B2"/>
    <mergeCell ref="E2:F2"/>
    <mergeCell ref="G2:H2"/>
    <mergeCell ref="A3:B3"/>
    <mergeCell ref="C3:D3"/>
    <mergeCell ref="A4:B4"/>
    <mergeCell ref="C4:D4"/>
    <mergeCell ref="E4:F4"/>
    <mergeCell ref="G4:H4"/>
    <mergeCell ref="G117:H117"/>
    <mergeCell ref="E6:F6"/>
    <mergeCell ref="G6:H6"/>
    <mergeCell ref="A7:H7"/>
  </mergeCells>
  <phoneticPr fontId="1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9" fitToHeight="0" orientation="portrait" r:id="rId1"/>
  <headerFooter>
    <oddHeader>&amp;L &amp;C &amp;R</oddHeader>
    <oddFooter>&amp;L &amp;C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8"/>
  <sheetViews>
    <sheetView showGridLines="0" showOutlineSymbols="0" showWhiteSpace="0" workbookViewId="0"/>
  </sheetViews>
  <sheetFormatPr defaultRowHeight="14.25"/>
  <cols>
    <col min="1" max="1" width="10" bestFit="1" customWidth="1"/>
    <col min="2" max="2" width="12" bestFit="1" customWidth="1"/>
    <col min="3" max="3" width="10" bestFit="1" customWidth="1"/>
    <col min="4" max="4" width="60" bestFit="1" customWidth="1"/>
    <col min="5" max="6" width="12" bestFit="1" customWidth="1"/>
    <col min="7" max="7" width="13" bestFit="1" customWidth="1"/>
    <col min="8" max="8" width="14" bestFit="1" customWidth="1"/>
  </cols>
  <sheetData>
    <row r="1" spans="1:8" ht="14.25" customHeight="1">
      <c r="A1" s="59" t="str">
        <f ca="1">'Orçamento Sintético'!A1</f>
        <v>P. Execução:</v>
      </c>
      <c r="B1" s="75"/>
      <c r="C1" s="59" t="str">
        <f ca="1">'Orçamento Sintético'!C1</f>
        <v>Licitação:</v>
      </c>
      <c r="D1" s="60" t="str">
        <f ca="1">'Orçamento Sintético'!D1</f>
        <v>Objeto: Recuperação de laje do reservatório de Brasília II</v>
      </c>
      <c r="E1" s="59" t="str">
        <f ca="1">'Orçamento Sintético'!E1</f>
        <v>Data:</v>
      </c>
      <c r="F1" s="73"/>
      <c r="G1" s="169"/>
      <c r="H1" s="158"/>
    </row>
    <row r="2" spans="1:8" ht="14.25" customHeight="1">
      <c r="A2" s="150" t="str">
        <f ca="1">'Orçamento Sintético'!A2:B2</f>
        <v>A</v>
      </c>
      <c r="B2" s="159"/>
      <c r="C2" s="64" t="str">
        <f ca="1">'Orçamento Sintético'!C2</f>
        <v>B</v>
      </c>
      <c r="D2" s="63" t="str">
        <f ca="1">'Orçamento Sintético'!D2</f>
        <v>Local: Setor de Múltiplas Atividades Sul - SMAS Trecho 4 Lote 6/8 – Brasília – DF</v>
      </c>
      <c r="E2" s="170">
        <f ca="1">'Orçamento Sintético'!E2:F2</f>
        <v>1</v>
      </c>
      <c r="F2" s="171"/>
      <c r="G2" s="152"/>
      <c r="H2" s="153"/>
    </row>
    <row r="3" spans="1:8">
      <c r="A3" s="65" t="str">
        <f ca="1">'Orçamento Sintético'!A3</f>
        <v>P. Validade:</v>
      </c>
      <c r="B3" s="95"/>
      <c r="C3" s="65" t="str">
        <f ca="1">'Orçamento Sintético'!C3</f>
        <v>Razão Social:</v>
      </c>
      <c r="D3" s="73"/>
      <c r="E3" s="59" t="str">
        <f ca="1">'Orçamento Sintético'!E3</f>
        <v>Telefone:</v>
      </c>
      <c r="F3" s="73"/>
      <c r="G3" s="76"/>
      <c r="H3" s="77"/>
    </row>
    <row r="4" spans="1:8">
      <c r="A4" s="150" t="str">
        <f ca="1">'Orçamento Sintético'!A4:B4</f>
        <v>C</v>
      </c>
      <c r="B4" s="159"/>
      <c r="C4" s="150" t="str">
        <f ca="1">'Orçamento Sintético'!C4:D4</f>
        <v>D</v>
      </c>
      <c r="D4" s="159"/>
      <c r="E4" s="150" t="str">
        <f ca="1">'Orçamento Sintético'!E4:F4</f>
        <v>E</v>
      </c>
      <c r="F4" s="159"/>
      <c r="G4" s="152"/>
      <c r="H4" s="153"/>
    </row>
    <row r="5" spans="1:8">
      <c r="A5" s="59" t="str">
        <f ca="1">'Orçamento Sintético'!A5</f>
        <v>P. Garantia:</v>
      </c>
      <c r="B5" s="75"/>
      <c r="C5" s="59" t="str">
        <f ca="1">'Orçamento Sintético'!C5</f>
        <v>CNPJ:</v>
      </c>
      <c r="D5" s="73"/>
      <c r="E5" s="59" t="str">
        <f ca="1">'Orçamento Sintético'!E5</f>
        <v>E-mail:</v>
      </c>
      <c r="F5" s="73"/>
      <c r="G5" s="76"/>
      <c r="H5" s="77"/>
    </row>
    <row r="6" spans="1:8">
      <c r="A6" s="150" t="str">
        <f ca="1">'Orçamento Sintético'!A6:B6</f>
        <v>F</v>
      </c>
      <c r="B6" s="159"/>
      <c r="C6" s="150" t="str">
        <f ca="1">'Orçamento Sintético'!C6:D6</f>
        <v>G</v>
      </c>
      <c r="D6" s="159"/>
      <c r="E6" s="150" t="str">
        <f ca="1">'Orçamento Sintético'!E6:F6</f>
        <v>H</v>
      </c>
      <c r="F6" s="159"/>
      <c r="G6" s="155"/>
      <c r="H6" s="156"/>
    </row>
    <row r="7" spans="1:8" ht="15" customHeight="1">
      <c r="A7" s="168" t="s">
        <v>461</v>
      </c>
      <c r="B7" s="168"/>
      <c r="C7" s="168"/>
      <c r="D7" s="168"/>
      <c r="E7" s="168"/>
      <c r="F7" s="168"/>
      <c r="G7" s="168"/>
      <c r="H7" s="168"/>
    </row>
    <row r="8" spans="1:8">
      <c r="A8" s="6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80" t="s">
        <v>6</v>
      </c>
      <c r="G8" s="6" t="s">
        <v>7</v>
      </c>
      <c r="H8" s="81" t="s">
        <v>8</v>
      </c>
    </row>
    <row r="9" spans="1:8">
      <c r="A9" s="99" t="s">
        <v>9</v>
      </c>
      <c r="B9" s="99"/>
      <c r="C9" s="99"/>
      <c r="D9" s="99" t="s">
        <v>10</v>
      </c>
      <c r="E9" s="100"/>
      <c r="F9" s="101"/>
      <c r="G9" s="99"/>
      <c r="H9" s="102"/>
    </row>
    <row r="10" spans="1:8">
      <c r="A10" s="84" t="s">
        <v>11</v>
      </c>
      <c r="B10" s="84"/>
      <c r="C10" s="84"/>
      <c r="D10" s="84" t="s">
        <v>12</v>
      </c>
      <c r="E10" s="84"/>
      <c r="F10" s="85"/>
      <c r="G10" s="84"/>
      <c r="H10" s="86"/>
    </row>
    <row r="11" spans="1:8">
      <c r="A11" s="103" t="s">
        <v>13</v>
      </c>
      <c r="B11" s="104" t="str">
        <f ca="1">VLOOKUP(A11,'Orçamento Sintético'!$A:$H,2,0)</f>
        <v xml:space="preserve"> MPDFT0009 </v>
      </c>
      <c r="C11" s="104" t="str">
        <f ca="1">VLOOKUP(A11,'Orçamento Sintético'!$A:$H,3,0)</f>
        <v>Próprio</v>
      </c>
      <c r="D11" s="105" t="str">
        <f ca="1">VLOOKUP(A11,'Orçamento Sintético'!$A:$H,4,0)</f>
        <v>Registro do contrato junto ao conselho de classe (ART)</v>
      </c>
      <c r="E11" s="104" t="str">
        <f ca="1">VLOOKUP(A11,'Orçamento Sintético'!$A:$H,5,0)</f>
        <v>vb</v>
      </c>
      <c r="F11" s="106"/>
      <c r="G11" s="107"/>
      <c r="H11" s="108">
        <f>SUM(H12)</f>
        <v>244.19</v>
      </c>
    </row>
    <row r="12" spans="1:8" ht="15" thickBot="1">
      <c r="A12" s="89" t="str">
        <f ca="1">VLOOKUP(B12,'Insumos e Serviços'!$A:$F,3,0)</f>
        <v>Insumo</v>
      </c>
      <c r="B12" s="97" t="s">
        <v>460</v>
      </c>
      <c r="C12" s="88" t="str">
        <f ca="1">VLOOKUP(B12,'Insumos e Serviços'!$A:$F,2,0)</f>
        <v>Próprio</v>
      </c>
      <c r="D12" s="89" t="str">
        <f ca="1">VLOOKUP(B12,'Insumos e Serviços'!$A:$F,4,0)</f>
        <v>Anotação de Resposanbilidade Técnica (Faixa 3 - Tabela A - CONFEA)</v>
      </c>
      <c r="E12" s="88" t="str">
        <f ca="1">VLOOKUP(B12,'Insumos e Serviços'!$A:$F,5,0)</f>
        <v>vb</v>
      </c>
      <c r="F12" s="109">
        <v>1</v>
      </c>
      <c r="G12" s="91">
        <f ca="1">VLOOKUP(B12,'Insumos e Serviços'!$A:$F,6,0)</f>
        <v>244.19</v>
      </c>
      <c r="H12" s="91">
        <f>TRUNC(F12*G12,2)</f>
        <v>244.19</v>
      </c>
    </row>
    <row r="13" spans="1:8" ht="15" thickTop="1">
      <c r="A13" s="4"/>
      <c r="B13" s="4"/>
      <c r="C13" s="4"/>
      <c r="D13" s="4"/>
      <c r="E13" s="4"/>
      <c r="F13" s="4"/>
      <c r="G13" s="4"/>
      <c r="H13" s="4"/>
    </row>
    <row r="14" spans="1:8">
      <c r="A14" s="99" t="s">
        <v>18</v>
      </c>
      <c r="B14" s="99"/>
      <c r="C14" s="99"/>
      <c r="D14" s="99" t="s">
        <v>19</v>
      </c>
      <c r="E14" s="100"/>
      <c r="F14" s="101"/>
      <c r="G14" s="99"/>
      <c r="H14" s="102"/>
    </row>
    <row r="15" spans="1:8">
      <c r="A15" s="84" t="s">
        <v>20</v>
      </c>
      <c r="B15" s="84"/>
      <c r="C15" s="84"/>
      <c r="D15" s="84" t="s">
        <v>21</v>
      </c>
      <c r="E15" s="84"/>
      <c r="F15" s="85"/>
      <c r="G15" s="84"/>
      <c r="H15" s="86"/>
    </row>
    <row r="16" spans="1:8">
      <c r="A16" s="110" t="s">
        <v>22</v>
      </c>
      <c r="B16" s="111"/>
      <c r="C16" s="110"/>
      <c r="D16" s="110" t="s">
        <v>23</v>
      </c>
      <c r="E16" s="111"/>
      <c r="F16" s="112"/>
      <c r="G16" s="113"/>
      <c r="H16" s="113"/>
    </row>
    <row r="17" spans="1:8">
      <c r="A17" s="103" t="s">
        <v>24</v>
      </c>
      <c r="B17" s="104" t="str">
        <f ca="1">VLOOKUP(A17,'Orçamento Sintético'!$A:$H,2,0)</f>
        <v xml:space="preserve"> MPDFT0490 </v>
      </c>
      <c r="C17" s="104" t="str">
        <f ca="1">VLOOKUP(A17,'Orçamento Sintético'!$A:$H,3,0)</f>
        <v>Próprio</v>
      </c>
      <c r="D17" s="105" t="str">
        <f ca="1">VLOOKUP(A17,'Orçamento Sintético'!$A:$H,4,0)</f>
        <v>Aluguel de container para almoxarifado</v>
      </c>
      <c r="E17" s="104" t="str">
        <f ca="1">VLOOKUP(A17,'Orçamento Sintético'!$A:$H,5,0)</f>
        <v>mês</v>
      </c>
      <c r="F17" s="106"/>
      <c r="G17" s="107"/>
      <c r="H17" s="108">
        <f>SUM(H18)</f>
        <v>457.03</v>
      </c>
    </row>
    <row r="18" spans="1:8" ht="23.25" thickBot="1">
      <c r="A18" s="89" t="str">
        <f ca="1">VLOOKUP(B18,'Insumos e Serviços'!$A:$F,3,0)</f>
        <v>Insumo</v>
      </c>
      <c r="B18" s="97" t="s">
        <v>458</v>
      </c>
      <c r="C18" s="88" t="str">
        <f ca="1">VLOOKUP(B18,'Insumos e Serviços'!$A:$F,2,0)</f>
        <v>SINAPI</v>
      </c>
      <c r="D18" s="89" t="str">
        <f ca="1">VLOOKUP(B18,'Insumos e Serviços'!$A:$F,4,0)</f>
        <v>LOCACAO DE CONTAINER 2,30  X  6,00 M, ALT. 2,50 M, PARA ESCRITORIO, SEM DIVISORIAS INTERNAS E SEM SANITARIO</v>
      </c>
      <c r="E18" s="88" t="str">
        <f ca="1">VLOOKUP(B18,'Insumos e Serviços'!$A:$F,5,0)</f>
        <v>MES</v>
      </c>
      <c r="F18" s="109">
        <v>1</v>
      </c>
      <c r="G18" s="91">
        <f ca="1">VLOOKUP(B18,'Insumos e Serviços'!$A:$F,6,0)</f>
        <v>457.03</v>
      </c>
      <c r="H18" s="91">
        <f>TRUNC(F18*G18,2)</f>
        <v>457.03</v>
      </c>
    </row>
    <row r="19" spans="1:8" ht="15" thickTop="1">
      <c r="A19" s="4"/>
      <c r="B19" s="4"/>
      <c r="C19" s="4"/>
      <c r="D19" s="4"/>
      <c r="E19" s="4"/>
      <c r="F19" s="4"/>
      <c r="G19" s="4"/>
      <c r="H19" s="4"/>
    </row>
    <row r="20" spans="1:8" ht="22.5">
      <c r="A20" s="103" t="s">
        <v>28</v>
      </c>
      <c r="B20" s="104" t="str">
        <f ca="1">VLOOKUP(A20,'Orçamento Sintético'!$A:$H,2,0)</f>
        <v xml:space="preserve"> MPDFT0622 </v>
      </c>
      <c r="C20" s="104" t="str">
        <f ca="1">VLOOKUP(A20,'Orçamento Sintético'!$A:$H,3,0)</f>
        <v>Próprio</v>
      </c>
      <c r="D20" s="105" t="str">
        <f ca="1">VLOOKUP(A20,'Orçamento Sintético'!$A:$H,4,0)</f>
        <v>Copia da SBC (210002) - TRANSPORTE, MONTAGEM, DESMONTAGEM E REMOÇÃO DE CONTEINERS EM OBRAS</v>
      </c>
      <c r="E20" s="104" t="str">
        <f ca="1">VLOOKUP(A20,'Orçamento Sintético'!$A:$H,5,0)</f>
        <v>UN</v>
      </c>
      <c r="F20" s="106"/>
      <c r="G20" s="107"/>
      <c r="H20" s="108">
        <f>SUM(H21:H22)</f>
        <v>917.97</v>
      </c>
    </row>
    <row r="21" spans="1:8">
      <c r="A21" s="89" t="str">
        <f ca="1">VLOOKUP(B21,'Insumos e Serviços'!$A:$F,3,0)</f>
        <v>Composição</v>
      </c>
      <c r="B21" s="97" t="s">
        <v>310</v>
      </c>
      <c r="C21" s="88" t="str">
        <f ca="1">VLOOKUP(B21,'Insumos e Serviços'!$A:$F,2,0)</f>
        <v>SINAPI</v>
      </c>
      <c r="D21" s="89" t="str">
        <f ca="1">VLOOKUP(B21,'Insumos e Serviços'!$A:$F,4,0)</f>
        <v>SERVENTE COM ENCARGOS COMPLEMENTARES</v>
      </c>
      <c r="E21" s="88" t="str">
        <f ca="1">VLOOKUP(B21,'Insumos e Serviços'!$A:$F,5,0)</f>
        <v>H</v>
      </c>
      <c r="F21" s="109">
        <v>16.495999999999999</v>
      </c>
      <c r="G21" s="91">
        <f ca="1">VLOOKUP(B21,'Insumos e Serviços'!$A:$F,6,0)</f>
        <v>17.61</v>
      </c>
      <c r="H21" s="91">
        <f>TRUNC(F21*G21,2)</f>
        <v>290.49</v>
      </c>
    </row>
    <row r="22" spans="1:8" ht="34.5" thickBot="1">
      <c r="A22" s="89" t="str">
        <f ca="1">VLOOKUP(B22,'Insumos e Serviços'!$A:$F,3,0)</f>
        <v>Composição</v>
      </c>
      <c r="B22" s="97" t="s">
        <v>456</v>
      </c>
      <c r="C22" s="88" t="str">
        <f ca="1">VLOOKUP(B22,'Insumos e Serviços'!$A:$F,2,0)</f>
        <v>SINAPI</v>
      </c>
      <c r="D22" s="89" t="str">
        <f ca="1">VLOOKUP(B22,'Insumos e Serviços'!$A:$F,4,0)</f>
        <v>GUINDAUTO HIDRÁULICO, CAPACIDADE MÁXIMA DE CARGA 6500 KG, MOMENTO MÁXIMO DE CARGA 5,8 TM, ALCANCE MÁXIMO HORIZONTAL 7,60 M, INCLUSIVE CAMINHÃO TOCO PBT 9.700 KG, POTÊNCIA DE 160 CV - CHP DIURNO. AF_08/2015</v>
      </c>
      <c r="E22" s="88" t="str">
        <f ca="1">VLOOKUP(B22,'Insumos e Serviços'!$A:$F,5,0)</f>
        <v>CHP</v>
      </c>
      <c r="F22" s="109">
        <v>4</v>
      </c>
      <c r="G22" s="91">
        <f ca="1">VLOOKUP(B22,'Insumos e Serviços'!$A:$F,6,0)</f>
        <v>156.87</v>
      </c>
      <c r="H22" s="91">
        <f>TRUNC(F22*G22,2)</f>
        <v>627.48</v>
      </c>
    </row>
    <row r="23" spans="1:8" ht="15" thickTop="1">
      <c r="A23" s="4"/>
      <c r="B23" s="4"/>
      <c r="C23" s="4"/>
      <c r="D23" s="4"/>
      <c r="E23" s="4"/>
      <c r="F23" s="4"/>
      <c r="G23" s="4"/>
      <c r="H23" s="4"/>
    </row>
    <row r="24" spans="1:8">
      <c r="A24" s="84" t="s">
        <v>43</v>
      </c>
      <c r="B24" s="84"/>
      <c r="C24" s="84"/>
      <c r="D24" s="84" t="s">
        <v>44</v>
      </c>
      <c r="E24" s="84"/>
      <c r="F24" s="85"/>
      <c r="G24" s="84"/>
      <c r="H24" s="86"/>
    </row>
    <row r="25" spans="1:8">
      <c r="A25" s="110" t="s">
        <v>45</v>
      </c>
      <c r="B25" s="111"/>
      <c r="C25" s="110"/>
      <c r="D25" s="110" t="s">
        <v>46</v>
      </c>
      <c r="E25" s="111"/>
      <c r="F25" s="112"/>
      <c r="G25" s="113"/>
      <c r="H25" s="113"/>
    </row>
    <row r="26" spans="1:8">
      <c r="A26" s="103" t="s">
        <v>47</v>
      </c>
      <c r="B26" s="104" t="str">
        <f ca="1">VLOOKUP(A26,'Orçamento Sintético'!$A:$H,2,0)</f>
        <v xml:space="preserve"> MPDFT0600 </v>
      </c>
      <c r="C26" s="104" t="str">
        <f ca="1">VLOOKUP(A26,'Orçamento Sintético'!$A:$H,3,0)</f>
        <v>Próprio</v>
      </c>
      <c r="D26" s="105" t="str">
        <f ca="1">VLOOKUP(A26,'Orçamento Sintético'!$A:$H,4,0)</f>
        <v>Copia da CPOS (04.09.100) - Retirada de guarda-corpo ou gradil em geral</v>
      </c>
      <c r="E26" s="104" t="str">
        <f ca="1">VLOOKUP(A26,'Orçamento Sintético'!$A:$H,5,0)</f>
        <v>m²</v>
      </c>
      <c r="F26" s="106"/>
      <c r="G26" s="107"/>
      <c r="H26" s="108">
        <f>SUM(H27:H28)</f>
        <v>29.05</v>
      </c>
    </row>
    <row r="27" spans="1:8">
      <c r="A27" s="89" t="str">
        <f ca="1">VLOOKUP(B27,'Insumos e Serviços'!$A:$F,3,0)</f>
        <v>Composição</v>
      </c>
      <c r="B27" s="97" t="s">
        <v>318</v>
      </c>
      <c r="C27" s="88" t="str">
        <f ca="1">VLOOKUP(B27,'Insumos e Serviços'!$A:$F,2,0)</f>
        <v>SINAPI</v>
      </c>
      <c r="D27" s="89" t="str">
        <f ca="1">VLOOKUP(B27,'Insumos e Serviços'!$A:$F,4,0)</f>
        <v>PEDREIRO COM ENCARGOS COMPLEMENTARES</v>
      </c>
      <c r="E27" s="88" t="str">
        <f ca="1">VLOOKUP(B27,'Insumos e Serviços'!$A:$F,5,0)</f>
        <v>H</v>
      </c>
      <c r="F27" s="109">
        <v>0.7</v>
      </c>
      <c r="G27" s="91">
        <f ca="1">VLOOKUP(B27,'Insumos e Serviços'!$A:$F,6,0)</f>
        <v>23.9</v>
      </c>
      <c r="H27" s="91">
        <f>TRUNC(F27*G27,2)</f>
        <v>16.73</v>
      </c>
    </row>
    <row r="28" spans="1:8" ht="15" thickBot="1">
      <c r="A28" s="89" t="str">
        <f ca="1">VLOOKUP(B28,'Insumos e Serviços'!$A:$F,3,0)</f>
        <v>Composição</v>
      </c>
      <c r="B28" s="97" t="s">
        <v>310</v>
      </c>
      <c r="C28" s="88" t="str">
        <f ca="1">VLOOKUP(B28,'Insumos e Serviços'!$A:$F,2,0)</f>
        <v>SINAPI</v>
      </c>
      <c r="D28" s="89" t="str">
        <f ca="1">VLOOKUP(B28,'Insumos e Serviços'!$A:$F,4,0)</f>
        <v>SERVENTE COM ENCARGOS COMPLEMENTARES</v>
      </c>
      <c r="E28" s="88" t="str">
        <f ca="1">VLOOKUP(B28,'Insumos e Serviços'!$A:$F,5,0)</f>
        <v>H</v>
      </c>
      <c r="F28" s="109">
        <v>0.7</v>
      </c>
      <c r="G28" s="91">
        <f ca="1">VLOOKUP(B28,'Insumos e Serviços'!$A:$F,6,0)</f>
        <v>17.61</v>
      </c>
      <c r="H28" s="91">
        <f>TRUNC(F28*G28,2)</f>
        <v>12.32</v>
      </c>
    </row>
    <row r="29" spans="1:8" ht="15" thickTop="1">
      <c r="A29" s="4"/>
      <c r="B29" s="4"/>
      <c r="C29" s="4"/>
      <c r="D29" s="4"/>
      <c r="E29" s="4"/>
      <c r="F29" s="4"/>
      <c r="G29" s="4"/>
      <c r="H29" s="4"/>
    </row>
    <row r="30" spans="1:8" ht="22.5">
      <c r="A30" s="103" t="s">
        <v>50</v>
      </c>
      <c r="B30" s="104" t="str">
        <f ca="1">VLOOKUP(A30,'Orçamento Sintético'!$A:$H,2,0)</f>
        <v xml:space="preserve"> MPDFT0601 </v>
      </c>
      <c r="C30" s="104" t="str">
        <f ca="1">VLOOKUP(A30,'Orçamento Sintético'!$A:$H,3,0)</f>
        <v>Próprio</v>
      </c>
      <c r="D30" s="105" t="str">
        <f ca="1">VLOOKUP(A30,'Orçamento Sintético'!$A:$H,4,0)</f>
        <v>Copia da CPOS (04.09.080) - Retirada de batente, corrimão ou peças lineares metálicas, fixados</v>
      </c>
      <c r="E30" s="104" t="str">
        <f ca="1">VLOOKUP(A30,'Orçamento Sintético'!$A:$H,5,0)</f>
        <v>m</v>
      </c>
      <c r="F30" s="106"/>
      <c r="G30" s="107"/>
      <c r="H30" s="108">
        <f>SUM(H31)</f>
        <v>7.17</v>
      </c>
    </row>
    <row r="31" spans="1:8" ht="15" thickBot="1">
      <c r="A31" s="89" t="str">
        <f ca="1">VLOOKUP(B31,'Insumos e Serviços'!$A:$F,3,0)</f>
        <v>Composição</v>
      </c>
      <c r="B31" s="97" t="s">
        <v>318</v>
      </c>
      <c r="C31" s="88" t="str">
        <f ca="1">VLOOKUP(B31,'Insumos e Serviços'!$A:$F,2,0)</f>
        <v>SINAPI</v>
      </c>
      <c r="D31" s="89" t="str">
        <f ca="1">VLOOKUP(B31,'Insumos e Serviços'!$A:$F,4,0)</f>
        <v>PEDREIRO COM ENCARGOS COMPLEMENTARES</v>
      </c>
      <c r="E31" s="88" t="str">
        <f ca="1">VLOOKUP(B31,'Insumos e Serviços'!$A:$F,5,0)</f>
        <v>H</v>
      </c>
      <c r="F31" s="109">
        <v>0.3</v>
      </c>
      <c r="G31" s="91">
        <f ca="1">VLOOKUP(B31,'Insumos e Serviços'!$A:$F,6,0)</f>
        <v>23.9</v>
      </c>
      <c r="H31" s="91">
        <f>TRUNC(F31*G31,2)</f>
        <v>7.17</v>
      </c>
    </row>
    <row r="32" spans="1:8" ht="15" thickTop="1">
      <c r="A32" s="4"/>
      <c r="B32" s="4"/>
      <c r="C32" s="4"/>
      <c r="D32" s="4"/>
      <c r="E32" s="4"/>
      <c r="F32" s="4"/>
      <c r="G32" s="4"/>
      <c r="H32" s="4"/>
    </row>
    <row r="33" spans="1:8">
      <c r="A33" s="103" t="s">
        <v>54</v>
      </c>
      <c r="B33" s="104" t="str">
        <f ca="1">VLOOKUP(A33,'Orçamento Sintético'!$A:$H,2,0)</f>
        <v xml:space="preserve"> MPDFT0926 </v>
      </c>
      <c r="C33" s="104" t="str">
        <f ca="1">VLOOKUP(A33,'Orçamento Sintético'!$A:$H,3,0)</f>
        <v>Próprio</v>
      </c>
      <c r="D33" s="105" t="str">
        <f ca="1">VLOOKUP(A33,'Orçamento Sintético'!$A:$H,4,0)</f>
        <v>Baseado em SINAPI (99855) - REINSTALAÇÃO DE CORRIMÃO</v>
      </c>
      <c r="E33" s="104" t="str">
        <f ca="1">VLOOKUP(A33,'Orçamento Sintético'!$A:$H,5,0)</f>
        <v>M</v>
      </c>
      <c r="F33" s="106"/>
      <c r="G33" s="107"/>
      <c r="H33" s="108">
        <f>SUM(H34:H36)</f>
        <v>40.57</v>
      </c>
    </row>
    <row r="34" spans="1:8">
      <c r="A34" s="89" t="str">
        <f ca="1">VLOOKUP(B34,'Insumos e Serviços'!$A:$F,3,0)</f>
        <v>Composição</v>
      </c>
      <c r="B34" s="97" t="s">
        <v>384</v>
      </c>
      <c r="C34" s="88" t="str">
        <f ca="1">VLOOKUP(B34,'Insumos e Serviços'!$A:$F,2,0)</f>
        <v>SINAPI</v>
      </c>
      <c r="D34" s="89" t="str">
        <f ca="1">VLOOKUP(B34,'Insumos e Serviços'!$A:$F,4,0)</f>
        <v>AUXILIAR DE SERRALHEIRO COM ENCARGOS COMPLEMENTARES</v>
      </c>
      <c r="E34" s="88" t="str">
        <f ca="1">VLOOKUP(B34,'Insumos e Serviços'!$A:$F,5,0)</f>
        <v>H</v>
      </c>
      <c r="F34" s="109">
        <v>0.77800000000000002</v>
      </c>
      <c r="G34" s="91">
        <f ca="1">VLOOKUP(B34,'Insumos e Serviços'!$A:$F,6,0)</f>
        <v>19.309999999999999</v>
      </c>
      <c r="H34" s="91">
        <f>TRUNC(F34*G34,2)</f>
        <v>15.02</v>
      </c>
    </row>
    <row r="35" spans="1:8">
      <c r="A35" s="89" t="str">
        <f ca="1">VLOOKUP(B35,'Insumos e Serviços'!$A:$F,3,0)</f>
        <v>Composição</v>
      </c>
      <c r="B35" s="97" t="s">
        <v>382</v>
      </c>
      <c r="C35" s="88" t="str">
        <f ca="1">VLOOKUP(B35,'Insumos e Serviços'!$A:$F,2,0)</f>
        <v>SINAPI</v>
      </c>
      <c r="D35" s="89" t="str">
        <f ca="1">VLOOKUP(B35,'Insumos e Serviços'!$A:$F,4,0)</f>
        <v>SERRALHEIRO COM ENCARGOS COMPLEMENTARES</v>
      </c>
      <c r="E35" s="88" t="str">
        <f ca="1">VLOOKUP(B35,'Insumos e Serviços'!$A:$F,5,0)</f>
        <v>H</v>
      </c>
      <c r="F35" s="109">
        <v>0.94799999999999995</v>
      </c>
      <c r="G35" s="91">
        <f ca="1">VLOOKUP(B35,'Insumos e Serviços'!$A:$F,6,0)</f>
        <v>23.78</v>
      </c>
      <c r="H35" s="91">
        <f>TRUNC(F35*G35,2)</f>
        <v>22.54</v>
      </c>
    </row>
    <row r="36" spans="1:8" ht="23.25" thickBot="1">
      <c r="A36" s="89" t="str">
        <f ca="1">VLOOKUP(B36,'Insumos e Serviços'!$A:$F,3,0)</f>
        <v>Insumo</v>
      </c>
      <c r="B36" s="97" t="s">
        <v>454</v>
      </c>
      <c r="C36" s="88" t="str">
        <f ca="1">VLOOKUP(B36,'Insumos e Serviços'!$A:$F,2,0)</f>
        <v>SINAPI</v>
      </c>
      <c r="D36" s="89" t="str">
        <f ca="1">VLOOKUP(B36,'Insumos e Serviços'!$A:$F,4,0)</f>
        <v>BUCHA DE NYLON SEM ABA S10, COM PARAFUSO DE 6,10 X 65 MM EM ACO ZINCADO COM ROSCA SOBERBA, CABECA CHATA E FENDA PHILLIPS</v>
      </c>
      <c r="E36" s="88" t="str">
        <f ca="1">VLOOKUP(B36,'Insumos e Serviços'!$A:$F,5,0)</f>
        <v>UN</v>
      </c>
      <c r="F36" s="109">
        <v>3.2730000000000001</v>
      </c>
      <c r="G36" s="91">
        <f ca="1">VLOOKUP(B36,'Insumos e Serviços'!$A:$F,6,0)</f>
        <v>0.92</v>
      </c>
      <c r="H36" s="91">
        <f>TRUNC(F36*G36,2)</f>
        <v>3.01</v>
      </c>
    </row>
    <row r="37" spans="1:8" ht="15" thickTop="1">
      <c r="A37" s="4"/>
      <c r="B37" s="4"/>
      <c r="C37" s="4"/>
      <c r="D37" s="4"/>
      <c r="E37" s="4"/>
      <c r="F37" s="4"/>
      <c r="G37" s="4"/>
      <c r="H37" s="4"/>
    </row>
    <row r="38" spans="1:8" ht="22.5">
      <c r="A38" s="103" t="s">
        <v>57</v>
      </c>
      <c r="B38" s="104" t="str">
        <f ca="1">VLOOKUP(A38,'Orçamento Sintético'!$A:$H,2,0)</f>
        <v xml:space="preserve"> MPDFT0182 </v>
      </c>
      <c r="C38" s="104" t="str">
        <f ca="1">VLOOKUP(A38,'Orçamento Sintético'!$A:$H,3,0)</f>
        <v>Próprio</v>
      </c>
      <c r="D38" s="105" t="str">
        <f ca="1">VLOOKUP(A38,'Orçamento Sintético'!$A:$H,4,0)</f>
        <v>Copia da SETOP (DEM-REV-015) - DEMOLIÇÃO DE REVESTIMENTO DE PEDRA (MÁRMORE, GRANITO, ARDÓSIA, SÃO TOMÉ, ETC.), INCLUSIVE AFASTAMENTO</v>
      </c>
      <c r="E38" s="104" t="str">
        <f ca="1">VLOOKUP(A38,'Orçamento Sintético'!$A:$H,5,0)</f>
        <v>m²</v>
      </c>
      <c r="F38" s="106"/>
      <c r="G38" s="107"/>
      <c r="H38" s="108">
        <f>SUM(H39:H40)</f>
        <v>23.99</v>
      </c>
    </row>
    <row r="39" spans="1:8">
      <c r="A39" s="89" t="str">
        <f ca="1">VLOOKUP(B39,'Insumos e Serviços'!$A:$F,3,0)</f>
        <v>Composição</v>
      </c>
      <c r="B39" s="97" t="s">
        <v>318</v>
      </c>
      <c r="C39" s="88" t="str">
        <f ca="1">VLOOKUP(B39,'Insumos e Serviços'!$A:$F,2,0)</f>
        <v>SINAPI</v>
      </c>
      <c r="D39" s="89" t="str">
        <f ca="1">VLOOKUP(B39,'Insumos e Serviços'!$A:$F,4,0)</f>
        <v>PEDREIRO COM ENCARGOS COMPLEMENTARES</v>
      </c>
      <c r="E39" s="88" t="str">
        <f ca="1">VLOOKUP(B39,'Insumos e Serviços'!$A:$F,5,0)</f>
        <v>H</v>
      </c>
      <c r="F39" s="109">
        <v>0.12</v>
      </c>
      <c r="G39" s="91">
        <f ca="1">VLOOKUP(B39,'Insumos e Serviços'!$A:$F,6,0)</f>
        <v>23.9</v>
      </c>
      <c r="H39" s="91">
        <f>TRUNC(F39*G39,2)</f>
        <v>2.86</v>
      </c>
    </row>
    <row r="40" spans="1:8" ht="15" thickBot="1">
      <c r="A40" s="89" t="str">
        <f ca="1">VLOOKUP(B40,'Insumos e Serviços'!$A:$F,3,0)</f>
        <v>Composição</v>
      </c>
      <c r="B40" s="97" t="s">
        <v>310</v>
      </c>
      <c r="C40" s="88" t="str">
        <f ca="1">VLOOKUP(B40,'Insumos e Serviços'!$A:$F,2,0)</f>
        <v>SINAPI</v>
      </c>
      <c r="D40" s="89" t="str">
        <f ca="1">VLOOKUP(B40,'Insumos e Serviços'!$A:$F,4,0)</f>
        <v>SERVENTE COM ENCARGOS COMPLEMENTARES</v>
      </c>
      <c r="E40" s="88" t="str">
        <f ca="1">VLOOKUP(B40,'Insumos e Serviços'!$A:$F,5,0)</f>
        <v>H</v>
      </c>
      <c r="F40" s="109">
        <v>1.2</v>
      </c>
      <c r="G40" s="91">
        <f ca="1">VLOOKUP(B40,'Insumos e Serviços'!$A:$F,6,0)</f>
        <v>17.61</v>
      </c>
      <c r="H40" s="91">
        <f>TRUNC(F40*G40,2)</f>
        <v>21.13</v>
      </c>
    </row>
    <row r="41" spans="1:8" ht="15" thickTop="1">
      <c r="A41" s="4"/>
      <c r="B41" s="4"/>
      <c r="C41" s="4"/>
      <c r="D41" s="4"/>
      <c r="E41" s="4"/>
      <c r="F41" s="4"/>
      <c r="G41" s="4"/>
      <c r="H41" s="4"/>
    </row>
    <row r="42" spans="1:8">
      <c r="A42" s="103" t="s">
        <v>60</v>
      </c>
      <c r="B42" s="104" t="str">
        <f ca="1">VLOOKUP(A42,'Orçamento Sintético'!$A:$H,2,0)</f>
        <v xml:space="preserve"> MPDFT0104 </v>
      </c>
      <c r="C42" s="104" t="str">
        <f ca="1">VLOOKUP(A42,'Orçamento Sintético'!$A:$H,3,0)</f>
        <v>Próprio</v>
      </c>
      <c r="D42" s="105" t="str">
        <f ca="1">VLOOKUP(A42,'Orçamento Sintético'!$A:$H,4,0)</f>
        <v>Copia da SEINFRA (C1049) - DEMOLIÇÃO DE CONCRETO SIMPLES</v>
      </c>
      <c r="E42" s="104" t="str">
        <f ca="1">VLOOKUP(A42,'Orçamento Sintético'!$A:$H,5,0)</f>
        <v>m³</v>
      </c>
      <c r="F42" s="106"/>
      <c r="G42" s="107"/>
      <c r="H42" s="108">
        <f>SUM(H43:H44)</f>
        <v>260</v>
      </c>
    </row>
    <row r="43" spans="1:8">
      <c r="A43" s="89" t="str">
        <f ca="1">VLOOKUP(B43,'Insumos e Serviços'!$A:$F,3,0)</f>
        <v>Composição</v>
      </c>
      <c r="B43" s="97" t="s">
        <v>310</v>
      </c>
      <c r="C43" s="88" t="str">
        <f ca="1">VLOOKUP(B43,'Insumos e Serviços'!$A:$F,2,0)</f>
        <v>SINAPI</v>
      </c>
      <c r="D43" s="89" t="str">
        <f ca="1">VLOOKUP(B43,'Insumos e Serviços'!$A:$F,4,0)</f>
        <v>SERVENTE COM ENCARGOS COMPLEMENTARES</v>
      </c>
      <c r="E43" s="88" t="str">
        <f ca="1">VLOOKUP(B43,'Insumos e Serviços'!$A:$F,5,0)</f>
        <v>H</v>
      </c>
      <c r="F43" s="109">
        <v>13</v>
      </c>
      <c r="G43" s="91">
        <f ca="1">VLOOKUP(B43,'Insumos e Serviços'!$A:$F,6,0)</f>
        <v>17.61</v>
      </c>
      <c r="H43" s="91">
        <f>TRUNC(F43*G43,2)</f>
        <v>228.93</v>
      </c>
    </row>
    <row r="44" spans="1:8" ht="15" thickBot="1">
      <c r="A44" s="89" t="str">
        <f ca="1">VLOOKUP(B44,'Insumos e Serviços'!$A:$F,3,0)</f>
        <v>Composição</v>
      </c>
      <c r="B44" s="97" t="s">
        <v>318</v>
      </c>
      <c r="C44" s="88" t="str">
        <f ca="1">VLOOKUP(B44,'Insumos e Serviços'!$A:$F,2,0)</f>
        <v>SINAPI</v>
      </c>
      <c r="D44" s="89" t="str">
        <f ca="1">VLOOKUP(B44,'Insumos e Serviços'!$A:$F,4,0)</f>
        <v>PEDREIRO COM ENCARGOS COMPLEMENTARES</v>
      </c>
      <c r="E44" s="88" t="str">
        <f ca="1">VLOOKUP(B44,'Insumos e Serviços'!$A:$F,5,0)</f>
        <v>H</v>
      </c>
      <c r="F44" s="109">
        <v>1.3</v>
      </c>
      <c r="G44" s="91">
        <f ca="1">VLOOKUP(B44,'Insumos e Serviços'!$A:$F,6,0)</f>
        <v>23.9</v>
      </c>
      <c r="H44" s="91">
        <f>TRUNC(F44*G44,2)</f>
        <v>31.07</v>
      </c>
    </row>
    <row r="45" spans="1:8" ht="15" thickTop="1">
      <c r="A45" s="4"/>
      <c r="B45" s="4"/>
      <c r="C45" s="4"/>
      <c r="D45" s="4"/>
      <c r="E45" s="4"/>
      <c r="F45" s="4"/>
      <c r="G45" s="4"/>
      <c r="H45" s="4"/>
    </row>
    <row r="46" spans="1:8" ht="22.5">
      <c r="A46" s="103" t="s">
        <v>64</v>
      </c>
      <c r="B46" s="104" t="str">
        <f ca="1">VLOOKUP(A46,'Orçamento Sintético'!$A:$H,2,0)</f>
        <v xml:space="preserve"> MPDFT0478 </v>
      </c>
      <c r="C46" s="104" t="str">
        <f ca="1">VLOOKUP(A46,'Orçamento Sintético'!$A:$H,3,0)</f>
        <v>Próprio</v>
      </c>
      <c r="D46" s="105" t="str">
        <f ca="1">VLOOKUP(A46,'Orçamento Sintético'!$A:$H,4,0)</f>
        <v>Demolição de caixas de esgoto, água pluvial e águas servidas, inclusive fundo em concreto, escavação e reaterro</v>
      </c>
      <c r="E46" s="104" t="str">
        <f ca="1">VLOOKUP(A46,'Orçamento Sintético'!$A:$H,5,0)</f>
        <v>un</v>
      </c>
      <c r="F46" s="106"/>
      <c r="G46" s="107"/>
      <c r="H46" s="108">
        <f>SUM(H47:H52)</f>
        <v>107.28999999999999</v>
      </c>
    </row>
    <row r="47" spans="1:8" ht="45">
      <c r="A47" s="89" t="str">
        <f ca="1">VLOOKUP(B47,'Insumos e Serviços'!$A:$F,3,0)</f>
        <v>Composição</v>
      </c>
      <c r="B47" s="97" t="s">
        <v>452</v>
      </c>
      <c r="C47" s="88" t="str">
        <f ca="1">VLOOKUP(B47,'Insumos e Serviços'!$A:$F,2,0)</f>
        <v>SINAPI</v>
      </c>
      <c r="D47" s="89" t="str">
        <f ca="1">VLOOKUP(B47,'Insumos e Serviços'!$A:$F,4,0)</f>
        <v>ESCAVAÇÃO MECANIZADA DE VALA COM PROF. ATÉ 1,5 M (MÉDIA ENTRE MONTANTE E JUSANTE/UMA COMPOSIÇÃO POR TRECHO), COM RETROESCAVADEIRA (0,26 M3/88 HP), LARG. MENOR QUE 0,8 M, EM SOLO DE 1A CATEGORIA, EM LOCAIS COM ALTO NÍVEL DE INTERFERÊNCIA. AF_01/2015</v>
      </c>
      <c r="E47" s="88" t="str">
        <f ca="1">VLOOKUP(B47,'Insumos e Serviços'!$A:$F,5,0)</f>
        <v>m³</v>
      </c>
      <c r="F47" s="109">
        <v>0.41799999999999998</v>
      </c>
      <c r="G47" s="91">
        <f ca="1">VLOOKUP(B47,'Insumos e Serviços'!$A:$F,6,0)</f>
        <v>11.37</v>
      </c>
      <c r="H47" s="91">
        <f t="shared" ref="H47:H52" si="0">TRUNC(F47*G47,2)</f>
        <v>4.75</v>
      </c>
    </row>
    <row r="48" spans="1:8" ht="22.5">
      <c r="A48" s="89" t="str">
        <f ca="1">VLOOKUP(B48,'Insumos e Serviços'!$A:$F,3,0)</f>
        <v>Composição</v>
      </c>
      <c r="B48" s="97" t="s">
        <v>338</v>
      </c>
      <c r="C48" s="88" t="str">
        <f ca="1">VLOOKUP(B48,'Insumos e Serviços'!$A:$F,2,0)</f>
        <v>SINAPI</v>
      </c>
      <c r="D48" s="89" t="str">
        <f ca="1">VLOOKUP(B48,'Insumos e Serviços'!$A:$F,4,0)</f>
        <v>MARTELETE OU ROMPEDOR PNEUMÁTICO MANUAL, 28 KG, COM SILENCIADOR - CHP DIURNO. AF_07/2016</v>
      </c>
      <c r="E48" s="88" t="str">
        <f ca="1">VLOOKUP(B48,'Insumos e Serviços'!$A:$F,5,0)</f>
        <v>CHP</v>
      </c>
      <c r="F48" s="109">
        <v>1.0610999999999999</v>
      </c>
      <c r="G48" s="91">
        <f ca="1">VLOOKUP(B48,'Insumos e Serviços'!$A:$F,6,0)</f>
        <v>21.82</v>
      </c>
      <c r="H48" s="91">
        <f t="shared" si="0"/>
        <v>23.15</v>
      </c>
    </row>
    <row r="49" spans="1:8" ht="22.5">
      <c r="A49" s="89" t="str">
        <f ca="1">VLOOKUP(B49,'Insumos e Serviços'!$A:$F,3,0)</f>
        <v>Composição</v>
      </c>
      <c r="B49" s="97" t="s">
        <v>336</v>
      </c>
      <c r="C49" s="88" t="str">
        <f ca="1">VLOOKUP(B49,'Insumos e Serviços'!$A:$F,2,0)</f>
        <v>SINAPI</v>
      </c>
      <c r="D49" s="89" t="str">
        <f ca="1">VLOOKUP(B49,'Insumos e Serviços'!$A:$F,4,0)</f>
        <v>MARTELETE OU ROMPEDOR PNEUMÁTICO MANUAL, 28 KG, COM SILENCIADOR - CHI DIURNO. AF_07/2016</v>
      </c>
      <c r="E49" s="88" t="str">
        <f ca="1">VLOOKUP(B49,'Insumos e Serviços'!$A:$F,5,0)</f>
        <v>CHI</v>
      </c>
      <c r="F49" s="109">
        <v>0.30070000000000002</v>
      </c>
      <c r="G49" s="91">
        <f ca="1">VLOOKUP(B49,'Insumos e Serviços'!$A:$F,6,0)</f>
        <v>20.32</v>
      </c>
      <c r="H49" s="91">
        <f t="shared" si="0"/>
        <v>6.11</v>
      </c>
    </row>
    <row r="50" spans="1:8">
      <c r="A50" s="89" t="str">
        <f ca="1">VLOOKUP(B50,'Insumos e Serviços'!$A:$F,3,0)</f>
        <v>Composição</v>
      </c>
      <c r="B50" s="97" t="s">
        <v>318</v>
      </c>
      <c r="C50" s="88" t="str">
        <f ca="1">VLOOKUP(B50,'Insumos e Serviços'!$A:$F,2,0)</f>
        <v>SINAPI</v>
      </c>
      <c r="D50" s="89" t="str">
        <f ca="1">VLOOKUP(B50,'Insumos e Serviços'!$A:$F,4,0)</f>
        <v>PEDREIRO COM ENCARGOS COMPLEMENTARES</v>
      </c>
      <c r="E50" s="88" t="str">
        <f ca="1">VLOOKUP(B50,'Insumos e Serviços'!$A:$F,5,0)</f>
        <v>H</v>
      </c>
      <c r="F50" s="109">
        <v>0.20799999999999999</v>
      </c>
      <c r="G50" s="91">
        <f ca="1">VLOOKUP(B50,'Insumos e Serviços'!$A:$F,6,0)</f>
        <v>23.9</v>
      </c>
      <c r="H50" s="91">
        <f t="shared" si="0"/>
        <v>4.97</v>
      </c>
    </row>
    <row r="51" spans="1:8">
      <c r="A51" s="89" t="str">
        <f ca="1">VLOOKUP(B51,'Insumos e Serviços'!$A:$F,3,0)</f>
        <v>Composição</v>
      </c>
      <c r="B51" s="97" t="s">
        <v>310</v>
      </c>
      <c r="C51" s="88" t="str">
        <f ca="1">VLOOKUP(B51,'Insumos e Serviços'!$A:$F,2,0)</f>
        <v>SINAPI</v>
      </c>
      <c r="D51" s="89" t="str">
        <f ca="1">VLOOKUP(B51,'Insumos e Serviços'!$A:$F,4,0)</f>
        <v>SERVENTE COM ENCARGOS COMPLEMENTARES</v>
      </c>
      <c r="E51" s="88" t="str">
        <f ca="1">VLOOKUP(B51,'Insumos e Serviços'!$A:$F,5,0)</f>
        <v>H</v>
      </c>
      <c r="F51" s="109">
        <v>2.1499000000000001</v>
      </c>
      <c r="G51" s="91">
        <f ca="1">VLOOKUP(B51,'Insumos e Serviços'!$A:$F,6,0)</f>
        <v>17.61</v>
      </c>
      <c r="H51" s="91">
        <f t="shared" si="0"/>
        <v>37.85</v>
      </c>
    </row>
    <row r="52" spans="1:8" ht="15" thickBot="1">
      <c r="A52" s="89" t="str">
        <f ca="1">VLOOKUP(B52,'Insumos e Serviços'!$A:$F,3,0)</f>
        <v>Composição</v>
      </c>
      <c r="B52" s="97" t="s">
        <v>450</v>
      </c>
      <c r="C52" s="88" t="str">
        <f ca="1">VLOOKUP(B52,'Insumos e Serviços'!$A:$F,2,0)</f>
        <v>SINAPI</v>
      </c>
      <c r="D52" s="89" t="str">
        <f ca="1">VLOOKUP(B52,'Insumos e Serviços'!$A:$F,4,0)</f>
        <v>REATERRO MANUAL DE VALAS COM COMPACTAÇÃO MECANIZADA. AF_04/2016</v>
      </c>
      <c r="E52" s="88" t="str">
        <f ca="1">VLOOKUP(B52,'Insumos e Serviços'!$A:$F,5,0)</f>
        <v>m³</v>
      </c>
      <c r="F52" s="109">
        <v>1.2128000000000001</v>
      </c>
      <c r="G52" s="91">
        <f ca="1">VLOOKUP(B52,'Insumos e Serviços'!$A:$F,6,0)</f>
        <v>25.12</v>
      </c>
      <c r="H52" s="91">
        <f t="shared" si="0"/>
        <v>30.46</v>
      </c>
    </row>
    <row r="53" spans="1:8" ht="15" thickTop="1">
      <c r="A53" s="4"/>
      <c r="B53" s="4"/>
      <c r="C53" s="4"/>
      <c r="D53" s="4"/>
      <c r="E53" s="4"/>
      <c r="F53" s="4"/>
      <c r="G53" s="4"/>
      <c r="H53" s="4"/>
    </row>
    <row r="54" spans="1:8" ht="22.5">
      <c r="A54" s="103" t="s">
        <v>68</v>
      </c>
      <c r="B54" s="104" t="str">
        <f ca="1">VLOOKUP(A54,'Orçamento Sintético'!$A:$H,2,0)</f>
        <v xml:space="preserve"> MPDFT0778 </v>
      </c>
      <c r="C54" s="104" t="str">
        <f ca="1">VLOOKUP(A54,'Orçamento Sintético'!$A:$H,3,0)</f>
        <v>Próprio</v>
      </c>
      <c r="D54" s="105" t="str">
        <f ca="1">VLOOKUP(A54,'Orçamento Sintético'!$A:$H,4,0)</f>
        <v>Copia da SINAPI (97634) - DEMOLIÇÃO DE PISO, DE FORMA MECANIZADA COM MARTELETE, SEM REAPROVEITAMENTO. AF_12/2017</v>
      </c>
      <c r="E54" s="104" t="str">
        <f ca="1">VLOOKUP(A54,'Orçamento Sintético'!$A:$H,5,0)</f>
        <v>m²</v>
      </c>
      <c r="F54" s="106"/>
      <c r="G54" s="107"/>
      <c r="H54" s="108">
        <f>SUM(H55:H58)</f>
        <v>10.23</v>
      </c>
    </row>
    <row r="55" spans="1:8" ht="22.5">
      <c r="A55" s="89" t="str">
        <f ca="1">VLOOKUP(B55,'Insumos e Serviços'!$A:$F,3,0)</f>
        <v>Composição</v>
      </c>
      <c r="B55" s="97" t="s">
        <v>338</v>
      </c>
      <c r="C55" s="88" t="str">
        <f ca="1">VLOOKUP(B55,'Insumos e Serviços'!$A:$F,2,0)</f>
        <v>SINAPI</v>
      </c>
      <c r="D55" s="89" t="str">
        <f ca="1">VLOOKUP(B55,'Insumos e Serviços'!$A:$F,4,0)</f>
        <v>MARTELETE OU ROMPEDOR PNEUMÁTICO MANUAL, 28 KG, COM SILENCIADOR - CHP DIURNO. AF_07/2016</v>
      </c>
      <c r="E55" s="88" t="str">
        <f ca="1">VLOOKUP(B55,'Insumos e Serviços'!$A:$F,5,0)</f>
        <v>CHP</v>
      </c>
      <c r="F55" s="109">
        <v>6.9900000000000004E-2</v>
      </c>
      <c r="G55" s="91">
        <f ca="1">VLOOKUP(B55,'Insumos e Serviços'!$A:$F,6,0)</f>
        <v>21.82</v>
      </c>
      <c r="H55" s="91">
        <f>TRUNC(F55*G55,2)</f>
        <v>1.52</v>
      </c>
    </row>
    <row r="56" spans="1:8" ht="22.5">
      <c r="A56" s="89" t="str">
        <f ca="1">VLOOKUP(B56,'Insumos e Serviços'!$A:$F,3,0)</f>
        <v>Composição</v>
      </c>
      <c r="B56" s="97" t="s">
        <v>336</v>
      </c>
      <c r="C56" s="88" t="str">
        <f ca="1">VLOOKUP(B56,'Insumos e Serviços'!$A:$F,2,0)</f>
        <v>SINAPI</v>
      </c>
      <c r="D56" s="89" t="str">
        <f ca="1">VLOOKUP(B56,'Insumos e Serviços'!$A:$F,4,0)</f>
        <v>MARTELETE OU ROMPEDOR PNEUMÁTICO MANUAL, 28 KG, COM SILENCIADOR - CHI DIURNO. AF_07/2016</v>
      </c>
      <c r="E56" s="88" t="str">
        <f ca="1">VLOOKUP(B56,'Insumos e Serviços'!$A:$F,5,0)</f>
        <v>CHI</v>
      </c>
      <c r="F56" s="109">
        <v>4.82E-2</v>
      </c>
      <c r="G56" s="91">
        <f ca="1">VLOOKUP(B56,'Insumos e Serviços'!$A:$F,6,0)</f>
        <v>20.32</v>
      </c>
      <c r="H56" s="91">
        <f>TRUNC(F56*G56,2)</f>
        <v>0.97</v>
      </c>
    </row>
    <row r="57" spans="1:8">
      <c r="A57" s="89" t="str">
        <f ca="1">VLOOKUP(B57,'Insumos e Serviços'!$A:$F,3,0)</f>
        <v>Composição</v>
      </c>
      <c r="B57" s="97" t="s">
        <v>448</v>
      </c>
      <c r="C57" s="88" t="str">
        <f ca="1">VLOOKUP(B57,'Insumos e Serviços'!$A:$F,2,0)</f>
        <v>SINAPI</v>
      </c>
      <c r="D57" s="89" t="str">
        <f ca="1">VLOOKUP(B57,'Insumos e Serviços'!$A:$F,4,0)</f>
        <v>AZULEJISTA OU LADRILHISTA COM ENCARGOS COMPLEMENTARES</v>
      </c>
      <c r="E57" s="88" t="str">
        <f ca="1">VLOOKUP(B57,'Insumos e Serviços'!$A:$F,5,0)</f>
        <v>H</v>
      </c>
      <c r="F57" s="109">
        <v>0.1055</v>
      </c>
      <c r="G57" s="91">
        <f ca="1">VLOOKUP(B57,'Insumos e Serviços'!$A:$F,6,0)</f>
        <v>23.82</v>
      </c>
      <c r="H57" s="91">
        <f>TRUNC(F57*G57,2)</f>
        <v>2.5099999999999998</v>
      </c>
    </row>
    <row r="58" spans="1:8" ht="15" thickBot="1">
      <c r="A58" s="89" t="str">
        <f ca="1">VLOOKUP(B58,'Insumos e Serviços'!$A:$F,3,0)</f>
        <v>Composição</v>
      </c>
      <c r="B58" s="97" t="s">
        <v>310</v>
      </c>
      <c r="C58" s="88" t="str">
        <f ca="1">VLOOKUP(B58,'Insumos e Serviços'!$A:$F,2,0)</f>
        <v>SINAPI</v>
      </c>
      <c r="D58" s="89" t="str">
        <f ca="1">VLOOKUP(B58,'Insumos e Serviços'!$A:$F,4,0)</f>
        <v>SERVENTE COM ENCARGOS COMPLEMENTARES</v>
      </c>
      <c r="E58" s="88" t="str">
        <f ca="1">VLOOKUP(B58,'Insumos e Serviços'!$A:$F,5,0)</f>
        <v>H</v>
      </c>
      <c r="F58" s="109">
        <v>0.29720000000000002</v>
      </c>
      <c r="G58" s="91">
        <f ca="1">VLOOKUP(B58,'Insumos e Serviços'!$A:$F,6,0)</f>
        <v>17.61</v>
      </c>
      <c r="H58" s="91">
        <f>TRUNC(F58*G58,2)</f>
        <v>5.23</v>
      </c>
    </row>
    <row r="59" spans="1:8" ht="15" thickTop="1">
      <c r="A59" s="4"/>
      <c r="B59" s="4"/>
      <c r="C59" s="4"/>
      <c r="D59" s="4"/>
      <c r="E59" s="4"/>
      <c r="F59" s="4"/>
      <c r="G59" s="4"/>
      <c r="H59" s="4"/>
    </row>
    <row r="60" spans="1:8">
      <c r="A60" s="110" t="s">
        <v>71</v>
      </c>
      <c r="B60" s="111"/>
      <c r="C60" s="110"/>
      <c r="D60" s="110" t="s">
        <v>72</v>
      </c>
      <c r="E60" s="111"/>
      <c r="F60" s="112"/>
      <c r="G60" s="113"/>
      <c r="H60" s="113"/>
    </row>
    <row r="61" spans="1:8" ht="22.5">
      <c r="A61" s="103" t="s">
        <v>73</v>
      </c>
      <c r="B61" s="104" t="str">
        <f ca="1">VLOOKUP(A61,'Orçamento Sintético'!$A:$H,2,0)</f>
        <v xml:space="preserve"> MPDFT1025 </v>
      </c>
      <c r="C61" s="104" t="str">
        <f ca="1">VLOOKUP(A61,'Orçamento Sintético'!$A:$H,3,0)</f>
        <v>Próprio</v>
      </c>
      <c r="D61" s="105" t="str">
        <f ca="1">VLOOKUP(A61,'Orçamento Sintético'!$A:$H,4,0)</f>
        <v>Copia da SINAPI (98504) - REMOÇÃO DE GRAMA EM PLACAS COM REAPROVEITAMENTO.</v>
      </c>
      <c r="E61" s="104" t="str">
        <f ca="1">VLOOKUP(A61,'Orçamento Sintético'!$A:$H,5,0)</f>
        <v>m²</v>
      </c>
      <c r="F61" s="106"/>
      <c r="G61" s="107"/>
      <c r="H61" s="108">
        <f>SUM(H62:H63)</f>
        <v>3.65</v>
      </c>
    </row>
    <row r="62" spans="1:8">
      <c r="A62" s="89" t="str">
        <f ca="1">VLOOKUP(B62,'Insumos e Serviços'!$A:$F,3,0)</f>
        <v>Composição</v>
      </c>
      <c r="B62" s="97" t="s">
        <v>310</v>
      </c>
      <c r="C62" s="88" t="str">
        <f ca="1">VLOOKUP(B62,'Insumos e Serviços'!$A:$F,2,0)</f>
        <v>SINAPI</v>
      </c>
      <c r="D62" s="89" t="str">
        <f ca="1">VLOOKUP(B62,'Insumos e Serviços'!$A:$F,4,0)</f>
        <v>SERVENTE COM ENCARGOS COMPLEMENTARES</v>
      </c>
      <c r="E62" s="88" t="str">
        <f ca="1">VLOOKUP(B62,'Insumos e Serviços'!$A:$F,5,0)</f>
        <v>H</v>
      </c>
      <c r="F62" s="109">
        <v>0.15640000000000001</v>
      </c>
      <c r="G62" s="91">
        <f ca="1">VLOOKUP(B62,'Insumos e Serviços'!$A:$F,6,0)</f>
        <v>17.61</v>
      </c>
      <c r="H62" s="91">
        <f>TRUNC(F62*G62,2)</f>
        <v>2.75</v>
      </c>
    </row>
    <row r="63" spans="1:8" ht="15" thickBot="1">
      <c r="A63" s="89" t="str">
        <f ca="1">VLOOKUP(B63,'Insumos e Serviços'!$A:$F,3,0)</f>
        <v>Composição</v>
      </c>
      <c r="B63" s="97" t="s">
        <v>359</v>
      </c>
      <c r="C63" s="88" t="str">
        <f ca="1">VLOOKUP(B63,'Insumos e Serviços'!$A:$F,2,0)</f>
        <v>SINAPI</v>
      </c>
      <c r="D63" s="89" t="str">
        <f ca="1">VLOOKUP(B63,'Insumos e Serviços'!$A:$F,4,0)</f>
        <v>JARDINEIRO COM ENCARGOS COMPLEMENTARES</v>
      </c>
      <c r="E63" s="88" t="str">
        <f ca="1">VLOOKUP(B63,'Insumos e Serviços'!$A:$F,5,0)</f>
        <v>H</v>
      </c>
      <c r="F63" s="109">
        <v>3.9100000000000003E-2</v>
      </c>
      <c r="G63" s="91">
        <f ca="1">VLOOKUP(B63,'Insumos e Serviços'!$A:$F,6,0)</f>
        <v>23.12</v>
      </c>
      <c r="H63" s="91">
        <f>TRUNC(F63*G63,2)</f>
        <v>0.9</v>
      </c>
    </row>
    <row r="64" spans="1:8" ht="15" thickTop="1">
      <c r="A64" s="4"/>
      <c r="B64" s="4"/>
      <c r="C64" s="4"/>
      <c r="D64" s="4"/>
      <c r="E64" s="4"/>
      <c r="F64" s="4"/>
      <c r="G64" s="4"/>
      <c r="H64" s="4"/>
    </row>
    <row r="65" spans="1:8" ht="22.5">
      <c r="A65" s="103" t="s">
        <v>76</v>
      </c>
      <c r="B65" s="104" t="str">
        <f ca="1">VLOOKUP(A65,'Orçamento Sintético'!$A:$H,2,0)</f>
        <v xml:space="preserve"> MPDFT0105 </v>
      </c>
      <c r="C65" s="104" t="str">
        <f ca="1">VLOOKUP(A65,'Orçamento Sintético'!$A:$H,3,0)</f>
        <v>Próprio</v>
      </c>
      <c r="D65" s="105" t="str">
        <f ca="1">VLOOKUP(A65,'Orçamento Sintético'!$A:$H,4,0)</f>
        <v>Copia da ORSE (227) - Remoção de estrutura metálica chumbada em concreto (alambrado, guarda-corpo)</v>
      </c>
      <c r="E65" s="104" t="str">
        <f ca="1">VLOOKUP(A65,'Orçamento Sintético'!$A:$H,5,0)</f>
        <v>m²</v>
      </c>
      <c r="F65" s="106"/>
      <c r="G65" s="107"/>
      <c r="H65" s="108">
        <f>SUM(H66)</f>
        <v>52.83</v>
      </c>
    </row>
    <row r="66" spans="1:8" ht="15" thickBot="1">
      <c r="A66" s="89" t="str">
        <f ca="1">VLOOKUP(B66,'Insumos e Serviços'!$A:$F,3,0)</f>
        <v>Composição</v>
      </c>
      <c r="B66" s="97" t="s">
        <v>310</v>
      </c>
      <c r="C66" s="88" t="str">
        <f ca="1">VLOOKUP(B66,'Insumos e Serviços'!$A:$F,2,0)</f>
        <v>SINAPI</v>
      </c>
      <c r="D66" s="89" t="str">
        <f ca="1">VLOOKUP(B66,'Insumos e Serviços'!$A:$F,4,0)</f>
        <v>SERVENTE COM ENCARGOS COMPLEMENTARES</v>
      </c>
      <c r="E66" s="88" t="str">
        <f ca="1">VLOOKUP(B66,'Insumos e Serviços'!$A:$F,5,0)</f>
        <v>H</v>
      </c>
      <c r="F66" s="109">
        <v>3</v>
      </c>
      <c r="G66" s="91">
        <f ca="1">VLOOKUP(B66,'Insumos e Serviços'!$A:$F,6,0)</f>
        <v>17.61</v>
      </c>
      <c r="H66" s="91">
        <f>TRUNC(F66*G66,2)</f>
        <v>52.83</v>
      </c>
    </row>
    <row r="67" spans="1:8" ht="15" thickTop="1">
      <c r="A67" s="4"/>
      <c r="B67" s="4"/>
      <c r="C67" s="4"/>
      <c r="D67" s="4"/>
      <c r="E67" s="4"/>
      <c r="F67" s="4"/>
      <c r="G67" s="4"/>
      <c r="H67" s="4"/>
    </row>
    <row r="68" spans="1:8">
      <c r="A68" s="103" t="s">
        <v>79</v>
      </c>
      <c r="B68" s="104" t="str">
        <f ca="1">VLOOKUP(A68,'Orçamento Sintético'!$A:$H,2,0)</f>
        <v xml:space="preserve"> MPDFT0810 </v>
      </c>
      <c r="C68" s="104" t="str">
        <f ca="1">VLOOKUP(A68,'Orçamento Sintético'!$A:$H,3,0)</f>
        <v>Próprio</v>
      </c>
      <c r="D68" s="105" t="str">
        <f ca="1">VLOOKUP(A68,'Orçamento Sintético'!$A:$H,4,0)</f>
        <v>Copia da CPOS (04.21.130) - Remoção de poste de concreto</v>
      </c>
      <c r="E68" s="104" t="str">
        <f ca="1">VLOOKUP(A68,'Orçamento Sintético'!$A:$H,5,0)</f>
        <v>un</v>
      </c>
      <c r="F68" s="106"/>
      <c r="G68" s="107"/>
      <c r="H68" s="108">
        <f>SUM(H69:H71)</f>
        <v>212.29</v>
      </c>
    </row>
    <row r="69" spans="1:8">
      <c r="A69" s="89" t="str">
        <f ca="1">VLOOKUP(B69,'Insumos e Serviços'!$A:$F,3,0)</f>
        <v>Composição</v>
      </c>
      <c r="B69" s="97" t="s">
        <v>326</v>
      </c>
      <c r="C69" s="88" t="str">
        <f ca="1">VLOOKUP(B69,'Insumos e Serviços'!$A:$F,2,0)</f>
        <v>SINAPI</v>
      </c>
      <c r="D69" s="89" t="str">
        <f ca="1">VLOOKUP(B69,'Insumos e Serviços'!$A:$F,4,0)</f>
        <v>ELETRICISTA COM ENCARGOS COMPLEMENTARES</v>
      </c>
      <c r="E69" s="88" t="str">
        <f ca="1">VLOOKUP(B69,'Insumos e Serviços'!$A:$F,5,0)</f>
        <v>H</v>
      </c>
      <c r="F69" s="109">
        <v>2</v>
      </c>
      <c r="G69" s="91">
        <f ca="1">VLOOKUP(B69,'Insumos e Serviços'!$A:$F,6,0)</f>
        <v>24.1</v>
      </c>
      <c r="H69" s="91">
        <f>TRUNC(F69*G69,2)</f>
        <v>48.2</v>
      </c>
    </row>
    <row r="70" spans="1:8">
      <c r="A70" s="89" t="str">
        <f ca="1">VLOOKUP(B70,'Insumos e Serviços'!$A:$F,3,0)</f>
        <v>Composição</v>
      </c>
      <c r="B70" s="97" t="s">
        <v>328</v>
      </c>
      <c r="C70" s="88" t="str">
        <f ca="1">VLOOKUP(B70,'Insumos e Serviços'!$A:$F,2,0)</f>
        <v>SINAPI</v>
      </c>
      <c r="D70" s="89" t="str">
        <f ca="1">VLOOKUP(B70,'Insumos e Serviços'!$A:$F,4,0)</f>
        <v>AUXILIAR DE ELETRICISTA COM ENCARGOS COMPLEMENTARES</v>
      </c>
      <c r="E70" s="88" t="str">
        <f ca="1">VLOOKUP(B70,'Insumos e Serviços'!$A:$F,5,0)</f>
        <v>H</v>
      </c>
      <c r="F70" s="109">
        <v>4</v>
      </c>
      <c r="G70" s="91">
        <f ca="1">VLOOKUP(B70,'Insumos e Serviços'!$A:$F,6,0)</f>
        <v>18.739999999999998</v>
      </c>
      <c r="H70" s="91">
        <f>TRUNC(F70*G70,2)</f>
        <v>74.959999999999994</v>
      </c>
    </row>
    <row r="71" spans="1:8" ht="34.5" thickBot="1">
      <c r="A71" s="89" t="str">
        <f ca="1">VLOOKUP(B71,'Insumos e Serviços'!$A:$F,3,0)</f>
        <v>Composição</v>
      </c>
      <c r="B71" s="97" t="s">
        <v>446</v>
      </c>
      <c r="C71" s="88" t="str">
        <f ca="1">VLOOKUP(B71,'Insumos e Serviços'!$A:$F,2,0)</f>
        <v>SINAPI</v>
      </c>
      <c r="D71" s="89" t="str">
        <f ca="1">VLOOKUP(B71,'Insumos e Serviços'!$A:$F,4,0)</f>
        <v>GUINDAUTO HIDRÁULICO, CAPACIDADE MÁXIMA DE CARGA 6200 KG, MOMENTO MÁXIMO DE CARGA 11,7 TM, ALCANCE MÁXIMO HORIZONTAL 9,70 M, INCLUSIVE CAMINHÃO TOCO PBT 16.000 KG, POTÊNCIA DE 189 CV - CHP DIURNO. AF_06/2014</v>
      </c>
      <c r="E71" s="88" t="str">
        <f ca="1">VLOOKUP(B71,'Insumos e Serviços'!$A:$F,5,0)</f>
        <v>CHP</v>
      </c>
      <c r="F71" s="109">
        <v>0.5</v>
      </c>
      <c r="G71" s="91">
        <f ca="1">VLOOKUP(B71,'Insumos e Serviços'!$A:$F,6,0)</f>
        <v>178.27</v>
      </c>
      <c r="H71" s="91">
        <f>TRUNC(F71*G71,2)</f>
        <v>89.13</v>
      </c>
    </row>
    <row r="72" spans="1:8" ht="15" thickTop="1">
      <c r="A72" s="4"/>
      <c r="B72" s="4"/>
      <c r="C72" s="4"/>
      <c r="D72" s="4"/>
      <c r="E72" s="4"/>
      <c r="F72" s="4"/>
      <c r="G72" s="4"/>
      <c r="H72" s="4"/>
    </row>
    <row r="73" spans="1:8">
      <c r="A73" s="103" t="s">
        <v>82</v>
      </c>
      <c r="B73" s="104" t="str">
        <f ca="1">VLOOKUP(A73,'Orçamento Sintético'!$A:$H,2,0)</f>
        <v xml:space="preserve"> MPDFT0943 </v>
      </c>
      <c r="C73" s="104" t="str">
        <f ca="1">VLOOKUP(A73,'Orçamento Sintético'!$A:$H,3,0)</f>
        <v>Próprio</v>
      </c>
      <c r="D73" s="105" t="str">
        <f ca="1">VLOOKUP(A73,'Orçamento Sintético'!$A:$H,4,0)</f>
        <v>Baseado em SIURB (010211) - Carga manual e remoção de terra ou entulho</v>
      </c>
      <c r="E73" s="104" t="str">
        <f ca="1">VLOOKUP(A73,'Orçamento Sintético'!$A:$H,5,0)</f>
        <v>m³</v>
      </c>
      <c r="F73" s="106"/>
      <c r="G73" s="107"/>
      <c r="H73" s="108">
        <f>SUM(H74)</f>
        <v>21.13</v>
      </c>
    </row>
    <row r="74" spans="1:8" ht="15" thickBot="1">
      <c r="A74" s="89" t="str">
        <f ca="1">VLOOKUP(B74,'Insumos e Serviços'!$A:$F,3,0)</f>
        <v>Composição</v>
      </c>
      <c r="B74" s="97" t="s">
        <v>310</v>
      </c>
      <c r="C74" s="88" t="str">
        <f ca="1">VLOOKUP(B74,'Insumos e Serviços'!$A:$F,2,0)</f>
        <v>SINAPI</v>
      </c>
      <c r="D74" s="89" t="str">
        <f ca="1">VLOOKUP(B74,'Insumos e Serviços'!$A:$F,4,0)</f>
        <v>SERVENTE COM ENCARGOS COMPLEMENTARES</v>
      </c>
      <c r="E74" s="88" t="str">
        <f ca="1">VLOOKUP(B74,'Insumos e Serviços'!$A:$F,5,0)</f>
        <v>H</v>
      </c>
      <c r="F74" s="109">
        <v>1.2</v>
      </c>
      <c r="G74" s="91">
        <f ca="1">VLOOKUP(B74,'Insumos e Serviços'!$A:$F,6,0)</f>
        <v>17.61</v>
      </c>
      <c r="H74" s="91">
        <f>TRUNC(F74*G74,2)</f>
        <v>21.13</v>
      </c>
    </row>
    <row r="75" spans="1:8" ht="15" thickTop="1">
      <c r="A75" s="4"/>
      <c r="B75" s="4"/>
      <c r="C75" s="4"/>
      <c r="D75" s="4"/>
      <c r="E75" s="4"/>
      <c r="F75" s="4"/>
      <c r="G75" s="4"/>
      <c r="H75" s="4"/>
    </row>
    <row r="76" spans="1:8">
      <c r="A76" s="103" t="s">
        <v>85</v>
      </c>
      <c r="B76" s="104" t="str">
        <f ca="1">VLOOKUP(A76,'Orçamento Sintético'!$A:$H,2,0)</f>
        <v xml:space="preserve"> MPDFT0107 </v>
      </c>
      <c r="C76" s="104" t="str">
        <f ca="1">VLOOKUP(A76,'Orçamento Sintético'!$A:$H,3,0)</f>
        <v>Próprio</v>
      </c>
      <c r="D76" s="105" t="str">
        <f ca="1">VLOOKUP(A76,'Orçamento Sintético'!$A:$H,4,0)</f>
        <v>Copia da SBC (022605) - RETIRADA E RECOLOCACAO DE ESQUADRIA DE ALUMINIO</v>
      </c>
      <c r="E76" s="104" t="str">
        <f ca="1">VLOOKUP(A76,'Orçamento Sintético'!$A:$H,5,0)</f>
        <v>m²</v>
      </c>
      <c r="F76" s="106"/>
      <c r="G76" s="107"/>
      <c r="H76" s="108">
        <f>SUM(H77:H78)</f>
        <v>137.97999999999999</v>
      </c>
    </row>
    <row r="77" spans="1:8">
      <c r="A77" s="89" t="str">
        <f ca="1">VLOOKUP(B77,'Insumos e Serviços'!$A:$F,3,0)</f>
        <v>Composição</v>
      </c>
      <c r="B77" s="97" t="s">
        <v>318</v>
      </c>
      <c r="C77" s="88" t="str">
        <f ca="1">VLOOKUP(B77,'Insumos e Serviços'!$A:$F,2,0)</f>
        <v>SINAPI</v>
      </c>
      <c r="D77" s="89" t="str">
        <f ca="1">VLOOKUP(B77,'Insumos e Serviços'!$A:$F,4,0)</f>
        <v>PEDREIRO COM ENCARGOS COMPLEMENTARES</v>
      </c>
      <c r="E77" s="88" t="str">
        <f ca="1">VLOOKUP(B77,'Insumos e Serviços'!$A:$F,5,0)</f>
        <v>H</v>
      </c>
      <c r="F77" s="109">
        <v>2.887</v>
      </c>
      <c r="G77" s="91">
        <f ca="1">VLOOKUP(B77,'Insumos e Serviços'!$A:$F,6,0)</f>
        <v>23.9</v>
      </c>
      <c r="H77" s="91">
        <f>TRUNC(F77*G77,2)</f>
        <v>68.989999999999995</v>
      </c>
    </row>
    <row r="78" spans="1:8" ht="15" thickBot="1">
      <c r="A78" s="89" t="str">
        <f ca="1">VLOOKUP(B78,'Insumos e Serviços'!$A:$F,3,0)</f>
        <v>Composição</v>
      </c>
      <c r="B78" s="97" t="s">
        <v>310</v>
      </c>
      <c r="C78" s="88" t="str">
        <f ca="1">VLOOKUP(B78,'Insumos e Serviços'!$A:$F,2,0)</f>
        <v>SINAPI</v>
      </c>
      <c r="D78" s="89" t="str">
        <f ca="1">VLOOKUP(B78,'Insumos e Serviços'!$A:$F,4,0)</f>
        <v>SERVENTE COM ENCARGOS COMPLEMENTARES</v>
      </c>
      <c r="E78" s="88" t="str">
        <f ca="1">VLOOKUP(B78,'Insumos e Serviços'!$A:$F,5,0)</f>
        <v>H</v>
      </c>
      <c r="F78" s="109">
        <v>3.9180000000000001</v>
      </c>
      <c r="G78" s="91">
        <f ca="1">VLOOKUP(B78,'Insumos e Serviços'!$A:$F,6,0)</f>
        <v>17.61</v>
      </c>
      <c r="H78" s="91">
        <f>TRUNC(F78*G78,2)</f>
        <v>68.989999999999995</v>
      </c>
    </row>
    <row r="79" spans="1:8" ht="15" thickTop="1">
      <c r="A79" s="4"/>
      <c r="B79" s="4"/>
      <c r="C79" s="4"/>
      <c r="D79" s="4"/>
      <c r="E79" s="4"/>
      <c r="F79" s="4"/>
      <c r="G79" s="4"/>
      <c r="H79" s="4"/>
    </row>
    <row r="80" spans="1:8" ht="22.5">
      <c r="A80" s="103" t="s">
        <v>91</v>
      </c>
      <c r="B80" s="104" t="str">
        <f ca="1">VLOOKUP(A80,'Orçamento Sintético'!$A:$H,2,0)</f>
        <v xml:space="preserve"> MPDFT0115 </v>
      </c>
      <c r="C80" s="104" t="str">
        <f ca="1">VLOOKUP(A80,'Orçamento Sintético'!$A:$H,3,0)</f>
        <v>Próprio</v>
      </c>
      <c r="D80" s="105" t="str">
        <f ca="1">VLOOKUP(A80,'Orçamento Sintético'!$A:$H,4,0)</f>
        <v>Copia da CPOS (04.40.030) - Retirada manual de guia pré-moldada, inclusive limpeza e empilhamento</v>
      </c>
      <c r="E80" s="104" t="str">
        <f ca="1">VLOOKUP(A80,'Orçamento Sintético'!$A:$H,5,0)</f>
        <v>m</v>
      </c>
      <c r="F80" s="106"/>
      <c r="G80" s="107"/>
      <c r="H80" s="108">
        <f>SUM(H81)</f>
        <v>7.04</v>
      </c>
    </row>
    <row r="81" spans="1:8" ht="15" thickBot="1">
      <c r="A81" s="89" t="str">
        <f ca="1">VLOOKUP(B81,'Insumos e Serviços'!$A:$F,3,0)</f>
        <v>Composição</v>
      </c>
      <c r="B81" s="97" t="s">
        <v>310</v>
      </c>
      <c r="C81" s="88" t="str">
        <f ca="1">VLOOKUP(B81,'Insumos e Serviços'!$A:$F,2,0)</f>
        <v>SINAPI</v>
      </c>
      <c r="D81" s="89" t="str">
        <f ca="1">VLOOKUP(B81,'Insumos e Serviços'!$A:$F,4,0)</f>
        <v>SERVENTE COM ENCARGOS COMPLEMENTARES</v>
      </c>
      <c r="E81" s="88" t="str">
        <f ca="1">VLOOKUP(B81,'Insumos e Serviços'!$A:$F,5,0)</f>
        <v>H</v>
      </c>
      <c r="F81" s="109">
        <v>0.4</v>
      </c>
      <c r="G81" s="91">
        <f ca="1">VLOOKUP(B81,'Insumos e Serviços'!$A:$F,6,0)</f>
        <v>17.61</v>
      </c>
      <c r="H81" s="91">
        <f>TRUNC(F81*G81,2)</f>
        <v>7.04</v>
      </c>
    </row>
    <row r="82" spans="1:8" ht="15" thickTop="1">
      <c r="A82" s="4"/>
      <c r="B82" s="4"/>
      <c r="C82" s="4"/>
      <c r="D82" s="4"/>
      <c r="E82" s="4"/>
      <c r="F82" s="4"/>
      <c r="G82" s="4"/>
      <c r="H82" s="4"/>
    </row>
    <row r="83" spans="1:8" ht="22.5">
      <c r="A83" s="103" t="s">
        <v>97</v>
      </c>
      <c r="B83" s="104" t="str">
        <f ca="1">VLOOKUP(A83,'Orçamento Sintético'!$A:$H,2,0)</f>
        <v xml:space="preserve"> MPDFT0218 </v>
      </c>
      <c r="C83" s="104" t="str">
        <f ca="1">VLOOKUP(A83,'Orçamento Sintético'!$A:$H,3,0)</f>
        <v>Próprio</v>
      </c>
      <c r="D83" s="105" t="str">
        <f ca="1">VLOOKUP(A83,'Orçamento Sintético'!$A:$H,4,0)</f>
        <v>Copia da SETOP (DEM-IMP-005) - REMOÇÃO DE IMPERMEABILIZAÇÃO E PROTEÇÃO MECÂNICA</v>
      </c>
      <c r="E83" s="104" t="str">
        <f ca="1">VLOOKUP(A83,'Orçamento Sintético'!$A:$H,5,0)</f>
        <v>m²</v>
      </c>
      <c r="F83" s="106"/>
      <c r="G83" s="107"/>
      <c r="H83" s="108">
        <f>SUM(H84:H85)</f>
        <v>40.75</v>
      </c>
    </row>
    <row r="84" spans="1:8">
      <c r="A84" s="89" t="str">
        <f ca="1">VLOOKUP(B84,'Insumos e Serviços'!$A:$F,3,0)</f>
        <v>Composição</v>
      </c>
      <c r="B84" s="97" t="s">
        <v>310</v>
      </c>
      <c r="C84" s="88" t="str">
        <f ca="1">VLOOKUP(B84,'Insumos e Serviços'!$A:$F,2,0)</f>
        <v>SINAPI</v>
      </c>
      <c r="D84" s="89" t="str">
        <f ca="1">VLOOKUP(B84,'Insumos e Serviços'!$A:$F,4,0)</f>
        <v>SERVENTE COM ENCARGOS COMPLEMENTARES</v>
      </c>
      <c r="E84" s="88" t="str">
        <f ca="1">VLOOKUP(B84,'Insumos e Serviços'!$A:$F,5,0)</f>
        <v>H</v>
      </c>
      <c r="F84" s="109">
        <v>1.5</v>
      </c>
      <c r="G84" s="91">
        <f ca="1">VLOOKUP(B84,'Insumos e Serviços'!$A:$F,6,0)</f>
        <v>17.61</v>
      </c>
      <c r="H84" s="91">
        <f>TRUNC(F84*G84,2)</f>
        <v>26.41</v>
      </c>
    </row>
    <row r="85" spans="1:8" ht="15" thickBot="1">
      <c r="A85" s="89" t="str">
        <f ca="1">VLOOKUP(B85,'Insumos e Serviços'!$A:$F,3,0)</f>
        <v>Composição</v>
      </c>
      <c r="B85" s="97" t="s">
        <v>318</v>
      </c>
      <c r="C85" s="88" t="str">
        <f ca="1">VLOOKUP(B85,'Insumos e Serviços'!$A:$F,2,0)</f>
        <v>SINAPI</v>
      </c>
      <c r="D85" s="89" t="str">
        <f ca="1">VLOOKUP(B85,'Insumos e Serviços'!$A:$F,4,0)</f>
        <v>PEDREIRO COM ENCARGOS COMPLEMENTARES</v>
      </c>
      <c r="E85" s="88" t="str">
        <f ca="1">VLOOKUP(B85,'Insumos e Serviços'!$A:$F,5,0)</f>
        <v>H</v>
      </c>
      <c r="F85" s="109">
        <v>0.6</v>
      </c>
      <c r="G85" s="91">
        <f ca="1">VLOOKUP(B85,'Insumos e Serviços'!$A:$F,6,0)</f>
        <v>23.9</v>
      </c>
      <c r="H85" s="91">
        <f>TRUNC(F85*G85,2)</f>
        <v>14.34</v>
      </c>
    </row>
    <row r="86" spans="1:8" ht="15" thickTop="1">
      <c r="A86" s="4"/>
      <c r="B86" s="4"/>
      <c r="C86" s="4"/>
      <c r="D86" s="4"/>
      <c r="E86" s="4"/>
      <c r="F86" s="4"/>
      <c r="G86" s="4"/>
      <c r="H86" s="4"/>
    </row>
    <row r="87" spans="1:8">
      <c r="A87" s="103" t="s">
        <v>100</v>
      </c>
      <c r="B87" s="104" t="str">
        <f ca="1">VLOOKUP(A87,'Orçamento Sintético'!$A:$H,2,0)</f>
        <v xml:space="preserve"> MPDFT0604 </v>
      </c>
      <c r="C87" s="104" t="str">
        <f ca="1">VLOOKUP(A87,'Orçamento Sintético'!$A:$H,3,0)</f>
        <v>Próprio</v>
      </c>
      <c r="D87" s="105" t="str">
        <f ca="1">VLOOKUP(A87,'Orçamento Sintético'!$A:$H,4,0)</f>
        <v>Copia da SBC (022194) - RETIRADA GRADES DE FERRO</v>
      </c>
      <c r="E87" s="104" t="str">
        <f ca="1">VLOOKUP(A87,'Orçamento Sintético'!$A:$H,5,0)</f>
        <v>m²</v>
      </c>
      <c r="F87" s="106"/>
      <c r="G87" s="107"/>
      <c r="H87" s="108">
        <f>SUM(H88:H89)</f>
        <v>67.64</v>
      </c>
    </row>
    <row r="88" spans="1:8">
      <c r="A88" s="89" t="str">
        <f ca="1">VLOOKUP(B88,'Insumos e Serviços'!$A:$F,3,0)</f>
        <v>Composição</v>
      </c>
      <c r="B88" s="97" t="s">
        <v>318</v>
      </c>
      <c r="C88" s="88" t="str">
        <f ca="1">VLOOKUP(B88,'Insumos e Serviços'!$A:$F,2,0)</f>
        <v>SINAPI</v>
      </c>
      <c r="D88" s="89" t="str">
        <f ca="1">VLOOKUP(B88,'Insumos e Serviços'!$A:$F,4,0)</f>
        <v>PEDREIRO COM ENCARGOS COMPLEMENTARES</v>
      </c>
      <c r="E88" s="88" t="str">
        <f ca="1">VLOOKUP(B88,'Insumos e Serviços'!$A:$F,5,0)</f>
        <v>H</v>
      </c>
      <c r="F88" s="109">
        <v>0.63800000000000001</v>
      </c>
      <c r="G88" s="91">
        <f ca="1">VLOOKUP(B88,'Insumos e Serviços'!$A:$F,6,0)</f>
        <v>23.9</v>
      </c>
      <c r="H88" s="91">
        <f>TRUNC(F88*G88,2)</f>
        <v>15.24</v>
      </c>
    </row>
    <row r="89" spans="1:8" ht="15" thickBot="1">
      <c r="A89" s="89" t="str">
        <f ca="1">VLOOKUP(B89,'Insumos e Serviços'!$A:$F,3,0)</f>
        <v>Composição</v>
      </c>
      <c r="B89" s="97" t="s">
        <v>310</v>
      </c>
      <c r="C89" s="88" t="str">
        <f ca="1">VLOOKUP(B89,'Insumos e Serviços'!$A:$F,2,0)</f>
        <v>SINAPI</v>
      </c>
      <c r="D89" s="89" t="str">
        <f ca="1">VLOOKUP(B89,'Insumos e Serviços'!$A:$F,4,0)</f>
        <v>SERVENTE COM ENCARGOS COMPLEMENTARES</v>
      </c>
      <c r="E89" s="88" t="str">
        <f ca="1">VLOOKUP(B89,'Insumos e Serviços'!$A:$F,5,0)</f>
        <v>H</v>
      </c>
      <c r="F89" s="109">
        <v>2.976</v>
      </c>
      <c r="G89" s="91">
        <f ca="1">VLOOKUP(B89,'Insumos e Serviços'!$A:$F,6,0)</f>
        <v>17.61</v>
      </c>
      <c r="H89" s="91">
        <f>TRUNC(F89*G89,2)</f>
        <v>52.4</v>
      </c>
    </row>
    <row r="90" spans="1:8" ht="15" thickTop="1">
      <c r="A90" s="4"/>
      <c r="B90" s="4"/>
      <c r="C90" s="4"/>
      <c r="D90" s="4"/>
      <c r="E90" s="4"/>
      <c r="F90" s="4"/>
      <c r="G90" s="4"/>
      <c r="H90" s="4"/>
    </row>
    <row r="91" spans="1:8">
      <c r="A91" s="103" t="s">
        <v>103</v>
      </c>
      <c r="B91" s="104" t="str">
        <f ca="1">VLOOKUP(A91,'Orçamento Sintético'!$A:$H,2,0)</f>
        <v xml:space="preserve"> MPDFT0004 </v>
      </c>
      <c r="C91" s="104" t="str">
        <f ca="1">VLOOKUP(A91,'Orçamento Sintético'!$A:$H,3,0)</f>
        <v>Próprio</v>
      </c>
      <c r="D91" s="105" t="str">
        <f ca="1">VLOOKUP(A91,'Orçamento Sintético'!$A:$H,4,0)</f>
        <v>Transporte de material – bota-fora, D.M.T = 35,0 km</v>
      </c>
      <c r="E91" s="104" t="str">
        <f ca="1">VLOOKUP(A91,'Orçamento Sintético'!$A:$H,5,0)</f>
        <v>m³</v>
      </c>
      <c r="F91" s="106"/>
      <c r="G91" s="107"/>
      <c r="H91" s="108">
        <f>SUM(H92:H93)</f>
        <v>50.49</v>
      </c>
    </row>
    <row r="92" spans="1:8" ht="22.5">
      <c r="A92" s="89" t="str">
        <f ca="1">VLOOKUP(B92,'Insumos e Serviços'!$A:$F,3,0)</f>
        <v>Composição</v>
      </c>
      <c r="B92" s="97" t="s">
        <v>444</v>
      </c>
      <c r="C92" s="88" t="str">
        <f ca="1">VLOOKUP(B92,'Insumos e Serviços'!$A:$F,2,0)</f>
        <v>SINAPI</v>
      </c>
      <c r="D92" s="89" t="str">
        <f ca="1">VLOOKUP(B92,'Insumos e Serviços'!$A:$F,4,0)</f>
        <v>TRANSPORTE COM CAMINHÃO BASCULANTE DE 6 M3, EM VIA URBANA PAVIMENTADA, DMT ACIMA DE 30 KM (UNIDADE: M3XKM). AF_01/2018</v>
      </c>
      <c r="E92" s="88" t="str">
        <f ca="1">VLOOKUP(B92,'Insumos e Serviços'!$A:$F,5,0)</f>
        <v>M3XKM</v>
      </c>
      <c r="F92" s="109">
        <v>35</v>
      </c>
      <c r="G92" s="91">
        <f ca="1">VLOOKUP(B92,'Insumos e Serviços'!$A:$F,6,0)</f>
        <v>0.81</v>
      </c>
      <c r="H92" s="91">
        <f>TRUNC(F92*G92,2)</f>
        <v>28.35</v>
      </c>
    </row>
    <row r="93" spans="1:8" ht="15" thickBot="1">
      <c r="A93" s="89" t="str">
        <f ca="1">VLOOKUP(B93,'Insumos e Serviços'!$A:$F,3,0)</f>
        <v>Composição</v>
      </c>
      <c r="B93" s="97" t="s">
        <v>442</v>
      </c>
      <c r="C93" s="88" t="str">
        <f ca="1">VLOOKUP(B93,'Insumos e Serviços'!$A:$F,2,0)</f>
        <v>SINAPI</v>
      </c>
      <c r="D93" s="89" t="str">
        <f ca="1">VLOOKUP(B93,'Insumos e Serviços'!$A:$F,4,0)</f>
        <v>CARGA MANUAL DE ENTULHO EM CAMINHAO BASCULANTE 6 M3</v>
      </c>
      <c r="E93" s="88" t="str">
        <f ca="1">VLOOKUP(B93,'Insumos e Serviços'!$A:$F,5,0)</f>
        <v>m³</v>
      </c>
      <c r="F93" s="109">
        <v>1</v>
      </c>
      <c r="G93" s="91">
        <f ca="1">VLOOKUP(B93,'Insumos e Serviços'!$A:$F,6,0)</f>
        <v>22.14</v>
      </c>
      <c r="H93" s="91">
        <f>TRUNC(F93*G93,2)</f>
        <v>22.14</v>
      </c>
    </row>
    <row r="94" spans="1:8" ht="15" thickTop="1">
      <c r="A94" s="4"/>
      <c r="B94" s="4"/>
      <c r="C94" s="4"/>
      <c r="D94" s="4"/>
      <c r="E94" s="4"/>
      <c r="F94" s="4"/>
      <c r="G94" s="4"/>
      <c r="H94" s="4"/>
    </row>
    <row r="95" spans="1:8" ht="22.5">
      <c r="A95" s="103" t="s">
        <v>106</v>
      </c>
      <c r="B95" s="104" t="str">
        <f ca="1">VLOOKUP(A95,'Orçamento Sintético'!$A:$H,2,0)</f>
        <v xml:space="preserve"> MPDFT1096 </v>
      </c>
      <c r="C95" s="104" t="str">
        <f ca="1">VLOOKUP(A95,'Orçamento Sintético'!$A:$H,3,0)</f>
        <v>Próprio</v>
      </c>
      <c r="D95" s="105" t="str">
        <f ca="1">VLOOKUP(A95,'Orçamento Sintético'!$A:$H,4,0)</f>
        <v>Baseado da SEDOP (091518) - Remoção cuidadosa de Pele de vidro. Incluindo o mapeamento estocagem adequada.</v>
      </c>
      <c r="E95" s="104" t="str">
        <f ca="1">VLOOKUP(A95,'Orçamento Sintético'!$A:$H,5,0)</f>
        <v>m²</v>
      </c>
      <c r="F95" s="106"/>
      <c r="G95" s="107"/>
      <c r="H95" s="108">
        <f>SUM(H96:H98)</f>
        <v>278.35000000000002</v>
      </c>
    </row>
    <row r="96" spans="1:8">
      <c r="A96" s="89" t="str">
        <f ca="1">VLOOKUP(B96,'Insumos e Serviços'!$A:$F,3,0)</f>
        <v>Composição</v>
      </c>
      <c r="B96" s="97" t="s">
        <v>318</v>
      </c>
      <c r="C96" s="88" t="str">
        <f ca="1">VLOOKUP(B96,'Insumos e Serviços'!$A:$F,2,0)</f>
        <v>SINAPI</v>
      </c>
      <c r="D96" s="89" t="str">
        <f ca="1">VLOOKUP(B96,'Insumos e Serviços'!$A:$F,4,0)</f>
        <v>PEDREIRO COM ENCARGOS COMPLEMENTARES</v>
      </c>
      <c r="E96" s="88" t="str">
        <f ca="1">VLOOKUP(B96,'Insumos e Serviços'!$A:$F,5,0)</f>
        <v>H</v>
      </c>
      <c r="F96" s="109">
        <v>2.25</v>
      </c>
      <c r="G96" s="91">
        <f ca="1">VLOOKUP(B96,'Insumos e Serviços'!$A:$F,6,0)</f>
        <v>23.9</v>
      </c>
      <c r="H96" s="91">
        <f>TRUNC(F96*G96,2)</f>
        <v>53.77</v>
      </c>
    </row>
    <row r="97" spans="1:8">
      <c r="A97" s="89" t="str">
        <f ca="1">VLOOKUP(B97,'Insumos e Serviços'!$A:$F,3,0)</f>
        <v>Composição</v>
      </c>
      <c r="B97" s="97" t="s">
        <v>407</v>
      </c>
      <c r="C97" s="88" t="str">
        <f ca="1">VLOOKUP(B97,'Insumos e Serviços'!$A:$F,2,0)</f>
        <v>SINAPI</v>
      </c>
      <c r="D97" s="89" t="str">
        <f ca="1">VLOOKUP(B97,'Insumos e Serviços'!$A:$F,4,0)</f>
        <v>AJUDANTE ESPECIALIZADO COM ENCARGOS COMPLEMENTARES</v>
      </c>
      <c r="E97" s="88" t="str">
        <f ca="1">VLOOKUP(B97,'Insumos e Serviços'!$A:$F,5,0)</f>
        <v>H</v>
      </c>
      <c r="F97" s="109">
        <v>2.25</v>
      </c>
      <c r="G97" s="91">
        <f ca="1">VLOOKUP(B97,'Insumos e Serviços'!$A:$F,6,0)</f>
        <v>20.96</v>
      </c>
      <c r="H97" s="91">
        <f>TRUNC(F97*G97,2)</f>
        <v>47.16</v>
      </c>
    </row>
    <row r="98" spans="1:8" ht="15" thickBot="1">
      <c r="A98" s="89" t="str">
        <f ca="1">VLOOKUP(B98,'Insumos e Serviços'!$A:$F,3,0)</f>
        <v>Insumo</v>
      </c>
      <c r="B98" s="97" t="s">
        <v>440</v>
      </c>
      <c r="C98" s="88" t="str">
        <f ca="1">VLOOKUP(B98,'Insumos e Serviços'!$A:$F,2,0)</f>
        <v>Próprio</v>
      </c>
      <c r="D98" s="89" t="str">
        <f ca="1">VLOOKUP(B98,'Insumos e Serviços'!$A:$F,4,0)</f>
        <v>Plástico bolha</v>
      </c>
      <c r="E98" s="88" t="str">
        <f ca="1">VLOOKUP(B98,'Insumos e Serviços'!$A:$F,5,0)</f>
        <v>m²</v>
      </c>
      <c r="F98" s="109">
        <v>2.5</v>
      </c>
      <c r="G98" s="91">
        <f ca="1">VLOOKUP(B98,'Insumos e Serviços'!$A:$F,6,0)</f>
        <v>70.97</v>
      </c>
      <c r="H98" s="91">
        <f>TRUNC(F98*G98,2)</f>
        <v>177.42</v>
      </c>
    </row>
    <row r="99" spans="1:8" ht="15" thickTop="1">
      <c r="A99" s="4"/>
      <c r="B99" s="4"/>
      <c r="C99" s="4"/>
      <c r="D99" s="4"/>
      <c r="E99" s="4"/>
      <c r="F99" s="4"/>
      <c r="G99" s="4"/>
      <c r="H99" s="4"/>
    </row>
    <row r="100" spans="1:8">
      <c r="A100" s="103" t="s">
        <v>109</v>
      </c>
      <c r="B100" s="104" t="str">
        <f ca="1">VLOOKUP(A100,'Orçamento Sintético'!$A:$H,2,0)</f>
        <v xml:space="preserve"> MPDFT1103 </v>
      </c>
      <c r="C100" s="104" t="str">
        <f ca="1">VLOOKUP(A100,'Orçamento Sintético'!$A:$H,3,0)</f>
        <v>Próprio</v>
      </c>
      <c r="D100" s="105" t="str">
        <f ca="1">VLOOKUP(A100,'Orçamento Sintético'!$A:$H,4,0)</f>
        <v>Copia da ORSE (12345) - Remoção e reassentamento de Porta automática de vidro</v>
      </c>
      <c r="E100" s="104" t="str">
        <f ca="1">VLOOKUP(A100,'Orçamento Sintético'!$A:$H,5,0)</f>
        <v>m²</v>
      </c>
      <c r="F100" s="106"/>
      <c r="G100" s="107"/>
      <c r="H100" s="108">
        <f>SUM(H101:H102)</f>
        <v>39.799999999999997</v>
      </c>
    </row>
    <row r="101" spans="1:8">
      <c r="A101" s="89" t="str">
        <f ca="1">VLOOKUP(B101,'Insumos e Serviços'!$A:$F,3,0)</f>
        <v>Composição</v>
      </c>
      <c r="B101" s="97" t="s">
        <v>310</v>
      </c>
      <c r="C101" s="88" t="str">
        <f ca="1">VLOOKUP(B101,'Insumos e Serviços'!$A:$F,2,0)</f>
        <v>SINAPI</v>
      </c>
      <c r="D101" s="89" t="str">
        <f ca="1">VLOOKUP(B101,'Insumos e Serviços'!$A:$F,4,0)</f>
        <v>SERVENTE COM ENCARGOS COMPLEMENTARES</v>
      </c>
      <c r="E101" s="88" t="str">
        <f ca="1">VLOOKUP(B101,'Insumos e Serviços'!$A:$F,5,0)</f>
        <v>H</v>
      </c>
      <c r="F101" s="109">
        <v>1</v>
      </c>
      <c r="G101" s="91">
        <f ca="1">VLOOKUP(B101,'Insumos e Serviços'!$A:$F,6,0)</f>
        <v>17.61</v>
      </c>
      <c r="H101" s="91">
        <f>TRUNC(F101*G101,2)</f>
        <v>17.61</v>
      </c>
    </row>
    <row r="102" spans="1:8" ht="15" thickBot="1">
      <c r="A102" s="89" t="str">
        <f ca="1">VLOOKUP(B102,'Insumos e Serviços'!$A:$F,3,0)</f>
        <v>Composição</v>
      </c>
      <c r="B102" s="97" t="s">
        <v>438</v>
      </c>
      <c r="C102" s="88" t="str">
        <f ca="1">VLOOKUP(B102,'Insumos e Serviços'!$A:$F,2,0)</f>
        <v>SINAPI</v>
      </c>
      <c r="D102" s="89" t="str">
        <f ca="1">VLOOKUP(B102,'Insumos e Serviços'!$A:$F,4,0)</f>
        <v>VIDRACEIRO COM ENCARGOS COMPLEMENTARES</v>
      </c>
      <c r="E102" s="88" t="str">
        <f ca="1">VLOOKUP(B102,'Insumos e Serviços'!$A:$F,5,0)</f>
        <v>H</v>
      </c>
      <c r="F102" s="109">
        <v>1</v>
      </c>
      <c r="G102" s="91">
        <f ca="1">VLOOKUP(B102,'Insumos e Serviços'!$A:$F,6,0)</f>
        <v>22.19</v>
      </c>
      <c r="H102" s="91">
        <f>TRUNC(F102*G102,2)</f>
        <v>22.19</v>
      </c>
    </row>
    <row r="103" spans="1:8" ht="15" thickTop="1">
      <c r="A103" s="4"/>
      <c r="B103" s="4"/>
      <c r="C103" s="4"/>
      <c r="D103" s="4"/>
      <c r="E103" s="4"/>
      <c r="F103" s="4"/>
      <c r="G103" s="4"/>
      <c r="H103" s="4"/>
    </row>
    <row r="104" spans="1:8">
      <c r="A104" s="99" t="s">
        <v>112</v>
      </c>
      <c r="B104" s="99"/>
      <c r="C104" s="99"/>
      <c r="D104" s="99" t="s">
        <v>113</v>
      </c>
      <c r="E104" s="100"/>
      <c r="F104" s="101"/>
      <c r="G104" s="99"/>
      <c r="H104" s="102"/>
    </row>
    <row r="105" spans="1:8">
      <c r="A105" s="84" t="s">
        <v>114</v>
      </c>
      <c r="B105" s="84"/>
      <c r="C105" s="84"/>
      <c r="D105" s="84" t="s">
        <v>115</v>
      </c>
      <c r="E105" s="84"/>
      <c r="F105" s="85"/>
      <c r="G105" s="84"/>
      <c r="H105" s="86"/>
    </row>
    <row r="106" spans="1:8">
      <c r="A106" s="110" t="s">
        <v>116</v>
      </c>
      <c r="B106" s="111"/>
      <c r="C106" s="110"/>
      <c r="D106" s="110" t="s">
        <v>117</v>
      </c>
      <c r="E106" s="111"/>
      <c r="F106" s="112"/>
      <c r="G106" s="113"/>
      <c r="H106" s="113"/>
    </row>
    <row r="107" spans="1:8">
      <c r="A107" s="103" t="s">
        <v>118</v>
      </c>
      <c r="B107" s="104" t="str">
        <f ca="1">VLOOKUP(A107,'Orçamento Sintético'!$A:$H,2,0)</f>
        <v xml:space="preserve"> MPDFT1107 </v>
      </c>
      <c r="C107" s="104" t="str">
        <f ca="1">VLOOKUP(A107,'Orçamento Sintético'!$A:$H,3,0)</f>
        <v>Próprio</v>
      </c>
      <c r="D107" s="105" t="str">
        <f ca="1">VLOOKUP(A107,'Orçamento Sintético'!$A:$H,4,0)</f>
        <v>Baseado em MPDFT1088 - Reinstalação de Alçapão 100x50cm</v>
      </c>
      <c r="E107" s="104" t="str">
        <f ca="1">VLOOKUP(A107,'Orçamento Sintético'!$A:$H,5,0)</f>
        <v>un</v>
      </c>
      <c r="F107" s="106"/>
      <c r="G107" s="107"/>
      <c r="H107" s="108">
        <f>SUM(H108:H110)</f>
        <v>26.32</v>
      </c>
    </row>
    <row r="108" spans="1:8">
      <c r="A108" s="89" t="str">
        <f ca="1">VLOOKUP(B108,'Insumos e Serviços'!$A:$F,3,0)</f>
        <v>Composição</v>
      </c>
      <c r="B108" s="97" t="s">
        <v>318</v>
      </c>
      <c r="C108" s="88" t="str">
        <f ca="1">VLOOKUP(B108,'Insumos e Serviços'!$A:$F,2,0)</f>
        <v>SINAPI</v>
      </c>
      <c r="D108" s="89" t="str">
        <f ca="1">VLOOKUP(B108,'Insumos e Serviços'!$A:$F,4,0)</f>
        <v>PEDREIRO COM ENCARGOS COMPLEMENTARES</v>
      </c>
      <c r="E108" s="88" t="str">
        <f ca="1">VLOOKUP(B108,'Insumos e Serviços'!$A:$F,5,0)</f>
        <v>H</v>
      </c>
      <c r="F108" s="109">
        <v>0.17815</v>
      </c>
      <c r="G108" s="91">
        <f ca="1">VLOOKUP(B108,'Insumos e Serviços'!$A:$F,6,0)</f>
        <v>23.9</v>
      </c>
      <c r="H108" s="91">
        <f>TRUNC(F108*G108,2)</f>
        <v>4.25</v>
      </c>
    </row>
    <row r="109" spans="1:8">
      <c r="A109" s="89" t="str">
        <f ca="1">VLOOKUP(B109,'Insumos e Serviços'!$A:$F,3,0)</f>
        <v>Composição</v>
      </c>
      <c r="B109" s="97" t="s">
        <v>310</v>
      </c>
      <c r="C109" s="88" t="str">
        <f ca="1">VLOOKUP(B109,'Insumos e Serviços'!$A:$F,2,0)</f>
        <v>SINAPI</v>
      </c>
      <c r="D109" s="89" t="str">
        <f ca="1">VLOOKUP(B109,'Insumos e Serviços'!$A:$F,4,0)</f>
        <v>SERVENTE COM ENCARGOS COMPLEMENTARES</v>
      </c>
      <c r="E109" s="88" t="str">
        <f ca="1">VLOOKUP(B109,'Insumos e Serviços'!$A:$F,5,0)</f>
        <v>H</v>
      </c>
      <c r="F109" s="109">
        <v>8.8950000000000001E-2</v>
      </c>
      <c r="G109" s="91">
        <f ca="1">VLOOKUP(B109,'Insumos e Serviços'!$A:$F,6,0)</f>
        <v>17.61</v>
      </c>
      <c r="H109" s="91">
        <f>TRUNC(F109*G109,2)</f>
        <v>1.56</v>
      </c>
    </row>
    <row r="110" spans="1:8" ht="23.25" thickBot="1">
      <c r="A110" s="89" t="str">
        <f ca="1">VLOOKUP(B110,'Insumos e Serviços'!$A:$F,3,0)</f>
        <v>Composição</v>
      </c>
      <c r="B110" s="97" t="s">
        <v>417</v>
      </c>
      <c r="C110" s="88" t="str">
        <f ca="1">VLOOKUP(B110,'Insumos e Serviços'!$A:$F,2,0)</f>
        <v>SINAPI</v>
      </c>
      <c r="D110" s="89" t="str">
        <f ca="1">VLOOKUP(B110,'Insumos e Serviços'!$A:$F,4,0)</f>
        <v>ARGAMASSA TRAÇO 1:3 (CIMENTO E AREIA MÉDIA) PARA CONTRAPISO, PREPARO MECÂNICO COM BETONEIRA 400 L. AF_06/2014</v>
      </c>
      <c r="E110" s="88" t="str">
        <f ca="1">VLOOKUP(B110,'Insumos e Serviços'!$A:$F,5,0)</f>
        <v>m³</v>
      </c>
      <c r="F110" s="109">
        <v>4.2000000000000003E-2</v>
      </c>
      <c r="G110" s="91">
        <f ca="1">VLOOKUP(B110,'Insumos e Serviços'!$A:$F,6,0)</f>
        <v>488.51</v>
      </c>
      <c r="H110" s="91">
        <f>TRUNC(F110*G110,2)</f>
        <v>20.51</v>
      </c>
    </row>
    <row r="111" spans="1:8" ht="15" thickTop="1">
      <c r="A111" s="4"/>
      <c r="B111" s="4"/>
      <c r="C111" s="4"/>
      <c r="D111" s="4"/>
      <c r="E111" s="4"/>
      <c r="F111" s="4"/>
      <c r="G111" s="4"/>
      <c r="H111" s="4"/>
    </row>
    <row r="112" spans="1:8">
      <c r="A112" s="103" t="s">
        <v>121</v>
      </c>
      <c r="B112" s="104" t="str">
        <f ca="1">VLOOKUP(A112,'Orçamento Sintético'!$A:$H,2,0)</f>
        <v xml:space="preserve"> MPDFT1108 </v>
      </c>
      <c r="C112" s="104" t="str">
        <f ca="1">VLOOKUP(A112,'Orçamento Sintético'!$A:$H,3,0)</f>
        <v>Próprio</v>
      </c>
      <c r="D112" s="105" t="str">
        <f ca="1">VLOOKUP(A112,'Orçamento Sintético'!$A:$H,4,0)</f>
        <v>Baseado em MPDFT1088 - Reinstalação de tampas de caixa de inspeção 25 x 25cm</v>
      </c>
      <c r="E112" s="104" t="str">
        <f ca="1">VLOOKUP(A112,'Orçamento Sintético'!$A:$H,5,0)</f>
        <v>un</v>
      </c>
      <c r="F112" s="106"/>
      <c r="G112" s="107"/>
      <c r="H112" s="108">
        <f>SUM(H113:H115)</f>
        <v>13.64</v>
      </c>
    </row>
    <row r="113" spans="1:8">
      <c r="A113" s="89" t="str">
        <f ca="1">VLOOKUP(B113,'Insumos e Serviços'!$A:$F,3,0)</f>
        <v>Composição</v>
      </c>
      <c r="B113" s="97" t="s">
        <v>318</v>
      </c>
      <c r="C113" s="88" t="str">
        <f ca="1">VLOOKUP(B113,'Insumos e Serviços'!$A:$F,2,0)</f>
        <v>SINAPI</v>
      </c>
      <c r="D113" s="89" t="str">
        <f ca="1">VLOOKUP(B113,'Insumos e Serviços'!$A:$F,4,0)</f>
        <v>PEDREIRO COM ENCARGOS COMPLEMENTARES</v>
      </c>
      <c r="E113" s="88" t="str">
        <f ca="1">VLOOKUP(B113,'Insumos e Serviços'!$A:$F,5,0)</f>
        <v>H</v>
      </c>
      <c r="F113" s="109">
        <v>8.9099999999999999E-2</v>
      </c>
      <c r="G113" s="91">
        <f ca="1">VLOOKUP(B113,'Insumos e Serviços'!$A:$F,6,0)</f>
        <v>23.9</v>
      </c>
      <c r="H113" s="91">
        <f>TRUNC(F113*G113,2)</f>
        <v>2.12</v>
      </c>
    </row>
    <row r="114" spans="1:8">
      <c r="A114" s="89" t="str">
        <f ca="1">VLOOKUP(B114,'Insumos e Serviços'!$A:$F,3,0)</f>
        <v>Composição</v>
      </c>
      <c r="B114" s="97" t="s">
        <v>310</v>
      </c>
      <c r="C114" s="88" t="str">
        <f ca="1">VLOOKUP(B114,'Insumos e Serviços'!$A:$F,2,0)</f>
        <v>SINAPI</v>
      </c>
      <c r="D114" s="89" t="str">
        <f ca="1">VLOOKUP(B114,'Insumos e Serviços'!$A:$F,4,0)</f>
        <v>SERVENTE COM ENCARGOS COMPLEMENTARES</v>
      </c>
      <c r="E114" s="88" t="str">
        <f ca="1">VLOOKUP(B114,'Insumos e Serviços'!$A:$F,5,0)</f>
        <v>H</v>
      </c>
      <c r="F114" s="109">
        <v>4.4475000000000001E-2</v>
      </c>
      <c r="G114" s="91">
        <f ca="1">VLOOKUP(B114,'Insumos e Serviços'!$A:$F,6,0)</f>
        <v>17.61</v>
      </c>
      <c r="H114" s="91">
        <f>TRUNC(F114*G114,2)</f>
        <v>0.78</v>
      </c>
    </row>
    <row r="115" spans="1:8" ht="23.25" thickBot="1">
      <c r="A115" s="89" t="str">
        <f ca="1">VLOOKUP(B115,'Insumos e Serviços'!$A:$F,3,0)</f>
        <v>Composição</v>
      </c>
      <c r="B115" s="97" t="s">
        <v>417</v>
      </c>
      <c r="C115" s="88" t="str">
        <f ca="1">VLOOKUP(B115,'Insumos e Serviços'!$A:$F,2,0)</f>
        <v>SINAPI</v>
      </c>
      <c r="D115" s="89" t="str">
        <f ca="1">VLOOKUP(B115,'Insumos e Serviços'!$A:$F,4,0)</f>
        <v>ARGAMASSA TRAÇO 1:3 (CIMENTO E AREIA MÉDIA) PARA CONTRAPISO, PREPARO MECÂNICO COM BETONEIRA 400 L. AF_06/2014</v>
      </c>
      <c r="E115" s="88" t="str">
        <f ca="1">VLOOKUP(B115,'Insumos e Serviços'!$A:$F,5,0)</f>
        <v>m³</v>
      </c>
      <c r="F115" s="109">
        <v>2.1999999999999999E-2</v>
      </c>
      <c r="G115" s="91">
        <f ca="1">VLOOKUP(B115,'Insumos e Serviços'!$A:$F,6,0)</f>
        <v>488.51</v>
      </c>
      <c r="H115" s="91">
        <f>TRUNC(F115*G115,2)</f>
        <v>10.74</v>
      </c>
    </row>
    <row r="116" spans="1:8" ht="15" thickTop="1">
      <c r="A116" s="4"/>
      <c r="B116" s="4"/>
      <c r="C116" s="4"/>
      <c r="D116" s="4"/>
      <c r="E116" s="4"/>
      <c r="F116" s="4"/>
      <c r="G116" s="4"/>
      <c r="H116" s="4"/>
    </row>
    <row r="117" spans="1:8">
      <c r="A117" s="110" t="s">
        <v>124</v>
      </c>
      <c r="B117" s="111"/>
      <c r="C117" s="110"/>
      <c r="D117" s="110" t="s">
        <v>125</v>
      </c>
      <c r="E117" s="111"/>
      <c r="F117" s="112"/>
      <c r="G117" s="113"/>
      <c r="H117" s="113"/>
    </row>
    <row r="118" spans="1:8">
      <c r="A118" s="103" t="s">
        <v>126</v>
      </c>
      <c r="B118" s="104" t="str">
        <f ca="1">VLOOKUP(A118,'Orçamento Sintético'!$A:$H,2,0)</f>
        <v xml:space="preserve"> MPDFT1097 </v>
      </c>
      <c r="C118" s="104" t="str">
        <f ca="1">VLOOKUP(A118,'Orçamento Sintético'!$A:$H,3,0)</f>
        <v>Próprio</v>
      </c>
      <c r="D118" s="105" t="str">
        <f ca="1">VLOOKUP(A118,'Orçamento Sintético'!$A:$H,4,0)</f>
        <v>Baseado da SEDOP (091518) - Reinstalação de Pele de vidro</v>
      </c>
      <c r="E118" s="104" t="str">
        <f ca="1">VLOOKUP(A118,'Orçamento Sintético'!$A:$H,5,0)</f>
        <v>m²</v>
      </c>
      <c r="F118" s="106"/>
      <c r="G118" s="107"/>
      <c r="H118" s="108">
        <f>SUM(H119:H121)</f>
        <v>214.97</v>
      </c>
    </row>
    <row r="119" spans="1:8">
      <c r="A119" s="89" t="str">
        <f ca="1">VLOOKUP(B119,'Insumos e Serviços'!$A:$F,3,0)</f>
        <v>Composição</v>
      </c>
      <c r="B119" s="97" t="s">
        <v>407</v>
      </c>
      <c r="C119" s="88" t="str">
        <f ca="1">VLOOKUP(B119,'Insumos e Serviços'!$A:$F,2,0)</f>
        <v>SINAPI</v>
      </c>
      <c r="D119" s="89" t="str">
        <f ca="1">VLOOKUP(B119,'Insumos e Serviços'!$A:$F,4,0)</f>
        <v>AJUDANTE ESPECIALIZADO COM ENCARGOS COMPLEMENTARES</v>
      </c>
      <c r="E119" s="88" t="str">
        <f ca="1">VLOOKUP(B119,'Insumos e Serviços'!$A:$F,5,0)</f>
        <v>H</v>
      </c>
      <c r="F119" s="109">
        <v>4.5</v>
      </c>
      <c r="G119" s="91">
        <f ca="1">VLOOKUP(B119,'Insumos e Serviços'!$A:$F,6,0)</f>
        <v>20.96</v>
      </c>
      <c r="H119" s="91">
        <f>TRUNC(F119*G119,2)</f>
        <v>94.32</v>
      </c>
    </row>
    <row r="120" spans="1:8">
      <c r="A120" s="89" t="str">
        <f ca="1">VLOOKUP(B120,'Insumos e Serviços'!$A:$F,3,0)</f>
        <v>Composição</v>
      </c>
      <c r="B120" s="97" t="s">
        <v>318</v>
      </c>
      <c r="C120" s="88" t="str">
        <f ca="1">VLOOKUP(B120,'Insumos e Serviços'!$A:$F,2,0)</f>
        <v>SINAPI</v>
      </c>
      <c r="D120" s="89" t="str">
        <f ca="1">VLOOKUP(B120,'Insumos e Serviços'!$A:$F,4,0)</f>
        <v>PEDREIRO COM ENCARGOS COMPLEMENTARES</v>
      </c>
      <c r="E120" s="88" t="str">
        <f ca="1">VLOOKUP(B120,'Insumos e Serviços'!$A:$F,5,0)</f>
        <v>H</v>
      </c>
      <c r="F120" s="109">
        <v>4.5</v>
      </c>
      <c r="G120" s="91">
        <f ca="1">VLOOKUP(B120,'Insumos e Serviços'!$A:$F,6,0)</f>
        <v>23.9</v>
      </c>
      <c r="H120" s="91">
        <f>TRUNC(F120*G120,2)</f>
        <v>107.55</v>
      </c>
    </row>
    <row r="121" spans="1:8" ht="15" thickBot="1">
      <c r="A121" s="89" t="str">
        <f ca="1">VLOOKUP(B121,'Insumos e Serviços'!$A:$F,3,0)</f>
        <v>Insumo</v>
      </c>
      <c r="B121" s="97" t="s">
        <v>436</v>
      </c>
      <c r="C121" s="88" t="str">
        <f ca="1">VLOOKUP(B121,'Insumos e Serviços'!$A:$F,2,0)</f>
        <v>Próprio</v>
      </c>
      <c r="D121" s="89" t="str">
        <f ca="1">VLOOKUP(B121,'Insumos e Serviços'!$A:$F,4,0)</f>
        <v>Borracha para vedação de pele de vidro</v>
      </c>
      <c r="E121" s="88" t="str">
        <f ca="1">VLOOKUP(B121,'Insumos e Serviços'!$A:$F,5,0)</f>
        <v>m</v>
      </c>
      <c r="F121" s="109">
        <v>4.55</v>
      </c>
      <c r="G121" s="91">
        <f ca="1">VLOOKUP(B121,'Insumos e Serviços'!$A:$F,6,0)</f>
        <v>2.88</v>
      </c>
      <c r="H121" s="91">
        <f>TRUNC(F121*G121,2)</f>
        <v>13.1</v>
      </c>
    </row>
    <row r="122" spans="1:8" ht="15" thickTop="1">
      <c r="A122" s="4"/>
      <c r="B122" s="4"/>
      <c r="C122" s="4"/>
      <c r="D122" s="4"/>
      <c r="E122" s="4"/>
      <c r="F122" s="4"/>
      <c r="G122" s="4"/>
      <c r="H122" s="4"/>
    </row>
    <row r="123" spans="1:8" ht="22.5">
      <c r="A123" s="103" t="s">
        <v>129</v>
      </c>
      <c r="B123" s="104" t="str">
        <f ca="1">VLOOKUP(A123,'Orçamento Sintético'!$A:$H,2,0)</f>
        <v xml:space="preserve"> MPDFT0501 </v>
      </c>
      <c r="C123" s="104" t="str">
        <f ca="1">VLOOKUP(A123,'Orçamento Sintético'!$A:$H,3,0)</f>
        <v>Próprio</v>
      </c>
      <c r="D123" s="105" t="str">
        <f ca="1">VLOOKUP(A123,'Orçamento Sintético'!$A:$H,4,0)</f>
        <v>Copia da SEDOP (171062) - Instalação de sensor para porta automática (somente instalação, sem fornecimento)</v>
      </c>
      <c r="E123" s="104" t="str">
        <f ca="1">VLOOKUP(A123,'Orçamento Sintético'!$A:$H,5,0)</f>
        <v>UN</v>
      </c>
      <c r="F123" s="106"/>
      <c r="G123" s="107"/>
      <c r="H123" s="108">
        <f>SUM(H124:H125)</f>
        <v>131.62</v>
      </c>
    </row>
    <row r="124" spans="1:8">
      <c r="A124" s="89" t="str">
        <f ca="1">VLOOKUP(B124,'Insumos e Serviços'!$A:$F,3,0)</f>
        <v>Composição</v>
      </c>
      <c r="B124" s="97" t="s">
        <v>310</v>
      </c>
      <c r="C124" s="88" t="str">
        <f ca="1">VLOOKUP(B124,'Insumos e Serviços'!$A:$F,2,0)</f>
        <v>SINAPI</v>
      </c>
      <c r="D124" s="89" t="str">
        <f ca="1">VLOOKUP(B124,'Insumos e Serviços'!$A:$F,4,0)</f>
        <v>SERVENTE COM ENCARGOS COMPLEMENTARES</v>
      </c>
      <c r="E124" s="88" t="str">
        <f ca="1">VLOOKUP(B124,'Insumos e Serviços'!$A:$F,5,0)</f>
        <v>H</v>
      </c>
      <c r="F124" s="109">
        <v>2</v>
      </c>
      <c r="G124" s="91">
        <f ca="1">VLOOKUP(B124,'Insumos e Serviços'!$A:$F,6,0)</f>
        <v>17.61</v>
      </c>
      <c r="H124" s="91">
        <f>TRUNC(F124*G124,2)</f>
        <v>35.22</v>
      </c>
    </row>
    <row r="125" spans="1:8" ht="15" thickBot="1">
      <c r="A125" s="89" t="str">
        <f ca="1">VLOOKUP(B125,'Insumos e Serviços'!$A:$F,3,0)</f>
        <v>Composição</v>
      </c>
      <c r="B125" s="97" t="s">
        <v>326</v>
      </c>
      <c r="C125" s="88" t="str">
        <f ca="1">VLOOKUP(B125,'Insumos e Serviços'!$A:$F,2,0)</f>
        <v>SINAPI</v>
      </c>
      <c r="D125" s="89" t="str">
        <f ca="1">VLOOKUP(B125,'Insumos e Serviços'!$A:$F,4,0)</f>
        <v>ELETRICISTA COM ENCARGOS COMPLEMENTARES</v>
      </c>
      <c r="E125" s="88" t="str">
        <f ca="1">VLOOKUP(B125,'Insumos e Serviços'!$A:$F,5,0)</f>
        <v>H</v>
      </c>
      <c r="F125" s="109">
        <v>4</v>
      </c>
      <c r="G125" s="91">
        <f ca="1">VLOOKUP(B125,'Insumos e Serviços'!$A:$F,6,0)</f>
        <v>24.1</v>
      </c>
      <c r="H125" s="91">
        <f>TRUNC(F125*G125,2)</f>
        <v>96.4</v>
      </c>
    </row>
    <row r="126" spans="1:8" ht="15" thickTop="1">
      <c r="A126" s="4"/>
      <c r="B126" s="4"/>
      <c r="C126" s="4"/>
      <c r="D126" s="4"/>
      <c r="E126" s="4"/>
      <c r="F126" s="4"/>
      <c r="G126" s="4"/>
      <c r="H126" s="4"/>
    </row>
    <row r="127" spans="1:8">
      <c r="A127" s="110" t="s">
        <v>132</v>
      </c>
      <c r="B127" s="111"/>
      <c r="C127" s="110"/>
      <c r="D127" s="110" t="s">
        <v>133</v>
      </c>
      <c r="E127" s="111"/>
      <c r="F127" s="112"/>
      <c r="G127" s="113"/>
      <c r="H127" s="113"/>
    </row>
    <row r="128" spans="1:8">
      <c r="A128" s="103" t="s">
        <v>137</v>
      </c>
      <c r="B128" s="104" t="str">
        <f ca="1">VLOOKUP(A128,'Orçamento Sintético'!$A:$H,2,0)</f>
        <v xml:space="preserve"> MPDFT0929 </v>
      </c>
      <c r="C128" s="104" t="str">
        <f ca="1">VLOOKUP(A128,'Orçamento Sintético'!$A:$H,3,0)</f>
        <v>Próprio</v>
      </c>
      <c r="D128" s="105" t="str">
        <f ca="1">VLOOKUP(A128,'Orçamento Sintético'!$A:$H,4,0)</f>
        <v>Baseado em SINAPI (101092) - Piso em granito levigado, Vermelho Brasília, e = 2cm</v>
      </c>
      <c r="E128" s="104" t="str">
        <f ca="1">VLOOKUP(A128,'Orçamento Sintético'!$A:$H,5,0)</f>
        <v>m²</v>
      </c>
      <c r="F128" s="106"/>
      <c r="G128" s="107"/>
      <c r="H128" s="108">
        <f>SUM(H129:H135)</f>
        <v>301.02</v>
      </c>
    </row>
    <row r="129" spans="1:8">
      <c r="A129" s="89" t="str">
        <f ca="1">VLOOKUP(B129,'Insumos e Serviços'!$A:$F,3,0)</f>
        <v>Composição</v>
      </c>
      <c r="B129" s="97" t="s">
        <v>428</v>
      </c>
      <c r="C129" s="88" t="str">
        <f ca="1">VLOOKUP(B129,'Insumos e Serviços'!$A:$F,2,0)</f>
        <v>SINAPI</v>
      </c>
      <c r="D129" s="89" t="str">
        <f ca="1">VLOOKUP(B129,'Insumos e Serviços'!$A:$F,4,0)</f>
        <v>MARMORISTA/GRANITEIRO COM ENCARGOS COMPLEMENTARES</v>
      </c>
      <c r="E129" s="88" t="str">
        <f ca="1">VLOOKUP(B129,'Insumos e Serviços'!$A:$F,5,0)</f>
        <v>H</v>
      </c>
      <c r="F129" s="109">
        <v>1.4750000000000001</v>
      </c>
      <c r="G129" s="91">
        <f ca="1">VLOOKUP(B129,'Insumos e Serviços'!$A:$F,6,0)</f>
        <v>19.91</v>
      </c>
      <c r="H129" s="91">
        <f t="shared" ref="H129:H135" si="1">TRUNC(F129*G129,2)</f>
        <v>29.36</v>
      </c>
    </row>
    <row r="130" spans="1:8">
      <c r="A130" s="89" t="str">
        <f ca="1">VLOOKUP(B130,'Insumos e Serviços'!$A:$F,3,0)</f>
        <v>Composição</v>
      </c>
      <c r="B130" s="97" t="s">
        <v>310</v>
      </c>
      <c r="C130" s="88" t="str">
        <f ca="1">VLOOKUP(B130,'Insumos e Serviços'!$A:$F,2,0)</f>
        <v>SINAPI</v>
      </c>
      <c r="D130" s="89" t="str">
        <f ca="1">VLOOKUP(B130,'Insumos e Serviços'!$A:$F,4,0)</f>
        <v>SERVENTE COM ENCARGOS COMPLEMENTARES</v>
      </c>
      <c r="E130" s="88" t="str">
        <f ca="1">VLOOKUP(B130,'Insumos e Serviços'!$A:$F,5,0)</f>
        <v>H</v>
      </c>
      <c r="F130" s="109">
        <v>0.73799999999999999</v>
      </c>
      <c r="G130" s="91">
        <f ca="1">VLOOKUP(B130,'Insumos e Serviços'!$A:$F,6,0)</f>
        <v>17.61</v>
      </c>
      <c r="H130" s="91">
        <f t="shared" si="1"/>
        <v>12.99</v>
      </c>
    </row>
    <row r="131" spans="1:8">
      <c r="A131" s="89" t="str">
        <f ca="1">VLOOKUP(B131,'Insumos e Serviços'!$A:$F,3,0)</f>
        <v>Composição</v>
      </c>
      <c r="B131" s="97" t="s">
        <v>405</v>
      </c>
      <c r="C131" s="88" t="str">
        <f ca="1">VLOOKUP(B131,'Insumos e Serviços'!$A:$F,2,0)</f>
        <v>SINAPI</v>
      </c>
      <c r="D131" s="89" t="str">
        <f ca="1">VLOOKUP(B131,'Insumos e Serviços'!$A:$F,4,0)</f>
        <v>IMPERMEABILIZADOR COM ENCARGOS COMPLEMENTARES</v>
      </c>
      <c r="E131" s="88" t="str">
        <f ca="1">VLOOKUP(B131,'Insumos e Serviços'!$A:$F,5,0)</f>
        <v>H</v>
      </c>
      <c r="F131" s="109">
        <v>0.27</v>
      </c>
      <c r="G131" s="91">
        <f ca="1">VLOOKUP(B131,'Insumos e Serviços'!$A:$F,6,0)</f>
        <v>23.9</v>
      </c>
      <c r="H131" s="91">
        <f t="shared" si="1"/>
        <v>6.45</v>
      </c>
    </row>
    <row r="132" spans="1:8">
      <c r="A132" s="89" t="str">
        <f ca="1">VLOOKUP(B132,'Insumos e Serviços'!$A:$F,3,0)</f>
        <v>Insumo</v>
      </c>
      <c r="B132" s="97" t="s">
        <v>426</v>
      </c>
      <c r="C132" s="88" t="str">
        <f ca="1">VLOOKUP(B132,'Insumos e Serviços'!$A:$F,2,0)</f>
        <v>SINAPI</v>
      </c>
      <c r="D132" s="89" t="str">
        <f ca="1">VLOOKUP(B132,'Insumos e Serviços'!$A:$F,4,0)</f>
        <v>REJUNTE COLORIDO, CIMENTICIO</v>
      </c>
      <c r="E132" s="88" t="str">
        <f ca="1">VLOOKUP(B132,'Insumos e Serviços'!$A:$F,5,0)</f>
        <v>KG</v>
      </c>
      <c r="F132" s="109">
        <v>0.14000000000000001</v>
      </c>
      <c r="G132" s="91">
        <f ca="1">VLOOKUP(B132,'Insumos e Serviços'!$A:$F,6,0)</f>
        <v>2.64</v>
      </c>
      <c r="H132" s="91">
        <f t="shared" si="1"/>
        <v>0.36</v>
      </c>
    </row>
    <row r="133" spans="1:8">
      <c r="A133" s="89" t="str">
        <f ca="1">VLOOKUP(B133,'Insumos e Serviços'!$A:$F,3,0)</f>
        <v>Insumo</v>
      </c>
      <c r="B133" s="97" t="s">
        <v>424</v>
      </c>
      <c r="C133" s="88" t="str">
        <f ca="1">VLOOKUP(B133,'Insumos e Serviços'!$A:$F,2,0)</f>
        <v>SINAPI</v>
      </c>
      <c r="D133" s="89" t="str">
        <f ca="1">VLOOKUP(B133,'Insumos e Serviços'!$A:$F,4,0)</f>
        <v>ARGAMASSA COLANTE TIPO ACIII</v>
      </c>
      <c r="E133" s="88" t="str">
        <f ca="1">VLOOKUP(B133,'Insumos e Serviços'!$A:$F,5,0)</f>
        <v>KG</v>
      </c>
      <c r="F133" s="109">
        <v>8.6199999999999992</v>
      </c>
      <c r="G133" s="91">
        <f ca="1">VLOOKUP(B133,'Insumos e Serviços'!$A:$F,6,0)</f>
        <v>1.38</v>
      </c>
      <c r="H133" s="91">
        <f t="shared" si="1"/>
        <v>11.89</v>
      </c>
    </row>
    <row r="134" spans="1:8">
      <c r="A134" s="89" t="str">
        <f ca="1">VLOOKUP(B134,'Insumos e Serviços'!$A:$F,3,0)</f>
        <v>Insumo</v>
      </c>
      <c r="B134" s="97" t="s">
        <v>434</v>
      </c>
      <c r="C134" s="88" t="str">
        <f ca="1">VLOOKUP(B134,'Insumos e Serviços'!$A:$F,2,0)</f>
        <v>Próprio</v>
      </c>
      <c r="D134" s="89" t="str">
        <f ca="1">VLOOKUP(B134,'Insumos e Serviços'!$A:$F,4,0)</f>
        <v>Granito Vermelho Brasília, ou equivalente, e=2cm, acabamento levigado</v>
      </c>
      <c r="E134" s="88" t="str">
        <f ca="1">VLOOKUP(B134,'Insumos e Serviços'!$A:$F,5,0)</f>
        <v>m²</v>
      </c>
      <c r="F134" s="109">
        <v>1.1599999999999999</v>
      </c>
      <c r="G134" s="91">
        <f ca="1">VLOOKUP(B134,'Insumos e Serviços'!$A:$F,6,0)</f>
        <v>197.17</v>
      </c>
      <c r="H134" s="91">
        <f t="shared" si="1"/>
        <v>228.71</v>
      </c>
    </row>
    <row r="135" spans="1:8" ht="15" thickBot="1">
      <c r="A135" s="89" t="str">
        <f ca="1">VLOOKUP(B135,'Insumos e Serviços'!$A:$F,3,0)</f>
        <v>Insumo</v>
      </c>
      <c r="B135" s="97" t="s">
        <v>422</v>
      </c>
      <c r="C135" s="88" t="str">
        <f ca="1">VLOOKUP(B135,'Insumos e Serviços'!$A:$F,2,0)</f>
        <v>Próprio</v>
      </c>
      <c r="D135" s="89" t="str">
        <f ca="1">VLOOKUP(B135,'Insumos e Serviços'!$A:$F,4,0)</f>
        <v>Solução hidrofugante à base de silano-siloxano Nitoprimer 40, fab. Anchortec Quartzolit</v>
      </c>
      <c r="E135" s="88" t="str">
        <f ca="1">VLOOKUP(B135,'Insumos e Serviços'!$A:$F,5,0)</f>
        <v>l</v>
      </c>
      <c r="F135" s="109">
        <v>0.3</v>
      </c>
      <c r="G135" s="91">
        <f ca="1">VLOOKUP(B135,'Insumos e Serviços'!$A:$F,6,0)</f>
        <v>37.54</v>
      </c>
      <c r="H135" s="91">
        <f t="shared" si="1"/>
        <v>11.26</v>
      </c>
    </row>
    <row r="136" spans="1:8" ht="15" thickTop="1">
      <c r="A136" s="4"/>
      <c r="B136" s="4"/>
      <c r="C136" s="4"/>
      <c r="D136" s="4"/>
      <c r="E136" s="4"/>
      <c r="F136" s="4"/>
      <c r="G136" s="4"/>
      <c r="H136" s="4"/>
    </row>
    <row r="137" spans="1:8" ht="22.5">
      <c r="A137" s="103" t="s">
        <v>140</v>
      </c>
      <c r="B137" s="104" t="str">
        <f ca="1">VLOOKUP(A137,'Orçamento Sintético'!$A:$H,2,0)</f>
        <v xml:space="preserve"> MPDFT0130 </v>
      </c>
      <c r="C137" s="104" t="str">
        <f ca="1">VLOOKUP(A137,'Orçamento Sintético'!$A:$H,3,0)</f>
        <v>Próprio</v>
      </c>
      <c r="D137" s="105" t="str">
        <f ca="1">VLOOKUP(A137,'Orçamento Sintético'!$A:$H,4,0)</f>
        <v>Copia da ORSE (7324) - Piso tátil rígido de concreto, DM 25x25cm, espessura 20mm, modelo direcional ou alerta, cor amarela</v>
      </c>
      <c r="E137" s="104" t="str">
        <f ca="1">VLOOKUP(A137,'Orçamento Sintético'!$A:$H,5,0)</f>
        <v>m²</v>
      </c>
      <c r="F137" s="106"/>
      <c r="G137" s="107"/>
      <c r="H137" s="108">
        <f>SUM(H138:H141)</f>
        <v>111.08</v>
      </c>
    </row>
    <row r="138" spans="1:8">
      <c r="A138" s="89" t="str">
        <f ca="1">VLOOKUP(B138,'Insumos e Serviços'!$A:$F,3,0)</f>
        <v>Composição</v>
      </c>
      <c r="B138" s="97" t="s">
        <v>318</v>
      </c>
      <c r="C138" s="88" t="str">
        <f ca="1">VLOOKUP(B138,'Insumos e Serviços'!$A:$F,2,0)</f>
        <v>SINAPI</v>
      </c>
      <c r="D138" s="89" t="str">
        <f ca="1">VLOOKUP(B138,'Insumos e Serviços'!$A:$F,4,0)</f>
        <v>PEDREIRO COM ENCARGOS COMPLEMENTARES</v>
      </c>
      <c r="E138" s="88" t="str">
        <f ca="1">VLOOKUP(B138,'Insumos e Serviços'!$A:$F,5,0)</f>
        <v>H</v>
      </c>
      <c r="F138" s="109">
        <v>0.5</v>
      </c>
      <c r="G138" s="91">
        <f ca="1">VLOOKUP(B138,'Insumos e Serviços'!$A:$F,6,0)</f>
        <v>23.9</v>
      </c>
      <c r="H138" s="91">
        <f>TRUNC(F138*G138,2)</f>
        <v>11.95</v>
      </c>
    </row>
    <row r="139" spans="1:8">
      <c r="A139" s="89" t="str">
        <f ca="1">VLOOKUP(B139,'Insumos e Serviços'!$A:$F,3,0)</f>
        <v>Composição</v>
      </c>
      <c r="B139" s="97" t="s">
        <v>310</v>
      </c>
      <c r="C139" s="88" t="str">
        <f ca="1">VLOOKUP(B139,'Insumos e Serviços'!$A:$F,2,0)</f>
        <v>SINAPI</v>
      </c>
      <c r="D139" s="89" t="str">
        <f ca="1">VLOOKUP(B139,'Insumos e Serviços'!$A:$F,4,0)</f>
        <v>SERVENTE COM ENCARGOS COMPLEMENTARES</v>
      </c>
      <c r="E139" s="88" t="str">
        <f ca="1">VLOOKUP(B139,'Insumos e Serviços'!$A:$F,5,0)</f>
        <v>H</v>
      </c>
      <c r="F139" s="109">
        <v>1.2</v>
      </c>
      <c r="G139" s="91">
        <f ca="1">VLOOKUP(B139,'Insumos e Serviços'!$A:$F,6,0)</f>
        <v>17.61</v>
      </c>
      <c r="H139" s="91">
        <f>TRUNC(F139*G139,2)</f>
        <v>21.13</v>
      </c>
    </row>
    <row r="140" spans="1:8">
      <c r="A140" s="89" t="str">
        <f ca="1">VLOOKUP(B140,'Insumos e Serviços'!$A:$F,3,0)</f>
        <v>Insumo</v>
      </c>
      <c r="B140" s="97" t="s">
        <v>432</v>
      </c>
      <c r="C140" s="88" t="str">
        <f ca="1">VLOOKUP(B140,'Insumos e Serviços'!$A:$F,2,0)</f>
        <v>SINAPI</v>
      </c>
      <c r="D140" s="89" t="str">
        <f ca="1">VLOOKUP(B140,'Insumos e Serviços'!$A:$F,4,0)</f>
        <v>PISO PODOTATIL DE CONCRETO - DIRECIONAL E ALERTA, *40 X 40 X 2,5* CM</v>
      </c>
      <c r="E140" s="88" t="str">
        <f ca="1">VLOOKUP(B140,'Insumos e Serviços'!$A:$F,5,0)</f>
        <v>UN</v>
      </c>
      <c r="F140" s="109">
        <v>6.5625</v>
      </c>
      <c r="G140" s="91">
        <f ca="1">VLOOKUP(B140,'Insumos e Serviços'!$A:$F,6,0)</f>
        <v>11.38</v>
      </c>
      <c r="H140" s="91">
        <f>TRUNC(F140*G140,2)</f>
        <v>74.680000000000007</v>
      </c>
    </row>
    <row r="141" spans="1:8" ht="15" thickBot="1">
      <c r="A141" s="89" t="str">
        <f ca="1">VLOOKUP(B141,'Insumos e Serviços'!$A:$F,3,0)</f>
        <v>Insumo</v>
      </c>
      <c r="B141" s="97" t="s">
        <v>430</v>
      </c>
      <c r="C141" s="88" t="str">
        <f ca="1">VLOOKUP(B141,'Insumos e Serviços'!$A:$F,2,0)</f>
        <v>SINAPI</v>
      </c>
      <c r="D141" s="89" t="str">
        <f ca="1">VLOOKUP(B141,'Insumos e Serviços'!$A:$F,4,0)</f>
        <v>ARGAMASSA COLANTE AC-II</v>
      </c>
      <c r="E141" s="88" t="str">
        <f ca="1">VLOOKUP(B141,'Insumos e Serviços'!$A:$F,5,0)</f>
        <v>KG</v>
      </c>
      <c r="F141" s="109">
        <v>4</v>
      </c>
      <c r="G141" s="91">
        <f ca="1">VLOOKUP(B141,'Insumos e Serviços'!$A:$F,6,0)</f>
        <v>0.83</v>
      </c>
      <c r="H141" s="91">
        <f>TRUNC(F141*G141,2)</f>
        <v>3.32</v>
      </c>
    </row>
    <row r="142" spans="1:8" ht="15" thickTop="1">
      <c r="A142" s="4"/>
      <c r="B142" s="4"/>
      <c r="C142" s="4"/>
      <c r="D142" s="4"/>
      <c r="E142" s="4"/>
      <c r="F142" s="4"/>
      <c r="G142" s="4"/>
      <c r="H142" s="4"/>
    </row>
    <row r="143" spans="1:8" ht="22.5">
      <c r="A143" s="103" t="s">
        <v>143</v>
      </c>
      <c r="B143" s="104" t="str">
        <f ca="1">VLOOKUP(A143,'Orçamento Sintético'!$A:$H,2,0)</f>
        <v xml:space="preserve"> MPDFT1104 </v>
      </c>
      <c r="C143" s="104" t="str">
        <f ca="1">VLOOKUP(A143,'Orçamento Sintético'!$A:$H,3,0)</f>
        <v>Próprio</v>
      </c>
      <c r="D143" s="105" t="str">
        <f ca="1">VLOOKUP(A143,'Orçamento Sintético'!$A:$H,4,0)</f>
        <v>Copia da SINAPI (98671) - PISO EM GRANITO BRANCO ITAÚNA 2MM POLIDO APLICADO EM AMBIENTES INTERNOS.</v>
      </c>
      <c r="E143" s="104" t="str">
        <f ca="1">VLOOKUP(A143,'Orçamento Sintético'!$A:$H,5,0)</f>
        <v>m²</v>
      </c>
      <c r="F143" s="106"/>
      <c r="G143" s="107"/>
      <c r="H143" s="108">
        <f>SUM(H144:H150)</f>
        <v>378.63</v>
      </c>
    </row>
    <row r="144" spans="1:8">
      <c r="A144" s="89" t="str">
        <f ca="1">VLOOKUP(B144,'Insumos e Serviços'!$A:$F,3,0)</f>
        <v>Composição</v>
      </c>
      <c r="B144" s="97" t="s">
        <v>428</v>
      </c>
      <c r="C144" s="88" t="str">
        <f ca="1">VLOOKUP(B144,'Insumos e Serviços'!$A:$F,2,0)</f>
        <v>SINAPI</v>
      </c>
      <c r="D144" s="89" t="str">
        <f ca="1">VLOOKUP(B144,'Insumos e Serviços'!$A:$F,4,0)</f>
        <v>MARMORISTA/GRANITEIRO COM ENCARGOS COMPLEMENTARES</v>
      </c>
      <c r="E144" s="88" t="str">
        <f ca="1">VLOOKUP(B144,'Insumos e Serviços'!$A:$F,5,0)</f>
        <v>H</v>
      </c>
      <c r="F144" s="109">
        <v>1.1879999999999999</v>
      </c>
      <c r="G144" s="91">
        <f ca="1">VLOOKUP(B144,'Insumos e Serviços'!$A:$F,6,0)</f>
        <v>19.91</v>
      </c>
      <c r="H144" s="91">
        <f t="shared" ref="H144:H150" si="2">TRUNC(F144*G144,2)</f>
        <v>23.65</v>
      </c>
    </row>
    <row r="145" spans="1:8">
      <c r="A145" s="89" t="str">
        <f ca="1">VLOOKUP(B145,'Insumos e Serviços'!$A:$F,3,0)</f>
        <v>Composição</v>
      </c>
      <c r="B145" s="97" t="s">
        <v>310</v>
      </c>
      <c r="C145" s="88" t="str">
        <f ca="1">VLOOKUP(B145,'Insumos e Serviços'!$A:$F,2,0)</f>
        <v>SINAPI</v>
      </c>
      <c r="D145" s="89" t="str">
        <f ca="1">VLOOKUP(B145,'Insumos e Serviços'!$A:$F,4,0)</f>
        <v>SERVENTE COM ENCARGOS COMPLEMENTARES</v>
      </c>
      <c r="E145" s="88" t="str">
        <f ca="1">VLOOKUP(B145,'Insumos e Serviços'!$A:$F,5,0)</f>
        <v>H</v>
      </c>
      <c r="F145" s="109">
        <v>0.59399999999999997</v>
      </c>
      <c r="G145" s="91">
        <f ca="1">VLOOKUP(B145,'Insumos e Serviços'!$A:$F,6,0)</f>
        <v>17.61</v>
      </c>
      <c r="H145" s="91">
        <f t="shared" si="2"/>
        <v>10.46</v>
      </c>
    </row>
    <row r="146" spans="1:8">
      <c r="A146" s="89" t="str">
        <f ca="1">VLOOKUP(B146,'Insumos e Serviços'!$A:$F,3,0)</f>
        <v>Composição</v>
      </c>
      <c r="B146" s="97" t="s">
        <v>405</v>
      </c>
      <c r="C146" s="88" t="str">
        <f ca="1">VLOOKUP(B146,'Insumos e Serviços'!$A:$F,2,0)</f>
        <v>SINAPI</v>
      </c>
      <c r="D146" s="89" t="str">
        <f ca="1">VLOOKUP(B146,'Insumos e Serviços'!$A:$F,4,0)</f>
        <v>IMPERMEABILIZADOR COM ENCARGOS COMPLEMENTARES</v>
      </c>
      <c r="E146" s="88" t="str">
        <f ca="1">VLOOKUP(B146,'Insumos e Serviços'!$A:$F,5,0)</f>
        <v>H</v>
      </c>
      <c r="F146" s="109">
        <v>0.27</v>
      </c>
      <c r="G146" s="91">
        <f ca="1">VLOOKUP(B146,'Insumos e Serviços'!$A:$F,6,0)</f>
        <v>23.9</v>
      </c>
      <c r="H146" s="91">
        <f t="shared" si="2"/>
        <v>6.45</v>
      </c>
    </row>
    <row r="147" spans="1:8">
      <c r="A147" s="89" t="str">
        <f ca="1">VLOOKUP(B147,'Insumos e Serviços'!$A:$F,3,0)</f>
        <v>Insumo</v>
      </c>
      <c r="B147" s="97" t="s">
        <v>426</v>
      </c>
      <c r="C147" s="88" t="str">
        <f ca="1">VLOOKUP(B147,'Insumos e Serviços'!$A:$F,2,0)</f>
        <v>SINAPI</v>
      </c>
      <c r="D147" s="89" t="str">
        <f ca="1">VLOOKUP(B147,'Insumos e Serviços'!$A:$F,4,0)</f>
        <v>REJUNTE COLORIDO, CIMENTICIO</v>
      </c>
      <c r="E147" s="88" t="str">
        <f ca="1">VLOOKUP(B147,'Insumos e Serviços'!$A:$F,5,0)</f>
        <v>KG</v>
      </c>
      <c r="F147" s="109">
        <v>0.14000000000000001</v>
      </c>
      <c r="G147" s="91">
        <f ca="1">VLOOKUP(B147,'Insumos e Serviços'!$A:$F,6,0)</f>
        <v>2.64</v>
      </c>
      <c r="H147" s="91">
        <f t="shared" si="2"/>
        <v>0.36</v>
      </c>
    </row>
    <row r="148" spans="1:8">
      <c r="A148" s="89" t="str">
        <f ca="1">VLOOKUP(B148,'Insumos e Serviços'!$A:$F,3,0)</f>
        <v>Insumo</v>
      </c>
      <c r="B148" s="97" t="s">
        <v>424</v>
      </c>
      <c r="C148" s="88" t="str">
        <f ca="1">VLOOKUP(B148,'Insumos e Serviços'!$A:$F,2,0)</f>
        <v>SINAPI</v>
      </c>
      <c r="D148" s="89" t="str">
        <f ca="1">VLOOKUP(B148,'Insumos e Serviços'!$A:$F,4,0)</f>
        <v>ARGAMASSA COLANTE TIPO ACIII</v>
      </c>
      <c r="E148" s="88" t="str">
        <f ca="1">VLOOKUP(B148,'Insumos e Serviços'!$A:$F,5,0)</f>
        <v>KG</v>
      </c>
      <c r="F148" s="109">
        <v>8.6199999999999992</v>
      </c>
      <c r="G148" s="91">
        <f ca="1">VLOOKUP(B148,'Insumos e Serviços'!$A:$F,6,0)</f>
        <v>1.38</v>
      </c>
      <c r="H148" s="91">
        <f t="shared" si="2"/>
        <v>11.89</v>
      </c>
    </row>
    <row r="149" spans="1:8">
      <c r="A149" s="89" t="str">
        <f ca="1">VLOOKUP(B149,'Insumos e Serviços'!$A:$F,3,0)</f>
        <v>Insumo</v>
      </c>
      <c r="B149" s="97" t="s">
        <v>422</v>
      </c>
      <c r="C149" s="88" t="str">
        <f ca="1">VLOOKUP(B149,'Insumos e Serviços'!$A:$F,2,0)</f>
        <v>Próprio</v>
      </c>
      <c r="D149" s="89" t="str">
        <f ca="1">VLOOKUP(B149,'Insumos e Serviços'!$A:$F,4,0)</f>
        <v>Solução hidrofugante à base de silano-siloxano Nitoprimer 40, fab. Anchortec Quartzolit</v>
      </c>
      <c r="E149" s="88" t="str">
        <f ca="1">VLOOKUP(B149,'Insumos e Serviços'!$A:$F,5,0)</f>
        <v>l</v>
      </c>
      <c r="F149" s="109">
        <v>0.3</v>
      </c>
      <c r="G149" s="91">
        <f ca="1">VLOOKUP(B149,'Insumos e Serviços'!$A:$F,6,0)</f>
        <v>37.54</v>
      </c>
      <c r="H149" s="91">
        <f t="shared" si="2"/>
        <v>11.26</v>
      </c>
    </row>
    <row r="150" spans="1:8" ht="15" thickBot="1">
      <c r="A150" s="89" t="str">
        <f ca="1">VLOOKUP(B150,'Insumos e Serviços'!$A:$F,3,0)</f>
        <v>Insumo</v>
      </c>
      <c r="B150" s="97" t="s">
        <v>419</v>
      </c>
      <c r="C150" s="88" t="str">
        <f ca="1">VLOOKUP(B150,'Insumos e Serviços'!$A:$F,2,0)</f>
        <v>Próprio</v>
      </c>
      <c r="D150" s="89" t="str">
        <f ca="1">VLOOKUP(B150,'Insumos e Serviços'!$A:$F,4,0)</f>
        <v>Granito Branco Itaúna, ou equivalente, e=2cm, acabamento polido</v>
      </c>
      <c r="E150" s="88" t="str">
        <f ca="1">VLOOKUP(B150,'Insumos e Serviços'!$A:$F,5,0)</f>
        <v>m²</v>
      </c>
      <c r="F150" s="109">
        <v>1.1599999999999999</v>
      </c>
      <c r="G150" s="91">
        <f ca="1">VLOOKUP(B150,'Insumos e Serviços'!$A:$F,6,0)</f>
        <v>271.18</v>
      </c>
      <c r="H150" s="91">
        <f t="shared" si="2"/>
        <v>314.56</v>
      </c>
    </row>
    <row r="151" spans="1:8" ht="15" thickTop="1">
      <c r="A151" s="4"/>
      <c r="B151" s="4"/>
      <c r="C151" s="4"/>
      <c r="D151" s="4"/>
      <c r="E151" s="4"/>
      <c r="F151" s="4"/>
      <c r="G151" s="4"/>
      <c r="H151" s="4"/>
    </row>
    <row r="152" spans="1:8">
      <c r="A152" s="110" t="s">
        <v>154</v>
      </c>
      <c r="B152" s="111"/>
      <c r="C152" s="110"/>
      <c r="D152" s="110" t="s">
        <v>155</v>
      </c>
      <c r="E152" s="111"/>
      <c r="F152" s="112"/>
      <c r="G152" s="113"/>
      <c r="H152" s="113"/>
    </row>
    <row r="153" spans="1:8" ht="33.75">
      <c r="A153" s="103" t="s">
        <v>159</v>
      </c>
      <c r="B153" s="104" t="str">
        <f ca="1">VLOOKUP(A153,'Orçamento Sintético'!$A:$H,2,0)</f>
        <v xml:space="preserve"> MPDFT1058 </v>
      </c>
      <c r="C153" s="104" t="str">
        <f ca="1">VLOOKUP(A153,'Orçamento Sintético'!$A:$H,3,0)</f>
        <v>Próprio</v>
      </c>
      <c r="D153" s="105" t="str">
        <f ca="1">VLOOKUP(A153,'Orçamento Sintético'!$A:$H,4,0)</f>
        <v>Cópia da Sinapi (87747) - Regularização / preparação de superfície com argamassa, e = 3cm, traço 1:3 (cimento e areia), com adição de de emulsão adesiva a base de resinas especiais de alto desempenho</v>
      </c>
      <c r="E153" s="104" t="str">
        <f ca="1">VLOOKUP(A153,'Orçamento Sintético'!$A:$H,5,0)</f>
        <v>m²</v>
      </c>
      <c r="F153" s="106"/>
      <c r="G153" s="107"/>
      <c r="H153" s="108">
        <f>SUM(H154:H157)</f>
        <v>47.45</v>
      </c>
    </row>
    <row r="154" spans="1:8">
      <c r="A154" s="89" t="str">
        <f ca="1">VLOOKUP(B154,'Insumos e Serviços'!$A:$F,3,0)</f>
        <v>Composição</v>
      </c>
      <c r="B154" s="97" t="s">
        <v>318</v>
      </c>
      <c r="C154" s="88" t="str">
        <f ca="1">VLOOKUP(B154,'Insumos e Serviços'!$A:$F,2,0)</f>
        <v>SINAPI</v>
      </c>
      <c r="D154" s="89" t="str">
        <f ca="1">VLOOKUP(B154,'Insumos e Serviços'!$A:$F,4,0)</f>
        <v>PEDREIRO COM ENCARGOS COMPLEMENTARES</v>
      </c>
      <c r="E154" s="88" t="str">
        <f ca="1">VLOOKUP(B154,'Insumos e Serviços'!$A:$F,5,0)</f>
        <v>H</v>
      </c>
      <c r="F154" s="109">
        <v>0.63</v>
      </c>
      <c r="G154" s="91">
        <f ca="1">VLOOKUP(B154,'Insumos e Serviços'!$A:$F,6,0)</f>
        <v>23.9</v>
      </c>
      <c r="H154" s="91">
        <f>TRUNC(F154*G154,2)</f>
        <v>15.05</v>
      </c>
    </row>
    <row r="155" spans="1:8">
      <c r="A155" s="89" t="str">
        <f ca="1">VLOOKUP(B155,'Insumos e Serviços'!$A:$F,3,0)</f>
        <v>Composição</v>
      </c>
      <c r="B155" s="97" t="s">
        <v>310</v>
      </c>
      <c r="C155" s="88" t="str">
        <f ca="1">VLOOKUP(B155,'Insumos e Serviços'!$A:$F,2,0)</f>
        <v>SINAPI</v>
      </c>
      <c r="D155" s="89" t="str">
        <f ca="1">VLOOKUP(B155,'Insumos e Serviços'!$A:$F,4,0)</f>
        <v>SERVENTE COM ENCARGOS COMPLEMENTARES</v>
      </c>
      <c r="E155" s="88" t="str">
        <f ca="1">VLOOKUP(B155,'Insumos e Serviços'!$A:$F,5,0)</f>
        <v>H</v>
      </c>
      <c r="F155" s="109">
        <v>0.315</v>
      </c>
      <c r="G155" s="91">
        <f ca="1">VLOOKUP(B155,'Insumos e Serviços'!$A:$F,6,0)</f>
        <v>17.61</v>
      </c>
      <c r="H155" s="91">
        <f>TRUNC(F155*G155,2)</f>
        <v>5.54</v>
      </c>
    </row>
    <row r="156" spans="1:8" ht="22.5">
      <c r="A156" s="89" t="str">
        <f ca="1">VLOOKUP(B156,'Insumos e Serviços'!$A:$F,3,0)</f>
        <v>Composição</v>
      </c>
      <c r="B156" s="97" t="s">
        <v>417</v>
      </c>
      <c r="C156" s="88" t="str">
        <f ca="1">VLOOKUP(B156,'Insumos e Serviços'!$A:$F,2,0)</f>
        <v>SINAPI</v>
      </c>
      <c r="D156" s="89" t="str">
        <f ca="1">VLOOKUP(B156,'Insumos e Serviços'!$A:$F,4,0)</f>
        <v>ARGAMASSA TRAÇO 1:3 (CIMENTO E AREIA MÉDIA) PARA CONTRAPISO, PREPARO MECÂNICO COM BETONEIRA 400 L. AF_06/2014</v>
      </c>
      <c r="E156" s="88" t="str">
        <f ca="1">VLOOKUP(B156,'Insumos e Serviços'!$A:$F,5,0)</f>
        <v>m³</v>
      </c>
      <c r="F156" s="109">
        <v>4.3099999999999999E-2</v>
      </c>
      <c r="G156" s="91">
        <f ca="1">VLOOKUP(B156,'Insumos e Serviços'!$A:$F,6,0)</f>
        <v>488.51</v>
      </c>
      <c r="H156" s="91">
        <f>TRUNC(F156*G156,2)</f>
        <v>21.05</v>
      </c>
    </row>
    <row r="157" spans="1:8" ht="15" thickBot="1">
      <c r="A157" s="89" t="str">
        <f ca="1">VLOOKUP(B157,'Insumos e Serviços'!$A:$F,3,0)</f>
        <v>Insumo</v>
      </c>
      <c r="B157" s="97" t="s">
        <v>415</v>
      </c>
      <c r="C157" s="88" t="str">
        <f ca="1">VLOOKUP(B157,'Insumos e Serviços'!$A:$F,2,0)</f>
        <v>SINAPI</v>
      </c>
      <c r="D157" s="89" t="str">
        <f ca="1">VLOOKUP(B157,'Insumos e Serviços'!$A:$F,4,0)</f>
        <v>ADITIVO ADESIVO LIQUIDO PARA ARGAMASSAS DE REVESTIMENTOS CIMENTICIOS</v>
      </c>
      <c r="E157" s="88" t="str">
        <f ca="1">VLOOKUP(B157,'Insumos e Serviços'!$A:$F,5,0)</f>
        <v>L</v>
      </c>
      <c r="F157" s="109">
        <v>0.435</v>
      </c>
      <c r="G157" s="91">
        <f ca="1">VLOOKUP(B157,'Insumos e Serviços'!$A:$F,6,0)</f>
        <v>13.37</v>
      </c>
      <c r="H157" s="91">
        <f>TRUNC(F157*G157,2)</f>
        <v>5.81</v>
      </c>
    </row>
    <row r="158" spans="1:8" ht="15" thickTop="1">
      <c r="A158" s="4"/>
      <c r="B158" s="4"/>
      <c r="C158" s="4"/>
      <c r="D158" s="4"/>
      <c r="E158" s="4"/>
      <c r="F158" s="4"/>
      <c r="G158" s="4"/>
      <c r="H158" s="4"/>
    </row>
    <row r="159" spans="1:8" ht="22.5">
      <c r="A159" s="103" t="s">
        <v>162</v>
      </c>
      <c r="B159" s="104" t="str">
        <f ca="1">VLOOKUP(A159,'Orçamento Sintético'!$A:$H,2,0)</f>
        <v xml:space="preserve"> MPDFT0480 </v>
      </c>
      <c r="C159" s="104" t="str">
        <f ca="1">VLOOKUP(A159,'Orçamento Sintético'!$A:$H,3,0)</f>
        <v>Próprio</v>
      </c>
      <c r="D159" s="105" t="str">
        <f ca="1">VLOOKUP(A159,'Orçamento Sintético'!$A:$H,4,0)</f>
        <v>Copia da SINAPI (98546) - Impermeabilização de superfície com manta asfáltica (com polímeros elastoméricos), e=4mm, ref. Torodin Extra, colada com asfalto derretido</v>
      </c>
      <c r="E159" s="104" t="str">
        <f ca="1">VLOOKUP(A159,'Orçamento Sintético'!$A:$H,5,0)</f>
        <v>m²</v>
      </c>
      <c r="F159" s="106"/>
      <c r="G159" s="107"/>
      <c r="H159" s="108">
        <f>SUM(H160:H165)</f>
        <v>101.19999999999999</v>
      </c>
    </row>
    <row r="160" spans="1:8">
      <c r="A160" s="89" t="str">
        <f ca="1">VLOOKUP(B160,'Insumos e Serviços'!$A:$F,3,0)</f>
        <v>Composição</v>
      </c>
      <c r="B160" s="97" t="s">
        <v>407</v>
      </c>
      <c r="C160" s="88" t="str">
        <f ca="1">VLOOKUP(B160,'Insumos e Serviços'!$A:$F,2,0)</f>
        <v>SINAPI</v>
      </c>
      <c r="D160" s="89" t="str">
        <f ca="1">VLOOKUP(B160,'Insumos e Serviços'!$A:$F,4,0)</f>
        <v>AJUDANTE ESPECIALIZADO COM ENCARGOS COMPLEMENTARES</v>
      </c>
      <c r="E160" s="88" t="str">
        <f ca="1">VLOOKUP(B160,'Insumos e Serviços'!$A:$F,5,0)</f>
        <v>H</v>
      </c>
      <c r="F160" s="109">
        <v>2.4E-2</v>
      </c>
      <c r="G160" s="91">
        <f ca="1">VLOOKUP(B160,'Insumos e Serviços'!$A:$F,6,0)</f>
        <v>20.96</v>
      </c>
      <c r="H160" s="91">
        <f t="shared" ref="H160:H165" si="3">TRUNC(F160*G160,2)</f>
        <v>0.5</v>
      </c>
    </row>
    <row r="161" spans="1:8">
      <c r="A161" s="89" t="str">
        <f ca="1">VLOOKUP(B161,'Insumos e Serviços'!$A:$F,3,0)</f>
        <v>Composição</v>
      </c>
      <c r="B161" s="97" t="s">
        <v>405</v>
      </c>
      <c r="C161" s="88" t="str">
        <f ca="1">VLOOKUP(B161,'Insumos e Serviços'!$A:$F,2,0)</f>
        <v>SINAPI</v>
      </c>
      <c r="D161" s="89" t="str">
        <f ca="1">VLOOKUP(B161,'Insumos e Serviços'!$A:$F,4,0)</f>
        <v>IMPERMEABILIZADOR COM ENCARGOS COMPLEMENTARES</v>
      </c>
      <c r="E161" s="88" t="str">
        <f ca="1">VLOOKUP(B161,'Insumos e Serviços'!$A:$F,5,0)</f>
        <v>H</v>
      </c>
      <c r="F161" s="109">
        <v>0.11799999999999999</v>
      </c>
      <c r="G161" s="91">
        <f ca="1">VLOOKUP(B161,'Insumos e Serviços'!$A:$F,6,0)</f>
        <v>23.9</v>
      </c>
      <c r="H161" s="91">
        <f t="shared" si="3"/>
        <v>2.82</v>
      </c>
    </row>
    <row r="162" spans="1:8" ht="22.5">
      <c r="A162" s="89" t="str">
        <f ca="1">VLOOKUP(B162,'Insumos e Serviços'!$A:$F,3,0)</f>
        <v>Insumo</v>
      </c>
      <c r="B162" s="97" t="s">
        <v>413</v>
      </c>
      <c r="C162" s="88" t="str">
        <f ca="1">VLOOKUP(B162,'Insumos e Serviços'!$A:$F,2,0)</f>
        <v>SINAPI</v>
      </c>
      <c r="D162" s="89" t="str">
        <f ca="1">VLOOKUP(B162,'Insumos e Serviços'!$A:$F,4,0)</f>
        <v>MANTA ASFALTICA ELASTOMERICA EM POLIESTER 4 MM, TIPO III, CLASSE B, ACABAMENTO PP (NBR 9952)</v>
      </c>
      <c r="E162" s="88" t="str">
        <f ca="1">VLOOKUP(B162,'Insumos e Serviços'!$A:$F,5,0)</f>
        <v>m²</v>
      </c>
      <c r="F162" s="109">
        <v>1.125</v>
      </c>
      <c r="G162" s="91">
        <f ca="1">VLOOKUP(B162,'Insumos e Serviços'!$A:$F,6,0)</f>
        <v>43.48</v>
      </c>
      <c r="H162" s="91">
        <f t="shared" si="3"/>
        <v>48.91</v>
      </c>
    </row>
    <row r="163" spans="1:8">
      <c r="A163" s="89" t="str">
        <f ca="1">VLOOKUP(B163,'Insumos e Serviços'!$A:$F,3,0)</f>
        <v>Insumo</v>
      </c>
      <c r="B163" s="97" t="s">
        <v>403</v>
      </c>
      <c r="C163" s="88" t="str">
        <f ca="1">VLOOKUP(B163,'Insumos e Serviços'!$A:$F,2,0)</f>
        <v>SINAPI</v>
      </c>
      <c r="D163" s="89" t="str">
        <f ca="1">VLOOKUP(B163,'Insumos e Serviços'!$A:$F,4,0)</f>
        <v>GAS DE COZINHA - GLP</v>
      </c>
      <c r="E163" s="88" t="str">
        <f ca="1">VLOOKUP(B163,'Insumos e Serviços'!$A:$F,5,0)</f>
        <v>KG</v>
      </c>
      <c r="F163" s="109">
        <v>0.10100000000000001</v>
      </c>
      <c r="G163" s="91">
        <f ca="1">VLOOKUP(B163,'Insumos e Serviços'!$A:$F,6,0)</f>
        <v>6.17</v>
      </c>
      <c r="H163" s="91">
        <f t="shared" si="3"/>
        <v>0.62</v>
      </c>
    </row>
    <row r="164" spans="1:8" ht="22.5">
      <c r="A164" s="89" t="str">
        <f ca="1">VLOOKUP(B164,'Insumos e Serviços'!$A:$F,3,0)</f>
        <v>Insumo</v>
      </c>
      <c r="B164" s="97" t="s">
        <v>401</v>
      </c>
      <c r="C164" s="88" t="str">
        <f ca="1">VLOOKUP(B164,'Insumos e Serviços'!$A:$F,2,0)</f>
        <v>SINAPI</v>
      </c>
      <c r="D164" s="89" t="str">
        <f ca="1">VLOOKUP(B164,'Insumos e Serviços'!$A:$F,4,0)</f>
        <v>PRIMER PARA MANTA ASFALTICA A BASE DE ASFALTO MODIFICADO DILUIDO EM SOLVENTE, APLICACAO A FRIO</v>
      </c>
      <c r="E164" s="88" t="str">
        <f ca="1">VLOOKUP(B164,'Insumos e Serviços'!$A:$F,5,0)</f>
        <v>L</v>
      </c>
      <c r="F164" s="109">
        <v>0.61499999999999999</v>
      </c>
      <c r="G164" s="91">
        <f ca="1">VLOOKUP(B164,'Insumos e Serviços'!$A:$F,6,0)</f>
        <v>15.89</v>
      </c>
      <c r="H164" s="91">
        <f t="shared" si="3"/>
        <v>9.77</v>
      </c>
    </row>
    <row r="165" spans="1:8" ht="23.25" thickBot="1">
      <c r="A165" s="89" t="str">
        <f ca="1">VLOOKUP(B165,'Insumos e Serviços'!$A:$F,3,0)</f>
        <v>Insumo</v>
      </c>
      <c r="B165" s="97" t="s">
        <v>398</v>
      </c>
      <c r="C165" s="88" t="str">
        <f ca="1">VLOOKUP(B165,'Insumos e Serviços'!$A:$F,2,0)</f>
        <v>SINAPI</v>
      </c>
      <c r="D165" s="89" t="str">
        <f ca="1">VLOOKUP(B165,'Insumos e Serviços'!$A:$F,4,0)</f>
        <v>ASFALTO MODIFICADO TIPO II - NBR 9910 (ASFALTO OXIDADO PARA IMPERMEABILIZACAO, COEFICIENTE DE PENETRACAO 20-35)</v>
      </c>
      <c r="E165" s="88" t="str">
        <f ca="1">VLOOKUP(B165,'Insumos e Serviços'!$A:$F,5,0)</f>
        <v>KG</v>
      </c>
      <c r="F165" s="109">
        <v>3</v>
      </c>
      <c r="G165" s="91">
        <f ca="1">VLOOKUP(B165,'Insumos e Serviços'!$A:$F,6,0)</f>
        <v>12.86</v>
      </c>
      <c r="H165" s="91">
        <f t="shared" si="3"/>
        <v>38.58</v>
      </c>
    </row>
    <row r="166" spans="1:8" ht="15" thickTop="1">
      <c r="A166" s="4"/>
      <c r="B166" s="4"/>
      <c r="C166" s="4"/>
      <c r="D166" s="4"/>
      <c r="E166" s="4"/>
      <c r="F166" s="4"/>
      <c r="G166" s="4"/>
      <c r="H166" s="4"/>
    </row>
    <row r="167" spans="1:8" ht="33.75">
      <c r="A167" s="103" t="s">
        <v>165</v>
      </c>
      <c r="B167" s="104" t="str">
        <f ca="1">VLOOKUP(A167,'Orçamento Sintético'!$A:$H,2,0)</f>
        <v xml:space="preserve"> MPDFT0547 </v>
      </c>
      <c r="C167" s="104" t="str">
        <f ca="1">VLOOKUP(A167,'Orçamento Sintético'!$A:$H,3,0)</f>
        <v>Próprio</v>
      </c>
      <c r="D167" s="105" t="str">
        <f ca="1">VLOOKUP(A167,'Orçamento Sintético'!$A:$H,4,0)</f>
        <v>Copia da SINAPI (98546) - Impermeabilização de ralos ou ponto emergente com manta asfáltica (com polímeros elastoméricos), e=4mm, ref. Torodin Extra, colada com asfalto derretido</v>
      </c>
      <c r="E167" s="104" t="str">
        <f ca="1">VLOOKUP(A167,'Orçamento Sintético'!$A:$H,5,0)</f>
        <v>un</v>
      </c>
      <c r="F167" s="106"/>
      <c r="G167" s="107"/>
      <c r="H167" s="108">
        <f>SUM(H168:H172)</f>
        <v>34.270000000000003</v>
      </c>
    </row>
    <row r="168" spans="1:8">
      <c r="A168" s="89" t="str">
        <f ca="1">VLOOKUP(B168,'Insumos e Serviços'!$A:$F,3,0)</f>
        <v>Composição</v>
      </c>
      <c r="B168" s="97" t="s">
        <v>407</v>
      </c>
      <c r="C168" s="88" t="str">
        <f ca="1">VLOOKUP(B168,'Insumos e Serviços'!$A:$F,2,0)</f>
        <v>SINAPI</v>
      </c>
      <c r="D168" s="89" t="str">
        <f ca="1">VLOOKUP(B168,'Insumos e Serviços'!$A:$F,4,0)</f>
        <v>AJUDANTE ESPECIALIZADO COM ENCARGOS COMPLEMENTARES</v>
      </c>
      <c r="E168" s="88" t="str">
        <f ca="1">VLOOKUP(B168,'Insumos e Serviços'!$A:$F,5,0)</f>
        <v>H</v>
      </c>
      <c r="F168" s="109">
        <v>8.5000000000000006E-2</v>
      </c>
      <c r="G168" s="91">
        <f ca="1">VLOOKUP(B168,'Insumos e Serviços'!$A:$F,6,0)</f>
        <v>20.96</v>
      </c>
      <c r="H168" s="91">
        <f>TRUNC(F168*G168,2)</f>
        <v>1.78</v>
      </c>
    </row>
    <row r="169" spans="1:8">
      <c r="A169" s="89" t="str">
        <f ca="1">VLOOKUP(B169,'Insumos e Serviços'!$A:$F,3,0)</f>
        <v>Composição</v>
      </c>
      <c r="B169" s="97" t="s">
        <v>405</v>
      </c>
      <c r="C169" s="88" t="str">
        <f ca="1">VLOOKUP(B169,'Insumos e Serviços'!$A:$F,2,0)</f>
        <v>SINAPI</v>
      </c>
      <c r="D169" s="89" t="str">
        <f ca="1">VLOOKUP(B169,'Insumos e Serviços'!$A:$F,4,0)</f>
        <v>IMPERMEABILIZADOR COM ENCARGOS COMPLEMENTARES</v>
      </c>
      <c r="E169" s="88" t="str">
        <f ca="1">VLOOKUP(B169,'Insumos e Serviços'!$A:$F,5,0)</f>
        <v>H</v>
      </c>
      <c r="F169" s="109">
        <v>0.41799999999999998</v>
      </c>
      <c r="G169" s="91">
        <f ca="1">VLOOKUP(B169,'Insumos e Serviços'!$A:$F,6,0)</f>
        <v>23.9</v>
      </c>
      <c r="H169" s="91">
        <f>TRUNC(F169*G169,2)</f>
        <v>9.99</v>
      </c>
    </row>
    <row r="170" spans="1:8" ht="22.5">
      <c r="A170" s="89" t="str">
        <f ca="1">VLOOKUP(B170,'Insumos e Serviços'!$A:$F,3,0)</f>
        <v>Insumo</v>
      </c>
      <c r="B170" s="97" t="s">
        <v>413</v>
      </c>
      <c r="C170" s="88" t="str">
        <f ca="1">VLOOKUP(B170,'Insumos e Serviços'!$A:$F,2,0)</f>
        <v>SINAPI</v>
      </c>
      <c r="D170" s="89" t="str">
        <f ca="1">VLOOKUP(B170,'Insumos e Serviços'!$A:$F,4,0)</f>
        <v>MANTA ASFALTICA ELASTOMERICA EM POLIESTER 4 MM, TIPO III, CLASSE B, ACABAMENTO PP (NBR 9952)</v>
      </c>
      <c r="E170" s="88" t="str">
        <f ca="1">VLOOKUP(B170,'Insumos e Serviços'!$A:$F,5,0)</f>
        <v>m²</v>
      </c>
      <c r="F170" s="109">
        <v>0.29699999999999999</v>
      </c>
      <c r="G170" s="91">
        <f ca="1">VLOOKUP(B170,'Insumos e Serviços'!$A:$F,6,0)</f>
        <v>43.48</v>
      </c>
      <c r="H170" s="91">
        <f>TRUNC(F170*G170,2)</f>
        <v>12.91</v>
      </c>
    </row>
    <row r="171" spans="1:8">
      <c r="A171" s="89" t="str">
        <f ca="1">VLOOKUP(B171,'Insumos e Serviços'!$A:$F,3,0)</f>
        <v>Insumo</v>
      </c>
      <c r="B171" s="97" t="s">
        <v>403</v>
      </c>
      <c r="C171" s="88" t="str">
        <f ca="1">VLOOKUP(B171,'Insumos e Serviços'!$A:$F,2,0)</f>
        <v>SINAPI</v>
      </c>
      <c r="D171" s="89" t="str">
        <f ca="1">VLOOKUP(B171,'Insumos e Serviços'!$A:$F,4,0)</f>
        <v>GAS DE COZINHA - GLP</v>
      </c>
      <c r="E171" s="88" t="str">
        <f ca="1">VLOOKUP(B171,'Insumos e Serviços'!$A:$F,5,0)</f>
        <v>KG</v>
      </c>
      <c r="F171" s="109">
        <v>0.55500000000000005</v>
      </c>
      <c r="G171" s="91">
        <f ca="1">VLOOKUP(B171,'Insumos e Serviços'!$A:$F,6,0)</f>
        <v>6.17</v>
      </c>
      <c r="H171" s="91">
        <f>TRUNC(F171*G171,2)</f>
        <v>3.42</v>
      </c>
    </row>
    <row r="172" spans="1:8" ht="23.25" thickBot="1">
      <c r="A172" s="89" t="str">
        <f ca="1">VLOOKUP(B172,'Insumos e Serviços'!$A:$F,3,0)</f>
        <v>Insumo</v>
      </c>
      <c r="B172" s="97" t="s">
        <v>398</v>
      </c>
      <c r="C172" s="88" t="str">
        <f ca="1">VLOOKUP(B172,'Insumos e Serviços'!$A:$F,2,0)</f>
        <v>SINAPI</v>
      </c>
      <c r="D172" s="89" t="str">
        <f ca="1">VLOOKUP(B172,'Insumos e Serviços'!$A:$F,4,0)</f>
        <v>ASFALTO MODIFICADO TIPO II - NBR 9910 (ASFALTO OXIDADO PARA IMPERMEABILIZACAO, COEFICIENTE DE PENETRACAO 20-35)</v>
      </c>
      <c r="E172" s="88" t="str">
        <f ca="1">VLOOKUP(B172,'Insumos e Serviços'!$A:$F,5,0)</f>
        <v>KG</v>
      </c>
      <c r="F172" s="109">
        <v>0.48</v>
      </c>
      <c r="G172" s="91">
        <f ca="1">VLOOKUP(B172,'Insumos e Serviços'!$A:$F,6,0)</f>
        <v>12.86</v>
      </c>
      <c r="H172" s="91">
        <f>TRUNC(F172*G172,2)</f>
        <v>6.17</v>
      </c>
    </row>
    <row r="173" spans="1:8" ht="15" thickTop="1">
      <c r="A173" s="4"/>
      <c r="B173" s="4"/>
      <c r="C173" s="4"/>
      <c r="D173" s="4"/>
      <c r="E173" s="4"/>
      <c r="F173" s="4"/>
      <c r="G173" s="4"/>
      <c r="H173" s="4"/>
    </row>
    <row r="174" spans="1:8" ht="22.5">
      <c r="A174" s="103" t="s">
        <v>168</v>
      </c>
      <c r="B174" s="104" t="str">
        <f ca="1">VLOOKUP(A174,'Orçamento Sintético'!$A:$H,2,0)</f>
        <v xml:space="preserve"> MPDFT0632 </v>
      </c>
      <c r="C174" s="104" t="str">
        <f ca="1">VLOOKUP(A174,'Orçamento Sintético'!$A:$H,3,0)</f>
        <v>Próprio</v>
      </c>
      <c r="D174" s="105" t="str">
        <f ca="1">VLOOKUP(A174,'Orçamento Sintético'!$A:$H,4,0)</f>
        <v>Copia da SINAPI (98565) - Proteção mecânica horizontal, preparo mecânico, espessura 3cm, incluso camada separadora geotextil e junta plástica</v>
      </c>
      <c r="E174" s="104" t="str">
        <f ca="1">VLOOKUP(A174,'Orçamento Sintético'!$A:$H,5,0)</f>
        <v>m²</v>
      </c>
      <c r="F174" s="106"/>
      <c r="G174" s="107"/>
      <c r="H174" s="108">
        <f>SUM(H175:H179)</f>
        <v>78.900000000000006</v>
      </c>
    </row>
    <row r="175" spans="1:8">
      <c r="A175" s="89" t="str">
        <f ca="1">VLOOKUP(B175,'Insumos e Serviços'!$A:$F,3,0)</f>
        <v>Composição</v>
      </c>
      <c r="B175" s="97" t="s">
        <v>318</v>
      </c>
      <c r="C175" s="88" t="str">
        <f ca="1">VLOOKUP(B175,'Insumos e Serviços'!$A:$F,2,0)</f>
        <v>SINAPI</v>
      </c>
      <c r="D175" s="89" t="str">
        <f ca="1">VLOOKUP(B175,'Insumos e Serviços'!$A:$F,4,0)</f>
        <v>PEDREIRO COM ENCARGOS COMPLEMENTARES</v>
      </c>
      <c r="E175" s="88" t="str">
        <f ca="1">VLOOKUP(B175,'Insumos e Serviços'!$A:$F,5,0)</f>
        <v>H</v>
      </c>
      <c r="F175" s="109">
        <v>0.91300000000000003</v>
      </c>
      <c r="G175" s="91">
        <f ca="1">VLOOKUP(B175,'Insumos e Serviços'!$A:$F,6,0)</f>
        <v>23.9</v>
      </c>
      <c r="H175" s="91">
        <f>TRUNC(F175*G175,2)</f>
        <v>21.82</v>
      </c>
    </row>
    <row r="176" spans="1:8">
      <c r="A176" s="89" t="str">
        <f ca="1">VLOOKUP(B176,'Insumos e Serviços'!$A:$F,3,0)</f>
        <v>Composição</v>
      </c>
      <c r="B176" s="97" t="s">
        <v>310</v>
      </c>
      <c r="C176" s="88" t="str">
        <f ca="1">VLOOKUP(B176,'Insumos e Serviços'!$A:$F,2,0)</f>
        <v>SINAPI</v>
      </c>
      <c r="D176" s="89" t="str">
        <f ca="1">VLOOKUP(B176,'Insumos e Serviços'!$A:$F,4,0)</f>
        <v>SERVENTE COM ENCARGOS COMPLEMENTARES</v>
      </c>
      <c r="E176" s="88" t="str">
        <f ca="1">VLOOKUP(B176,'Insumos e Serviços'!$A:$F,5,0)</f>
        <v>H</v>
      </c>
      <c r="F176" s="109">
        <v>0.43030000000000002</v>
      </c>
      <c r="G176" s="91">
        <f ca="1">VLOOKUP(B176,'Insumos e Serviços'!$A:$F,6,0)</f>
        <v>17.61</v>
      </c>
      <c r="H176" s="91">
        <f>TRUNC(F176*G176,2)</f>
        <v>7.57</v>
      </c>
    </row>
    <row r="177" spans="1:8" ht="33.75">
      <c r="A177" s="89" t="str">
        <f ca="1">VLOOKUP(B177,'Insumos e Serviços'!$A:$F,3,0)</f>
        <v>Composição</v>
      </c>
      <c r="B177" s="97" t="s">
        <v>411</v>
      </c>
      <c r="C177" s="88" t="str">
        <f ca="1">VLOOKUP(B177,'Insumos e Serviços'!$A:$F,2,0)</f>
        <v>SINAPI</v>
      </c>
      <c r="D177" s="89" t="str">
        <f ca="1">VLOOKUP(B177,'Insumos e Serviços'!$A:$F,4,0)</f>
        <v>CONTRAPISO EM ARGAMASSA TRAÇO 1:4 (CIMENTO E AREIA), PREPARO MECÂNICO COM BETONEIRA 400 L, APLICADO EM ÁREAS MOLHADAS SOBRE IMPERMEABILIZAÇÃO, ESPESSURA 3CM. AF_06/2014</v>
      </c>
      <c r="E177" s="88" t="str">
        <f ca="1">VLOOKUP(B177,'Insumos e Serviços'!$A:$F,5,0)</f>
        <v>m²</v>
      </c>
      <c r="F177" s="109">
        <v>1</v>
      </c>
      <c r="G177" s="91">
        <f ca="1">VLOOKUP(B177,'Insumos e Serviços'!$A:$F,6,0)</f>
        <v>41.14</v>
      </c>
      <c r="H177" s="91">
        <f>TRUNC(F177*G177,2)</f>
        <v>41.14</v>
      </c>
    </row>
    <row r="178" spans="1:8" ht="22.5">
      <c r="A178" s="89" t="str">
        <f ca="1">VLOOKUP(B178,'Insumos e Serviços'!$A:$F,3,0)</f>
        <v>Insumo</v>
      </c>
      <c r="B178" s="97" t="s">
        <v>386</v>
      </c>
      <c r="C178" s="88" t="str">
        <f ca="1">VLOOKUP(B178,'Insumos e Serviços'!$A:$F,2,0)</f>
        <v>SINAPI</v>
      </c>
      <c r="D178" s="89" t="str">
        <f ca="1">VLOOKUP(B178,'Insumos e Serviços'!$A:$F,4,0)</f>
        <v>GEOTEXTIL NAO TECIDO AGULHADO DE FILAMENTOS CONTINUOS 100% POLIESTER, RESITENCIA A TRACAO = 14 KN/M</v>
      </c>
      <c r="E178" s="88" t="str">
        <f ca="1">VLOOKUP(B178,'Insumos e Serviços'!$A:$F,5,0)</f>
        <v>m²</v>
      </c>
      <c r="F178" s="109">
        <v>1.04</v>
      </c>
      <c r="G178" s="91">
        <f ca="1">VLOOKUP(B178,'Insumos e Serviços'!$A:$F,6,0)</f>
        <v>6.23</v>
      </c>
      <c r="H178" s="91">
        <f>TRUNC(F178*G178,2)</f>
        <v>6.47</v>
      </c>
    </row>
    <row r="179" spans="1:8" ht="23.25" thickBot="1">
      <c r="A179" s="89" t="str">
        <f ca="1">VLOOKUP(B179,'Insumos e Serviços'!$A:$F,3,0)</f>
        <v>Insumo</v>
      </c>
      <c r="B179" s="97" t="s">
        <v>409</v>
      </c>
      <c r="C179" s="88" t="str">
        <f ca="1">VLOOKUP(B179,'Insumos e Serviços'!$A:$F,2,0)</f>
        <v>SINAPI</v>
      </c>
      <c r="D179" s="89" t="str">
        <f ca="1">VLOOKUP(B179,'Insumos e Serviços'!$A:$F,4,0)</f>
        <v>JUNTA PLASTICA DE DILATACAO PARA PISOS, COR CINZA, 17 X 3 MM (ALTURA X ESPESSURA)</v>
      </c>
      <c r="E179" s="88" t="str">
        <f ca="1">VLOOKUP(B179,'Insumos e Serviços'!$A:$F,5,0)</f>
        <v>M</v>
      </c>
      <c r="F179" s="109">
        <v>1.66</v>
      </c>
      <c r="G179" s="91">
        <f ca="1">VLOOKUP(B179,'Insumos e Serviços'!$A:$F,6,0)</f>
        <v>1.1499999999999999</v>
      </c>
      <c r="H179" s="91">
        <f>TRUNC(F179*G179,2)</f>
        <v>1.9</v>
      </c>
    </row>
    <row r="180" spans="1:8" ht="15" thickTop="1">
      <c r="A180" s="4"/>
      <c r="B180" s="4"/>
      <c r="C180" s="4"/>
      <c r="D180" s="4"/>
      <c r="E180" s="4"/>
      <c r="F180" s="4"/>
      <c r="G180" s="4"/>
      <c r="H180" s="4"/>
    </row>
    <row r="181" spans="1:8" ht="33.75">
      <c r="A181" s="103" t="s">
        <v>171</v>
      </c>
      <c r="B181" s="104" t="str">
        <f ca="1">VLOOKUP(A181,'Orçamento Sintético'!$A:$H,2,0)</f>
        <v xml:space="preserve"> MPDFT0481 </v>
      </c>
      <c r="C181" s="104" t="str">
        <f ca="1">VLOOKUP(A181,'Orçamento Sintético'!$A:$H,3,0)</f>
        <v>Próprio</v>
      </c>
      <c r="D181" s="105" t="str">
        <f ca="1">VLOOKUP(A181,'Orçamento Sintético'!$A:$H,4,0)</f>
        <v>Copia da SINAPI (98546) - Impermeabilização de superfície com manta asfáltica antirraiz (com polímeros elastoméricos), e=4mm, ref. Torodin Extra, colada com asfalto derretido</v>
      </c>
      <c r="E181" s="104" t="str">
        <f ca="1">VLOOKUP(A181,'Orçamento Sintético'!$A:$H,5,0)</f>
        <v>m²</v>
      </c>
      <c r="F181" s="106"/>
      <c r="G181" s="107"/>
      <c r="H181" s="108">
        <f>SUM(H182:H187)</f>
        <v>122.88999999999999</v>
      </c>
    </row>
    <row r="182" spans="1:8">
      <c r="A182" s="89" t="str">
        <f ca="1">VLOOKUP(B182,'Insumos e Serviços'!$A:$F,3,0)</f>
        <v>Composição</v>
      </c>
      <c r="B182" s="97" t="s">
        <v>407</v>
      </c>
      <c r="C182" s="88" t="str">
        <f ca="1">VLOOKUP(B182,'Insumos e Serviços'!$A:$F,2,0)</f>
        <v>SINAPI</v>
      </c>
      <c r="D182" s="89" t="str">
        <f ca="1">VLOOKUP(B182,'Insumos e Serviços'!$A:$F,4,0)</f>
        <v>AJUDANTE ESPECIALIZADO COM ENCARGOS COMPLEMENTARES</v>
      </c>
      <c r="E182" s="88" t="str">
        <f ca="1">VLOOKUP(B182,'Insumos e Serviços'!$A:$F,5,0)</f>
        <v>H</v>
      </c>
      <c r="F182" s="109">
        <v>2.4E-2</v>
      </c>
      <c r="G182" s="91">
        <f ca="1">VLOOKUP(B182,'Insumos e Serviços'!$A:$F,6,0)</f>
        <v>20.96</v>
      </c>
      <c r="H182" s="91">
        <f t="shared" ref="H182:H187" si="4">TRUNC(F182*G182,2)</f>
        <v>0.5</v>
      </c>
    </row>
    <row r="183" spans="1:8">
      <c r="A183" s="89" t="str">
        <f ca="1">VLOOKUP(B183,'Insumos e Serviços'!$A:$F,3,0)</f>
        <v>Composição</v>
      </c>
      <c r="B183" s="97" t="s">
        <v>405</v>
      </c>
      <c r="C183" s="88" t="str">
        <f ca="1">VLOOKUP(B183,'Insumos e Serviços'!$A:$F,2,0)</f>
        <v>SINAPI</v>
      </c>
      <c r="D183" s="89" t="str">
        <f ca="1">VLOOKUP(B183,'Insumos e Serviços'!$A:$F,4,0)</f>
        <v>IMPERMEABILIZADOR COM ENCARGOS COMPLEMENTARES</v>
      </c>
      <c r="E183" s="88" t="str">
        <f ca="1">VLOOKUP(B183,'Insumos e Serviços'!$A:$F,5,0)</f>
        <v>H</v>
      </c>
      <c r="F183" s="109">
        <v>0.11799999999999999</v>
      </c>
      <c r="G183" s="91">
        <f ca="1">VLOOKUP(B183,'Insumos e Serviços'!$A:$F,6,0)</f>
        <v>23.9</v>
      </c>
      <c r="H183" s="91">
        <f t="shared" si="4"/>
        <v>2.82</v>
      </c>
    </row>
    <row r="184" spans="1:8">
      <c r="A184" s="89" t="str">
        <f ca="1">VLOOKUP(B184,'Insumos e Serviços'!$A:$F,3,0)</f>
        <v>Insumo</v>
      </c>
      <c r="B184" s="97" t="s">
        <v>403</v>
      </c>
      <c r="C184" s="88" t="str">
        <f ca="1">VLOOKUP(B184,'Insumos e Serviços'!$A:$F,2,0)</f>
        <v>SINAPI</v>
      </c>
      <c r="D184" s="89" t="str">
        <f ca="1">VLOOKUP(B184,'Insumos e Serviços'!$A:$F,4,0)</f>
        <v>GAS DE COZINHA - GLP</v>
      </c>
      <c r="E184" s="88" t="str">
        <f ca="1">VLOOKUP(B184,'Insumos e Serviços'!$A:$F,5,0)</f>
        <v>KG</v>
      </c>
      <c r="F184" s="109">
        <v>0.10100000000000001</v>
      </c>
      <c r="G184" s="91">
        <f ca="1">VLOOKUP(B184,'Insumos e Serviços'!$A:$F,6,0)</f>
        <v>6.17</v>
      </c>
      <c r="H184" s="91">
        <f t="shared" si="4"/>
        <v>0.62</v>
      </c>
    </row>
    <row r="185" spans="1:8" ht="22.5">
      <c r="A185" s="89" t="str">
        <f ca="1">VLOOKUP(B185,'Insumos e Serviços'!$A:$F,3,0)</f>
        <v>Insumo</v>
      </c>
      <c r="B185" s="97" t="s">
        <v>401</v>
      </c>
      <c r="C185" s="88" t="str">
        <f ca="1">VLOOKUP(B185,'Insumos e Serviços'!$A:$F,2,0)</f>
        <v>SINAPI</v>
      </c>
      <c r="D185" s="89" t="str">
        <f ca="1">VLOOKUP(B185,'Insumos e Serviços'!$A:$F,4,0)</f>
        <v>PRIMER PARA MANTA ASFALTICA A BASE DE ASFALTO MODIFICADO DILUIDO EM SOLVENTE, APLICACAO A FRIO</v>
      </c>
      <c r="E185" s="88" t="str">
        <f ca="1">VLOOKUP(B185,'Insumos e Serviços'!$A:$F,5,0)</f>
        <v>L</v>
      </c>
      <c r="F185" s="109">
        <v>0.61499999999999999</v>
      </c>
      <c r="G185" s="91">
        <f ca="1">VLOOKUP(B185,'Insumos e Serviços'!$A:$F,6,0)</f>
        <v>15.89</v>
      </c>
      <c r="H185" s="91">
        <f t="shared" si="4"/>
        <v>9.77</v>
      </c>
    </row>
    <row r="186" spans="1:8" ht="22.5">
      <c r="A186" s="89" t="str">
        <f ca="1">VLOOKUP(B186,'Insumos e Serviços'!$A:$F,3,0)</f>
        <v>Insumo</v>
      </c>
      <c r="B186" s="97" t="s">
        <v>398</v>
      </c>
      <c r="C186" s="88" t="str">
        <f ca="1">VLOOKUP(B186,'Insumos e Serviços'!$A:$F,2,0)</f>
        <v>SINAPI</v>
      </c>
      <c r="D186" s="89" t="str">
        <f ca="1">VLOOKUP(B186,'Insumos e Serviços'!$A:$F,4,0)</f>
        <v>ASFALTO MODIFICADO TIPO II - NBR 9910 (ASFALTO OXIDADO PARA IMPERMEABILIZACAO, COEFICIENTE DE PENETRACAO 20-35)</v>
      </c>
      <c r="E186" s="88" t="str">
        <f ca="1">VLOOKUP(B186,'Insumos e Serviços'!$A:$F,5,0)</f>
        <v>KG</v>
      </c>
      <c r="F186" s="109">
        <v>3</v>
      </c>
      <c r="G186" s="91">
        <f ca="1">VLOOKUP(B186,'Insumos e Serviços'!$A:$F,6,0)</f>
        <v>12.86</v>
      </c>
      <c r="H186" s="91">
        <f t="shared" si="4"/>
        <v>38.58</v>
      </c>
    </row>
    <row r="187" spans="1:8" ht="15" thickBot="1">
      <c r="A187" s="89" t="str">
        <f ca="1">VLOOKUP(B187,'Insumos e Serviços'!$A:$F,3,0)</f>
        <v>Insumo</v>
      </c>
      <c r="B187" s="97" t="s">
        <v>396</v>
      </c>
      <c r="C187" s="88" t="str">
        <f ca="1">VLOOKUP(B187,'Insumos e Serviços'!$A:$F,2,0)</f>
        <v>Próprio</v>
      </c>
      <c r="D187" s="89" t="str">
        <f ca="1">VLOOKUP(B187,'Insumos e Serviços'!$A:$F,4,0)</f>
        <v>Manta asfáltica elastomérica em poliéster 4mm, antirraiz</v>
      </c>
      <c r="E187" s="88" t="str">
        <f ca="1">VLOOKUP(B187,'Insumos e Serviços'!$A:$F,5,0)</f>
        <v>m²</v>
      </c>
      <c r="F187" s="109">
        <v>1.125</v>
      </c>
      <c r="G187" s="91">
        <f ca="1">VLOOKUP(B187,'Insumos e Serviços'!$A:$F,6,0)</f>
        <v>62.76</v>
      </c>
      <c r="H187" s="91">
        <f t="shared" si="4"/>
        <v>70.599999999999994</v>
      </c>
    </row>
    <row r="188" spans="1:8" ht="15" thickTop="1">
      <c r="A188" s="4"/>
      <c r="B188" s="4"/>
      <c r="C188" s="4"/>
      <c r="D188" s="4"/>
      <c r="E188" s="4"/>
      <c r="F188" s="4"/>
      <c r="G188" s="4"/>
      <c r="H188" s="4"/>
    </row>
    <row r="189" spans="1:8" ht="22.5">
      <c r="A189" s="103" t="s">
        <v>174</v>
      </c>
      <c r="B189" s="104" t="str">
        <f ca="1">VLOOKUP(A189,'Orçamento Sintético'!$A:$H,2,0)</f>
        <v xml:space="preserve"> MPDFT0564 </v>
      </c>
      <c r="C189" s="104" t="str">
        <f ca="1">VLOOKUP(A189,'Orçamento Sintético'!$A:$H,3,0)</f>
        <v>Próprio</v>
      </c>
      <c r="D189" s="105" t="str">
        <f ca="1">VLOOKUP(A189,'Orçamento Sintético'!$A:$H,4,0)</f>
        <v>Calha em formato 'U', L=0,35m, moldada in loco, com alvenaria de blocos cerâmicos maciços</v>
      </c>
      <c r="E189" s="104" t="str">
        <f ca="1">VLOOKUP(A189,'Orçamento Sintético'!$A:$H,5,0)</f>
        <v>m</v>
      </c>
      <c r="F189" s="106"/>
      <c r="G189" s="107"/>
      <c r="H189" s="108">
        <f>SUM(H190:H193)</f>
        <v>119.79</v>
      </c>
    </row>
    <row r="190" spans="1:8" ht="22.5">
      <c r="A190" s="89" t="str">
        <f ca="1">VLOOKUP(B190,'Insumos e Serviços'!$A:$F,3,0)</f>
        <v>Composição</v>
      </c>
      <c r="B190" s="97" t="s">
        <v>394</v>
      </c>
      <c r="C190" s="88" t="str">
        <f ca="1">VLOOKUP(B190,'Insumos e Serviços'!$A:$F,2,0)</f>
        <v>SINAPI</v>
      </c>
      <c r="D190" s="89" t="str">
        <f ca="1">VLOOKUP(B190,'Insumos e Serviços'!$A:$F,4,0)</f>
        <v>ALVENARIA EM TIJOLO CERAMICO MACICO 5X10X20CM 1/2 VEZ (ESPESSURA 10CM), ASSENTADO COM ARGAMASSA TRACO 1:2:8 (CIMENTO, CAL E AREIA)</v>
      </c>
      <c r="E190" s="88" t="str">
        <f ca="1">VLOOKUP(B190,'Insumos e Serviços'!$A:$F,5,0)</f>
        <v>m²</v>
      </c>
      <c r="F190" s="109">
        <v>0.63</v>
      </c>
      <c r="G190" s="91">
        <f ca="1">VLOOKUP(B190,'Insumos e Serviços'!$A:$F,6,0)</f>
        <v>97.23</v>
      </c>
      <c r="H190" s="91">
        <f>TRUNC(F190*G190,2)</f>
        <v>61.25</v>
      </c>
    </row>
    <row r="191" spans="1:8" ht="33.75">
      <c r="A191" s="89" t="str">
        <f ca="1">VLOOKUP(B191,'Insumos e Serviços'!$A:$F,3,0)</f>
        <v>Composição</v>
      </c>
      <c r="B191" s="97" t="s">
        <v>392</v>
      </c>
      <c r="C191" s="88" t="str">
        <f ca="1">VLOOKUP(B191,'Insumos e Serviços'!$A:$F,2,0)</f>
        <v>SINAPI</v>
      </c>
      <c r="D191" s="89" t="str">
        <f ca="1">VLOOKUP(B191,'Insumos e Serviços'!$A:$F,4,0)</f>
        <v>CONTRAPISO EM ARGAMASSA TRAÇO 1:4 (CIMENTO E AREIA), PREPARO MECÂNICO COM BETONEIRA 400 L, APLICADO EM ÁREAS SECAS SOBRE LAJE, NÃO ADERIDO, ESPESSURA 6CM. AF_06/2014</v>
      </c>
      <c r="E191" s="88" t="str">
        <f ca="1">VLOOKUP(B191,'Insumos e Serviços'!$A:$F,5,0)</f>
        <v>m²</v>
      </c>
      <c r="F191" s="109">
        <v>0.35</v>
      </c>
      <c r="G191" s="91">
        <f ca="1">VLOOKUP(B191,'Insumos e Serviços'!$A:$F,6,0)</f>
        <v>41.7</v>
      </c>
      <c r="H191" s="91">
        <f>TRUNC(F191*G191,2)</f>
        <v>14.59</v>
      </c>
    </row>
    <row r="192" spans="1:8" ht="33.75">
      <c r="A192" s="89" t="str">
        <f ca="1">VLOOKUP(B192,'Insumos e Serviços'!$A:$F,3,0)</f>
        <v>Composição</v>
      </c>
      <c r="B192" s="97" t="s">
        <v>390</v>
      </c>
      <c r="C192" s="88" t="str">
        <f ca="1">VLOOKUP(B192,'Insumos e Serviços'!$A:$F,2,0)</f>
        <v>SINAPI</v>
      </c>
      <c r="D192" s="89" t="str">
        <f ca="1">VLOOKUP(B192,'Insumos e Serviços'!$A:$F,4,0)</f>
        <v>CHAPISCO APLICADO EM ALVENARIAS E ESTRUTURAS DE CONCRETO INTERNAS, COM COLHER DE PEDREIRO.  ARGAMASSA TRAÇO 1:3 COM PREPARO EM BETONEIRA 400L. AF_06/2014</v>
      </c>
      <c r="E192" s="88" t="str">
        <f ca="1">VLOOKUP(B192,'Insumos e Serviços'!$A:$F,5,0)</f>
        <v>m²</v>
      </c>
      <c r="F192" s="109">
        <v>1.26</v>
      </c>
      <c r="G192" s="91">
        <f ca="1">VLOOKUP(B192,'Insumos e Serviços'!$A:$F,6,0)</f>
        <v>3.51</v>
      </c>
      <c r="H192" s="91">
        <f>TRUNC(F192*G192,2)</f>
        <v>4.42</v>
      </c>
    </row>
    <row r="193" spans="1:8" ht="34.5" thickBot="1">
      <c r="A193" s="89" t="str">
        <f ca="1">VLOOKUP(B193,'Insumos e Serviços'!$A:$F,3,0)</f>
        <v>Composição</v>
      </c>
      <c r="B193" s="97" t="s">
        <v>388</v>
      </c>
      <c r="C193" s="88" t="str">
        <f ca="1">VLOOKUP(B193,'Insumos e Serviços'!$A:$F,2,0)</f>
        <v>SINAPI</v>
      </c>
      <c r="D193" s="89" t="str">
        <f ca="1">VLOOKUP(B193,'Insumos e Serviços'!$A:$F,4,0)</f>
        <v>MASSA ÚNICA, PARA RECEBIMENTO DE PINTURA, EM ARGAMASSA TRAÇO 1:2:8, PREPARO MECÂNICO COM BETONEIRA 400L, APLICADA MANUALMENTE EM FACES INTERNAS DE PAREDES, ESPESSURA DE 20MM, COM EXECUÇÃO DE TALISCAS. AF_06/2014</v>
      </c>
      <c r="E193" s="88" t="str">
        <f ca="1">VLOOKUP(B193,'Insumos e Serviços'!$A:$F,5,0)</f>
        <v>m²</v>
      </c>
      <c r="F193" s="109">
        <v>1.26</v>
      </c>
      <c r="G193" s="91">
        <f ca="1">VLOOKUP(B193,'Insumos e Serviços'!$A:$F,6,0)</f>
        <v>31.38</v>
      </c>
      <c r="H193" s="91">
        <f>TRUNC(F193*G193,2)</f>
        <v>39.53</v>
      </c>
    </row>
    <row r="194" spans="1:8" ht="15" thickTop="1">
      <c r="A194" s="4"/>
      <c r="B194" s="4"/>
      <c r="C194" s="4"/>
      <c r="D194" s="4"/>
      <c r="E194" s="4"/>
      <c r="F194" s="4"/>
      <c r="G194" s="4"/>
      <c r="H194" s="4"/>
    </row>
    <row r="195" spans="1:8" ht="22.5">
      <c r="A195" s="103" t="s">
        <v>177</v>
      </c>
      <c r="B195" s="104" t="str">
        <f ca="1">VLOOKUP(A195,'Orçamento Sintético'!$A:$H,2,0)</f>
        <v xml:space="preserve"> MPDFT1109 </v>
      </c>
      <c r="C195" s="104" t="str">
        <f ca="1">VLOOKUP(A195,'Orçamento Sintético'!$A:$H,3,0)</f>
        <v>Próprio</v>
      </c>
      <c r="D195" s="105" t="str">
        <f ca="1">VLOOKUP(A195,'Orçamento Sintético'!$A:$H,4,0)</f>
        <v>Copia da SINAPI (73881/001) - Instalação de Geomanta drenante sobre proteção mecânica.</v>
      </c>
      <c r="E195" s="104" t="str">
        <f ca="1">VLOOKUP(A195,'Orçamento Sintético'!$A:$H,5,0)</f>
        <v>m²</v>
      </c>
      <c r="F195" s="106"/>
      <c r="G195" s="107"/>
      <c r="H195" s="108">
        <f>SUM(H196:H197)</f>
        <v>6.89</v>
      </c>
    </row>
    <row r="196" spans="1:8">
      <c r="A196" s="89" t="str">
        <f ca="1">VLOOKUP(B196,'Insumos e Serviços'!$A:$F,3,0)</f>
        <v>Composição</v>
      </c>
      <c r="B196" s="97" t="s">
        <v>310</v>
      </c>
      <c r="C196" s="88" t="str">
        <f ca="1">VLOOKUP(B196,'Insumos e Serviços'!$A:$F,2,0)</f>
        <v>SINAPI</v>
      </c>
      <c r="D196" s="89" t="str">
        <f ca="1">VLOOKUP(B196,'Insumos e Serviços'!$A:$F,4,0)</f>
        <v>SERVENTE COM ENCARGOS COMPLEMENTARES</v>
      </c>
      <c r="E196" s="88" t="str">
        <f ca="1">VLOOKUP(B196,'Insumos e Serviços'!$A:$F,5,0)</f>
        <v>H</v>
      </c>
      <c r="F196" s="109">
        <v>0.02</v>
      </c>
      <c r="G196" s="91">
        <f ca="1">VLOOKUP(B196,'Insumos e Serviços'!$A:$F,6,0)</f>
        <v>17.61</v>
      </c>
      <c r="H196" s="91">
        <f>TRUNC(F196*G196,2)</f>
        <v>0.35</v>
      </c>
    </row>
    <row r="197" spans="1:8" ht="23.25" thickBot="1">
      <c r="A197" s="89" t="str">
        <f ca="1">VLOOKUP(B197,'Insumos e Serviços'!$A:$F,3,0)</f>
        <v>Insumo</v>
      </c>
      <c r="B197" s="97" t="s">
        <v>386</v>
      </c>
      <c r="C197" s="88" t="str">
        <f ca="1">VLOOKUP(B197,'Insumos e Serviços'!$A:$F,2,0)</f>
        <v>SINAPI</v>
      </c>
      <c r="D197" s="89" t="str">
        <f ca="1">VLOOKUP(B197,'Insumos e Serviços'!$A:$F,4,0)</f>
        <v>GEOTEXTIL NAO TECIDO AGULHADO DE FILAMENTOS CONTINUOS 100% POLIESTER, RESITENCIA A TRACAO = 14 KN/M</v>
      </c>
      <c r="E197" s="88" t="str">
        <f ca="1">VLOOKUP(B197,'Insumos e Serviços'!$A:$F,5,0)</f>
        <v>m²</v>
      </c>
      <c r="F197" s="109">
        <v>1.05</v>
      </c>
      <c r="G197" s="91">
        <f ca="1">VLOOKUP(B197,'Insumos e Serviços'!$A:$F,6,0)</f>
        <v>6.23</v>
      </c>
      <c r="H197" s="91">
        <f>TRUNC(F197*G197,2)</f>
        <v>6.54</v>
      </c>
    </row>
    <row r="198" spans="1:8" ht="15" thickTop="1">
      <c r="A198" s="4"/>
      <c r="B198" s="4"/>
      <c r="C198" s="4"/>
      <c r="D198" s="4"/>
      <c r="E198" s="4"/>
      <c r="F198" s="4"/>
      <c r="G198" s="4"/>
      <c r="H198" s="4"/>
    </row>
    <row r="199" spans="1:8">
      <c r="A199" s="110" t="s">
        <v>180</v>
      </c>
      <c r="B199" s="111"/>
      <c r="C199" s="110"/>
      <c r="D199" s="110" t="s">
        <v>181</v>
      </c>
      <c r="E199" s="111"/>
      <c r="F199" s="112"/>
      <c r="G199" s="113"/>
      <c r="H199" s="113"/>
    </row>
    <row r="200" spans="1:8" ht="22.5">
      <c r="A200" s="103" t="s">
        <v>182</v>
      </c>
      <c r="B200" s="104" t="str">
        <f ca="1">VLOOKUP(A200,'Orçamento Sintético'!$A:$H,2,0)</f>
        <v xml:space="preserve"> MPDFT1095 </v>
      </c>
      <c r="C200" s="104" t="str">
        <f ca="1">VLOOKUP(A200,'Orçamento Sintético'!$A:$H,3,0)</f>
        <v>Próprio</v>
      </c>
      <c r="D200" s="105" t="str">
        <f ca="1">VLOOKUP(A200,'Orçamento Sintético'!$A:$H,4,0)</f>
        <v>Baseado da ORSE (12979) - Recolocação de Guarda-corpo em tubo de aço galvanizado de 1,1m de altura</v>
      </c>
      <c r="E200" s="104" t="str">
        <f ca="1">VLOOKUP(A200,'Orçamento Sintético'!$A:$H,5,0)</f>
        <v>m</v>
      </c>
      <c r="F200" s="106"/>
      <c r="G200" s="107"/>
      <c r="H200" s="108">
        <f>SUM(H201:H205)</f>
        <v>69</v>
      </c>
    </row>
    <row r="201" spans="1:8">
      <c r="A201" s="89" t="str">
        <f ca="1">VLOOKUP(B201,'Insumos e Serviços'!$A:$F,3,0)</f>
        <v>Composição</v>
      </c>
      <c r="B201" s="97" t="s">
        <v>318</v>
      </c>
      <c r="C201" s="88" t="str">
        <f ca="1">VLOOKUP(B201,'Insumos e Serviços'!$A:$F,2,0)</f>
        <v>SINAPI</v>
      </c>
      <c r="D201" s="89" t="str">
        <f ca="1">VLOOKUP(B201,'Insumos e Serviços'!$A:$F,4,0)</f>
        <v>PEDREIRO COM ENCARGOS COMPLEMENTARES</v>
      </c>
      <c r="E201" s="88" t="str">
        <f ca="1">VLOOKUP(B201,'Insumos e Serviços'!$A:$F,5,0)</f>
        <v>H</v>
      </c>
      <c r="F201" s="109">
        <v>1</v>
      </c>
      <c r="G201" s="91">
        <f ca="1">VLOOKUP(B201,'Insumos e Serviços'!$A:$F,6,0)</f>
        <v>23.9</v>
      </c>
      <c r="H201" s="91">
        <f>TRUNC(F201*G201,2)</f>
        <v>23.9</v>
      </c>
    </row>
    <row r="202" spans="1:8">
      <c r="A202" s="89" t="str">
        <f ca="1">VLOOKUP(B202,'Insumos e Serviços'!$A:$F,3,0)</f>
        <v>Composição</v>
      </c>
      <c r="B202" s="97" t="s">
        <v>310</v>
      </c>
      <c r="C202" s="88" t="str">
        <f ca="1">VLOOKUP(B202,'Insumos e Serviços'!$A:$F,2,0)</f>
        <v>SINAPI</v>
      </c>
      <c r="D202" s="89" t="str">
        <f ca="1">VLOOKUP(B202,'Insumos e Serviços'!$A:$F,4,0)</f>
        <v>SERVENTE COM ENCARGOS COMPLEMENTARES</v>
      </c>
      <c r="E202" s="88" t="str">
        <f ca="1">VLOOKUP(B202,'Insumos e Serviços'!$A:$F,5,0)</f>
        <v>H</v>
      </c>
      <c r="F202" s="109">
        <v>1</v>
      </c>
      <c r="G202" s="91">
        <f ca="1">VLOOKUP(B202,'Insumos e Serviços'!$A:$F,6,0)</f>
        <v>17.61</v>
      </c>
      <c r="H202" s="91">
        <f>TRUNC(F202*G202,2)</f>
        <v>17.61</v>
      </c>
    </row>
    <row r="203" spans="1:8">
      <c r="A203" s="89" t="str">
        <f ca="1">VLOOKUP(B203,'Insumos e Serviços'!$A:$F,3,0)</f>
        <v>Composição</v>
      </c>
      <c r="B203" s="97" t="s">
        <v>382</v>
      </c>
      <c r="C203" s="88" t="str">
        <f ca="1">VLOOKUP(B203,'Insumos e Serviços'!$A:$F,2,0)</f>
        <v>SINAPI</v>
      </c>
      <c r="D203" s="89" t="str">
        <f ca="1">VLOOKUP(B203,'Insumos e Serviços'!$A:$F,4,0)</f>
        <v>SERRALHEIRO COM ENCARGOS COMPLEMENTARES</v>
      </c>
      <c r="E203" s="88" t="str">
        <f ca="1">VLOOKUP(B203,'Insumos e Serviços'!$A:$F,5,0)</f>
        <v>H</v>
      </c>
      <c r="F203" s="109">
        <v>1</v>
      </c>
      <c r="G203" s="91">
        <f ca="1">VLOOKUP(B203,'Insumos e Serviços'!$A:$F,6,0)</f>
        <v>23.78</v>
      </c>
      <c r="H203" s="91">
        <f>TRUNC(F203*G203,2)</f>
        <v>23.78</v>
      </c>
    </row>
    <row r="204" spans="1:8">
      <c r="A204" s="89" t="str">
        <f ca="1">VLOOKUP(B204,'Insumos e Serviços'!$A:$F,3,0)</f>
        <v>Insumo</v>
      </c>
      <c r="B204" s="97" t="s">
        <v>376</v>
      </c>
      <c r="C204" s="88" t="str">
        <f ca="1">VLOOKUP(B204,'Insumos e Serviços'!$A:$F,2,0)</f>
        <v>SINAPI</v>
      </c>
      <c r="D204" s="89" t="str">
        <f ca="1">VLOOKUP(B204,'Insumos e Serviços'!$A:$F,4,0)</f>
        <v>ELETRODO REVESTIDO AWS - E6013, DIAMETRO IGUAL A 2,50 MM</v>
      </c>
      <c r="E204" s="88" t="str">
        <f ca="1">VLOOKUP(B204,'Insumos e Serviços'!$A:$F,5,0)</f>
        <v>KG</v>
      </c>
      <c r="F204" s="109">
        <v>6.7999999999999996E-3</v>
      </c>
      <c r="G204" s="91">
        <f ca="1">VLOOKUP(B204,'Insumos e Serviços'!$A:$F,6,0)</f>
        <v>19.09</v>
      </c>
      <c r="H204" s="91">
        <f>TRUNC(F204*G204,2)</f>
        <v>0.12</v>
      </c>
    </row>
    <row r="205" spans="1:8" ht="15" thickBot="1">
      <c r="A205" s="89" t="str">
        <f ca="1">VLOOKUP(B205,'Insumos e Serviços'!$A:$F,3,0)</f>
        <v>Insumo</v>
      </c>
      <c r="B205" s="97" t="s">
        <v>374</v>
      </c>
      <c r="C205" s="88" t="str">
        <f ca="1">VLOOKUP(B205,'Insumos e Serviços'!$A:$F,2,0)</f>
        <v>SINAPI</v>
      </c>
      <c r="D205" s="89" t="str">
        <f ca="1">VLOOKUP(B205,'Insumos e Serviços'!$A:$F,4,0)</f>
        <v>PARAFUSO DE ACO TIPO CHUMBADOR PARABOLT, DIAMETRO 3/8", COMPRIMENTO 75 MM</v>
      </c>
      <c r="E205" s="88" t="str">
        <f ca="1">VLOOKUP(B205,'Insumos e Serviços'!$A:$F,5,0)</f>
        <v>UN</v>
      </c>
      <c r="F205" s="109">
        <v>2.72</v>
      </c>
      <c r="G205" s="91">
        <f ca="1">VLOOKUP(B205,'Insumos e Serviços'!$A:$F,6,0)</f>
        <v>1.32</v>
      </c>
      <c r="H205" s="91">
        <f>TRUNC(F205*G205,2)</f>
        <v>3.59</v>
      </c>
    </row>
    <row r="206" spans="1:8" ht="15" thickTop="1">
      <c r="A206" s="4"/>
      <c r="B206" s="4"/>
      <c r="C206" s="4"/>
      <c r="D206" s="4"/>
      <c r="E206" s="4"/>
      <c r="F206" s="4"/>
      <c r="G206" s="4"/>
      <c r="H206" s="4"/>
    </row>
    <row r="207" spans="1:8">
      <c r="A207" s="103" t="s">
        <v>185</v>
      </c>
      <c r="B207" s="104" t="str">
        <f ca="1">VLOOKUP(A207,'Orçamento Sintético'!$A:$H,2,0)</f>
        <v xml:space="preserve"> MPDFT1110 </v>
      </c>
      <c r="C207" s="104" t="str">
        <f ca="1">VLOOKUP(A207,'Orçamento Sintético'!$A:$H,3,0)</f>
        <v>Próprio</v>
      </c>
      <c r="D207" s="105" t="str">
        <f ca="1">VLOOKUP(A207,'Orçamento Sintético'!$A:$H,4,0)</f>
        <v>Copia da SINAPI (99839) - Recomposição de Guarda corpo em aço Galvanizado</v>
      </c>
      <c r="E207" s="104" t="str">
        <f ca="1">VLOOKUP(A207,'Orçamento Sintético'!$A:$H,5,0)</f>
        <v>M</v>
      </c>
      <c r="F207" s="106"/>
      <c r="G207" s="107"/>
      <c r="H207" s="108">
        <f>SUM(H208:H215)</f>
        <v>499.35</v>
      </c>
    </row>
    <row r="208" spans="1:8">
      <c r="A208" s="89" t="str">
        <f ca="1">VLOOKUP(B208,'Insumos e Serviços'!$A:$F,3,0)</f>
        <v>Composição</v>
      </c>
      <c r="B208" s="97" t="s">
        <v>384</v>
      </c>
      <c r="C208" s="88" t="str">
        <f ca="1">VLOOKUP(B208,'Insumos e Serviços'!$A:$F,2,0)</f>
        <v>SINAPI</v>
      </c>
      <c r="D208" s="89" t="str">
        <f ca="1">VLOOKUP(B208,'Insumos e Serviços'!$A:$F,4,0)</f>
        <v>AUXILIAR DE SERRALHEIRO COM ENCARGOS COMPLEMENTARES</v>
      </c>
      <c r="E208" s="88" t="str">
        <f ca="1">VLOOKUP(B208,'Insumos e Serviços'!$A:$F,5,0)</f>
        <v>H</v>
      </c>
      <c r="F208" s="109">
        <v>4.7480000000000002</v>
      </c>
      <c r="G208" s="91">
        <f ca="1">VLOOKUP(B208,'Insumos e Serviços'!$A:$F,6,0)</f>
        <v>19.309999999999999</v>
      </c>
      <c r="H208" s="91">
        <f t="shared" ref="H208:H215" si="5">TRUNC(F208*G208,2)</f>
        <v>91.68</v>
      </c>
    </row>
    <row r="209" spans="1:8">
      <c r="A209" s="89" t="str">
        <f ca="1">VLOOKUP(B209,'Insumos e Serviços'!$A:$F,3,0)</f>
        <v>Composição</v>
      </c>
      <c r="B209" s="97" t="s">
        <v>382</v>
      </c>
      <c r="C209" s="88" t="str">
        <f ca="1">VLOOKUP(B209,'Insumos e Serviços'!$A:$F,2,0)</f>
        <v>SINAPI</v>
      </c>
      <c r="D209" s="89" t="str">
        <f ca="1">VLOOKUP(B209,'Insumos e Serviços'!$A:$F,4,0)</f>
        <v>SERRALHEIRO COM ENCARGOS COMPLEMENTARES</v>
      </c>
      <c r="E209" s="88" t="str">
        <f ca="1">VLOOKUP(B209,'Insumos e Serviços'!$A:$F,5,0)</f>
        <v>H</v>
      </c>
      <c r="F209" s="109">
        <v>5.78</v>
      </c>
      <c r="G209" s="91">
        <f ca="1">VLOOKUP(B209,'Insumos e Serviços'!$A:$F,6,0)</f>
        <v>23.78</v>
      </c>
      <c r="H209" s="91">
        <f t="shared" si="5"/>
        <v>137.44</v>
      </c>
    </row>
    <row r="210" spans="1:8">
      <c r="A210" s="89" t="str">
        <f ca="1">VLOOKUP(B210,'Insumos e Serviços'!$A:$F,3,0)</f>
        <v>Insumo</v>
      </c>
      <c r="B210" s="97" t="s">
        <v>380</v>
      </c>
      <c r="C210" s="88" t="str">
        <f ca="1">VLOOKUP(B210,'Insumos e Serviços'!$A:$F,2,0)</f>
        <v>SINAPI</v>
      </c>
      <c r="D210" s="89" t="str">
        <f ca="1">VLOOKUP(B210,'Insumos e Serviços'!$A:$F,4,0)</f>
        <v>BARRA DE FERRO CHATA, RETANGULAR (QUALQUER BITOLA)</v>
      </c>
      <c r="E210" s="88" t="str">
        <f ca="1">VLOOKUP(B210,'Insumos e Serviços'!$A:$F,5,0)</f>
        <v>KG</v>
      </c>
      <c r="F210" s="109">
        <v>9.2240000000000002</v>
      </c>
      <c r="G210" s="91">
        <f ca="1">VLOOKUP(B210,'Insumos e Serviços'!$A:$F,6,0)</f>
        <v>12.5</v>
      </c>
      <c r="H210" s="91">
        <f t="shared" si="5"/>
        <v>115.3</v>
      </c>
    </row>
    <row r="211" spans="1:8">
      <c r="A211" s="89" t="str">
        <f ca="1">VLOOKUP(B211,'Insumos e Serviços'!$A:$F,3,0)</f>
        <v>Insumo</v>
      </c>
      <c r="B211" s="97" t="s">
        <v>378</v>
      </c>
      <c r="C211" s="88" t="str">
        <f ca="1">VLOOKUP(B211,'Insumos e Serviços'!$A:$F,2,0)</f>
        <v>SINAPI</v>
      </c>
      <c r="D211" s="89" t="str">
        <f ca="1">VLOOKUP(B211,'Insumos e Serviços'!$A:$F,4,0)</f>
        <v>CHAPA DE ACO GROSSA, ASTM A36, E = 3/8 " (9,53 MM) 74,69 KG/M2</v>
      </c>
      <c r="E211" s="88" t="str">
        <f ca="1">VLOOKUP(B211,'Insumos e Serviços'!$A:$F,5,0)</f>
        <v>KG</v>
      </c>
      <c r="F211" s="109">
        <v>0.89600000000000002</v>
      </c>
      <c r="G211" s="91">
        <f ca="1">VLOOKUP(B211,'Insumos e Serviços'!$A:$F,6,0)</f>
        <v>11.56</v>
      </c>
      <c r="H211" s="91">
        <f t="shared" si="5"/>
        <v>10.35</v>
      </c>
    </row>
    <row r="212" spans="1:8">
      <c r="A212" s="89" t="str">
        <f ca="1">VLOOKUP(B212,'Insumos e Serviços'!$A:$F,3,0)</f>
        <v>Insumo</v>
      </c>
      <c r="B212" s="97" t="s">
        <v>376</v>
      </c>
      <c r="C212" s="88" t="str">
        <f ca="1">VLOOKUP(B212,'Insumos e Serviços'!$A:$F,2,0)</f>
        <v>SINAPI</v>
      </c>
      <c r="D212" s="89" t="str">
        <f ca="1">VLOOKUP(B212,'Insumos e Serviços'!$A:$F,4,0)</f>
        <v>ELETRODO REVESTIDO AWS - E6013, DIAMETRO IGUAL A 2,50 MM</v>
      </c>
      <c r="E212" s="88" t="str">
        <f ca="1">VLOOKUP(B212,'Insumos e Serviços'!$A:$F,5,0)</f>
        <v>KG</v>
      </c>
      <c r="F212" s="109">
        <v>7.0999999999999994E-2</v>
      </c>
      <c r="G212" s="91">
        <f ca="1">VLOOKUP(B212,'Insumos e Serviços'!$A:$F,6,0)</f>
        <v>19.09</v>
      </c>
      <c r="H212" s="91">
        <f t="shared" si="5"/>
        <v>1.35</v>
      </c>
    </row>
    <row r="213" spans="1:8">
      <c r="A213" s="89" t="str">
        <f ca="1">VLOOKUP(B213,'Insumos e Serviços'!$A:$F,3,0)</f>
        <v>Insumo</v>
      </c>
      <c r="B213" s="97" t="s">
        <v>374</v>
      </c>
      <c r="C213" s="88" t="str">
        <f ca="1">VLOOKUP(B213,'Insumos e Serviços'!$A:$F,2,0)</f>
        <v>SINAPI</v>
      </c>
      <c r="D213" s="89" t="str">
        <f ca="1">VLOOKUP(B213,'Insumos e Serviços'!$A:$F,4,0)</f>
        <v>PARAFUSO DE ACO TIPO CHUMBADOR PARABOLT, DIAMETRO 3/8", COMPRIMENTO 75 MM</v>
      </c>
      <c r="E213" s="88" t="str">
        <f ca="1">VLOOKUP(B213,'Insumos e Serviços'!$A:$F,5,0)</f>
        <v>UN</v>
      </c>
      <c r="F213" s="109">
        <v>3.3330000000000002</v>
      </c>
      <c r="G213" s="91">
        <f ca="1">VLOOKUP(B213,'Insumos e Serviços'!$A:$F,6,0)</f>
        <v>1.32</v>
      </c>
      <c r="H213" s="91">
        <f t="shared" si="5"/>
        <v>4.3899999999999997</v>
      </c>
    </row>
    <row r="214" spans="1:8" ht="22.5">
      <c r="A214" s="89" t="str">
        <f ca="1">VLOOKUP(B214,'Insumos e Serviços'!$A:$F,3,0)</f>
        <v>Insumo</v>
      </c>
      <c r="B214" s="97" t="s">
        <v>372</v>
      </c>
      <c r="C214" s="88" t="str">
        <f ca="1">VLOOKUP(B214,'Insumos e Serviços'!$A:$F,2,0)</f>
        <v>SINAPI</v>
      </c>
      <c r="D214" s="89" t="str">
        <f ca="1">VLOOKUP(B214,'Insumos e Serviços'!$A:$F,4,0)</f>
        <v>TUBO ACO GALVANIZADO COM COSTURA, CLASSE LEVE, DN 40 MM ( 1 1/2"),  E = 3,00 MM,  *3,48* KG/M (NBR 5580)</v>
      </c>
      <c r="E214" s="88" t="str">
        <f ca="1">VLOOKUP(B214,'Insumos e Serviços'!$A:$F,5,0)</f>
        <v>M</v>
      </c>
      <c r="F214" s="109">
        <v>0.9</v>
      </c>
      <c r="G214" s="91">
        <f ca="1">VLOOKUP(B214,'Insumos e Serviços'!$A:$F,6,0)</f>
        <v>61.91</v>
      </c>
      <c r="H214" s="91">
        <f t="shared" si="5"/>
        <v>55.71</v>
      </c>
    </row>
    <row r="215" spans="1:8" ht="23.25" thickBot="1">
      <c r="A215" s="89" t="str">
        <f ca="1">VLOOKUP(B215,'Insumos e Serviços'!$A:$F,3,0)</f>
        <v>Insumo</v>
      </c>
      <c r="B215" s="97" t="s">
        <v>370</v>
      </c>
      <c r="C215" s="88" t="str">
        <f ca="1">VLOOKUP(B215,'Insumos e Serviços'!$A:$F,2,0)</f>
        <v>SINAPI</v>
      </c>
      <c r="D215" s="89" t="str">
        <f ca="1">VLOOKUP(B215,'Insumos e Serviços'!$A:$F,4,0)</f>
        <v>TUBO ACO GALVANIZADO COM COSTURA, CLASSE LEVE, DN 50 MM ( 2"),  E = 3,00 MM,  *4,40* KG/M (NBR 5580)</v>
      </c>
      <c r="E215" s="88" t="str">
        <f ca="1">VLOOKUP(B215,'Insumos e Serviços'!$A:$F,5,0)</f>
        <v>M</v>
      </c>
      <c r="F215" s="109">
        <v>1.0289999999999999</v>
      </c>
      <c r="G215" s="91">
        <f ca="1">VLOOKUP(B215,'Insumos e Serviços'!$A:$F,6,0)</f>
        <v>80.790000000000006</v>
      </c>
      <c r="H215" s="91">
        <f t="shared" si="5"/>
        <v>83.13</v>
      </c>
    </row>
    <row r="216" spans="1:8" ht="15" thickTop="1">
      <c r="A216" s="4"/>
      <c r="B216" s="4"/>
      <c r="C216" s="4"/>
      <c r="D216" s="4"/>
      <c r="E216" s="4"/>
      <c r="F216" s="4"/>
      <c r="G216" s="4"/>
      <c r="H216" s="4"/>
    </row>
    <row r="217" spans="1:8">
      <c r="A217" s="84" t="s">
        <v>188</v>
      </c>
      <c r="B217" s="84"/>
      <c r="C217" s="84"/>
      <c r="D217" s="84" t="s">
        <v>189</v>
      </c>
      <c r="E217" s="84"/>
      <c r="F217" s="85"/>
      <c r="G217" s="84"/>
      <c r="H217" s="86"/>
    </row>
    <row r="218" spans="1:8">
      <c r="A218" s="110" t="s">
        <v>190</v>
      </c>
      <c r="B218" s="111"/>
      <c r="C218" s="110"/>
      <c r="D218" s="110" t="s">
        <v>191</v>
      </c>
      <c r="E218" s="111"/>
      <c r="F218" s="112"/>
      <c r="G218" s="113"/>
      <c r="H218" s="113"/>
    </row>
    <row r="219" spans="1:8">
      <c r="A219" s="103" t="s">
        <v>192</v>
      </c>
      <c r="B219" s="104" t="str">
        <f ca="1">VLOOKUP(A219,'Orçamento Sintético'!$A:$H,2,0)</f>
        <v xml:space="preserve"> MPDFT0943 </v>
      </c>
      <c r="C219" s="104" t="str">
        <f ca="1">VLOOKUP(A219,'Orçamento Sintético'!$A:$H,3,0)</f>
        <v>Próprio</v>
      </c>
      <c r="D219" s="105" t="str">
        <f ca="1">VLOOKUP(A219,'Orçamento Sintético'!$A:$H,4,0)</f>
        <v>Baseado em SIURB (010211) - Carga manual e remoção de terra ou entulho</v>
      </c>
      <c r="E219" s="104" t="str">
        <f ca="1">VLOOKUP(A219,'Orçamento Sintético'!$A:$H,5,0)</f>
        <v>m³</v>
      </c>
      <c r="F219" s="106"/>
      <c r="G219" s="107"/>
      <c r="H219" s="108">
        <f>SUM(H220)</f>
        <v>21.13</v>
      </c>
    </row>
    <row r="220" spans="1:8" ht="15" thickBot="1">
      <c r="A220" s="89" t="str">
        <f ca="1">VLOOKUP(B220,'Insumos e Serviços'!$A:$F,3,0)</f>
        <v>Composição</v>
      </c>
      <c r="B220" s="97" t="s">
        <v>310</v>
      </c>
      <c r="C220" s="88" t="str">
        <f ca="1">VLOOKUP(B220,'Insumos e Serviços'!$A:$F,2,0)</f>
        <v>SINAPI</v>
      </c>
      <c r="D220" s="89" t="str">
        <f ca="1">VLOOKUP(B220,'Insumos e Serviços'!$A:$F,4,0)</f>
        <v>SERVENTE COM ENCARGOS COMPLEMENTARES</v>
      </c>
      <c r="E220" s="88" t="str">
        <f ca="1">VLOOKUP(B220,'Insumos e Serviços'!$A:$F,5,0)</f>
        <v>H</v>
      </c>
      <c r="F220" s="109">
        <v>1.2</v>
      </c>
      <c r="G220" s="91">
        <f ca="1">VLOOKUP(B220,'Insumos e Serviços'!$A:$F,6,0)</f>
        <v>17.61</v>
      </c>
      <c r="H220" s="91">
        <f>TRUNC(F220*G220,2)</f>
        <v>21.13</v>
      </c>
    </row>
    <row r="221" spans="1:8" ht="15" thickTop="1">
      <c r="A221" s="4"/>
      <c r="B221" s="4"/>
      <c r="C221" s="4"/>
      <c r="D221" s="4"/>
      <c r="E221" s="4"/>
      <c r="F221" s="4"/>
      <c r="G221" s="4"/>
      <c r="H221" s="4"/>
    </row>
    <row r="222" spans="1:8" ht="22.5">
      <c r="A222" s="103" t="s">
        <v>193</v>
      </c>
      <c r="B222" s="104" t="str">
        <f ca="1">VLOOKUP(A222,'Orçamento Sintético'!$A:$H,2,0)</f>
        <v xml:space="preserve"> MPDFT0591 </v>
      </c>
      <c r="C222" s="104" t="str">
        <f ca="1">VLOOKUP(A222,'Orçamento Sintético'!$A:$H,3,0)</f>
        <v>Próprio</v>
      </c>
      <c r="D222" s="105" t="str">
        <f ca="1">VLOOKUP(A222,'Orçamento Sintético'!$A:$H,4,0)</f>
        <v>Carga, descarga e espalhamento de solo, inclusive transporte em caminhão basculante 14 m3, DMT 20km</v>
      </c>
      <c r="E222" s="104" t="str">
        <f ca="1">VLOOKUP(A222,'Orçamento Sintético'!$A:$H,5,0)</f>
        <v>m³</v>
      </c>
      <c r="F222" s="106"/>
      <c r="G222" s="107"/>
      <c r="H222" s="108">
        <f>SUM(H223:H226)</f>
        <v>54.44</v>
      </c>
    </row>
    <row r="223" spans="1:8" ht="22.5">
      <c r="A223" s="89" t="str">
        <f ca="1">VLOOKUP(B223,'Insumos e Serviços'!$A:$F,3,0)</f>
        <v>Composição</v>
      </c>
      <c r="B223" s="97" t="s">
        <v>368</v>
      </c>
      <c r="C223" s="88" t="str">
        <f ca="1">VLOOKUP(B223,'Insumos e Serviços'!$A:$F,2,0)</f>
        <v>SINAPI</v>
      </c>
      <c r="D223" s="89" t="str">
        <f ca="1">VLOOKUP(B223,'Insumos e Serviços'!$A:$F,4,0)</f>
        <v>TRANSPORTE HORIZONTAL COM CARREGADEIRA, DE MASSA/ GRANEL (UNIDADE: M3XKM). AF_07/2019</v>
      </c>
      <c r="E223" s="88" t="str">
        <f ca="1">VLOOKUP(B223,'Insumos e Serviços'!$A:$F,5,0)</f>
        <v>M3XKM</v>
      </c>
      <c r="F223" s="109">
        <v>0.03</v>
      </c>
      <c r="G223" s="91">
        <f ca="1">VLOOKUP(B223,'Insumos e Serviços'!$A:$F,6,0)</f>
        <v>327.25</v>
      </c>
      <c r="H223" s="91">
        <f>TRUNC(F223*G223,2)</f>
        <v>9.81</v>
      </c>
    </row>
    <row r="224" spans="1:8" ht="22.5">
      <c r="A224" s="89" t="str">
        <f ca="1">VLOOKUP(B224,'Insumos e Serviços'!$A:$F,3,0)</f>
        <v>Composição</v>
      </c>
      <c r="B224" s="97" t="s">
        <v>366</v>
      </c>
      <c r="C224" s="88" t="str">
        <f ca="1">VLOOKUP(B224,'Insumos e Serviços'!$A:$F,2,0)</f>
        <v>SINAPI</v>
      </c>
      <c r="D224" s="89" t="str">
        <f ca="1">VLOOKUP(B224,'Insumos e Serviços'!$A:$F,4,0)</f>
        <v>TRANSPORTE COM CAMINHÃO BASCULANTE DE 14 M³, EM VIA URBANA PAVIMENTADA, DMT ATÉ 30 KM (UNIDADE: M3XKM). AF_07/2020</v>
      </c>
      <c r="E224" s="88" t="str">
        <f ca="1">VLOOKUP(B224,'Insumos e Serviços'!$A:$F,5,0)</f>
        <v>M3XKM</v>
      </c>
      <c r="F224" s="109">
        <v>20</v>
      </c>
      <c r="G224" s="91">
        <f ca="1">VLOOKUP(B224,'Insumos e Serviços'!$A:$F,6,0)</f>
        <v>1.52</v>
      </c>
      <c r="H224" s="91">
        <f>TRUNC(F224*G224,2)</f>
        <v>30.4</v>
      </c>
    </row>
    <row r="225" spans="1:8" ht="33.75">
      <c r="A225" s="89" t="str">
        <f ca="1">VLOOKUP(B225,'Insumos e Serviços'!$A:$F,3,0)</f>
        <v>Composição</v>
      </c>
      <c r="B225" s="97" t="s">
        <v>363</v>
      </c>
      <c r="C225" s="88" t="str">
        <f ca="1">VLOOKUP(B225,'Insumos e Serviços'!$A:$F,2,0)</f>
        <v>SINAPI</v>
      </c>
      <c r="D225" s="89" t="str">
        <f ca="1">VLOOKUP(B225,'Insumos e Serviços'!$A:$F,4,0)</f>
        <v>CARGA, MANOBRA E DESCARGA DE SOLOS E MATERIAIS GRANULARES EM CAMINHÃO BASCULANTE 14 M³ - CARGA COM ESCAVADEIRA HIDRÁULICA (CAÇAMBA DE 1,20 M³ / 155 HP) E DESCARGA LIVRE (UNIDADE: M3). AF_07/2020</v>
      </c>
      <c r="E225" s="88" t="str">
        <f ca="1">VLOOKUP(B225,'Insumos e Serviços'!$A:$F,5,0)</f>
        <v>m³</v>
      </c>
      <c r="F225" s="109">
        <v>1</v>
      </c>
      <c r="G225" s="91">
        <f ca="1">VLOOKUP(B225,'Insumos e Serviços'!$A:$F,6,0)</f>
        <v>4.6100000000000003</v>
      </c>
      <c r="H225" s="91">
        <f>TRUNC(F225*G225,2)</f>
        <v>4.6100000000000003</v>
      </c>
    </row>
    <row r="226" spans="1:8" ht="23.25" thickBot="1">
      <c r="A226" s="89" t="str">
        <f ca="1">VLOOKUP(B226,'Insumos e Serviços'!$A:$F,3,0)</f>
        <v>Insumo</v>
      </c>
      <c r="B226" s="97" t="s">
        <v>361</v>
      </c>
      <c r="C226" s="88" t="str">
        <f ca="1">VLOOKUP(B226,'Insumos e Serviços'!$A:$F,2,0)</f>
        <v>SINAPI</v>
      </c>
      <c r="D226" s="89" t="str">
        <f ca="1">VLOOKUP(B226,'Insumos e Serviços'!$A:$F,4,0)</f>
        <v>ARGILA, ARGILA VERMELHA OU ARGILA ARENOSA (RETIRADA NA JAZIDA, SEM TRANSPORTE)</v>
      </c>
      <c r="E226" s="88" t="str">
        <f ca="1">VLOOKUP(B226,'Insumos e Serviços'!$A:$F,5,0)</f>
        <v>m³</v>
      </c>
      <c r="F226" s="109">
        <v>1</v>
      </c>
      <c r="G226" s="91">
        <f ca="1">VLOOKUP(B226,'Insumos e Serviços'!$A:$F,6,0)</f>
        <v>9.6199999999999992</v>
      </c>
      <c r="H226" s="91">
        <f>TRUNC(F226*G226,2)</f>
        <v>9.6199999999999992</v>
      </c>
    </row>
    <row r="227" spans="1:8" ht="15" thickTop="1">
      <c r="A227" s="4"/>
      <c r="B227" s="4"/>
      <c r="C227" s="4"/>
      <c r="D227" s="4"/>
      <c r="E227" s="4"/>
      <c r="F227" s="4"/>
      <c r="G227" s="4"/>
      <c r="H227" s="4"/>
    </row>
    <row r="228" spans="1:8">
      <c r="A228" s="110" t="s">
        <v>196</v>
      </c>
      <c r="B228" s="111"/>
      <c r="C228" s="110"/>
      <c r="D228" s="110" t="s">
        <v>197</v>
      </c>
      <c r="E228" s="111"/>
      <c r="F228" s="112"/>
      <c r="G228" s="113"/>
      <c r="H228" s="113"/>
    </row>
    <row r="229" spans="1:8">
      <c r="A229" s="103" t="s">
        <v>201</v>
      </c>
      <c r="B229" s="104" t="str">
        <f ca="1">VLOOKUP(A229,'Orçamento Sintético'!$A:$H,2,0)</f>
        <v xml:space="preserve"> MPDFT1024 </v>
      </c>
      <c r="C229" s="104" t="str">
        <f ca="1">VLOOKUP(A229,'Orçamento Sintético'!$A:$H,3,0)</f>
        <v>Próprio</v>
      </c>
      <c r="D229" s="105" t="str">
        <f ca="1">VLOOKUP(A229,'Orçamento Sintético'!$A:$H,4,0)</f>
        <v>Copia da SINAPI (98504) - REPLANTIO DE GRAMA EM PLACAS.</v>
      </c>
      <c r="E229" s="104" t="str">
        <f ca="1">VLOOKUP(A229,'Orçamento Sintético'!$A:$H,5,0)</f>
        <v>m²</v>
      </c>
      <c r="F229" s="106"/>
      <c r="G229" s="107"/>
      <c r="H229" s="108">
        <f>SUM(H230:H231)</f>
        <v>3.65</v>
      </c>
    </row>
    <row r="230" spans="1:8">
      <c r="A230" s="89" t="str">
        <f ca="1">VLOOKUP(B230,'Insumos e Serviços'!$A:$F,3,0)</f>
        <v>Composição</v>
      </c>
      <c r="B230" s="97" t="s">
        <v>310</v>
      </c>
      <c r="C230" s="88" t="str">
        <f ca="1">VLOOKUP(B230,'Insumos e Serviços'!$A:$F,2,0)</f>
        <v>SINAPI</v>
      </c>
      <c r="D230" s="89" t="str">
        <f ca="1">VLOOKUP(B230,'Insumos e Serviços'!$A:$F,4,0)</f>
        <v>SERVENTE COM ENCARGOS COMPLEMENTARES</v>
      </c>
      <c r="E230" s="88" t="str">
        <f ca="1">VLOOKUP(B230,'Insumos e Serviços'!$A:$F,5,0)</f>
        <v>H</v>
      </c>
      <c r="F230" s="109">
        <v>0.15640000000000001</v>
      </c>
      <c r="G230" s="91">
        <f ca="1">VLOOKUP(B230,'Insumos e Serviços'!$A:$F,6,0)</f>
        <v>17.61</v>
      </c>
      <c r="H230" s="91">
        <f>TRUNC(F230*G230,2)</f>
        <v>2.75</v>
      </c>
    </row>
    <row r="231" spans="1:8" ht="15" thickBot="1">
      <c r="A231" s="89" t="str">
        <f ca="1">VLOOKUP(B231,'Insumos e Serviços'!$A:$F,3,0)</f>
        <v>Composição</v>
      </c>
      <c r="B231" s="97" t="s">
        <v>359</v>
      </c>
      <c r="C231" s="88" t="str">
        <f ca="1">VLOOKUP(B231,'Insumos e Serviços'!$A:$F,2,0)</f>
        <v>SINAPI</v>
      </c>
      <c r="D231" s="89" t="str">
        <f ca="1">VLOOKUP(B231,'Insumos e Serviços'!$A:$F,4,0)</f>
        <v>JARDINEIRO COM ENCARGOS COMPLEMENTARES</v>
      </c>
      <c r="E231" s="88" t="str">
        <f ca="1">VLOOKUP(B231,'Insumos e Serviços'!$A:$F,5,0)</f>
        <v>H</v>
      </c>
      <c r="F231" s="109">
        <v>3.9100000000000003E-2</v>
      </c>
      <c r="G231" s="91">
        <f ca="1">VLOOKUP(B231,'Insumos e Serviços'!$A:$F,6,0)</f>
        <v>23.12</v>
      </c>
      <c r="H231" s="91">
        <f>TRUNC(F231*G231,2)</f>
        <v>0.9</v>
      </c>
    </row>
    <row r="232" spans="1:8" ht="15" thickTop="1">
      <c r="A232" s="4"/>
      <c r="B232" s="4"/>
      <c r="C232" s="4"/>
      <c r="D232" s="4"/>
      <c r="E232" s="4"/>
      <c r="F232" s="4"/>
      <c r="G232" s="4"/>
      <c r="H232" s="4"/>
    </row>
    <row r="233" spans="1:8">
      <c r="A233" s="110" t="s">
        <v>204</v>
      </c>
      <c r="B233" s="111"/>
      <c r="C233" s="110"/>
      <c r="D233" s="110" t="s">
        <v>205</v>
      </c>
      <c r="E233" s="111"/>
      <c r="F233" s="112"/>
      <c r="G233" s="113"/>
      <c r="H233" s="113"/>
    </row>
    <row r="234" spans="1:8" ht="22.5">
      <c r="A234" s="103" t="s">
        <v>209</v>
      </c>
      <c r="B234" s="104" t="str">
        <f ca="1">VLOOKUP(A234,'Orçamento Sintético'!$A:$H,2,0)</f>
        <v xml:space="preserve"> MPDFT0102 </v>
      </c>
      <c r="C234" s="104" t="str">
        <f ca="1">VLOOKUP(A234,'Orçamento Sintético'!$A:$H,3,0)</f>
        <v>Próprio</v>
      </c>
      <c r="D234" s="105" t="str">
        <f ca="1">VLOOKUP(A234,'Orçamento Sintético'!$A:$H,4,0)</f>
        <v>Copia da SBC (030412) - Junta de dilatação para impermeabilização, com asfalto oxidado aplicado à quente, DM 2x2cm</v>
      </c>
      <c r="E234" s="104" t="str">
        <f ca="1">VLOOKUP(A234,'Orçamento Sintético'!$A:$H,5,0)</f>
        <v>m</v>
      </c>
      <c r="F234" s="106"/>
      <c r="G234" s="107"/>
      <c r="H234" s="108">
        <f>SUM(H235:H237)</f>
        <v>13.120000000000001</v>
      </c>
    </row>
    <row r="235" spans="1:8">
      <c r="A235" s="89" t="str">
        <f ca="1">VLOOKUP(B235,'Insumos e Serviços'!$A:$F,3,0)</f>
        <v>Composição</v>
      </c>
      <c r="B235" s="97" t="s">
        <v>318</v>
      </c>
      <c r="C235" s="88" t="str">
        <f ca="1">VLOOKUP(B235,'Insumos e Serviços'!$A:$F,2,0)</f>
        <v>SINAPI</v>
      </c>
      <c r="D235" s="89" t="str">
        <f ca="1">VLOOKUP(B235,'Insumos e Serviços'!$A:$F,4,0)</f>
        <v>PEDREIRO COM ENCARGOS COMPLEMENTARES</v>
      </c>
      <c r="E235" s="88" t="str">
        <f ca="1">VLOOKUP(B235,'Insumos e Serviços'!$A:$F,5,0)</f>
        <v>H</v>
      </c>
      <c r="F235" s="109">
        <v>0.15240000000000001</v>
      </c>
      <c r="G235" s="91">
        <f ca="1">VLOOKUP(B235,'Insumos e Serviços'!$A:$F,6,0)</f>
        <v>23.9</v>
      </c>
      <c r="H235" s="91">
        <f>TRUNC(F235*G235,2)</f>
        <v>3.64</v>
      </c>
    </row>
    <row r="236" spans="1:8">
      <c r="A236" s="89" t="str">
        <f ca="1">VLOOKUP(B236,'Insumos e Serviços'!$A:$F,3,0)</f>
        <v>Composição</v>
      </c>
      <c r="B236" s="97" t="s">
        <v>310</v>
      </c>
      <c r="C236" s="88" t="str">
        <f ca="1">VLOOKUP(B236,'Insumos e Serviços'!$A:$F,2,0)</f>
        <v>SINAPI</v>
      </c>
      <c r="D236" s="89" t="str">
        <f ca="1">VLOOKUP(B236,'Insumos e Serviços'!$A:$F,4,0)</f>
        <v>SERVENTE COM ENCARGOS COMPLEMENTARES</v>
      </c>
      <c r="E236" s="88" t="str">
        <f ca="1">VLOOKUP(B236,'Insumos e Serviços'!$A:$F,5,0)</f>
        <v>H</v>
      </c>
      <c r="F236" s="109">
        <v>0.1784</v>
      </c>
      <c r="G236" s="91">
        <f ca="1">VLOOKUP(B236,'Insumos e Serviços'!$A:$F,6,0)</f>
        <v>17.61</v>
      </c>
      <c r="H236" s="91">
        <f>TRUNC(F236*G236,2)</f>
        <v>3.14</v>
      </c>
    </row>
    <row r="237" spans="1:8" ht="23.25" thickBot="1">
      <c r="A237" s="89" t="str">
        <f ca="1">VLOOKUP(B237,'Insumos e Serviços'!$A:$F,3,0)</f>
        <v>Insumo</v>
      </c>
      <c r="B237" s="97" t="s">
        <v>357</v>
      </c>
      <c r="C237" s="88" t="str">
        <f ca="1">VLOOKUP(B237,'Insumos e Serviços'!$A:$F,2,0)</f>
        <v>SINAPI</v>
      </c>
      <c r="D237" s="89" t="str">
        <f ca="1">VLOOKUP(B237,'Insumos e Serviços'!$A:$F,4,0)</f>
        <v>ASFALTO MODIFICADO TIPO III - NBR 9910 (ASFALTO OXIDADO PARA IMPERMEABILIZACAO, COEFICIENTE DE PENETRACAO 15-25)</v>
      </c>
      <c r="E237" s="88" t="str">
        <f ca="1">VLOOKUP(B237,'Insumos e Serviços'!$A:$F,5,0)</f>
        <v>KG</v>
      </c>
      <c r="F237" s="109">
        <v>0.44</v>
      </c>
      <c r="G237" s="91">
        <f ca="1">VLOOKUP(B237,'Insumos e Serviços'!$A:$F,6,0)</f>
        <v>14.43</v>
      </c>
      <c r="H237" s="91">
        <f>TRUNC(F237*G237,2)</f>
        <v>6.34</v>
      </c>
    </row>
    <row r="238" spans="1:8" ht="15" thickTop="1">
      <c r="A238" s="4"/>
      <c r="B238" s="4"/>
      <c r="C238" s="4"/>
      <c r="D238" s="4"/>
      <c r="E238" s="4"/>
      <c r="F238" s="4"/>
      <c r="G238" s="4"/>
      <c r="H238" s="4"/>
    </row>
    <row r="239" spans="1:8">
      <c r="A239" s="84" t="s">
        <v>212</v>
      </c>
      <c r="B239" s="84"/>
      <c r="C239" s="84"/>
      <c r="D239" s="84" t="s">
        <v>213</v>
      </c>
      <c r="E239" s="84"/>
      <c r="F239" s="85"/>
      <c r="G239" s="84"/>
      <c r="H239" s="86"/>
    </row>
    <row r="240" spans="1:8" ht="22.5">
      <c r="A240" s="103" t="s">
        <v>214</v>
      </c>
      <c r="B240" s="104" t="str">
        <f ca="1">VLOOKUP(A240,'Orçamento Sintético'!$A:$H,2,0)</f>
        <v xml:space="preserve"> MPDFT1023 </v>
      </c>
      <c r="C240" s="104" t="str">
        <f ca="1">VLOOKUP(A240,'Orçamento Sintético'!$A:$H,3,0)</f>
        <v>Próprio</v>
      </c>
      <c r="D240" s="105" t="str">
        <f ca="1">VLOOKUP(A240,'Orçamento Sintético'!$A:$H,4,0)</f>
        <v>Copia da SINAPI (94276) - Assentamento de guia (meio-fio) reaproveitada, em concreto pré-fabricado DM 1,00x15x30, exclusive guia (meio fio)</v>
      </c>
      <c r="E240" s="104" t="str">
        <f ca="1">VLOOKUP(A240,'Orçamento Sintético'!$A:$H,5,0)</f>
        <v>M</v>
      </c>
      <c r="F240" s="106"/>
      <c r="G240" s="107"/>
      <c r="H240" s="108">
        <f>SUM(H241:H244)</f>
        <v>19.78</v>
      </c>
    </row>
    <row r="241" spans="1:8">
      <c r="A241" s="89" t="str">
        <f ca="1">VLOOKUP(B241,'Insumos e Serviços'!$A:$F,3,0)</f>
        <v>Composição</v>
      </c>
      <c r="B241" s="97" t="s">
        <v>318</v>
      </c>
      <c r="C241" s="88" t="str">
        <f ca="1">VLOOKUP(B241,'Insumos e Serviços'!$A:$F,2,0)</f>
        <v>SINAPI</v>
      </c>
      <c r="D241" s="89" t="str">
        <f ca="1">VLOOKUP(B241,'Insumos e Serviços'!$A:$F,4,0)</f>
        <v>PEDREIRO COM ENCARGOS COMPLEMENTARES</v>
      </c>
      <c r="E241" s="88" t="str">
        <f ca="1">VLOOKUP(B241,'Insumos e Serviços'!$A:$F,5,0)</f>
        <v>H</v>
      </c>
      <c r="F241" s="109">
        <v>0.44900000000000001</v>
      </c>
      <c r="G241" s="91">
        <f ca="1">VLOOKUP(B241,'Insumos e Serviços'!$A:$F,6,0)</f>
        <v>23.9</v>
      </c>
      <c r="H241" s="91">
        <f>TRUNC(F241*G241,2)</f>
        <v>10.73</v>
      </c>
    </row>
    <row r="242" spans="1:8">
      <c r="A242" s="89" t="str">
        <f ca="1">VLOOKUP(B242,'Insumos e Serviços'!$A:$F,3,0)</f>
        <v>Composição</v>
      </c>
      <c r="B242" s="97" t="s">
        <v>310</v>
      </c>
      <c r="C242" s="88" t="str">
        <f ca="1">VLOOKUP(B242,'Insumos e Serviços'!$A:$F,2,0)</f>
        <v>SINAPI</v>
      </c>
      <c r="D242" s="89" t="str">
        <f ca="1">VLOOKUP(B242,'Insumos e Serviços'!$A:$F,4,0)</f>
        <v>SERVENTE COM ENCARGOS COMPLEMENTARES</v>
      </c>
      <c r="E242" s="88" t="str">
        <f ca="1">VLOOKUP(B242,'Insumos e Serviços'!$A:$F,5,0)</f>
        <v>H</v>
      </c>
      <c r="F242" s="109">
        <v>0.44900000000000001</v>
      </c>
      <c r="G242" s="91">
        <f ca="1">VLOOKUP(B242,'Insumos e Serviços'!$A:$F,6,0)</f>
        <v>17.61</v>
      </c>
      <c r="H242" s="91">
        <f>TRUNC(F242*G242,2)</f>
        <v>7.9</v>
      </c>
    </row>
    <row r="243" spans="1:8">
      <c r="A243" s="89" t="str">
        <f ca="1">VLOOKUP(B243,'Insumos e Serviços'!$A:$F,3,0)</f>
        <v>Composição</v>
      </c>
      <c r="B243" s="97" t="s">
        <v>354</v>
      </c>
      <c r="C243" s="88" t="str">
        <f ca="1">VLOOKUP(B243,'Insumos e Serviços'!$A:$F,2,0)</f>
        <v>SINAPI</v>
      </c>
      <c r="D243" s="89" t="str">
        <f ca="1">VLOOKUP(B243,'Insumos e Serviços'!$A:$F,4,0)</f>
        <v>ARGAMASSA TRAÇO 1:3 (CIMENTO E AREIA MÉDIA), PREPARO MANUAL. AF_08/2014</v>
      </c>
      <c r="E243" s="88" t="str">
        <f ca="1">VLOOKUP(B243,'Insumos e Serviços'!$A:$F,5,0)</f>
        <v>m³</v>
      </c>
      <c r="F243" s="109">
        <v>1E-3</v>
      </c>
      <c r="G243" s="91">
        <f ca="1">VLOOKUP(B243,'Insumos e Serviços'!$A:$F,6,0)</f>
        <v>494.04</v>
      </c>
      <c r="H243" s="91">
        <f>TRUNC(F243*G243,2)</f>
        <v>0.49</v>
      </c>
    </row>
    <row r="244" spans="1:8" ht="15" thickBot="1">
      <c r="A244" s="89" t="str">
        <f ca="1">VLOOKUP(B244,'Insumos e Serviços'!$A:$F,3,0)</f>
        <v>Insumo</v>
      </c>
      <c r="B244" s="97" t="s">
        <v>352</v>
      </c>
      <c r="C244" s="88" t="str">
        <f ca="1">VLOOKUP(B244,'Insumos e Serviços'!$A:$F,2,0)</f>
        <v>SINAPI</v>
      </c>
      <c r="D244" s="89" t="str">
        <f ca="1">VLOOKUP(B244,'Insumos e Serviços'!$A:$F,4,0)</f>
        <v>AREIA MEDIA - POSTO JAZIDA/FORNECEDOR (RETIRADO NA JAZIDA, SEM TRANSPORTE)</v>
      </c>
      <c r="E244" s="88" t="str">
        <f ca="1">VLOOKUP(B244,'Insumos e Serviços'!$A:$F,5,0)</f>
        <v>m³</v>
      </c>
      <c r="F244" s="109">
        <v>7.0000000000000001E-3</v>
      </c>
      <c r="G244" s="91">
        <f ca="1">VLOOKUP(B244,'Insumos e Serviços'!$A:$F,6,0)</f>
        <v>95</v>
      </c>
      <c r="H244" s="91">
        <f>TRUNC(F244*G244,2)</f>
        <v>0.66</v>
      </c>
    </row>
    <row r="245" spans="1:8" ht="15" thickTop="1">
      <c r="A245" s="4"/>
      <c r="B245" s="4"/>
      <c r="C245" s="4"/>
      <c r="D245" s="4"/>
      <c r="E245" s="4"/>
      <c r="F245" s="4"/>
      <c r="G245" s="4"/>
      <c r="H245" s="4"/>
    </row>
    <row r="246" spans="1:8">
      <c r="A246" s="99" t="s">
        <v>217</v>
      </c>
      <c r="B246" s="99"/>
      <c r="C246" s="99"/>
      <c r="D246" s="99" t="s">
        <v>218</v>
      </c>
      <c r="E246" s="100"/>
      <c r="F246" s="101"/>
      <c r="G246" s="99"/>
      <c r="H246" s="102"/>
    </row>
    <row r="247" spans="1:8">
      <c r="A247" s="84" t="s">
        <v>219</v>
      </c>
      <c r="B247" s="84"/>
      <c r="C247" s="84"/>
      <c r="D247" s="84" t="s">
        <v>220</v>
      </c>
      <c r="E247" s="84"/>
      <c r="F247" s="85"/>
      <c r="G247" s="84"/>
      <c r="H247" s="86"/>
    </row>
    <row r="248" spans="1:8">
      <c r="A248" s="110" t="s">
        <v>221</v>
      </c>
      <c r="B248" s="111"/>
      <c r="C248" s="110"/>
      <c r="D248" s="110" t="s">
        <v>222</v>
      </c>
      <c r="E248" s="111"/>
      <c r="F248" s="112"/>
      <c r="G248" s="113"/>
      <c r="H248" s="113"/>
    </row>
    <row r="249" spans="1:8" ht="22.5">
      <c r="A249" s="103" t="s">
        <v>232</v>
      </c>
      <c r="B249" s="104" t="str">
        <f ca="1">VLOOKUP(A249,'Orçamento Sintético'!$A:$H,2,0)</f>
        <v xml:space="preserve"> MPDFT1105 </v>
      </c>
      <c r="C249" s="104" t="str">
        <f ca="1">VLOOKUP(A249,'Orçamento Sintético'!$A:$H,3,0)</f>
        <v>Próprio</v>
      </c>
      <c r="D249" s="105" t="str">
        <f ca="1">VLOOKUP(A249,'Orçamento Sintético'!$A:$H,4,0)</f>
        <v>Copia da SINAPI (89863) - JUNÇÃO SIMPLES, PVC, SERIE NORMAL, ESGOTO PREDIAL, DN 200 X 150 MM, JUNTA ELÁSTICA, FORNECIDO E INSTALADO</v>
      </c>
      <c r="E249" s="104" t="str">
        <f ca="1">VLOOKUP(A249,'Orçamento Sintético'!$A:$H,5,0)</f>
        <v>UN</v>
      </c>
      <c r="F249" s="106"/>
      <c r="G249" s="107"/>
      <c r="H249" s="108">
        <f>SUM(H250:H254)</f>
        <v>283.95</v>
      </c>
    </row>
    <row r="250" spans="1:8">
      <c r="A250" s="89" t="str">
        <f ca="1">VLOOKUP(B250,'Insumos e Serviços'!$A:$F,3,0)</f>
        <v>Composição</v>
      </c>
      <c r="B250" s="97" t="s">
        <v>334</v>
      </c>
      <c r="C250" s="88" t="str">
        <f ca="1">VLOOKUP(B250,'Insumos e Serviços'!$A:$F,2,0)</f>
        <v>SINAPI</v>
      </c>
      <c r="D250" s="89" t="str">
        <f ca="1">VLOOKUP(B250,'Insumos e Serviços'!$A:$F,4,0)</f>
        <v>AUXILIAR DE ENCANADOR OU BOMBEIRO HIDRÁULICO COM ENCARGOS COMPLEMENTARES</v>
      </c>
      <c r="E250" s="88" t="str">
        <f ca="1">VLOOKUP(B250,'Insumos e Serviços'!$A:$F,5,0)</f>
        <v>H</v>
      </c>
      <c r="F250" s="109">
        <v>0.44</v>
      </c>
      <c r="G250" s="91">
        <f ca="1">VLOOKUP(B250,'Insumos e Serviços'!$A:$F,6,0)</f>
        <v>18.23</v>
      </c>
      <c r="H250" s="91">
        <f>TRUNC(F250*G250,2)</f>
        <v>8.02</v>
      </c>
    </row>
    <row r="251" spans="1:8">
      <c r="A251" s="89" t="str">
        <f ca="1">VLOOKUP(B251,'Insumos e Serviços'!$A:$F,3,0)</f>
        <v>Composição</v>
      </c>
      <c r="B251" s="97" t="s">
        <v>332</v>
      </c>
      <c r="C251" s="88" t="str">
        <f ca="1">VLOOKUP(B251,'Insumos e Serviços'!$A:$F,2,0)</f>
        <v>SINAPI</v>
      </c>
      <c r="D251" s="89" t="str">
        <f ca="1">VLOOKUP(B251,'Insumos e Serviços'!$A:$F,4,0)</f>
        <v>ENCANADOR OU BOMBEIRO HIDRÁULICO COM ENCARGOS COMPLEMENTARES</v>
      </c>
      <c r="E251" s="88" t="str">
        <f ca="1">VLOOKUP(B251,'Insumos e Serviços'!$A:$F,5,0)</f>
        <v>H</v>
      </c>
      <c r="F251" s="109">
        <v>0.44</v>
      </c>
      <c r="G251" s="91">
        <f ca="1">VLOOKUP(B251,'Insumos e Serviços'!$A:$F,6,0)</f>
        <v>23.41</v>
      </c>
      <c r="H251" s="91">
        <f>TRUNC(F251*G251,2)</f>
        <v>10.3</v>
      </c>
    </row>
    <row r="252" spans="1:8">
      <c r="A252" s="89" t="str">
        <f ca="1">VLOOKUP(B252,'Insumos e Serviços'!$A:$F,3,0)</f>
        <v>Insumo</v>
      </c>
      <c r="B252" s="97" t="s">
        <v>350</v>
      </c>
      <c r="C252" s="88" t="str">
        <f ca="1">VLOOKUP(B252,'Insumos e Serviços'!$A:$F,2,0)</f>
        <v>SINAPI</v>
      </c>
      <c r="D252" s="89" t="str">
        <f ca="1">VLOOKUP(B252,'Insumos e Serviços'!$A:$F,4,0)</f>
        <v>ANEL BORRACHA, PARA TUBO PVC, REDE COLETOR ESGOTO, DN 150 MM (NBR 7362)</v>
      </c>
      <c r="E252" s="88" t="str">
        <f ca="1">VLOOKUP(B252,'Insumos e Serviços'!$A:$F,5,0)</f>
        <v>UN</v>
      </c>
      <c r="F252" s="109">
        <v>2</v>
      </c>
      <c r="G252" s="91">
        <f ca="1">VLOOKUP(B252,'Insumos e Serviços'!$A:$F,6,0)</f>
        <v>10.27</v>
      </c>
      <c r="H252" s="91">
        <f>TRUNC(F252*G252,2)</f>
        <v>20.54</v>
      </c>
    </row>
    <row r="253" spans="1:8" ht="22.5">
      <c r="A253" s="89" t="str">
        <f ca="1">VLOOKUP(B253,'Insumos e Serviços'!$A:$F,3,0)</f>
        <v>Insumo</v>
      </c>
      <c r="B253" s="97" t="s">
        <v>346</v>
      </c>
      <c r="C253" s="88" t="str">
        <f ca="1">VLOOKUP(B253,'Insumos e Serviços'!$A:$F,2,0)</f>
        <v>SINAPI</v>
      </c>
      <c r="D253" s="89" t="str">
        <f ca="1">VLOOKUP(B253,'Insumos e Serviços'!$A:$F,4,0)</f>
        <v>PASTA LUBRIFICANTE PARA TUBOS E CONEXOES COM JUNTA ELASTICA (USO EM PVC, ACO, POLIETILENO E OUTROS) ( DE *400* G)</v>
      </c>
      <c r="E253" s="88" t="str">
        <f ca="1">VLOOKUP(B253,'Insumos e Serviços'!$A:$F,5,0)</f>
        <v>UN</v>
      </c>
      <c r="F253" s="109">
        <v>0.14000000000000001</v>
      </c>
      <c r="G253" s="91">
        <f ca="1">VLOOKUP(B253,'Insumos e Serviços'!$A:$F,6,0)</f>
        <v>29.43</v>
      </c>
      <c r="H253" s="91">
        <f>TRUNC(F253*G253,2)</f>
        <v>4.12</v>
      </c>
    </row>
    <row r="254" spans="1:8" ht="15" thickBot="1">
      <c r="A254" s="89" t="str">
        <f ca="1">VLOOKUP(B254,'Insumos e Serviços'!$A:$F,3,0)</f>
        <v>Insumo</v>
      </c>
      <c r="B254" s="97" t="s">
        <v>348</v>
      </c>
      <c r="C254" s="88" t="str">
        <f ca="1">VLOOKUP(B254,'Insumos e Serviços'!$A:$F,2,0)</f>
        <v>Próprio</v>
      </c>
      <c r="D254" s="89" t="str">
        <f ca="1">VLOOKUP(B254,'Insumos e Serviços'!$A:$F,4,0)</f>
        <v>Junção simples, PVC leve, 200x150 mm, para esgoto predial</v>
      </c>
      <c r="E254" s="88" t="str">
        <f ca="1">VLOOKUP(B254,'Insumos e Serviços'!$A:$F,5,0)</f>
        <v>un</v>
      </c>
      <c r="F254" s="109">
        <v>1</v>
      </c>
      <c r="G254" s="91">
        <f ca="1">VLOOKUP(B254,'Insumos e Serviços'!$A:$F,6,0)</f>
        <v>240.97</v>
      </c>
      <c r="H254" s="91">
        <f>TRUNC(F254*G254,2)</f>
        <v>240.97</v>
      </c>
    </row>
    <row r="255" spans="1:8" ht="15" thickTop="1">
      <c r="A255" s="4"/>
      <c r="B255" s="4"/>
      <c r="C255" s="4"/>
      <c r="D255" s="4"/>
      <c r="E255" s="4"/>
      <c r="F255" s="4"/>
      <c r="G255" s="4"/>
      <c r="H255" s="4"/>
    </row>
    <row r="256" spans="1:8" ht="33.75">
      <c r="A256" s="103" t="s">
        <v>235</v>
      </c>
      <c r="B256" s="104" t="str">
        <f ca="1">VLOOKUP(A256,'Orçamento Sintético'!$A:$H,2,0)</f>
        <v xml:space="preserve"> MPDFT0853 </v>
      </c>
      <c r="C256" s="104" t="str">
        <f ca="1">VLOOKUP(A256,'Orçamento Sintético'!$A:$H,3,0)</f>
        <v>Próprio</v>
      </c>
      <c r="D256" s="105" t="str">
        <f ca="1">VLOOKUP(A256,'Orçamento Sintético'!$A:$H,4,0)</f>
        <v>Copia da SINAPI (89677) - CAP / TAMPÃO, PVC, SERIE R, ÁGUA PLUVIAL, DN 150 MM, JUNTA ELÁSTICA, FORNECIDO E INSTALADO EM CONDUTORES VERTICAIS DE ÁGUAS PLUVIAIS. AF_12/2014</v>
      </c>
      <c r="E256" s="104" t="str">
        <f ca="1">VLOOKUP(A256,'Orçamento Sintético'!$A:$H,5,0)</f>
        <v>UN</v>
      </c>
      <c r="F256" s="106"/>
      <c r="G256" s="107"/>
      <c r="H256" s="108">
        <f>SUM(H257:H261)</f>
        <v>91.87</v>
      </c>
    </row>
    <row r="257" spans="1:8">
      <c r="A257" s="89" t="str">
        <f ca="1">VLOOKUP(B257,'Insumos e Serviços'!$A:$F,3,0)</f>
        <v>Composição</v>
      </c>
      <c r="B257" s="97" t="s">
        <v>334</v>
      </c>
      <c r="C257" s="88" t="str">
        <f ca="1">VLOOKUP(B257,'Insumos e Serviços'!$A:$F,2,0)</f>
        <v>SINAPI</v>
      </c>
      <c r="D257" s="89" t="str">
        <f ca="1">VLOOKUP(B257,'Insumos e Serviços'!$A:$F,4,0)</f>
        <v>AUXILIAR DE ENCANADOR OU BOMBEIRO HIDRÁULICO COM ENCARGOS COMPLEMENTARES</v>
      </c>
      <c r="E257" s="88" t="str">
        <f ca="1">VLOOKUP(B257,'Insumos e Serviços'!$A:$F,5,0)</f>
        <v>H</v>
      </c>
      <c r="F257" s="109">
        <v>0.11</v>
      </c>
      <c r="G257" s="91">
        <f ca="1">VLOOKUP(B257,'Insumos e Serviços'!$A:$F,6,0)</f>
        <v>18.23</v>
      </c>
      <c r="H257" s="91">
        <f>TRUNC(F257*G257,2)</f>
        <v>2</v>
      </c>
    </row>
    <row r="258" spans="1:8">
      <c r="A258" s="89" t="str">
        <f ca="1">VLOOKUP(B258,'Insumos e Serviços'!$A:$F,3,0)</f>
        <v>Composição</v>
      </c>
      <c r="B258" s="97" t="s">
        <v>332</v>
      </c>
      <c r="C258" s="88" t="str">
        <f ca="1">VLOOKUP(B258,'Insumos e Serviços'!$A:$F,2,0)</f>
        <v>SINAPI</v>
      </c>
      <c r="D258" s="89" t="str">
        <f ca="1">VLOOKUP(B258,'Insumos e Serviços'!$A:$F,4,0)</f>
        <v>ENCANADOR OU BOMBEIRO HIDRÁULICO COM ENCARGOS COMPLEMENTARES</v>
      </c>
      <c r="E258" s="88" t="str">
        <f ca="1">VLOOKUP(B258,'Insumos e Serviços'!$A:$F,5,0)</f>
        <v>H</v>
      </c>
      <c r="F258" s="109">
        <v>0.11</v>
      </c>
      <c r="G258" s="91">
        <f ca="1">VLOOKUP(B258,'Insumos e Serviços'!$A:$F,6,0)</f>
        <v>23.41</v>
      </c>
      <c r="H258" s="91">
        <f>TRUNC(F258*G258,2)</f>
        <v>2.57</v>
      </c>
    </row>
    <row r="259" spans="1:8" ht="22.5">
      <c r="A259" s="89" t="str">
        <f ca="1">VLOOKUP(B259,'Insumos e Serviços'!$A:$F,3,0)</f>
        <v>Insumo</v>
      </c>
      <c r="B259" s="97" t="s">
        <v>346</v>
      </c>
      <c r="C259" s="88" t="str">
        <f ca="1">VLOOKUP(B259,'Insumos e Serviços'!$A:$F,2,0)</f>
        <v>SINAPI</v>
      </c>
      <c r="D259" s="89" t="str">
        <f ca="1">VLOOKUP(B259,'Insumos e Serviços'!$A:$F,4,0)</f>
        <v>PASTA LUBRIFICANTE PARA TUBOS E CONEXOES COM JUNTA ELASTICA (USO EM PVC, ACO, POLIETILENO E OUTROS) ( DE *400* G)</v>
      </c>
      <c r="E259" s="88" t="str">
        <f ca="1">VLOOKUP(B259,'Insumos e Serviços'!$A:$F,5,0)</f>
        <v>UN</v>
      </c>
      <c r="F259" s="109">
        <v>7.0000000000000007E-2</v>
      </c>
      <c r="G259" s="91">
        <f ca="1">VLOOKUP(B259,'Insumos e Serviços'!$A:$F,6,0)</f>
        <v>29.43</v>
      </c>
      <c r="H259" s="91">
        <f>TRUNC(F259*G259,2)</f>
        <v>2.06</v>
      </c>
    </row>
    <row r="260" spans="1:8">
      <c r="A260" s="89" t="str">
        <f ca="1">VLOOKUP(B260,'Insumos e Serviços'!$A:$F,3,0)</f>
        <v>Insumo</v>
      </c>
      <c r="B260" s="97" t="s">
        <v>344</v>
      </c>
      <c r="C260" s="88" t="str">
        <f ca="1">VLOOKUP(B260,'Insumos e Serviços'!$A:$F,2,0)</f>
        <v>SINAPI</v>
      </c>
      <c r="D260" s="89" t="str">
        <f ca="1">VLOOKUP(B260,'Insumos e Serviços'!$A:$F,4,0)</f>
        <v>CAP PVC, SERIE R, DN 150 MM, PARA ESGOTO PREDIAL</v>
      </c>
      <c r="E260" s="88" t="str">
        <f ca="1">VLOOKUP(B260,'Insumos e Serviços'!$A:$F,5,0)</f>
        <v>UN</v>
      </c>
      <c r="F260" s="109">
        <v>1</v>
      </c>
      <c r="G260" s="91">
        <f ca="1">VLOOKUP(B260,'Insumos e Serviços'!$A:$F,6,0)</f>
        <v>72.900000000000006</v>
      </c>
      <c r="H260" s="91">
        <f>TRUNC(F260*G260,2)</f>
        <v>72.900000000000006</v>
      </c>
    </row>
    <row r="261" spans="1:8" ht="15" thickBot="1">
      <c r="A261" s="89" t="str">
        <f ca="1">VLOOKUP(B261,'Insumos e Serviços'!$A:$F,3,0)</f>
        <v>Insumo</v>
      </c>
      <c r="B261" s="97" t="s">
        <v>342</v>
      </c>
      <c r="C261" s="88" t="str">
        <f ca="1">VLOOKUP(B261,'Insumos e Serviços'!$A:$F,2,0)</f>
        <v>SINAPI</v>
      </c>
      <c r="D261" s="89" t="str">
        <f ca="1">VLOOKUP(B261,'Insumos e Serviços'!$A:$F,4,0)</f>
        <v>ANEL BORRACHA, PARA TUBO PVC, REDE COLETOR ESGOTO, DN 200 MM (NBR 7362)</v>
      </c>
      <c r="E261" s="88" t="str">
        <f ca="1">VLOOKUP(B261,'Insumos e Serviços'!$A:$F,5,0)</f>
        <v>UN</v>
      </c>
      <c r="F261" s="109">
        <v>1</v>
      </c>
      <c r="G261" s="91">
        <f ca="1">VLOOKUP(B261,'Insumos e Serviços'!$A:$F,6,0)</f>
        <v>12.34</v>
      </c>
      <c r="H261" s="91">
        <f>TRUNC(F261*G261,2)</f>
        <v>12.34</v>
      </c>
    </row>
    <row r="262" spans="1:8" ht="15" thickTop="1">
      <c r="A262" s="4"/>
      <c r="B262" s="4"/>
      <c r="C262" s="4"/>
      <c r="D262" s="4"/>
      <c r="E262" s="4"/>
      <c r="F262" s="4"/>
      <c r="G262" s="4"/>
      <c r="H262" s="4"/>
    </row>
    <row r="263" spans="1:8">
      <c r="A263" s="110" t="s">
        <v>238</v>
      </c>
      <c r="B263" s="111"/>
      <c r="C263" s="110"/>
      <c r="D263" s="110" t="s">
        <v>239</v>
      </c>
      <c r="E263" s="111"/>
      <c r="F263" s="112"/>
      <c r="G263" s="113"/>
      <c r="H263" s="113"/>
    </row>
    <row r="264" spans="1:8">
      <c r="A264" s="103" t="s">
        <v>240</v>
      </c>
      <c r="B264" s="104" t="str">
        <f ca="1">VLOOKUP(A264,'Orçamento Sintético'!$A:$H,2,0)</f>
        <v xml:space="preserve"> MPDFT0603 </v>
      </c>
      <c r="C264" s="104" t="str">
        <f ca="1">VLOOKUP(A264,'Orçamento Sintético'!$A:$H,3,0)</f>
        <v>Próprio</v>
      </c>
      <c r="D264" s="105" t="str">
        <f ca="1">VLOOKUP(A264,'Orçamento Sintético'!$A:$H,4,0)</f>
        <v>Copia da CPOS (49.06.170) - Grelha em alumínio para caixas e canaletas</v>
      </c>
      <c r="E264" s="104" t="str">
        <f ca="1">VLOOKUP(A264,'Orçamento Sintético'!$A:$H,5,0)</f>
        <v>m</v>
      </c>
      <c r="F264" s="106"/>
      <c r="G264" s="107"/>
      <c r="H264" s="108">
        <f>SUM(H265:H267)</f>
        <v>277.55</v>
      </c>
    </row>
    <row r="265" spans="1:8">
      <c r="A265" s="89" t="str">
        <f ca="1">VLOOKUP(B265,'Insumos e Serviços'!$A:$F,3,0)</f>
        <v>Composição</v>
      </c>
      <c r="B265" s="97" t="s">
        <v>318</v>
      </c>
      <c r="C265" s="88" t="str">
        <f ca="1">VLOOKUP(B265,'Insumos e Serviços'!$A:$F,2,0)</f>
        <v>SINAPI</v>
      </c>
      <c r="D265" s="89" t="str">
        <f ca="1">VLOOKUP(B265,'Insumos e Serviços'!$A:$F,4,0)</f>
        <v>PEDREIRO COM ENCARGOS COMPLEMENTARES</v>
      </c>
      <c r="E265" s="88" t="str">
        <f ca="1">VLOOKUP(B265,'Insumos e Serviços'!$A:$F,5,0)</f>
        <v>H</v>
      </c>
      <c r="F265" s="109">
        <v>0.5</v>
      </c>
      <c r="G265" s="91">
        <f ca="1">VLOOKUP(B265,'Insumos e Serviços'!$A:$F,6,0)</f>
        <v>23.9</v>
      </c>
      <c r="H265" s="91">
        <f>TRUNC(F265*G265,2)</f>
        <v>11.95</v>
      </c>
    </row>
    <row r="266" spans="1:8">
      <c r="A266" s="89" t="str">
        <f ca="1">VLOOKUP(B266,'Insumos e Serviços'!$A:$F,3,0)</f>
        <v>Composição</v>
      </c>
      <c r="B266" s="97" t="s">
        <v>310</v>
      </c>
      <c r="C266" s="88" t="str">
        <f ca="1">VLOOKUP(B266,'Insumos e Serviços'!$A:$F,2,0)</f>
        <v>SINAPI</v>
      </c>
      <c r="D266" s="89" t="str">
        <f ca="1">VLOOKUP(B266,'Insumos e Serviços'!$A:$F,4,0)</f>
        <v>SERVENTE COM ENCARGOS COMPLEMENTARES</v>
      </c>
      <c r="E266" s="88" t="str">
        <f ca="1">VLOOKUP(B266,'Insumos e Serviços'!$A:$F,5,0)</f>
        <v>H</v>
      </c>
      <c r="F266" s="109">
        <v>0.5</v>
      </c>
      <c r="G266" s="91">
        <f ca="1">VLOOKUP(B266,'Insumos e Serviços'!$A:$F,6,0)</f>
        <v>17.61</v>
      </c>
      <c r="H266" s="91">
        <f>TRUNC(F266*G266,2)</f>
        <v>8.8000000000000007</v>
      </c>
    </row>
    <row r="267" spans="1:8" ht="15" thickBot="1">
      <c r="A267" s="89" t="str">
        <f ca="1">VLOOKUP(B267,'Insumos e Serviços'!$A:$F,3,0)</f>
        <v>Insumo</v>
      </c>
      <c r="B267" s="97" t="s">
        <v>340</v>
      </c>
      <c r="C267" s="88" t="str">
        <f ca="1">VLOOKUP(B267,'Insumos e Serviços'!$A:$F,2,0)</f>
        <v>Próprio</v>
      </c>
      <c r="D267" s="89" t="str">
        <f ca="1">VLOOKUP(B267,'Insumos e Serviços'!$A:$F,4,0)</f>
        <v>Grelha reta com tela. Conjunto grelha + porta. 20/100cm. Linha leve. CostaNavarro</v>
      </c>
      <c r="E267" s="88" t="str">
        <f ca="1">VLOOKUP(B267,'Insumos e Serviços'!$A:$F,5,0)</f>
        <v>m</v>
      </c>
      <c r="F267" s="109">
        <v>1</v>
      </c>
      <c r="G267" s="91">
        <f ca="1">VLOOKUP(B267,'Insumos e Serviços'!$A:$F,6,0)</f>
        <v>256.8</v>
      </c>
      <c r="H267" s="91">
        <f>TRUNC(F267*G267,2)</f>
        <v>256.8</v>
      </c>
    </row>
    <row r="268" spans="1:8" ht="15" thickTop="1">
      <c r="A268" s="4"/>
      <c r="B268" s="4"/>
      <c r="C268" s="4"/>
      <c r="D268" s="4"/>
      <c r="E268" s="4"/>
      <c r="F268" s="4"/>
      <c r="G268" s="4"/>
      <c r="H268" s="4"/>
    </row>
    <row r="269" spans="1:8">
      <c r="A269" s="99" t="s">
        <v>253</v>
      </c>
      <c r="B269" s="99"/>
      <c r="C269" s="99"/>
      <c r="D269" s="99" t="s">
        <v>254</v>
      </c>
      <c r="E269" s="100"/>
      <c r="F269" s="101"/>
      <c r="G269" s="99"/>
      <c r="H269" s="102"/>
    </row>
    <row r="270" spans="1:8">
      <c r="A270" s="84" t="s">
        <v>255</v>
      </c>
      <c r="B270" s="84"/>
      <c r="C270" s="84"/>
      <c r="D270" s="84" t="s">
        <v>256</v>
      </c>
      <c r="E270" s="84"/>
      <c r="F270" s="85"/>
      <c r="G270" s="84"/>
      <c r="H270" s="86"/>
    </row>
    <row r="271" spans="1:8">
      <c r="A271" s="110" t="s">
        <v>257</v>
      </c>
      <c r="B271" s="111"/>
      <c r="C271" s="110"/>
      <c r="D271" s="110" t="s">
        <v>258</v>
      </c>
      <c r="E271" s="111"/>
      <c r="F271" s="112"/>
      <c r="G271" s="113"/>
      <c r="H271" s="113"/>
    </row>
    <row r="272" spans="1:8">
      <c r="A272" s="103" t="s">
        <v>265</v>
      </c>
      <c r="B272" s="104" t="str">
        <f ca="1">VLOOKUP(A272,'Orçamento Sintético'!$A:$H,2,0)</f>
        <v xml:space="preserve"> MPDFT1106 </v>
      </c>
      <c r="C272" s="104" t="str">
        <f ca="1">VLOOKUP(A272,'Orçamento Sintético'!$A:$H,3,0)</f>
        <v>Próprio</v>
      </c>
      <c r="D272" s="105" t="str">
        <f ca="1">VLOOKUP(A272,'Orçamento Sintético'!$A:$H,4,0)</f>
        <v>Base nova para poste, em concreto 30 x 30 cm, aço de 8mm.</v>
      </c>
      <c r="E272" s="104" t="str">
        <f ca="1">VLOOKUP(A272,'Orçamento Sintético'!$A:$H,5,0)</f>
        <v>m</v>
      </c>
      <c r="F272" s="106"/>
      <c r="G272" s="107"/>
      <c r="H272" s="108">
        <f>SUM(H273)</f>
        <v>202.28</v>
      </c>
    </row>
    <row r="273" spans="1:8" ht="34.5" thickBot="1">
      <c r="A273" s="89" t="str">
        <f ca="1">VLOOKUP(B273,'Insumos e Serviços'!$A:$F,3,0)</f>
        <v>Composição</v>
      </c>
      <c r="B273" s="97" t="s">
        <v>324</v>
      </c>
      <c r="C273" s="88" t="str">
        <f ca="1">VLOOKUP(B273,'Insumos e Serviços'!$A:$F,2,0)</f>
        <v>SINAPI</v>
      </c>
      <c r="D273" s="89" t="str">
        <f ca="1">VLOOKUP(B273,'Insumos e Serviços'!$A:$F,4,0)</f>
        <v>(COMPOSIÇÃO REPRESENTATIVA) EXECUÇÃO DE ESTRUTURAS DE CONCRETO ARMADO, PARA EDIFICAÇÃO HABITACIONAL UNIFAMILIAR COM DOIS PAVIMENTOS (CASA EM EMPREENDIMENTOS), FCK = 25 MPA. AF_01/2017</v>
      </c>
      <c r="E273" s="88" t="str">
        <f ca="1">VLOOKUP(B273,'Insumos e Serviços'!$A:$F,5,0)</f>
        <v>m³</v>
      </c>
      <c r="F273" s="109">
        <v>0.09</v>
      </c>
      <c r="G273" s="91">
        <f ca="1">VLOOKUP(B273,'Insumos e Serviços'!$A:$F,6,0)</f>
        <v>2247.56</v>
      </c>
      <c r="H273" s="91">
        <f>TRUNC(F273*G273,2)</f>
        <v>202.28</v>
      </c>
    </row>
    <row r="274" spans="1:8" ht="15" thickTop="1">
      <c r="A274" s="4"/>
      <c r="B274" s="4"/>
      <c r="C274" s="4"/>
      <c r="D274" s="4"/>
      <c r="E274" s="4"/>
      <c r="F274" s="4"/>
      <c r="G274" s="4"/>
      <c r="H274" s="4"/>
    </row>
    <row r="275" spans="1:8" ht="22.5">
      <c r="A275" s="103" t="s">
        <v>268</v>
      </c>
      <c r="B275" s="104" t="str">
        <f ca="1">VLOOKUP(A275,'Orçamento Sintético'!$A:$H,2,0)</f>
        <v xml:space="preserve"> MPDFT0811 </v>
      </c>
      <c r="C275" s="104" t="str">
        <f ca="1">VLOOKUP(A275,'Orçamento Sintético'!$A:$H,3,0)</f>
        <v>Próprio</v>
      </c>
      <c r="D275" s="105" t="str">
        <f ca="1">VLOOKUP(A275,'Orçamento Sintético'!$A:$H,4,0)</f>
        <v>Copia da SINAPI (101175) - Chumbamento de poste com concreto magro 30cm de diâmetro e 1metro de profundidade, inclusive escavação.</v>
      </c>
      <c r="E275" s="104" t="str">
        <f ca="1">VLOOKUP(A275,'Orçamento Sintético'!$A:$H,5,0)</f>
        <v>un</v>
      </c>
      <c r="F275" s="106"/>
      <c r="G275" s="107"/>
      <c r="H275" s="108">
        <f>SUM(H276:H278)</f>
        <v>77.72</v>
      </c>
    </row>
    <row r="276" spans="1:8">
      <c r="A276" s="89" t="str">
        <f ca="1">VLOOKUP(B276,'Insumos e Serviços'!$A:$F,3,0)</f>
        <v>Composição</v>
      </c>
      <c r="B276" s="97" t="s">
        <v>318</v>
      </c>
      <c r="C276" s="88" t="str">
        <f ca="1">VLOOKUP(B276,'Insumos e Serviços'!$A:$F,2,0)</f>
        <v>SINAPI</v>
      </c>
      <c r="D276" s="89" t="str">
        <f ca="1">VLOOKUP(B276,'Insumos e Serviços'!$A:$F,4,0)</f>
        <v>PEDREIRO COM ENCARGOS COMPLEMENTARES</v>
      </c>
      <c r="E276" s="88" t="str">
        <f ca="1">VLOOKUP(B276,'Insumos e Serviços'!$A:$F,5,0)</f>
        <v>H</v>
      </c>
      <c r="F276" s="109">
        <v>1.103</v>
      </c>
      <c r="G276" s="91">
        <f ca="1">VLOOKUP(B276,'Insumos e Serviços'!$A:$F,6,0)</f>
        <v>23.9</v>
      </c>
      <c r="H276" s="91">
        <f>TRUNC(F276*G276,2)</f>
        <v>26.36</v>
      </c>
    </row>
    <row r="277" spans="1:8">
      <c r="A277" s="89" t="str">
        <f ca="1">VLOOKUP(B277,'Insumos e Serviços'!$A:$F,3,0)</f>
        <v>Composição</v>
      </c>
      <c r="B277" s="97" t="s">
        <v>310</v>
      </c>
      <c r="C277" s="88" t="str">
        <f ca="1">VLOOKUP(B277,'Insumos e Serviços'!$A:$F,2,0)</f>
        <v>SINAPI</v>
      </c>
      <c r="D277" s="89" t="str">
        <f ca="1">VLOOKUP(B277,'Insumos e Serviços'!$A:$F,4,0)</f>
        <v>SERVENTE COM ENCARGOS COMPLEMENTARES</v>
      </c>
      <c r="E277" s="88" t="str">
        <f ca="1">VLOOKUP(B277,'Insumos e Serviços'!$A:$F,5,0)</f>
        <v>H</v>
      </c>
      <c r="F277" s="109">
        <v>1.33</v>
      </c>
      <c r="G277" s="91">
        <f ca="1">VLOOKUP(B277,'Insumos e Serviços'!$A:$F,6,0)</f>
        <v>17.61</v>
      </c>
      <c r="H277" s="91">
        <f>TRUNC(F277*G277,2)</f>
        <v>23.42</v>
      </c>
    </row>
    <row r="278" spans="1:8" ht="23.25" thickBot="1">
      <c r="A278" s="89" t="str">
        <f ca="1">VLOOKUP(B278,'Insumos e Serviços'!$A:$F,3,0)</f>
        <v>Composição</v>
      </c>
      <c r="B278" s="97" t="s">
        <v>322</v>
      </c>
      <c r="C278" s="88" t="str">
        <f ca="1">VLOOKUP(B278,'Insumos e Serviços'!$A:$F,2,0)</f>
        <v>SINAPI</v>
      </c>
      <c r="D278" s="89" t="str">
        <f ca="1">VLOOKUP(B278,'Insumos e Serviços'!$A:$F,4,0)</f>
        <v>CONCRETO MAGRO PARA LASTRO, TRAÇO 1:4,5:4,5 (CIMENTO/ AREIA MÉDIA/ BRITA 1)  - PREPARO MECÂNICO COM BETONEIRA 400 L. AF_07/2016</v>
      </c>
      <c r="E278" s="88" t="str">
        <f ca="1">VLOOKUP(B278,'Insumos e Serviços'!$A:$F,5,0)</f>
        <v>m³</v>
      </c>
      <c r="F278" s="109">
        <v>8.5999999999999993E-2</v>
      </c>
      <c r="G278" s="91">
        <f ca="1">VLOOKUP(B278,'Insumos e Serviços'!$A:$F,6,0)</f>
        <v>324.97000000000003</v>
      </c>
      <c r="H278" s="91">
        <f>TRUNC(F278*G278,2)</f>
        <v>27.94</v>
      </c>
    </row>
    <row r="279" spans="1:8" ht="15" thickTop="1">
      <c r="A279" s="4"/>
      <c r="B279" s="4"/>
      <c r="C279" s="4"/>
      <c r="D279" s="4"/>
      <c r="E279" s="4"/>
      <c r="F279" s="4"/>
      <c r="G279" s="4"/>
      <c r="H279" s="4"/>
    </row>
    <row r="280" spans="1:8">
      <c r="A280" s="84" t="s">
        <v>271</v>
      </c>
      <c r="B280" s="84"/>
      <c r="C280" s="84"/>
      <c r="D280" s="84" t="s">
        <v>247</v>
      </c>
      <c r="E280" s="84"/>
      <c r="F280" s="85"/>
      <c r="G280" s="84"/>
      <c r="H280" s="86"/>
    </row>
    <row r="281" spans="1:8">
      <c r="A281" s="110" t="s">
        <v>272</v>
      </c>
      <c r="B281" s="111"/>
      <c r="C281" s="110"/>
      <c r="D281" s="110" t="s">
        <v>249</v>
      </c>
      <c r="E281" s="111"/>
      <c r="F281" s="112"/>
      <c r="G281" s="113"/>
      <c r="H281" s="113"/>
    </row>
    <row r="282" spans="1:8" ht="33.75">
      <c r="A282" s="103" t="s">
        <v>273</v>
      </c>
      <c r="B282" s="104" t="str">
        <f ca="1">VLOOKUP(A282,'Orçamento Sintético'!$A:$H,2,0)</f>
        <v xml:space="preserve"> MPDFT1015 </v>
      </c>
      <c r="C282" s="104" t="str">
        <f ca="1">VLOOKUP(A282,'Orçamento Sintético'!$A:$H,3,0)</f>
        <v>Próprio</v>
      </c>
      <c r="D282" s="105" t="str">
        <f ca="1">VLOOKUP(A282,'Orçamento Sintético'!$A:$H,4,0)</f>
        <v>Cópia da Sinapi (97881) - Caixa de passagem pré-moldadas, com dimensões de 30x30x30cm, incluso tampão em ferro fundido T33, fundo em lastro de concreto magro e=7cm sobre colchão de brita e=10cm</v>
      </c>
      <c r="E282" s="104" t="str">
        <f ca="1">VLOOKUP(A282,'Orçamento Sintético'!$A:$H,5,0)</f>
        <v>un</v>
      </c>
      <c r="F282" s="106"/>
      <c r="G282" s="107"/>
      <c r="H282" s="108">
        <f>SUM(H283:H288)</f>
        <v>354.11</v>
      </c>
    </row>
    <row r="283" spans="1:8">
      <c r="A283" s="89" t="str">
        <f ca="1">VLOOKUP(B283,'Insumos e Serviços'!$A:$F,3,0)</f>
        <v>Composição</v>
      </c>
      <c r="B283" s="97" t="s">
        <v>320</v>
      </c>
      <c r="C283" s="88" t="str">
        <f ca="1">VLOOKUP(B283,'Insumos e Serviços'!$A:$F,2,0)</f>
        <v>SINAPI</v>
      </c>
      <c r="D283" s="89" t="str">
        <f ca="1">VLOOKUP(B283,'Insumos e Serviços'!$A:$F,4,0)</f>
        <v>LASTRO DE CONCRETO MAGRO, APLICADO EM PISOS OU RADIERS. AF_08/2017</v>
      </c>
      <c r="E283" s="88" t="str">
        <f ca="1">VLOOKUP(B283,'Insumos e Serviços'!$A:$F,5,0)</f>
        <v>m³</v>
      </c>
      <c r="F283" s="109">
        <v>1.12E-2</v>
      </c>
      <c r="G283" s="91">
        <f ca="1">VLOOKUP(B283,'Insumos e Serviços'!$A:$F,6,0)</f>
        <v>519.91999999999996</v>
      </c>
      <c r="H283" s="91">
        <f t="shared" ref="H283:H288" si="6">TRUNC(F283*G283,2)</f>
        <v>5.82</v>
      </c>
    </row>
    <row r="284" spans="1:8">
      <c r="A284" s="89" t="str">
        <f ca="1">VLOOKUP(B284,'Insumos e Serviços'!$A:$F,3,0)</f>
        <v>Composição</v>
      </c>
      <c r="B284" s="97" t="s">
        <v>318</v>
      </c>
      <c r="C284" s="88" t="str">
        <f ca="1">VLOOKUP(B284,'Insumos e Serviços'!$A:$F,2,0)</f>
        <v>SINAPI</v>
      </c>
      <c r="D284" s="89" t="str">
        <f ca="1">VLOOKUP(B284,'Insumos e Serviços'!$A:$F,4,0)</f>
        <v>PEDREIRO COM ENCARGOS COMPLEMENTARES</v>
      </c>
      <c r="E284" s="88" t="str">
        <f ca="1">VLOOKUP(B284,'Insumos e Serviços'!$A:$F,5,0)</f>
        <v>H</v>
      </c>
      <c r="F284" s="109">
        <v>1.38</v>
      </c>
      <c r="G284" s="91">
        <f ca="1">VLOOKUP(B284,'Insumos e Serviços'!$A:$F,6,0)</f>
        <v>23.9</v>
      </c>
      <c r="H284" s="91">
        <f t="shared" si="6"/>
        <v>32.979999999999997</v>
      </c>
    </row>
    <row r="285" spans="1:8">
      <c r="A285" s="89" t="str">
        <f ca="1">VLOOKUP(B285,'Insumos e Serviços'!$A:$F,3,0)</f>
        <v>Composição</v>
      </c>
      <c r="B285" s="97" t="s">
        <v>310</v>
      </c>
      <c r="C285" s="88" t="str">
        <f ca="1">VLOOKUP(B285,'Insumos e Serviços'!$A:$F,2,0)</f>
        <v>SINAPI</v>
      </c>
      <c r="D285" s="89" t="str">
        <f ca="1">VLOOKUP(B285,'Insumos e Serviços'!$A:$F,4,0)</f>
        <v>SERVENTE COM ENCARGOS COMPLEMENTARES</v>
      </c>
      <c r="E285" s="88" t="str">
        <f ca="1">VLOOKUP(B285,'Insumos e Serviços'!$A:$F,5,0)</f>
        <v>H</v>
      </c>
      <c r="F285" s="109">
        <v>1.02</v>
      </c>
      <c r="G285" s="91">
        <f ca="1">VLOOKUP(B285,'Insumos e Serviços'!$A:$F,6,0)</f>
        <v>17.61</v>
      </c>
      <c r="H285" s="91">
        <f t="shared" si="6"/>
        <v>17.96</v>
      </c>
    </row>
    <row r="286" spans="1:8" ht="22.5">
      <c r="A286" s="89" t="str">
        <f ca="1">VLOOKUP(B286,'Insumos e Serviços'!$A:$F,3,0)</f>
        <v>Composição</v>
      </c>
      <c r="B286" s="97" t="s">
        <v>316</v>
      </c>
      <c r="C286" s="88" t="str">
        <f ca="1">VLOOKUP(B286,'Insumos e Serviços'!$A:$F,2,0)</f>
        <v>SINAPI</v>
      </c>
      <c r="D286" s="89" t="str">
        <f ca="1">VLOOKUP(B286,'Insumos e Serviços'!$A:$F,4,0)</f>
        <v>PREPARO DE FUNDO DE VALA COM LARGURA MENOR QUE 1,5 M, COM CAMADA DE BRITA, LANÇAMENTO MANUAL. AF_08/2020</v>
      </c>
      <c r="E286" s="88" t="str">
        <f ca="1">VLOOKUP(B286,'Insumos e Serviços'!$A:$F,5,0)</f>
        <v>m³</v>
      </c>
      <c r="F286" s="109">
        <v>3.5999999999999997E-2</v>
      </c>
      <c r="G286" s="91">
        <f ca="1">VLOOKUP(B286,'Insumos e Serviços'!$A:$F,6,0)</f>
        <v>285.89</v>
      </c>
      <c r="H286" s="91">
        <f t="shared" si="6"/>
        <v>10.29</v>
      </c>
    </row>
    <row r="287" spans="1:8" ht="22.5">
      <c r="A287" s="89" t="str">
        <f ca="1">VLOOKUP(B287,'Insumos e Serviços'!$A:$F,3,0)</f>
        <v>Insumo</v>
      </c>
      <c r="B287" s="97" t="s">
        <v>314</v>
      </c>
      <c r="C287" s="88" t="str">
        <f ca="1">VLOOKUP(B287,'Insumos e Serviços'!$A:$F,2,0)</f>
        <v>SINAPI</v>
      </c>
      <c r="D287" s="89" t="str">
        <f ca="1">VLOOKUP(B287,'Insumos e Serviços'!$A:$F,4,0)</f>
        <v>TAMPAO FOFO SIMPLES COM BASE, CLASSE A15 CARGA MAX 1,5 T, 300 X 300 MM, REDE PLUVIAL/ESGOTO</v>
      </c>
      <c r="E287" s="88" t="str">
        <f ca="1">VLOOKUP(B287,'Insumos e Serviços'!$A:$F,5,0)</f>
        <v>UN</v>
      </c>
      <c r="F287" s="109">
        <v>1</v>
      </c>
      <c r="G287" s="91">
        <f ca="1">VLOOKUP(B287,'Insumos e Serviços'!$A:$F,6,0)</f>
        <v>158.13</v>
      </c>
      <c r="H287" s="91">
        <f t="shared" si="6"/>
        <v>158.13</v>
      </c>
    </row>
    <row r="288" spans="1:8" ht="22.5">
      <c r="A288" s="89" t="str">
        <f ca="1">VLOOKUP(B288,'Insumos e Serviços'!$A:$F,3,0)</f>
        <v>Insumo</v>
      </c>
      <c r="B288" s="97" t="s">
        <v>312</v>
      </c>
      <c r="C288" s="88" t="str">
        <f ca="1">VLOOKUP(B288,'Insumos e Serviços'!$A:$F,2,0)</f>
        <v>SINAPI</v>
      </c>
      <c r="D288" s="89" t="str">
        <f ca="1">VLOOKUP(B288,'Insumos e Serviços'!$A:$F,4,0)</f>
        <v>CAIXA DE CONCRETO ARMADO PRE-MOLDADO, COM FUNDO E TAMPA, DIMENSOES DE 0,30 X 0,30 X 0,30 M</v>
      </c>
      <c r="E288" s="88" t="str">
        <f ca="1">VLOOKUP(B288,'Insumos e Serviços'!$A:$F,5,0)</f>
        <v>UN</v>
      </c>
      <c r="F288" s="109">
        <v>1</v>
      </c>
      <c r="G288" s="91">
        <f ca="1">VLOOKUP(B288,'Insumos e Serviços'!$A:$F,6,0)</f>
        <v>128.93</v>
      </c>
      <c r="H288" s="91">
        <f t="shared" si="6"/>
        <v>128.93</v>
      </c>
    </row>
  </sheetData>
  <sheetCalcPr fullCalcOnLoad="1"/>
  <mergeCells count="13">
    <mergeCell ref="A6:B6"/>
    <mergeCell ref="C6:D6"/>
    <mergeCell ref="E6:F6"/>
    <mergeCell ref="A7:H7"/>
    <mergeCell ref="G1:H1"/>
    <mergeCell ref="A2:B2"/>
    <mergeCell ref="E2:F2"/>
    <mergeCell ref="G2:H2"/>
    <mergeCell ref="A4:B4"/>
    <mergeCell ref="C4:D4"/>
    <mergeCell ref="E4:F4"/>
    <mergeCell ref="G4:H4"/>
    <mergeCell ref="G6:H6"/>
  </mergeCells>
  <phoneticPr fontId="1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58" fitToHeight="0" orientation="portrait" r:id="rId1"/>
  <headerFooter>
    <oddHeader>&amp;L &amp;C &amp;R</oddHeader>
    <oddFooter>&amp;L &amp;C 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showGridLines="0" showOutlineSymbols="0" showWhiteSpace="0" workbookViewId="0"/>
  </sheetViews>
  <sheetFormatPr defaultRowHeight="14.25"/>
  <cols>
    <col min="1" max="1" width="12" bestFit="1" customWidth="1"/>
    <col min="2" max="2" width="10" bestFit="1" customWidth="1"/>
    <col min="3" max="3" width="10" customWidth="1"/>
    <col min="4" max="4" width="60" bestFit="1" customWidth="1"/>
    <col min="5" max="5" width="12" bestFit="1" customWidth="1"/>
    <col min="6" max="6" width="13" bestFit="1" customWidth="1"/>
    <col min="7" max="8" width="13" customWidth="1"/>
  </cols>
  <sheetData>
    <row r="1" spans="1:8">
      <c r="A1" s="59" t="str">
        <f ca="1">'Orçamento Sintético'!A1</f>
        <v>P. Execução:</v>
      </c>
      <c r="B1" s="75"/>
      <c r="C1" s="59" t="str">
        <f ca="1">'Orçamento Sintético'!C1</f>
        <v>Licitação:</v>
      </c>
      <c r="D1" s="60" t="str">
        <f ca="1">'Orçamento Sintético'!D1</f>
        <v>Objeto: Recuperação de laje do reservatório de Brasília II</v>
      </c>
      <c r="E1" s="59" t="str">
        <f ca="1">'Orçamento Sintético'!E1</f>
        <v>Data:</v>
      </c>
      <c r="F1" s="73"/>
      <c r="G1" s="169"/>
      <c r="H1" s="158"/>
    </row>
    <row r="2" spans="1:8">
      <c r="A2" s="150" t="str">
        <f ca="1">'Orçamento Sintético'!A2:B2</f>
        <v>A</v>
      </c>
      <c r="B2" s="151"/>
      <c r="C2" s="64" t="str">
        <f ca="1">'Orçamento Sintético'!C2</f>
        <v>B</v>
      </c>
      <c r="D2" s="63" t="str">
        <f ca="1">'Orçamento Sintético'!D2</f>
        <v>Local: Setor de Múltiplas Atividades Sul - SMAS Trecho 4 Lote 6/8 – Brasília – DF</v>
      </c>
      <c r="E2" s="170">
        <f ca="1">'Orçamento Sintético'!E2:F2</f>
        <v>1</v>
      </c>
      <c r="F2" s="171"/>
      <c r="G2" s="152"/>
      <c r="H2" s="153"/>
    </row>
    <row r="3" spans="1:8">
      <c r="A3" s="65" t="str">
        <f ca="1">'Orçamento Sintético'!A3</f>
        <v>P. Validade:</v>
      </c>
      <c r="B3" s="95"/>
      <c r="C3" s="65" t="str">
        <f ca="1">'Orçamento Sintético'!C3</f>
        <v>Razão Social:</v>
      </c>
      <c r="D3" s="73"/>
      <c r="E3" s="59" t="str">
        <f ca="1">'Orçamento Sintético'!E3</f>
        <v>Telefone:</v>
      </c>
      <c r="F3" s="73"/>
      <c r="G3" s="76"/>
      <c r="H3" s="77"/>
    </row>
    <row r="4" spans="1:8">
      <c r="A4" s="150" t="str">
        <f ca="1">'Orçamento Sintético'!A4:B4</f>
        <v>C</v>
      </c>
      <c r="B4" s="151"/>
      <c r="C4" s="150" t="str">
        <f ca="1">'Orçamento Sintético'!C4:D4</f>
        <v>D</v>
      </c>
      <c r="D4" s="159"/>
      <c r="E4" s="150" t="str">
        <f ca="1">'Orçamento Sintético'!E4:F4</f>
        <v>E</v>
      </c>
      <c r="F4" s="159"/>
      <c r="G4" s="152"/>
      <c r="H4" s="153"/>
    </row>
    <row r="5" spans="1:8" ht="15" customHeight="1">
      <c r="A5" s="59" t="str">
        <f ca="1">'Orçamento Sintético'!A5</f>
        <v>P. Garantia:</v>
      </c>
      <c r="B5" s="75"/>
      <c r="C5" s="59" t="str">
        <f ca="1">'Orçamento Sintético'!C5</f>
        <v>CNPJ:</v>
      </c>
      <c r="D5" s="73"/>
      <c r="E5" s="59" t="str">
        <f ca="1">'Orçamento Sintético'!E5</f>
        <v>E-mail:</v>
      </c>
      <c r="F5" s="73"/>
      <c r="G5" s="76"/>
      <c r="H5" s="77"/>
    </row>
    <row r="6" spans="1:8" ht="14.25" customHeight="1">
      <c r="A6" s="150" t="str">
        <f ca="1">'Orçamento Sintético'!A6:B6</f>
        <v>F</v>
      </c>
      <c r="B6" s="151"/>
      <c r="C6" s="150" t="str">
        <f ca="1">'Orçamento Sintético'!C6:D6</f>
        <v>G</v>
      </c>
      <c r="D6" s="159"/>
      <c r="E6" s="150" t="str">
        <f ca="1">'Orçamento Sintético'!E6:F6</f>
        <v>H</v>
      </c>
      <c r="F6" s="159"/>
      <c r="G6" s="155"/>
      <c r="H6" s="156"/>
    </row>
    <row r="7" spans="1:8" ht="14.25" customHeight="1">
      <c r="A7" s="172" t="s">
        <v>618</v>
      </c>
      <c r="B7" s="172"/>
      <c r="C7" s="172"/>
      <c r="D7" s="172"/>
      <c r="E7" s="172"/>
      <c r="F7" s="172"/>
      <c r="G7" s="172"/>
      <c r="H7" s="172"/>
    </row>
    <row r="8" spans="1:8" ht="15" customHeight="1">
      <c r="A8" s="96" t="s">
        <v>2</v>
      </c>
      <c r="B8" s="96" t="s">
        <v>3</v>
      </c>
      <c r="C8" s="96" t="s">
        <v>619</v>
      </c>
      <c r="D8" s="96" t="s">
        <v>4</v>
      </c>
      <c r="E8" s="96" t="s">
        <v>5</v>
      </c>
      <c r="F8" s="96" t="s">
        <v>7</v>
      </c>
      <c r="G8" s="96" t="s">
        <v>620</v>
      </c>
      <c r="H8" s="96" t="s">
        <v>621</v>
      </c>
    </row>
    <row r="9" spans="1:8">
      <c r="A9" s="88" t="s">
        <v>350</v>
      </c>
      <c r="B9" s="88" t="s">
        <v>36</v>
      </c>
      <c r="C9" s="88" t="s">
        <v>305</v>
      </c>
      <c r="D9" s="89" t="s">
        <v>349</v>
      </c>
      <c r="E9" s="88" t="s">
        <v>31</v>
      </c>
      <c r="F9" s="91">
        <v>10.27</v>
      </c>
      <c r="G9" s="97" t="s">
        <v>622</v>
      </c>
      <c r="H9" s="97" t="s">
        <v>622</v>
      </c>
    </row>
    <row r="10" spans="1:8">
      <c r="A10" s="88" t="s">
        <v>342</v>
      </c>
      <c r="B10" s="88" t="s">
        <v>36</v>
      </c>
      <c r="C10" s="88" t="s">
        <v>305</v>
      </c>
      <c r="D10" s="89" t="s">
        <v>341</v>
      </c>
      <c r="E10" s="88" t="s">
        <v>31</v>
      </c>
      <c r="F10" s="91">
        <v>12.34</v>
      </c>
      <c r="G10" s="97" t="s">
        <v>622</v>
      </c>
      <c r="H10" s="97" t="s">
        <v>622</v>
      </c>
    </row>
    <row r="11" spans="1:8">
      <c r="A11" s="88" t="s">
        <v>352</v>
      </c>
      <c r="B11" s="88" t="s">
        <v>36</v>
      </c>
      <c r="C11" s="88" t="s">
        <v>305</v>
      </c>
      <c r="D11" s="89" t="s">
        <v>351</v>
      </c>
      <c r="E11" s="88" t="s">
        <v>63</v>
      </c>
      <c r="F11" s="91">
        <v>95</v>
      </c>
      <c r="G11" s="97" t="s">
        <v>622</v>
      </c>
      <c r="H11" s="97" t="s">
        <v>622</v>
      </c>
    </row>
    <row r="12" spans="1:8" ht="22.5">
      <c r="A12" s="88" t="s">
        <v>357</v>
      </c>
      <c r="B12" s="88" t="s">
        <v>36</v>
      </c>
      <c r="C12" s="88" t="s">
        <v>305</v>
      </c>
      <c r="D12" s="89" t="s">
        <v>356</v>
      </c>
      <c r="E12" s="88" t="s">
        <v>355</v>
      </c>
      <c r="F12" s="91">
        <v>14.43</v>
      </c>
      <c r="G12" s="97"/>
      <c r="H12" s="97"/>
    </row>
    <row r="13" spans="1:8" ht="22.5">
      <c r="A13" s="88" t="s">
        <v>401</v>
      </c>
      <c r="B13" s="88" t="s">
        <v>36</v>
      </c>
      <c r="C13" s="88" t="s">
        <v>305</v>
      </c>
      <c r="D13" s="89" t="s">
        <v>400</v>
      </c>
      <c r="E13" s="88" t="s">
        <v>399</v>
      </c>
      <c r="F13" s="91">
        <v>15.89</v>
      </c>
      <c r="G13" s="97"/>
      <c r="H13" s="97"/>
    </row>
    <row r="14" spans="1:8" ht="22.5">
      <c r="A14" s="88" t="s">
        <v>398</v>
      </c>
      <c r="B14" s="88" t="s">
        <v>36</v>
      </c>
      <c r="C14" s="88" t="s">
        <v>305</v>
      </c>
      <c r="D14" s="89" t="s">
        <v>397</v>
      </c>
      <c r="E14" s="88" t="s">
        <v>355</v>
      </c>
      <c r="F14" s="91">
        <v>12.86</v>
      </c>
      <c r="G14" s="97"/>
      <c r="H14" s="97"/>
    </row>
    <row r="15" spans="1:8">
      <c r="A15" s="88" t="s">
        <v>380</v>
      </c>
      <c r="B15" s="88" t="s">
        <v>36</v>
      </c>
      <c r="C15" s="88" t="s">
        <v>305</v>
      </c>
      <c r="D15" s="89" t="s">
        <v>379</v>
      </c>
      <c r="E15" s="88" t="s">
        <v>355</v>
      </c>
      <c r="F15" s="91">
        <v>12.5</v>
      </c>
      <c r="G15" s="97" t="s">
        <v>622</v>
      </c>
      <c r="H15" s="97" t="s">
        <v>622</v>
      </c>
    </row>
    <row r="16" spans="1:8">
      <c r="A16" s="88" t="s">
        <v>378</v>
      </c>
      <c r="B16" s="88" t="s">
        <v>36</v>
      </c>
      <c r="C16" s="88" t="s">
        <v>305</v>
      </c>
      <c r="D16" s="89" t="s">
        <v>377</v>
      </c>
      <c r="E16" s="88" t="s">
        <v>355</v>
      </c>
      <c r="F16" s="91">
        <v>11.56</v>
      </c>
      <c r="G16" s="97" t="s">
        <v>622</v>
      </c>
      <c r="H16" s="97" t="s">
        <v>622</v>
      </c>
    </row>
    <row r="17" spans="1:8" ht="22.5">
      <c r="A17" s="88" t="s">
        <v>409</v>
      </c>
      <c r="B17" s="88" t="s">
        <v>36</v>
      </c>
      <c r="C17" s="88" t="s">
        <v>305</v>
      </c>
      <c r="D17" s="89" t="s">
        <v>408</v>
      </c>
      <c r="E17" s="88" t="s">
        <v>38</v>
      </c>
      <c r="F17" s="91">
        <v>1.1499999999999999</v>
      </c>
      <c r="G17" s="97" t="s">
        <v>622</v>
      </c>
      <c r="H17" s="97" t="s">
        <v>622</v>
      </c>
    </row>
    <row r="18" spans="1:8" ht="22.5">
      <c r="A18" s="88" t="s">
        <v>413</v>
      </c>
      <c r="B18" s="88" t="s">
        <v>36</v>
      </c>
      <c r="C18" s="88" t="s">
        <v>305</v>
      </c>
      <c r="D18" s="89" t="s">
        <v>412</v>
      </c>
      <c r="E18" s="88" t="s">
        <v>42</v>
      </c>
      <c r="F18" s="91">
        <v>43.48</v>
      </c>
      <c r="G18" s="97"/>
      <c r="H18" s="97"/>
    </row>
    <row r="19" spans="1:8" ht="22.5">
      <c r="A19" s="88" t="s">
        <v>386</v>
      </c>
      <c r="B19" s="88" t="s">
        <v>36</v>
      </c>
      <c r="C19" s="88" t="s">
        <v>305</v>
      </c>
      <c r="D19" s="89" t="s">
        <v>385</v>
      </c>
      <c r="E19" s="88" t="s">
        <v>42</v>
      </c>
      <c r="F19" s="91">
        <v>6.23</v>
      </c>
      <c r="G19" s="97"/>
      <c r="H19" s="97"/>
    </row>
    <row r="20" spans="1:8">
      <c r="A20" s="88" t="s">
        <v>403</v>
      </c>
      <c r="B20" s="88" t="s">
        <v>36</v>
      </c>
      <c r="C20" s="88" t="s">
        <v>305</v>
      </c>
      <c r="D20" s="89" t="s">
        <v>402</v>
      </c>
      <c r="E20" s="88" t="s">
        <v>355</v>
      </c>
      <c r="F20" s="91">
        <v>6.17</v>
      </c>
      <c r="G20" s="97" t="s">
        <v>622</v>
      </c>
      <c r="H20" s="97" t="s">
        <v>622</v>
      </c>
    </row>
    <row r="21" spans="1:8" ht="22.5">
      <c r="A21" s="88" t="s">
        <v>361</v>
      </c>
      <c r="B21" s="88" t="s">
        <v>36</v>
      </c>
      <c r="C21" s="88" t="s">
        <v>305</v>
      </c>
      <c r="D21" s="89" t="s">
        <v>360</v>
      </c>
      <c r="E21" s="88" t="s">
        <v>63</v>
      </c>
      <c r="F21" s="91">
        <v>9.6199999999999992</v>
      </c>
      <c r="G21" s="97" t="s">
        <v>622</v>
      </c>
      <c r="H21" s="97" t="s">
        <v>622</v>
      </c>
    </row>
    <row r="22" spans="1:8">
      <c r="A22" s="88" t="s">
        <v>415</v>
      </c>
      <c r="B22" s="88" t="s">
        <v>36</v>
      </c>
      <c r="C22" s="88" t="s">
        <v>305</v>
      </c>
      <c r="D22" s="89" t="s">
        <v>414</v>
      </c>
      <c r="E22" s="88" t="s">
        <v>399</v>
      </c>
      <c r="F22" s="91">
        <v>13.37</v>
      </c>
      <c r="G22" s="97"/>
      <c r="H22" s="97"/>
    </row>
    <row r="23" spans="1:8" ht="22.5">
      <c r="A23" s="88" t="s">
        <v>454</v>
      </c>
      <c r="B23" s="88" t="s">
        <v>36</v>
      </c>
      <c r="C23" s="88" t="s">
        <v>305</v>
      </c>
      <c r="D23" s="89" t="s">
        <v>453</v>
      </c>
      <c r="E23" s="88" t="s">
        <v>31</v>
      </c>
      <c r="F23" s="91">
        <v>0.92</v>
      </c>
      <c r="G23" s="97" t="s">
        <v>622</v>
      </c>
      <c r="H23" s="97" t="s">
        <v>622</v>
      </c>
    </row>
    <row r="24" spans="1:8" ht="22.5">
      <c r="A24" s="88" t="s">
        <v>458</v>
      </c>
      <c r="B24" s="88" t="s">
        <v>36</v>
      </c>
      <c r="C24" s="88" t="s">
        <v>305</v>
      </c>
      <c r="D24" s="89" t="s">
        <v>457</v>
      </c>
      <c r="E24" s="88" t="s">
        <v>296</v>
      </c>
      <c r="F24" s="91">
        <v>457.03</v>
      </c>
      <c r="G24" s="97" t="s">
        <v>622</v>
      </c>
      <c r="H24" s="97" t="s">
        <v>622</v>
      </c>
    </row>
    <row r="25" spans="1:8">
      <c r="A25" s="88" t="s">
        <v>376</v>
      </c>
      <c r="B25" s="88" t="s">
        <v>36</v>
      </c>
      <c r="C25" s="88" t="s">
        <v>305</v>
      </c>
      <c r="D25" s="89" t="s">
        <v>375</v>
      </c>
      <c r="E25" s="88" t="s">
        <v>355</v>
      </c>
      <c r="F25" s="91">
        <v>19.09</v>
      </c>
      <c r="G25" s="97" t="s">
        <v>622</v>
      </c>
      <c r="H25" s="97" t="s">
        <v>622</v>
      </c>
    </row>
    <row r="26" spans="1:8" ht="22.5">
      <c r="A26" s="88" t="s">
        <v>314</v>
      </c>
      <c r="B26" s="88" t="s">
        <v>36</v>
      </c>
      <c r="C26" s="88" t="s">
        <v>305</v>
      </c>
      <c r="D26" s="89" t="s">
        <v>313</v>
      </c>
      <c r="E26" s="88" t="s">
        <v>31</v>
      </c>
      <c r="F26" s="91">
        <v>158.13</v>
      </c>
      <c r="G26" s="97" t="s">
        <v>622</v>
      </c>
      <c r="H26" s="97" t="s">
        <v>622</v>
      </c>
    </row>
    <row r="27" spans="1:8">
      <c r="A27" s="88" t="s">
        <v>374</v>
      </c>
      <c r="B27" s="88" t="s">
        <v>36</v>
      </c>
      <c r="C27" s="88" t="s">
        <v>305</v>
      </c>
      <c r="D27" s="89" t="s">
        <v>373</v>
      </c>
      <c r="E27" s="88" t="s">
        <v>31</v>
      </c>
      <c r="F27" s="91">
        <v>1.32</v>
      </c>
      <c r="G27" s="97" t="s">
        <v>622</v>
      </c>
      <c r="H27" s="97" t="s">
        <v>622</v>
      </c>
    </row>
    <row r="28" spans="1:8" ht="22.5">
      <c r="A28" s="88" t="s">
        <v>346</v>
      </c>
      <c r="B28" s="88" t="s">
        <v>36</v>
      </c>
      <c r="C28" s="88" t="s">
        <v>305</v>
      </c>
      <c r="D28" s="89" t="s">
        <v>345</v>
      </c>
      <c r="E28" s="88" t="s">
        <v>31</v>
      </c>
      <c r="F28" s="91">
        <v>29.43</v>
      </c>
      <c r="G28" s="97" t="s">
        <v>622</v>
      </c>
      <c r="H28" s="97" t="s">
        <v>622</v>
      </c>
    </row>
    <row r="29" spans="1:8">
      <c r="A29" s="88" t="s">
        <v>344</v>
      </c>
      <c r="B29" s="88" t="s">
        <v>36</v>
      </c>
      <c r="C29" s="88" t="s">
        <v>305</v>
      </c>
      <c r="D29" s="89" t="s">
        <v>343</v>
      </c>
      <c r="E29" s="88" t="s">
        <v>31</v>
      </c>
      <c r="F29" s="91">
        <v>72.900000000000006</v>
      </c>
      <c r="G29" s="97" t="s">
        <v>622</v>
      </c>
      <c r="H29" s="97" t="s">
        <v>622</v>
      </c>
    </row>
    <row r="30" spans="1:8" ht="22.5">
      <c r="A30" s="88" t="s">
        <v>372</v>
      </c>
      <c r="B30" s="88" t="s">
        <v>36</v>
      </c>
      <c r="C30" s="88" t="s">
        <v>305</v>
      </c>
      <c r="D30" s="89" t="s">
        <v>371</v>
      </c>
      <c r="E30" s="88" t="s">
        <v>38</v>
      </c>
      <c r="F30" s="91">
        <v>61.91</v>
      </c>
      <c r="G30" s="97"/>
      <c r="H30" s="97"/>
    </row>
    <row r="31" spans="1:8" ht="22.5">
      <c r="A31" s="88" t="s">
        <v>370</v>
      </c>
      <c r="B31" s="88" t="s">
        <v>36</v>
      </c>
      <c r="C31" s="88" t="s">
        <v>305</v>
      </c>
      <c r="D31" s="89" t="s">
        <v>369</v>
      </c>
      <c r="E31" s="88" t="s">
        <v>38</v>
      </c>
      <c r="F31" s="91">
        <v>80.790000000000006</v>
      </c>
      <c r="G31" s="97"/>
      <c r="H31" s="97"/>
    </row>
    <row r="32" spans="1:8">
      <c r="A32" s="88" t="s">
        <v>430</v>
      </c>
      <c r="B32" s="88" t="s">
        <v>36</v>
      </c>
      <c r="C32" s="88" t="s">
        <v>305</v>
      </c>
      <c r="D32" s="89" t="s">
        <v>429</v>
      </c>
      <c r="E32" s="88" t="s">
        <v>355</v>
      </c>
      <c r="F32" s="91">
        <v>0.83</v>
      </c>
      <c r="G32" s="97"/>
      <c r="H32" s="97"/>
    </row>
    <row r="33" spans="1:8">
      <c r="A33" s="88" t="s">
        <v>426</v>
      </c>
      <c r="B33" s="88" t="s">
        <v>36</v>
      </c>
      <c r="C33" s="88" t="s">
        <v>305</v>
      </c>
      <c r="D33" s="89" t="s">
        <v>425</v>
      </c>
      <c r="E33" s="88" t="s">
        <v>355</v>
      </c>
      <c r="F33" s="91">
        <v>2.64</v>
      </c>
      <c r="G33" s="97" t="s">
        <v>622</v>
      </c>
      <c r="H33" s="97" t="s">
        <v>622</v>
      </c>
    </row>
    <row r="34" spans="1:8">
      <c r="A34" s="88" t="s">
        <v>432</v>
      </c>
      <c r="B34" s="88" t="s">
        <v>36</v>
      </c>
      <c r="C34" s="88" t="s">
        <v>305</v>
      </c>
      <c r="D34" s="89" t="s">
        <v>431</v>
      </c>
      <c r="E34" s="88" t="s">
        <v>31</v>
      </c>
      <c r="F34" s="91">
        <v>11.38</v>
      </c>
      <c r="G34" s="97" t="s">
        <v>622</v>
      </c>
      <c r="H34" s="97" t="s">
        <v>622</v>
      </c>
    </row>
    <row r="35" spans="1:8">
      <c r="A35" s="88" t="s">
        <v>424</v>
      </c>
      <c r="B35" s="88" t="s">
        <v>36</v>
      </c>
      <c r="C35" s="88" t="s">
        <v>305</v>
      </c>
      <c r="D35" s="89" t="s">
        <v>423</v>
      </c>
      <c r="E35" s="88" t="s">
        <v>355</v>
      </c>
      <c r="F35" s="91">
        <v>1.38</v>
      </c>
      <c r="G35" s="97"/>
      <c r="H35" s="97"/>
    </row>
    <row r="36" spans="1:8" ht="22.5">
      <c r="A36" s="88" t="s">
        <v>312</v>
      </c>
      <c r="B36" s="88" t="s">
        <v>36</v>
      </c>
      <c r="C36" s="88" t="s">
        <v>305</v>
      </c>
      <c r="D36" s="89" t="s">
        <v>311</v>
      </c>
      <c r="E36" s="88" t="s">
        <v>31</v>
      </c>
      <c r="F36" s="91">
        <v>128.93</v>
      </c>
      <c r="G36" s="97" t="s">
        <v>622</v>
      </c>
      <c r="H36" s="97" t="s">
        <v>622</v>
      </c>
    </row>
    <row r="37" spans="1:8" ht="22.5">
      <c r="A37" s="88" t="s">
        <v>338</v>
      </c>
      <c r="B37" s="88" t="s">
        <v>36</v>
      </c>
      <c r="C37" s="88" t="s">
        <v>307</v>
      </c>
      <c r="D37" s="89" t="s">
        <v>337</v>
      </c>
      <c r="E37" s="88" t="s">
        <v>330</v>
      </c>
      <c r="F37" s="91">
        <v>21.82</v>
      </c>
      <c r="G37" s="97" t="s">
        <v>622</v>
      </c>
      <c r="H37" s="97" t="s">
        <v>622</v>
      </c>
    </row>
    <row r="38" spans="1:8" ht="33.75">
      <c r="A38" s="88" t="s">
        <v>446</v>
      </c>
      <c r="B38" s="88" t="s">
        <v>36</v>
      </c>
      <c r="C38" s="88" t="s">
        <v>307</v>
      </c>
      <c r="D38" s="89" t="s">
        <v>445</v>
      </c>
      <c r="E38" s="88" t="s">
        <v>330</v>
      </c>
      <c r="F38" s="91">
        <v>178.27</v>
      </c>
      <c r="G38" s="97" t="s">
        <v>622</v>
      </c>
      <c r="H38" s="97" t="s">
        <v>622</v>
      </c>
    </row>
    <row r="39" spans="1:8" ht="22.5">
      <c r="A39" s="88" t="s">
        <v>336</v>
      </c>
      <c r="B39" s="88" t="s">
        <v>36</v>
      </c>
      <c r="C39" s="88" t="s">
        <v>307</v>
      </c>
      <c r="D39" s="89" t="s">
        <v>335</v>
      </c>
      <c r="E39" s="88" t="s">
        <v>329</v>
      </c>
      <c r="F39" s="91">
        <v>20.32</v>
      </c>
      <c r="G39" s="97" t="s">
        <v>622</v>
      </c>
      <c r="H39" s="97" t="s">
        <v>622</v>
      </c>
    </row>
    <row r="40" spans="1:8" ht="22.5">
      <c r="A40" s="88" t="s">
        <v>394</v>
      </c>
      <c r="B40" s="88" t="s">
        <v>36</v>
      </c>
      <c r="C40" s="88" t="s">
        <v>307</v>
      </c>
      <c r="D40" s="89" t="s">
        <v>393</v>
      </c>
      <c r="E40" s="88" t="s">
        <v>42</v>
      </c>
      <c r="F40" s="91">
        <v>97.23</v>
      </c>
      <c r="G40" s="97" t="s">
        <v>622</v>
      </c>
      <c r="H40" s="97" t="s">
        <v>622</v>
      </c>
    </row>
    <row r="41" spans="1:8">
      <c r="A41" s="88" t="s">
        <v>442</v>
      </c>
      <c r="B41" s="88" t="s">
        <v>36</v>
      </c>
      <c r="C41" s="88" t="s">
        <v>307</v>
      </c>
      <c r="D41" s="89" t="s">
        <v>441</v>
      </c>
      <c r="E41" s="88" t="s">
        <v>63</v>
      </c>
      <c r="F41" s="91">
        <v>22.14</v>
      </c>
      <c r="G41" s="97" t="s">
        <v>622</v>
      </c>
      <c r="H41" s="97" t="s">
        <v>622</v>
      </c>
    </row>
    <row r="42" spans="1:8" ht="22.5">
      <c r="A42" s="88" t="s">
        <v>417</v>
      </c>
      <c r="B42" s="88" t="s">
        <v>36</v>
      </c>
      <c r="C42" s="88" t="s">
        <v>307</v>
      </c>
      <c r="D42" s="89" t="s">
        <v>416</v>
      </c>
      <c r="E42" s="88" t="s">
        <v>63</v>
      </c>
      <c r="F42" s="91">
        <v>488.51</v>
      </c>
      <c r="G42" s="97" t="s">
        <v>622</v>
      </c>
      <c r="H42" s="97" t="s">
        <v>622</v>
      </c>
    </row>
    <row r="43" spans="1:8" ht="33.75">
      <c r="A43" s="88" t="s">
        <v>388</v>
      </c>
      <c r="B43" s="88" t="s">
        <v>36</v>
      </c>
      <c r="C43" s="88" t="s">
        <v>307</v>
      </c>
      <c r="D43" s="89" t="s">
        <v>387</v>
      </c>
      <c r="E43" s="88" t="s">
        <v>42</v>
      </c>
      <c r="F43" s="91">
        <v>31.38</v>
      </c>
      <c r="G43" s="97" t="s">
        <v>622</v>
      </c>
      <c r="H43" s="97" t="s">
        <v>622</v>
      </c>
    </row>
    <row r="44" spans="1:8" ht="33.75">
      <c r="A44" s="88" t="s">
        <v>392</v>
      </c>
      <c r="B44" s="88" t="s">
        <v>36</v>
      </c>
      <c r="C44" s="88" t="s">
        <v>307</v>
      </c>
      <c r="D44" s="89" t="s">
        <v>391</v>
      </c>
      <c r="E44" s="88" t="s">
        <v>42</v>
      </c>
      <c r="F44" s="91">
        <v>41.7</v>
      </c>
      <c r="G44" s="97" t="s">
        <v>622</v>
      </c>
      <c r="H44" s="97" t="s">
        <v>622</v>
      </c>
    </row>
    <row r="45" spans="1:8" ht="33.75">
      <c r="A45" s="88" t="s">
        <v>411</v>
      </c>
      <c r="B45" s="88" t="s">
        <v>36</v>
      </c>
      <c r="C45" s="88" t="s">
        <v>307</v>
      </c>
      <c r="D45" s="89" t="s">
        <v>410</v>
      </c>
      <c r="E45" s="88" t="s">
        <v>42</v>
      </c>
      <c r="F45" s="91">
        <v>41.14</v>
      </c>
      <c r="G45" s="97" t="s">
        <v>622</v>
      </c>
      <c r="H45" s="97" t="s">
        <v>622</v>
      </c>
    </row>
    <row r="46" spans="1:8" ht="33.75">
      <c r="A46" s="88" t="s">
        <v>390</v>
      </c>
      <c r="B46" s="88" t="s">
        <v>36</v>
      </c>
      <c r="C46" s="88" t="s">
        <v>307</v>
      </c>
      <c r="D46" s="89" t="s">
        <v>389</v>
      </c>
      <c r="E46" s="88" t="s">
        <v>42</v>
      </c>
      <c r="F46" s="91">
        <v>3.51</v>
      </c>
      <c r="G46" s="97" t="s">
        <v>622</v>
      </c>
      <c r="H46" s="97" t="s">
        <v>622</v>
      </c>
    </row>
    <row r="47" spans="1:8">
      <c r="A47" s="88" t="s">
        <v>407</v>
      </c>
      <c r="B47" s="88" t="s">
        <v>36</v>
      </c>
      <c r="C47" s="88" t="s">
        <v>307</v>
      </c>
      <c r="D47" s="89" t="s">
        <v>406</v>
      </c>
      <c r="E47" s="88" t="s">
        <v>300</v>
      </c>
      <c r="F47" s="91">
        <v>20.96</v>
      </c>
      <c r="G47" s="97" t="s">
        <v>622</v>
      </c>
      <c r="H47" s="97" t="s">
        <v>622</v>
      </c>
    </row>
    <row r="48" spans="1:8">
      <c r="A48" s="88" t="s">
        <v>328</v>
      </c>
      <c r="B48" s="88" t="s">
        <v>36</v>
      </c>
      <c r="C48" s="88" t="s">
        <v>307</v>
      </c>
      <c r="D48" s="89" t="s">
        <v>327</v>
      </c>
      <c r="E48" s="88" t="s">
        <v>300</v>
      </c>
      <c r="F48" s="91">
        <v>18.739999999999998</v>
      </c>
      <c r="G48" s="97" t="s">
        <v>622</v>
      </c>
      <c r="H48" s="97" t="s">
        <v>622</v>
      </c>
    </row>
    <row r="49" spans="1:8">
      <c r="A49" s="88" t="s">
        <v>334</v>
      </c>
      <c r="B49" s="88" t="s">
        <v>36</v>
      </c>
      <c r="C49" s="88" t="s">
        <v>307</v>
      </c>
      <c r="D49" s="89" t="s">
        <v>333</v>
      </c>
      <c r="E49" s="88" t="s">
        <v>300</v>
      </c>
      <c r="F49" s="91">
        <v>18.23</v>
      </c>
      <c r="G49" s="97" t="s">
        <v>622</v>
      </c>
      <c r="H49" s="97" t="s">
        <v>622</v>
      </c>
    </row>
    <row r="50" spans="1:8">
      <c r="A50" s="88" t="s">
        <v>384</v>
      </c>
      <c r="B50" s="88" t="s">
        <v>36</v>
      </c>
      <c r="C50" s="88" t="s">
        <v>307</v>
      </c>
      <c r="D50" s="89" t="s">
        <v>383</v>
      </c>
      <c r="E50" s="88" t="s">
        <v>300</v>
      </c>
      <c r="F50" s="91">
        <v>19.309999999999999</v>
      </c>
      <c r="G50" s="97" t="s">
        <v>622</v>
      </c>
      <c r="H50" s="97" t="s">
        <v>622</v>
      </c>
    </row>
    <row r="51" spans="1:8">
      <c r="A51" s="88" t="s">
        <v>448</v>
      </c>
      <c r="B51" s="88" t="s">
        <v>36</v>
      </c>
      <c r="C51" s="88" t="s">
        <v>307</v>
      </c>
      <c r="D51" s="89" t="s">
        <v>447</v>
      </c>
      <c r="E51" s="88" t="s">
        <v>300</v>
      </c>
      <c r="F51" s="91">
        <v>23.82</v>
      </c>
      <c r="G51" s="97" t="s">
        <v>622</v>
      </c>
      <c r="H51" s="97" t="s">
        <v>622</v>
      </c>
    </row>
    <row r="52" spans="1:8">
      <c r="A52" s="88" t="s">
        <v>326</v>
      </c>
      <c r="B52" s="88" t="s">
        <v>36</v>
      </c>
      <c r="C52" s="88" t="s">
        <v>307</v>
      </c>
      <c r="D52" s="89" t="s">
        <v>325</v>
      </c>
      <c r="E52" s="88" t="s">
        <v>300</v>
      </c>
      <c r="F52" s="91">
        <v>24.1</v>
      </c>
      <c r="G52" s="97" t="s">
        <v>622</v>
      </c>
      <c r="H52" s="97" t="s">
        <v>622</v>
      </c>
    </row>
    <row r="53" spans="1:8">
      <c r="A53" s="88" t="s">
        <v>332</v>
      </c>
      <c r="B53" s="88" t="s">
        <v>36</v>
      </c>
      <c r="C53" s="88" t="s">
        <v>307</v>
      </c>
      <c r="D53" s="89" t="s">
        <v>331</v>
      </c>
      <c r="E53" s="88" t="s">
        <v>300</v>
      </c>
      <c r="F53" s="91">
        <v>23.41</v>
      </c>
      <c r="G53" s="97" t="s">
        <v>622</v>
      </c>
      <c r="H53" s="97" t="s">
        <v>622</v>
      </c>
    </row>
    <row r="54" spans="1:8">
      <c r="A54" s="88" t="s">
        <v>405</v>
      </c>
      <c r="B54" s="88" t="s">
        <v>36</v>
      </c>
      <c r="C54" s="88" t="s">
        <v>307</v>
      </c>
      <c r="D54" s="89" t="s">
        <v>404</v>
      </c>
      <c r="E54" s="88" t="s">
        <v>300</v>
      </c>
      <c r="F54" s="91">
        <v>23.9</v>
      </c>
      <c r="G54" s="97" t="s">
        <v>622</v>
      </c>
      <c r="H54" s="97" t="s">
        <v>622</v>
      </c>
    </row>
    <row r="55" spans="1:8">
      <c r="A55" s="88" t="s">
        <v>428</v>
      </c>
      <c r="B55" s="88" t="s">
        <v>36</v>
      </c>
      <c r="C55" s="88" t="s">
        <v>307</v>
      </c>
      <c r="D55" s="89" t="s">
        <v>427</v>
      </c>
      <c r="E55" s="88" t="s">
        <v>300</v>
      </c>
      <c r="F55" s="91">
        <v>19.91</v>
      </c>
      <c r="G55" s="97" t="s">
        <v>622</v>
      </c>
      <c r="H55" s="97" t="s">
        <v>622</v>
      </c>
    </row>
    <row r="56" spans="1:8">
      <c r="A56" s="88" t="s">
        <v>318</v>
      </c>
      <c r="B56" s="88" t="s">
        <v>36</v>
      </c>
      <c r="C56" s="88" t="s">
        <v>307</v>
      </c>
      <c r="D56" s="89" t="s">
        <v>317</v>
      </c>
      <c r="E56" s="88" t="s">
        <v>300</v>
      </c>
      <c r="F56" s="91">
        <v>23.9</v>
      </c>
      <c r="G56" s="97" t="s">
        <v>622</v>
      </c>
      <c r="H56" s="97" t="s">
        <v>622</v>
      </c>
    </row>
    <row r="57" spans="1:8">
      <c r="A57" s="88" t="s">
        <v>382</v>
      </c>
      <c r="B57" s="88" t="s">
        <v>36</v>
      </c>
      <c r="C57" s="88" t="s">
        <v>307</v>
      </c>
      <c r="D57" s="89" t="s">
        <v>381</v>
      </c>
      <c r="E57" s="88" t="s">
        <v>300</v>
      </c>
      <c r="F57" s="91">
        <v>23.78</v>
      </c>
      <c r="G57" s="97" t="s">
        <v>622</v>
      </c>
      <c r="H57" s="97" t="s">
        <v>622</v>
      </c>
    </row>
    <row r="58" spans="1:8">
      <c r="A58" s="88" t="s">
        <v>310</v>
      </c>
      <c r="B58" s="88" t="s">
        <v>36</v>
      </c>
      <c r="C58" s="88" t="s">
        <v>307</v>
      </c>
      <c r="D58" s="89" t="s">
        <v>309</v>
      </c>
      <c r="E58" s="88" t="s">
        <v>300</v>
      </c>
      <c r="F58" s="91">
        <v>17.61</v>
      </c>
      <c r="G58" s="97" t="s">
        <v>622</v>
      </c>
      <c r="H58" s="97" t="s">
        <v>622</v>
      </c>
    </row>
    <row r="59" spans="1:8">
      <c r="A59" s="88" t="s">
        <v>438</v>
      </c>
      <c r="B59" s="88" t="s">
        <v>36</v>
      </c>
      <c r="C59" s="88" t="s">
        <v>307</v>
      </c>
      <c r="D59" s="89" t="s">
        <v>437</v>
      </c>
      <c r="E59" s="88" t="s">
        <v>300</v>
      </c>
      <c r="F59" s="91">
        <v>22.19</v>
      </c>
      <c r="G59" s="97" t="s">
        <v>622</v>
      </c>
      <c r="H59" s="97" t="s">
        <v>622</v>
      </c>
    </row>
    <row r="60" spans="1:8">
      <c r="A60" s="88" t="s">
        <v>359</v>
      </c>
      <c r="B60" s="88" t="s">
        <v>36</v>
      </c>
      <c r="C60" s="88" t="s">
        <v>307</v>
      </c>
      <c r="D60" s="89" t="s">
        <v>358</v>
      </c>
      <c r="E60" s="88" t="s">
        <v>300</v>
      </c>
      <c r="F60" s="91">
        <v>23.12</v>
      </c>
      <c r="G60" s="97" t="s">
        <v>622</v>
      </c>
      <c r="H60" s="97" t="s">
        <v>622</v>
      </c>
    </row>
    <row r="61" spans="1:8">
      <c r="A61" s="88" t="s">
        <v>354</v>
      </c>
      <c r="B61" s="88" t="s">
        <v>36</v>
      </c>
      <c r="C61" s="88" t="s">
        <v>307</v>
      </c>
      <c r="D61" s="89" t="s">
        <v>353</v>
      </c>
      <c r="E61" s="88" t="s">
        <v>63</v>
      </c>
      <c r="F61" s="91">
        <v>494.04</v>
      </c>
      <c r="G61" s="97" t="s">
        <v>622</v>
      </c>
      <c r="H61" s="97" t="s">
        <v>622</v>
      </c>
    </row>
    <row r="62" spans="1:8" ht="22.5">
      <c r="A62" s="88" t="s">
        <v>227</v>
      </c>
      <c r="B62" s="88" t="s">
        <v>36</v>
      </c>
      <c r="C62" s="88" t="s">
        <v>307</v>
      </c>
      <c r="D62" s="89" t="s">
        <v>228</v>
      </c>
      <c r="E62" s="88" t="s">
        <v>31</v>
      </c>
      <c r="F62" s="91">
        <v>123.57</v>
      </c>
      <c r="G62" s="97"/>
      <c r="H62" s="97"/>
    </row>
    <row r="63" spans="1:8" ht="22.5">
      <c r="A63" s="88" t="s">
        <v>230</v>
      </c>
      <c r="B63" s="88" t="s">
        <v>36</v>
      </c>
      <c r="C63" s="88" t="s">
        <v>307</v>
      </c>
      <c r="D63" s="89" t="s">
        <v>231</v>
      </c>
      <c r="E63" s="88" t="s">
        <v>31</v>
      </c>
      <c r="F63" s="91">
        <v>211.39</v>
      </c>
      <c r="G63" s="97"/>
      <c r="H63" s="97"/>
    </row>
    <row r="64" spans="1:8" ht="45">
      <c r="A64" s="88" t="s">
        <v>452</v>
      </c>
      <c r="B64" s="88" t="s">
        <v>36</v>
      </c>
      <c r="C64" s="88" t="s">
        <v>307</v>
      </c>
      <c r="D64" s="89" t="s">
        <v>451</v>
      </c>
      <c r="E64" s="88" t="s">
        <v>63</v>
      </c>
      <c r="F64" s="91">
        <v>11.37</v>
      </c>
      <c r="G64" s="97" t="s">
        <v>622</v>
      </c>
      <c r="H64" s="97" t="s">
        <v>622</v>
      </c>
    </row>
    <row r="65" spans="1:8">
      <c r="A65" s="88" t="s">
        <v>244</v>
      </c>
      <c r="B65" s="88" t="s">
        <v>36</v>
      </c>
      <c r="C65" s="88" t="s">
        <v>307</v>
      </c>
      <c r="D65" s="89" t="s">
        <v>245</v>
      </c>
      <c r="E65" s="88" t="s">
        <v>31</v>
      </c>
      <c r="F65" s="91">
        <v>112.76</v>
      </c>
      <c r="G65" s="97" t="s">
        <v>622</v>
      </c>
      <c r="H65" s="97" t="s">
        <v>622</v>
      </c>
    </row>
    <row r="66" spans="1:8">
      <c r="A66" s="88" t="s">
        <v>298</v>
      </c>
      <c r="B66" s="88" t="s">
        <v>36</v>
      </c>
      <c r="C66" s="88" t="s">
        <v>307</v>
      </c>
      <c r="D66" s="89" t="s">
        <v>299</v>
      </c>
      <c r="E66" s="88" t="s">
        <v>300</v>
      </c>
      <c r="F66" s="91">
        <v>105.61</v>
      </c>
      <c r="G66" s="97" t="s">
        <v>622</v>
      </c>
      <c r="H66" s="97" t="s">
        <v>622</v>
      </c>
    </row>
    <row r="67" spans="1:8" ht="33.75">
      <c r="A67" s="88" t="s">
        <v>456</v>
      </c>
      <c r="B67" s="88" t="s">
        <v>36</v>
      </c>
      <c r="C67" s="88" t="s">
        <v>307</v>
      </c>
      <c r="D67" s="89" t="s">
        <v>455</v>
      </c>
      <c r="E67" s="88" t="s">
        <v>330</v>
      </c>
      <c r="F67" s="91">
        <v>156.87</v>
      </c>
      <c r="G67" s="97" t="s">
        <v>622</v>
      </c>
      <c r="H67" s="97" t="s">
        <v>622</v>
      </c>
    </row>
    <row r="68" spans="1:8" ht="33.75">
      <c r="A68" s="88" t="s">
        <v>224</v>
      </c>
      <c r="B68" s="88" t="s">
        <v>36</v>
      </c>
      <c r="C68" s="88" t="s">
        <v>307</v>
      </c>
      <c r="D68" s="89" t="s">
        <v>225</v>
      </c>
      <c r="E68" s="88" t="s">
        <v>38</v>
      </c>
      <c r="F68" s="91">
        <v>89.44</v>
      </c>
      <c r="G68" s="97"/>
      <c r="H68" s="97"/>
    </row>
    <row r="69" spans="1:8" ht="22.5">
      <c r="A69" s="88" t="s">
        <v>260</v>
      </c>
      <c r="B69" s="88" t="s">
        <v>36</v>
      </c>
      <c r="C69" s="88" t="s">
        <v>307</v>
      </c>
      <c r="D69" s="89" t="s">
        <v>261</v>
      </c>
      <c r="E69" s="88" t="s">
        <v>38</v>
      </c>
      <c r="F69" s="91">
        <v>14.86</v>
      </c>
      <c r="G69" s="97"/>
      <c r="H69" s="97"/>
    </row>
    <row r="70" spans="1:8" ht="22.5">
      <c r="A70" s="88" t="s">
        <v>263</v>
      </c>
      <c r="B70" s="88" t="s">
        <v>36</v>
      </c>
      <c r="C70" s="88" t="s">
        <v>307</v>
      </c>
      <c r="D70" s="89" t="s">
        <v>264</v>
      </c>
      <c r="E70" s="88" t="s">
        <v>38</v>
      </c>
      <c r="F70" s="91">
        <v>7.6</v>
      </c>
      <c r="G70" s="97"/>
      <c r="H70" s="97"/>
    </row>
    <row r="71" spans="1:8">
      <c r="A71" s="88" t="s">
        <v>450</v>
      </c>
      <c r="B71" s="88" t="s">
        <v>36</v>
      </c>
      <c r="C71" s="88" t="s">
        <v>307</v>
      </c>
      <c r="D71" s="89" t="s">
        <v>449</v>
      </c>
      <c r="E71" s="88" t="s">
        <v>63</v>
      </c>
      <c r="F71" s="91">
        <v>25.12</v>
      </c>
      <c r="G71" s="97" t="s">
        <v>622</v>
      </c>
      <c r="H71" s="97" t="s">
        <v>622</v>
      </c>
    </row>
    <row r="72" spans="1:8">
      <c r="A72" s="88" t="s">
        <v>294</v>
      </c>
      <c r="B72" s="88" t="s">
        <v>36</v>
      </c>
      <c r="C72" s="88" t="s">
        <v>307</v>
      </c>
      <c r="D72" s="89" t="s">
        <v>295</v>
      </c>
      <c r="E72" s="88" t="s">
        <v>296</v>
      </c>
      <c r="F72" s="91">
        <v>3465.25</v>
      </c>
      <c r="G72" s="97" t="s">
        <v>622</v>
      </c>
      <c r="H72" s="97" t="s">
        <v>622</v>
      </c>
    </row>
    <row r="73" spans="1:8" ht="22.5">
      <c r="A73" s="88" t="s">
        <v>322</v>
      </c>
      <c r="B73" s="88" t="s">
        <v>36</v>
      </c>
      <c r="C73" s="88" t="s">
        <v>307</v>
      </c>
      <c r="D73" s="89" t="s">
        <v>321</v>
      </c>
      <c r="E73" s="88" t="s">
        <v>63</v>
      </c>
      <c r="F73" s="91">
        <v>324.97000000000003</v>
      </c>
      <c r="G73" s="97" t="s">
        <v>622</v>
      </c>
      <c r="H73" s="97" t="s">
        <v>622</v>
      </c>
    </row>
    <row r="74" spans="1:8" ht="33.75">
      <c r="A74" s="88" t="s">
        <v>207</v>
      </c>
      <c r="B74" s="88" t="s">
        <v>36</v>
      </c>
      <c r="C74" s="88" t="s">
        <v>307</v>
      </c>
      <c r="D74" s="89" t="s">
        <v>208</v>
      </c>
      <c r="E74" s="88" t="s">
        <v>42</v>
      </c>
      <c r="F74" s="91">
        <v>116.52</v>
      </c>
      <c r="G74" s="97" t="s">
        <v>622</v>
      </c>
      <c r="H74" s="97" t="s">
        <v>622</v>
      </c>
    </row>
    <row r="75" spans="1:8" ht="22.5">
      <c r="A75" s="88" t="s">
        <v>366</v>
      </c>
      <c r="B75" s="88" t="s">
        <v>36</v>
      </c>
      <c r="C75" s="88" t="s">
        <v>307</v>
      </c>
      <c r="D75" s="89" t="s">
        <v>365</v>
      </c>
      <c r="E75" s="88" t="s">
        <v>364</v>
      </c>
      <c r="F75" s="91">
        <v>1.52</v>
      </c>
      <c r="G75" s="97" t="s">
        <v>622</v>
      </c>
      <c r="H75" s="97" t="s">
        <v>622</v>
      </c>
    </row>
    <row r="76" spans="1:8" ht="33.75">
      <c r="A76" s="88" t="s">
        <v>324</v>
      </c>
      <c r="B76" s="88" t="s">
        <v>36</v>
      </c>
      <c r="C76" s="88" t="s">
        <v>307</v>
      </c>
      <c r="D76" s="89" t="s">
        <v>323</v>
      </c>
      <c r="E76" s="88" t="s">
        <v>63</v>
      </c>
      <c r="F76" s="91">
        <v>2247.56</v>
      </c>
      <c r="G76" s="97" t="s">
        <v>622</v>
      </c>
      <c r="H76" s="97" t="s">
        <v>622</v>
      </c>
    </row>
    <row r="77" spans="1:8">
      <c r="A77" s="88" t="s">
        <v>320</v>
      </c>
      <c r="B77" s="88" t="s">
        <v>36</v>
      </c>
      <c r="C77" s="88" t="s">
        <v>307</v>
      </c>
      <c r="D77" s="89" t="s">
        <v>319</v>
      </c>
      <c r="E77" s="88" t="s">
        <v>63</v>
      </c>
      <c r="F77" s="91">
        <v>519.91999999999996</v>
      </c>
      <c r="G77" s="97" t="s">
        <v>622</v>
      </c>
      <c r="H77" s="97" t="s">
        <v>622</v>
      </c>
    </row>
    <row r="78" spans="1:8">
      <c r="A78" s="88" t="s">
        <v>35</v>
      </c>
      <c r="B78" s="88" t="s">
        <v>36</v>
      </c>
      <c r="C78" s="88" t="s">
        <v>307</v>
      </c>
      <c r="D78" s="89" t="s">
        <v>37</v>
      </c>
      <c r="E78" s="88" t="s">
        <v>38</v>
      </c>
      <c r="F78" s="91">
        <v>10.68</v>
      </c>
      <c r="G78" s="97" t="s">
        <v>622</v>
      </c>
      <c r="H78" s="97" t="s">
        <v>622</v>
      </c>
    </row>
    <row r="79" spans="1:8" ht="22.5">
      <c r="A79" s="88" t="s">
        <v>89</v>
      </c>
      <c r="B79" s="88" t="s">
        <v>36</v>
      </c>
      <c r="C79" s="88" t="s">
        <v>307</v>
      </c>
      <c r="D79" s="89" t="s">
        <v>90</v>
      </c>
      <c r="E79" s="88" t="s">
        <v>42</v>
      </c>
      <c r="F79" s="91">
        <v>13.09</v>
      </c>
      <c r="G79" s="97" t="s">
        <v>622</v>
      </c>
      <c r="H79" s="97" t="s">
        <v>622</v>
      </c>
    </row>
    <row r="80" spans="1:8" ht="22.5">
      <c r="A80" s="88" t="s">
        <v>95</v>
      </c>
      <c r="B80" s="88" t="s">
        <v>36</v>
      </c>
      <c r="C80" s="88" t="s">
        <v>307</v>
      </c>
      <c r="D80" s="89" t="s">
        <v>96</v>
      </c>
      <c r="E80" s="88" t="s">
        <v>38</v>
      </c>
      <c r="F80" s="91">
        <v>0.56000000000000005</v>
      </c>
      <c r="G80" s="97" t="s">
        <v>622</v>
      </c>
      <c r="H80" s="97" t="s">
        <v>622</v>
      </c>
    </row>
    <row r="81" spans="1:8" ht="22.5">
      <c r="A81" s="88" t="s">
        <v>444</v>
      </c>
      <c r="B81" s="88" t="s">
        <v>36</v>
      </c>
      <c r="C81" s="88" t="s">
        <v>307</v>
      </c>
      <c r="D81" s="89" t="s">
        <v>443</v>
      </c>
      <c r="E81" s="88" t="s">
        <v>364</v>
      </c>
      <c r="F81" s="91">
        <v>0.81</v>
      </c>
      <c r="G81" s="97" t="s">
        <v>622</v>
      </c>
      <c r="H81" s="97" t="s">
        <v>622</v>
      </c>
    </row>
    <row r="82" spans="1:8">
      <c r="A82" s="88" t="s">
        <v>40</v>
      </c>
      <c r="B82" s="88" t="s">
        <v>36</v>
      </c>
      <c r="C82" s="88" t="s">
        <v>307</v>
      </c>
      <c r="D82" s="89" t="s">
        <v>41</v>
      </c>
      <c r="E82" s="88" t="s">
        <v>42</v>
      </c>
      <c r="F82" s="91">
        <v>116.97</v>
      </c>
      <c r="G82" s="97" t="s">
        <v>622</v>
      </c>
      <c r="H82" s="97" t="s">
        <v>622</v>
      </c>
    </row>
    <row r="83" spans="1:8">
      <c r="A83" s="88" t="s">
        <v>199</v>
      </c>
      <c r="B83" s="88" t="s">
        <v>36</v>
      </c>
      <c r="C83" s="88" t="s">
        <v>307</v>
      </c>
      <c r="D83" s="89" t="s">
        <v>200</v>
      </c>
      <c r="E83" s="88" t="s">
        <v>42</v>
      </c>
      <c r="F83" s="91">
        <v>11.36</v>
      </c>
      <c r="G83" s="97" t="s">
        <v>622</v>
      </c>
      <c r="H83" s="97" t="s">
        <v>622</v>
      </c>
    </row>
    <row r="84" spans="1:8" ht="22.5">
      <c r="A84" s="88" t="s">
        <v>251</v>
      </c>
      <c r="B84" s="88" t="s">
        <v>36</v>
      </c>
      <c r="C84" s="88" t="s">
        <v>307</v>
      </c>
      <c r="D84" s="89" t="s">
        <v>252</v>
      </c>
      <c r="E84" s="88" t="s">
        <v>31</v>
      </c>
      <c r="F84" s="91">
        <v>886.12</v>
      </c>
      <c r="G84" s="97" t="s">
        <v>622</v>
      </c>
      <c r="H84" s="97" t="s">
        <v>622</v>
      </c>
    </row>
    <row r="85" spans="1:8">
      <c r="A85" s="88" t="s">
        <v>287</v>
      </c>
      <c r="B85" s="88" t="s">
        <v>36</v>
      </c>
      <c r="C85" s="88" t="s">
        <v>307</v>
      </c>
      <c r="D85" s="89" t="s">
        <v>288</v>
      </c>
      <c r="E85" s="88" t="s">
        <v>42</v>
      </c>
      <c r="F85" s="91">
        <v>1.7</v>
      </c>
      <c r="G85" s="97" t="s">
        <v>622</v>
      </c>
      <c r="H85" s="97" t="s">
        <v>622</v>
      </c>
    </row>
    <row r="86" spans="1:8">
      <c r="A86" s="88" t="s">
        <v>284</v>
      </c>
      <c r="B86" s="88" t="s">
        <v>36</v>
      </c>
      <c r="C86" s="88" t="s">
        <v>307</v>
      </c>
      <c r="D86" s="89" t="s">
        <v>285</v>
      </c>
      <c r="E86" s="88" t="s">
        <v>42</v>
      </c>
      <c r="F86" s="91">
        <v>0.7</v>
      </c>
      <c r="G86" s="97" t="s">
        <v>622</v>
      </c>
      <c r="H86" s="97" t="s">
        <v>622</v>
      </c>
    </row>
    <row r="87" spans="1:8">
      <c r="A87" s="88" t="s">
        <v>281</v>
      </c>
      <c r="B87" s="88" t="s">
        <v>36</v>
      </c>
      <c r="C87" s="88" t="s">
        <v>307</v>
      </c>
      <c r="D87" s="89" t="s">
        <v>282</v>
      </c>
      <c r="E87" s="88" t="s">
        <v>42</v>
      </c>
      <c r="F87" s="91">
        <v>2.9</v>
      </c>
      <c r="G87" s="97" t="s">
        <v>622</v>
      </c>
      <c r="H87" s="97" t="s">
        <v>622</v>
      </c>
    </row>
    <row r="88" spans="1:8">
      <c r="A88" s="88" t="s">
        <v>157</v>
      </c>
      <c r="B88" s="88" t="s">
        <v>36</v>
      </c>
      <c r="C88" s="88" t="s">
        <v>307</v>
      </c>
      <c r="D88" s="89" t="s">
        <v>158</v>
      </c>
      <c r="E88" s="88" t="s">
        <v>42</v>
      </c>
      <c r="F88" s="91">
        <v>1.57</v>
      </c>
      <c r="G88" s="97" t="s">
        <v>622</v>
      </c>
      <c r="H88" s="97" t="s">
        <v>622</v>
      </c>
    </row>
    <row r="89" spans="1:8" ht="22.5">
      <c r="A89" s="88" t="s">
        <v>368</v>
      </c>
      <c r="B89" s="88" t="s">
        <v>36</v>
      </c>
      <c r="C89" s="88" t="s">
        <v>307</v>
      </c>
      <c r="D89" s="89" t="s">
        <v>367</v>
      </c>
      <c r="E89" s="88" t="s">
        <v>364</v>
      </c>
      <c r="F89" s="91">
        <v>327.25</v>
      </c>
      <c r="G89" s="97" t="s">
        <v>622</v>
      </c>
      <c r="H89" s="97" t="s">
        <v>622</v>
      </c>
    </row>
    <row r="90" spans="1:8" ht="33.75">
      <c r="A90" s="88" t="s">
        <v>152</v>
      </c>
      <c r="B90" s="88" t="s">
        <v>36</v>
      </c>
      <c r="C90" s="88" t="s">
        <v>307</v>
      </c>
      <c r="D90" s="89" t="s">
        <v>153</v>
      </c>
      <c r="E90" s="88" t="s">
        <v>42</v>
      </c>
      <c r="F90" s="91">
        <v>22.64</v>
      </c>
      <c r="G90" s="97"/>
      <c r="H90" s="97"/>
    </row>
    <row r="91" spans="1:8" ht="33.75">
      <c r="A91" s="88" t="s">
        <v>363</v>
      </c>
      <c r="B91" s="88" t="s">
        <v>36</v>
      </c>
      <c r="C91" s="88" t="s">
        <v>307</v>
      </c>
      <c r="D91" s="89" t="s">
        <v>362</v>
      </c>
      <c r="E91" s="88" t="s">
        <v>63</v>
      </c>
      <c r="F91" s="91">
        <v>4.6100000000000003</v>
      </c>
      <c r="G91" s="97" t="s">
        <v>622</v>
      </c>
      <c r="H91" s="97" t="s">
        <v>622</v>
      </c>
    </row>
    <row r="92" spans="1:8" ht="22.5">
      <c r="A92" s="88" t="s">
        <v>316</v>
      </c>
      <c r="B92" s="88" t="s">
        <v>36</v>
      </c>
      <c r="C92" s="88" t="s">
        <v>307</v>
      </c>
      <c r="D92" s="89" t="s">
        <v>315</v>
      </c>
      <c r="E92" s="88" t="s">
        <v>63</v>
      </c>
      <c r="F92" s="91">
        <v>285.89</v>
      </c>
      <c r="G92" s="97" t="s">
        <v>622</v>
      </c>
      <c r="H92" s="97" t="s">
        <v>622</v>
      </c>
    </row>
    <row r="93" spans="1:8" ht="33.75">
      <c r="A93" s="88" t="s">
        <v>135</v>
      </c>
      <c r="B93" s="88" t="s">
        <v>36</v>
      </c>
      <c r="C93" s="88" t="s">
        <v>307</v>
      </c>
      <c r="D93" s="89" t="s">
        <v>136</v>
      </c>
      <c r="E93" s="88" t="s">
        <v>42</v>
      </c>
      <c r="F93" s="91">
        <v>31.27</v>
      </c>
      <c r="G93" s="97" t="s">
        <v>622</v>
      </c>
      <c r="H93" s="97" t="s">
        <v>622</v>
      </c>
    </row>
    <row r="94" spans="1:8" ht="22.5">
      <c r="A94" s="88" t="s">
        <v>147</v>
      </c>
      <c r="B94" s="88" t="s">
        <v>36</v>
      </c>
      <c r="C94" s="88" t="s">
        <v>307</v>
      </c>
      <c r="D94" s="89" t="s">
        <v>148</v>
      </c>
      <c r="E94" s="88" t="s">
        <v>42</v>
      </c>
      <c r="F94" s="91">
        <v>19.010000000000002</v>
      </c>
      <c r="G94" s="97"/>
      <c r="H94" s="97"/>
    </row>
    <row r="95" spans="1:8">
      <c r="A95" s="88" t="s">
        <v>419</v>
      </c>
      <c r="B95" s="88" t="s">
        <v>15</v>
      </c>
      <c r="C95" s="88" t="s">
        <v>305</v>
      </c>
      <c r="D95" s="89" t="s">
        <v>418</v>
      </c>
      <c r="E95" s="88" t="s">
        <v>42</v>
      </c>
      <c r="F95" s="91">
        <v>271.18</v>
      </c>
      <c r="G95" s="97" t="s">
        <v>622</v>
      </c>
      <c r="H95" s="97" t="s">
        <v>622</v>
      </c>
    </row>
    <row r="96" spans="1:8">
      <c r="A96" s="88" t="s">
        <v>434</v>
      </c>
      <c r="B96" s="88" t="s">
        <v>15</v>
      </c>
      <c r="C96" s="88" t="s">
        <v>305</v>
      </c>
      <c r="D96" s="89" t="s">
        <v>433</v>
      </c>
      <c r="E96" s="88" t="s">
        <v>42</v>
      </c>
      <c r="F96" s="91">
        <v>197.17</v>
      </c>
      <c r="G96" s="97" t="s">
        <v>622</v>
      </c>
      <c r="H96" s="97" t="s">
        <v>622</v>
      </c>
    </row>
    <row r="97" spans="1:8">
      <c r="A97" s="88" t="s">
        <v>422</v>
      </c>
      <c r="B97" s="88" t="s">
        <v>15</v>
      </c>
      <c r="C97" s="88" t="s">
        <v>305</v>
      </c>
      <c r="D97" s="89" t="s">
        <v>421</v>
      </c>
      <c r="E97" s="88" t="s">
        <v>420</v>
      </c>
      <c r="F97" s="91">
        <v>37.54</v>
      </c>
      <c r="G97" s="97"/>
      <c r="H97" s="97"/>
    </row>
    <row r="98" spans="1:8">
      <c r="A98" s="88" t="s">
        <v>460</v>
      </c>
      <c r="B98" s="88" t="s">
        <v>15</v>
      </c>
      <c r="C98" s="88" t="s">
        <v>305</v>
      </c>
      <c r="D98" s="89" t="s">
        <v>459</v>
      </c>
      <c r="E98" s="88" t="s">
        <v>17</v>
      </c>
      <c r="F98" s="91">
        <v>244.19</v>
      </c>
      <c r="G98" s="97" t="s">
        <v>622</v>
      </c>
      <c r="H98" s="97" t="s">
        <v>622</v>
      </c>
    </row>
    <row r="99" spans="1:8">
      <c r="A99" s="88" t="s">
        <v>440</v>
      </c>
      <c r="B99" s="88" t="s">
        <v>15</v>
      </c>
      <c r="C99" s="88" t="s">
        <v>305</v>
      </c>
      <c r="D99" s="89" t="s">
        <v>439</v>
      </c>
      <c r="E99" s="88" t="s">
        <v>42</v>
      </c>
      <c r="F99" s="91">
        <v>70.97</v>
      </c>
      <c r="G99" s="97" t="s">
        <v>622</v>
      </c>
      <c r="H99" s="97" t="s">
        <v>622</v>
      </c>
    </row>
    <row r="100" spans="1:8">
      <c r="A100" s="88" t="s">
        <v>396</v>
      </c>
      <c r="B100" s="88" t="s">
        <v>15</v>
      </c>
      <c r="C100" s="88" t="s">
        <v>305</v>
      </c>
      <c r="D100" s="89" t="s">
        <v>395</v>
      </c>
      <c r="E100" s="88" t="s">
        <v>42</v>
      </c>
      <c r="F100" s="91">
        <v>62.76</v>
      </c>
      <c r="G100" s="97"/>
      <c r="H100" s="97"/>
    </row>
    <row r="101" spans="1:8">
      <c r="A101" s="88" t="s">
        <v>340</v>
      </c>
      <c r="B101" s="88" t="s">
        <v>15</v>
      </c>
      <c r="C101" s="88" t="s">
        <v>305</v>
      </c>
      <c r="D101" s="89" t="s">
        <v>339</v>
      </c>
      <c r="E101" s="88" t="s">
        <v>53</v>
      </c>
      <c r="F101" s="91">
        <v>256.8</v>
      </c>
      <c r="G101" s="97" t="s">
        <v>622</v>
      </c>
      <c r="H101" s="97" t="s">
        <v>622</v>
      </c>
    </row>
    <row r="102" spans="1:8">
      <c r="A102" s="88" t="s">
        <v>436</v>
      </c>
      <c r="B102" s="88" t="s">
        <v>15</v>
      </c>
      <c r="C102" s="88" t="s">
        <v>305</v>
      </c>
      <c r="D102" s="89" t="s">
        <v>435</v>
      </c>
      <c r="E102" s="88" t="s">
        <v>53</v>
      </c>
      <c r="F102" s="91">
        <v>2.88</v>
      </c>
      <c r="G102" s="97" t="s">
        <v>622</v>
      </c>
      <c r="H102" s="97" t="s">
        <v>622</v>
      </c>
    </row>
    <row r="103" spans="1:8">
      <c r="A103" s="88" t="s">
        <v>348</v>
      </c>
      <c r="B103" s="88" t="s">
        <v>15</v>
      </c>
      <c r="C103" s="88" t="s">
        <v>305</v>
      </c>
      <c r="D103" s="89" t="s">
        <v>347</v>
      </c>
      <c r="E103" s="88" t="s">
        <v>67</v>
      </c>
      <c r="F103" s="91">
        <v>240.97</v>
      </c>
      <c r="G103" s="97"/>
      <c r="H103" s="97"/>
    </row>
  </sheetData>
  <mergeCells count="13">
    <mergeCell ref="E4:F4"/>
    <mergeCell ref="G4:H4"/>
    <mergeCell ref="C6:D6"/>
    <mergeCell ref="G6:H6"/>
    <mergeCell ref="A6:B6"/>
    <mergeCell ref="E6:F6"/>
    <mergeCell ref="A7:H7"/>
    <mergeCell ref="G1:H1"/>
    <mergeCell ref="A2:B2"/>
    <mergeCell ref="E2:F2"/>
    <mergeCell ref="G2:H2"/>
    <mergeCell ref="A4:B4"/>
    <mergeCell ref="C4:D4"/>
  </mergeCells>
  <phoneticPr fontId="14" type="noConversion"/>
  <printOptions horizontalCentered="1"/>
  <pageMargins left="0.59055118110236227" right="0.59055118110236227" top="0.59055118110236227" bottom="0.59055118110236227" header="0.19685039370078741" footer="0.19685039370078741"/>
  <pageSetup paperSize="9" scale="48" fitToHeight="0" orientation="portrait" r:id="rId1"/>
  <headerFooter>
    <oddHeader>&amp;L &amp;C &amp;R</oddHeader>
    <oddFooter>&amp;L &amp;C 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SheetLayoutView="100" workbookViewId="0"/>
  </sheetViews>
  <sheetFormatPr defaultRowHeight="11.25"/>
  <cols>
    <col min="1" max="2" width="10.625" style="5" customWidth="1"/>
    <col min="3" max="3" width="58.625" style="5" customWidth="1"/>
    <col min="4" max="4" width="18.625" style="5" customWidth="1"/>
    <col min="5" max="16384" width="9" style="5"/>
  </cols>
  <sheetData>
    <row r="1" spans="1:4" ht="15" customHeight="1">
      <c r="A1" s="59" t="str">
        <f ca="1">'Orçamento Sintético'!A1</f>
        <v>P. Execução:</v>
      </c>
      <c r="B1" s="73"/>
      <c r="C1" s="60" t="str">
        <f ca="1">'Orçamento Sintético'!D1</f>
        <v>Objeto: Recuperação de laje do reservatório de Brasília II</v>
      </c>
      <c r="D1" s="61" t="str">
        <f ca="1">'Orçamento Sintético'!C1</f>
        <v>Licitação:</v>
      </c>
    </row>
    <row r="2" spans="1:4" ht="15" customHeight="1">
      <c r="A2" s="150" t="str">
        <f ca="1">'Orçamento Sintético'!A2:B2</f>
        <v>A</v>
      </c>
      <c r="B2" s="159"/>
      <c r="C2" s="63" t="str">
        <f ca="1">'Orçamento Sintético'!D2</f>
        <v>Local: Setor de Múltiplas Atividades Sul - SMAS Trecho 4 Lote 6/8 – Brasília – DF</v>
      </c>
      <c r="D2" s="64" t="str">
        <f ca="1">'Orçamento Sintético'!C2</f>
        <v>B</v>
      </c>
    </row>
    <row r="3" spans="1:4" ht="15" customHeight="1">
      <c r="A3" s="65" t="str">
        <f ca="1">'Orçamento Sintético'!A3</f>
        <v>P. Validade:</v>
      </c>
      <c r="B3" s="73"/>
      <c r="C3" s="65" t="str">
        <f ca="1">'Orçamento Sintético'!C3</f>
        <v>Razão Social:</v>
      </c>
      <c r="D3" s="61" t="str">
        <f ca="1">'Orçamento Sintético'!E1</f>
        <v>Data:</v>
      </c>
    </row>
    <row r="4" spans="1:4" ht="15" customHeight="1">
      <c r="A4" s="150" t="str">
        <f ca="1">'Orçamento Sintético'!A4:B4</f>
        <v>C</v>
      </c>
      <c r="B4" s="159"/>
      <c r="C4" s="62" t="str">
        <f ca="1">'Orçamento Sintético'!C4</f>
        <v>D</v>
      </c>
      <c r="D4" s="98">
        <f ca="1">'Orçamento Sintético'!E2</f>
        <v>1</v>
      </c>
    </row>
    <row r="5" spans="1:4" ht="15" customHeight="1">
      <c r="A5" s="59" t="str">
        <f ca="1">'Orçamento Sintético'!A5</f>
        <v>P. Garantia:</v>
      </c>
      <c r="B5" s="73"/>
      <c r="C5" s="65" t="str">
        <f ca="1">'Orçamento Sintético'!C5</f>
        <v>CNPJ:</v>
      </c>
      <c r="D5" s="61" t="str">
        <f ca="1">'Orçamento Sintético'!E3</f>
        <v>Telefone:</v>
      </c>
    </row>
    <row r="6" spans="1:4" ht="15" customHeight="1">
      <c r="A6" s="150" t="str">
        <f ca="1">'Orçamento Sintético'!A6:B6</f>
        <v>F</v>
      </c>
      <c r="B6" s="159"/>
      <c r="C6" s="62" t="str">
        <f ca="1">'Orçamento Sintético'!C6</f>
        <v>G</v>
      </c>
      <c r="D6" s="98" t="str">
        <f ca="1">'Orçamento Sintético'!E4</f>
        <v>E</v>
      </c>
    </row>
    <row r="7" spans="1:4" ht="15" customHeight="1">
      <c r="A7" s="175" t="s">
        <v>464</v>
      </c>
      <c r="B7" s="175"/>
      <c r="C7" s="175"/>
      <c r="D7" s="175"/>
    </row>
    <row r="8" spans="1:4" ht="14.25" customHeight="1">
      <c r="A8" s="6" t="s">
        <v>465</v>
      </c>
      <c r="B8" s="176" t="s">
        <v>466</v>
      </c>
      <c r="C8" s="177"/>
      <c r="D8" s="6" t="s">
        <v>467</v>
      </c>
    </row>
    <row r="9" spans="1:4" ht="14.25" customHeight="1">
      <c r="A9" s="7" t="s">
        <v>468</v>
      </c>
      <c r="B9" s="178" t="s">
        <v>469</v>
      </c>
      <c r="C9" s="178"/>
      <c r="D9" s="8"/>
    </row>
    <row r="10" spans="1:4" ht="14.25" customHeight="1">
      <c r="A10" s="9" t="s">
        <v>470</v>
      </c>
      <c r="B10" s="173" t="s">
        <v>471</v>
      </c>
      <c r="C10" s="173"/>
      <c r="D10" s="10">
        <f>ROUND(SUM(D11:D15),4)</f>
        <v>0.15740000000000001</v>
      </c>
    </row>
    <row r="11" spans="1:4" ht="14.25" customHeight="1">
      <c r="A11" s="11" t="s">
        <v>472</v>
      </c>
      <c r="B11" s="12" t="s">
        <v>473</v>
      </c>
      <c r="C11" s="13"/>
      <c r="D11" s="14">
        <v>0.04</v>
      </c>
    </row>
    <row r="12" spans="1:4" ht="14.25" customHeight="1">
      <c r="A12" s="11" t="s">
        <v>474</v>
      </c>
      <c r="B12" s="12" t="s">
        <v>475</v>
      </c>
      <c r="C12" s="13"/>
      <c r="D12" s="14">
        <v>8.0000000000000002E-3</v>
      </c>
    </row>
    <row r="13" spans="1:4" ht="14.25" customHeight="1">
      <c r="A13" s="11" t="s">
        <v>476</v>
      </c>
      <c r="B13" s="12" t="s">
        <v>477</v>
      </c>
      <c r="C13" s="13"/>
      <c r="D13" s="14">
        <v>1.2699999999999999E-2</v>
      </c>
    </row>
    <row r="14" spans="1:4" ht="14.25" customHeight="1">
      <c r="A14" s="11" t="s">
        <v>478</v>
      </c>
      <c r="B14" s="12" t="s">
        <v>479</v>
      </c>
      <c r="C14" s="13"/>
      <c r="D14" s="14">
        <v>1.23E-2</v>
      </c>
    </row>
    <row r="15" spans="1:4" ht="14.25" customHeight="1">
      <c r="A15" s="11" t="s">
        <v>480</v>
      </c>
      <c r="B15" s="12" t="s">
        <v>481</v>
      </c>
      <c r="C15" s="13"/>
      <c r="D15" s="14">
        <v>8.4400000000000003E-2</v>
      </c>
    </row>
    <row r="16" spans="1:4" ht="14.25" customHeight="1">
      <c r="A16" s="15"/>
      <c r="B16" s="12"/>
      <c r="C16" s="13"/>
      <c r="D16" s="14"/>
    </row>
    <row r="17" spans="1:4" ht="14.25" customHeight="1">
      <c r="A17" s="7" t="s">
        <v>482</v>
      </c>
      <c r="B17" s="178" t="s">
        <v>483</v>
      </c>
      <c r="C17" s="178"/>
      <c r="D17" s="8"/>
    </row>
    <row r="18" spans="1:4" ht="14.25" customHeight="1">
      <c r="A18" s="9" t="s">
        <v>484</v>
      </c>
      <c r="B18" s="173" t="s">
        <v>485</v>
      </c>
      <c r="C18" s="173"/>
      <c r="D18" s="10">
        <f>D19+D20+D21</f>
        <v>4.65E-2</v>
      </c>
    </row>
    <row r="19" spans="1:4" ht="14.25" customHeight="1">
      <c r="A19" s="11"/>
      <c r="B19" s="12" t="s">
        <v>486</v>
      </c>
      <c r="C19" s="13"/>
      <c r="D19" s="14">
        <v>6.5000000000000006E-3</v>
      </c>
    </row>
    <row r="20" spans="1:4" ht="14.25" customHeight="1">
      <c r="A20" s="11"/>
      <c r="B20" s="12" t="s">
        <v>487</v>
      </c>
      <c r="C20" s="13"/>
      <c r="D20" s="14">
        <v>0.03</v>
      </c>
    </row>
    <row r="21" spans="1:4" ht="14.25" customHeight="1">
      <c r="A21" s="11"/>
      <c r="B21" s="12" t="s">
        <v>488</v>
      </c>
      <c r="C21" s="13"/>
      <c r="D21" s="14">
        <f ca="1">2%*'Orçamento Sintético'!B118</f>
        <v>0.01</v>
      </c>
    </row>
    <row r="22" spans="1:4" ht="14.25" customHeight="1">
      <c r="A22" s="11"/>
      <c r="B22" s="12"/>
      <c r="C22" s="13"/>
      <c r="D22" s="14"/>
    </row>
    <row r="23" spans="1:4" ht="14.25" customHeight="1">
      <c r="A23" s="16" t="s">
        <v>489</v>
      </c>
      <c r="B23" s="174" t="s">
        <v>490</v>
      </c>
      <c r="C23" s="174"/>
      <c r="D23" s="17">
        <f>ROUND((((1+(D11+D12+D13))*(1+D14)*(1+D15))/(1-D18)-1),4)</f>
        <v>0.22120000000000001</v>
      </c>
    </row>
  </sheetData>
  <mergeCells count="10">
    <mergeCell ref="A2:B2"/>
    <mergeCell ref="A4:B4"/>
    <mergeCell ref="B10:C10"/>
    <mergeCell ref="B17:C17"/>
    <mergeCell ref="B18:C18"/>
    <mergeCell ref="B23:C23"/>
    <mergeCell ref="A6:B6"/>
    <mergeCell ref="A7:D7"/>
    <mergeCell ref="B8:C8"/>
    <mergeCell ref="B9:C9"/>
  </mergeCells>
  <phoneticPr fontId="14" type="noConversion"/>
  <pageMargins left="0.51181102362204722" right="0.51181102362204722" top="0.98425196850393704" bottom="0.98425196850393704" header="0.51181102362204722" footer="0.51181102362204722"/>
  <pageSetup paperSize="9" scale="86" fitToHeight="0" orientation="portrait" r:id="rId1"/>
  <headerFooter>
    <oddHeader>&amp;L &amp;C &amp;R</oddHeader>
    <oddFooter>&amp;L &amp;C 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44"/>
  <sheetViews>
    <sheetView showGridLines="0" zoomScaleSheetLayoutView="100" workbookViewId="0"/>
  </sheetViews>
  <sheetFormatPr defaultRowHeight="14.25"/>
  <cols>
    <col min="1" max="1" width="10.625" style="37" customWidth="1"/>
    <col min="2" max="2" width="10.625" style="38" customWidth="1"/>
    <col min="3" max="3" width="58.625" style="38" customWidth="1"/>
    <col min="4" max="4" width="18.625" style="39" customWidth="1"/>
    <col min="5" max="16384" width="9" style="40"/>
  </cols>
  <sheetData>
    <row r="1" spans="1:4" s="18" customFormat="1" ht="15" customHeight="1">
      <c r="A1" s="59" t="str">
        <f ca="1">'Orçamento Sintético'!A1</f>
        <v>P. Execução:</v>
      </c>
      <c r="B1" s="73"/>
      <c r="C1" s="60" t="str">
        <f ca="1">'Orçamento Sintético'!D1</f>
        <v>Objeto: Recuperação de laje do reservatório de Brasília II</v>
      </c>
      <c r="D1" s="61" t="str">
        <f ca="1">'Orçamento Sintético'!C1</f>
        <v>Licitação:</v>
      </c>
    </row>
    <row r="2" spans="1:4" s="18" customFormat="1" ht="15" customHeight="1">
      <c r="A2" s="150" t="str">
        <f ca="1">'Orçamento Sintético'!A2:B2</f>
        <v>A</v>
      </c>
      <c r="B2" s="159"/>
      <c r="C2" s="63" t="str">
        <f ca="1">'Orçamento Sintético'!D2</f>
        <v>Local: Setor de Múltiplas Atividades Sul - SMAS Trecho 4 Lote 6/8 – Brasília – DF</v>
      </c>
      <c r="D2" s="64" t="str">
        <f ca="1">'Orçamento Sintético'!C2</f>
        <v>B</v>
      </c>
    </row>
    <row r="3" spans="1:4" s="18" customFormat="1" ht="15" customHeight="1">
      <c r="A3" s="65" t="str">
        <f ca="1">'Orçamento Sintético'!A3</f>
        <v>P. Validade:</v>
      </c>
      <c r="B3" s="73"/>
      <c r="C3" s="65" t="str">
        <f ca="1">'Orçamento Sintético'!C3</f>
        <v>Razão Social:</v>
      </c>
      <c r="D3" s="61" t="str">
        <f ca="1">'Orçamento Sintético'!E1</f>
        <v>Data:</v>
      </c>
    </row>
    <row r="4" spans="1:4" s="18" customFormat="1" ht="15" customHeight="1">
      <c r="A4" s="150" t="str">
        <f ca="1">'Orçamento Sintético'!A4:B4</f>
        <v>C</v>
      </c>
      <c r="B4" s="159"/>
      <c r="C4" s="62" t="str">
        <f ca="1">'Orçamento Sintético'!C4</f>
        <v>D</v>
      </c>
      <c r="D4" s="98">
        <f ca="1">'Orçamento Sintético'!E2</f>
        <v>1</v>
      </c>
    </row>
    <row r="5" spans="1:4" s="18" customFormat="1" ht="15" customHeight="1">
      <c r="A5" s="59" t="str">
        <f ca="1">'Orçamento Sintético'!A5</f>
        <v>P. Garantia:</v>
      </c>
      <c r="B5" s="73"/>
      <c r="C5" s="65" t="str">
        <f ca="1">'Orçamento Sintético'!C5</f>
        <v>CNPJ:</v>
      </c>
      <c r="D5" s="61" t="str">
        <f ca="1">'Orçamento Sintético'!E3</f>
        <v>Telefone:</v>
      </c>
    </row>
    <row r="6" spans="1:4" s="19" customFormat="1" ht="15" customHeight="1">
      <c r="A6" s="150" t="str">
        <f ca="1">'Orçamento Sintético'!A6:B6</f>
        <v>F</v>
      </c>
      <c r="B6" s="159"/>
      <c r="C6" s="62" t="str">
        <f ca="1">'Orçamento Sintético'!C6</f>
        <v>G</v>
      </c>
      <c r="D6" s="98" t="str">
        <f ca="1">'Orçamento Sintético'!E4</f>
        <v>E</v>
      </c>
    </row>
    <row r="7" spans="1:4" customFormat="1" ht="15" customHeight="1">
      <c r="A7" s="184" t="s">
        <v>491</v>
      </c>
      <c r="B7" s="184"/>
      <c r="C7" s="184"/>
      <c r="D7" s="184"/>
    </row>
    <row r="8" spans="1:4" s="20" customFormat="1" ht="12.75">
      <c r="A8" s="6" t="s">
        <v>1</v>
      </c>
      <c r="B8" s="176" t="s">
        <v>492</v>
      </c>
      <c r="C8" s="177"/>
      <c r="D8" s="6" t="s">
        <v>467</v>
      </c>
    </row>
    <row r="9" spans="1:4" s="20" customFormat="1" ht="13.15" customHeight="1">
      <c r="A9" s="179" t="s">
        <v>493</v>
      </c>
      <c r="B9" s="180"/>
      <c r="C9" s="180"/>
      <c r="D9" s="181"/>
    </row>
    <row r="10" spans="1:4" s="20" customFormat="1" ht="12.75">
      <c r="A10" s="21" t="s">
        <v>470</v>
      </c>
      <c r="B10" s="22" t="s">
        <v>494</v>
      </c>
      <c r="C10" s="23"/>
      <c r="D10" s="24">
        <v>0.2</v>
      </c>
    </row>
    <row r="11" spans="1:4" s="20" customFormat="1" ht="12.75">
      <c r="A11" s="21" t="s">
        <v>495</v>
      </c>
      <c r="B11" s="22" t="s">
        <v>496</v>
      </c>
      <c r="C11" s="23"/>
      <c r="D11" s="24">
        <v>1.4999999999999999E-2</v>
      </c>
    </row>
    <row r="12" spans="1:4" s="20" customFormat="1" ht="12.75">
      <c r="A12" s="21" t="s">
        <v>497</v>
      </c>
      <c r="B12" s="22" t="s">
        <v>498</v>
      </c>
      <c r="C12" s="23"/>
      <c r="D12" s="24">
        <v>0.01</v>
      </c>
    </row>
    <row r="13" spans="1:4" s="20" customFormat="1" ht="12.75">
      <c r="A13" s="21" t="s">
        <v>499</v>
      </c>
      <c r="B13" s="22" t="s">
        <v>500</v>
      </c>
      <c r="C13" s="23"/>
      <c r="D13" s="24">
        <v>2E-3</v>
      </c>
    </row>
    <row r="14" spans="1:4" s="20" customFormat="1" ht="12.75">
      <c r="A14" s="21" t="s">
        <v>501</v>
      </c>
      <c r="B14" s="22" t="s">
        <v>502</v>
      </c>
      <c r="C14" s="23"/>
      <c r="D14" s="24">
        <v>6.0000000000000001E-3</v>
      </c>
    </row>
    <row r="15" spans="1:4" s="20" customFormat="1" ht="12.75">
      <c r="A15" s="21" t="s">
        <v>503</v>
      </c>
      <c r="B15" s="22" t="s">
        <v>504</v>
      </c>
      <c r="C15" s="23"/>
      <c r="D15" s="24">
        <v>2.5000000000000001E-2</v>
      </c>
    </row>
    <row r="16" spans="1:4" s="20" customFormat="1" ht="12.75">
      <c r="A16" s="21" t="s">
        <v>505</v>
      </c>
      <c r="B16" s="22" t="s">
        <v>506</v>
      </c>
      <c r="C16" s="23"/>
      <c r="D16" s="24">
        <v>0.03</v>
      </c>
    </row>
    <row r="17" spans="1:4" s="20" customFormat="1" ht="12.75">
      <c r="A17" s="21" t="s">
        <v>507</v>
      </c>
      <c r="B17" s="22" t="s">
        <v>508</v>
      </c>
      <c r="C17" s="23"/>
      <c r="D17" s="24">
        <v>0.08</v>
      </c>
    </row>
    <row r="18" spans="1:4" s="20" customFormat="1" ht="12.75">
      <c r="A18" s="21" t="s">
        <v>509</v>
      </c>
      <c r="B18" s="22" t="s">
        <v>510</v>
      </c>
      <c r="C18" s="23"/>
      <c r="D18" s="24">
        <v>0.01</v>
      </c>
    </row>
    <row r="19" spans="1:4" s="20" customFormat="1" ht="12.75">
      <c r="A19" s="25" t="s">
        <v>511</v>
      </c>
      <c r="B19" s="26" t="s">
        <v>512</v>
      </c>
      <c r="C19" s="27"/>
      <c r="D19" s="28">
        <f>SUM(D10:D18)</f>
        <v>0.37800000000000006</v>
      </c>
    </row>
    <row r="20" spans="1:4" s="20" customFormat="1" ht="13.15" customHeight="1">
      <c r="A20" s="179" t="s">
        <v>513</v>
      </c>
      <c r="B20" s="180"/>
      <c r="C20" s="180"/>
      <c r="D20" s="181"/>
    </row>
    <row r="21" spans="1:4" s="20" customFormat="1" ht="12.75">
      <c r="A21" s="21" t="s">
        <v>484</v>
      </c>
      <c r="B21" s="22" t="s">
        <v>514</v>
      </c>
      <c r="C21" s="23"/>
      <c r="D21" s="24">
        <v>0.17749999999999999</v>
      </c>
    </row>
    <row r="22" spans="1:4" s="20" customFormat="1" ht="12.75">
      <c r="A22" s="21" t="s">
        <v>515</v>
      </c>
      <c r="B22" s="22" t="s">
        <v>516</v>
      </c>
      <c r="C22" s="23"/>
      <c r="D22" s="24">
        <v>3.4099999999999998E-2</v>
      </c>
    </row>
    <row r="23" spans="1:4" s="20" customFormat="1" ht="12.75">
      <c r="A23" s="21" t="s">
        <v>517</v>
      </c>
      <c r="B23" s="22" t="s">
        <v>518</v>
      </c>
      <c r="C23" s="23"/>
      <c r="D23" s="24">
        <v>8.6E-3</v>
      </c>
    </row>
    <row r="24" spans="1:4" s="20" customFormat="1" ht="12.75">
      <c r="A24" s="21" t="s">
        <v>519</v>
      </c>
      <c r="B24" s="22" t="s">
        <v>520</v>
      </c>
      <c r="C24" s="23"/>
      <c r="D24" s="24">
        <v>0.1062</v>
      </c>
    </row>
    <row r="25" spans="1:4" s="20" customFormat="1" ht="12.75">
      <c r="A25" s="21" t="s">
        <v>521</v>
      </c>
      <c r="B25" s="22" t="s">
        <v>522</v>
      </c>
      <c r="C25" s="23"/>
      <c r="D25" s="24">
        <v>6.9999999999999999E-4</v>
      </c>
    </row>
    <row r="26" spans="1:4" s="20" customFormat="1" ht="12.75">
      <c r="A26" s="21" t="s">
        <v>523</v>
      </c>
      <c r="B26" s="22" t="s">
        <v>524</v>
      </c>
      <c r="C26" s="23"/>
      <c r="D26" s="24">
        <v>7.1000000000000004E-3</v>
      </c>
    </row>
    <row r="27" spans="1:4" s="20" customFormat="1" ht="12.75">
      <c r="A27" s="21" t="s">
        <v>525</v>
      </c>
      <c r="B27" s="22" t="s">
        <v>526</v>
      </c>
      <c r="C27" s="23"/>
      <c r="D27" s="24">
        <v>1.3100000000000001E-2</v>
      </c>
    </row>
    <row r="28" spans="1:4" s="20" customFormat="1" ht="12.75">
      <c r="A28" s="21" t="s">
        <v>527</v>
      </c>
      <c r="B28" s="22" t="s">
        <v>528</v>
      </c>
      <c r="C28" s="23"/>
      <c r="D28" s="24">
        <v>1.1000000000000001E-3</v>
      </c>
    </row>
    <row r="29" spans="1:4" s="20" customFormat="1" ht="12.75">
      <c r="A29" s="21" t="s">
        <v>529</v>
      </c>
      <c r="B29" s="22" t="s">
        <v>530</v>
      </c>
      <c r="C29" s="23"/>
      <c r="D29" s="24">
        <v>0.13550000000000001</v>
      </c>
    </row>
    <row r="30" spans="1:4" s="20" customFormat="1" ht="12.75">
      <c r="A30" s="21" t="s">
        <v>531</v>
      </c>
      <c r="B30" s="22" t="s">
        <v>532</v>
      </c>
      <c r="C30" s="23"/>
      <c r="D30" s="24">
        <v>2.9999999999999997E-4</v>
      </c>
    </row>
    <row r="31" spans="1:4" s="20" customFormat="1" ht="12.75">
      <c r="A31" s="25" t="s">
        <v>533</v>
      </c>
      <c r="B31" s="26" t="s">
        <v>534</v>
      </c>
      <c r="C31" s="27"/>
      <c r="D31" s="28">
        <f>SUM(D21:D30)</f>
        <v>0.48419999999999996</v>
      </c>
    </row>
    <row r="32" spans="1:4" s="20" customFormat="1" ht="13.15" customHeight="1">
      <c r="A32" s="179" t="s">
        <v>535</v>
      </c>
      <c r="B32" s="180"/>
      <c r="C32" s="180"/>
      <c r="D32" s="181"/>
    </row>
    <row r="33" spans="1:4" s="20" customFormat="1" ht="12.75">
      <c r="A33" s="29" t="s">
        <v>536</v>
      </c>
      <c r="B33" s="30" t="s">
        <v>537</v>
      </c>
      <c r="C33" s="31"/>
      <c r="D33" s="24">
        <v>4.1200000000000001E-2</v>
      </c>
    </row>
    <row r="34" spans="1:4" s="20" customFormat="1" ht="12.75">
      <c r="A34" s="29" t="s">
        <v>538</v>
      </c>
      <c r="B34" s="30" t="s">
        <v>539</v>
      </c>
      <c r="C34" s="31"/>
      <c r="D34" s="24">
        <v>1E-3</v>
      </c>
    </row>
    <row r="35" spans="1:4" s="20" customFormat="1" ht="12.75">
      <c r="A35" s="29" t="s">
        <v>540</v>
      </c>
      <c r="B35" s="30" t="s">
        <v>541</v>
      </c>
      <c r="C35" s="31"/>
      <c r="D35" s="24">
        <v>4.5999999999999999E-3</v>
      </c>
    </row>
    <row r="36" spans="1:4" s="20" customFormat="1" ht="12.75">
      <c r="A36" s="29" t="s">
        <v>542</v>
      </c>
      <c r="B36" s="30" t="s">
        <v>543</v>
      </c>
      <c r="C36" s="31"/>
      <c r="D36" s="24">
        <v>3.7699999999999997E-2</v>
      </c>
    </row>
    <row r="37" spans="1:4" s="20" customFormat="1" ht="12.75">
      <c r="A37" s="29" t="s">
        <v>544</v>
      </c>
      <c r="B37" s="30" t="s">
        <v>545</v>
      </c>
      <c r="C37" s="31"/>
      <c r="D37" s="24">
        <v>3.5000000000000001E-3</v>
      </c>
    </row>
    <row r="38" spans="1:4" s="20" customFormat="1" ht="12.75">
      <c r="A38" s="32" t="s">
        <v>546</v>
      </c>
      <c r="B38" s="33" t="s">
        <v>534</v>
      </c>
      <c r="C38" s="34"/>
      <c r="D38" s="28">
        <f>SUM(D33:D37)</f>
        <v>8.7999999999999995E-2</v>
      </c>
    </row>
    <row r="39" spans="1:4" s="20" customFormat="1" ht="13.15" customHeight="1">
      <c r="A39" s="179" t="s">
        <v>547</v>
      </c>
      <c r="B39" s="180"/>
      <c r="C39" s="180"/>
      <c r="D39" s="181"/>
    </row>
    <row r="40" spans="1:4" s="20" customFormat="1" ht="12.75">
      <c r="A40" s="29" t="s">
        <v>548</v>
      </c>
      <c r="B40" s="30" t="s">
        <v>549</v>
      </c>
      <c r="C40" s="31"/>
      <c r="D40" s="35">
        <f>ROUND(D19*D31,4)</f>
        <v>0.183</v>
      </c>
    </row>
    <row r="41" spans="1:4" s="20" customFormat="1" ht="12.75">
      <c r="A41" s="29" t="s">
        <v>550</v>
      </c>
      <c r="B41" s="30" t="s">
        <v>551</v>
      </c>
      <c r="C41" s="31"/>
      <c r="D41" s="35">
        <f>ROUND(D17*D33+D19*D34,4)</f>
        <v>3.7000000000000002E-3</v>
      </c>
    </row>
    <row r="42" spans="1:4" s="20" customFormat="1" ht="12.75">
      <c r="A42" s="32" t="s">
        <v>552</v>
      </c>
      <c r="B42" s="33" t="s">
        <v>553</v>
      </c>
      <c r="C42" s="34"/>
      <c r="D42" s="36">
        <f>SUM(D40:D41)</f>
        <v>0.1867</v>
      </c>
    </row>
    <row r="43" spans="1:4" s="20" customFormat="1" ht="12.75">
      <c r="A43" s="29"/>
      <c r="B43" s="30"/>
      <c r="C43" s="31"/>
      <c r="D43" s="35"/>
    </row>
    <row r="44" spans="1:4" s="20" customFormat="1" ht="13.15" customHeight="1">
      <c r="A44" s="182" t="s">
        <v>554</v>
      </c>
      <c r="B44" s="183"/>
      <c r="C44" s="183"/>
      <c r="D44" s="17">
        <f>D19+D31+D38+D42</f>
        <v>1.1369</v>
      </c>
    </row>
  </sheetData>
  <sheetProtection selectLockedCells="1" selectUnlockedCells="1"/>
  <mergeCells count="10">
    <mergeCell ref="A2:B2"/>
    <mergeCell ref="A4:B4"/>
    <mergeCell ref="A20:D20"/>
    <mergeCell ref="A32:D32"/>
    <mergeCell ref="A39:D39"/>
    <mergeCell ref="A44:C44"/>
    <mergeCell ref="A6:B6"/>
    <mergeCell ref="A7:D7"/>
    <mergeCell ref="B8:C8"/>
    <mergeCell ref="A9:D9"/>
  </mergeCells>
  <phoneticPr fontId="14" type="noConversion"/>
  <pageMargins left="0.51181102362204722" right="0.51181102362204722" top="0.98425196850393704" bottom="0.98425196850393704" header="0.51181102362204722" footer="0.51181102362204722"/>
  <pageSetup paperSize="9" scale="86" firstPageNumber="0" fitToHeight="0" orientation="portrait" r:id="rId1"/>
  <headerFooter>
    <oddHeader>&amp;L &amp;C &amp;R</oddHeader>
    <oddFooter>&amp;L &amp;C 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"/>
  <sheetViews>
    <sheetView showGridLines="0" showOutlineSymbols="0" showWhiteSpace="0" zoomScaleNormal="100" workbookViewId="0"/>
  </sheetViews>
  <sheetFormatPr defaultRowHeight="14.25"/>
  <cols>
    <col min="1" max="1" width="20" bestFit="1" customWidth="1"/>
    <col min="2" max="2" width="60" bestFit="1" customWidth="1"/>
    <col min="3" max="3" width="20" bestFit="1" customWidth="1"/>
    <col min="4" max="5" width="16.625" customWidth="1"/>
    <col min="6" max="26" width="12" bestFit="1" customWidth="1"/>
  </cols>
  <sheetData>
    <row r="1" spans="1:5">
      <c r="A1" s="59" t="str">
        <f ca="1">'Orçamento Sintético'!A1</f>
        <v>P. Execução:</v>
      </c>
      <c r="B1" s="60" t="str">
        <f ca="1">'Orçamento Sintético'!D1</f>
        <v>Objeto: Recuperação de laje do reservatório de Brasília II</v>
      </c>
      <c r="C1" s="59" t="str">
        <f ca="1">'Orçamento Sintético'!C1</f>
        <v>Licitação:</v>
      </c>
      <c r="D1" s="118"/>
      <c r="E1" s="119"/>
    </row>
    <row r="2" spans="1:5">
      <c r="A2" s="62" t="str">
        <f ca="1">'Orçamento Sintético'!A2</f>
        <v>A</v>
      </c>
      <c r="B2" s="63" t="str">
        <f ca="1">'Orçamento Sintético'!D2</f>
        <v>Local: Setor de Múltiplas Atividades Sul - SMAS Trecho 4 Lote 6/8 – Brasília – DF</v>
      </c>
      <c r="C2" s="120" t="str">
        <f ca="1">'Orçamento Sintético'!C2</f>
        <v>B</v>
      </c>
      <c r="D2" s="121"/>
      <c r="E2" s="122"/>
    </row>
    <row r="3" spans="1:5">
      <c r="A3" s="65" t="str">
        <f ca="1">'Orçamento Sintético'!A3</f>
        <v>P. Validade:</v>
      </c>
      <c r="B3" s="65" t="str">
        <f ca="1">'Orçamento Sintético'!C3</f>
        <v>Razão Social:</v>
      </c>
      <c r="C3" s="59" t="str">
        <f ca="1">'Orçamento Sintético'!E1</f>
        <v>Data:</v>
      </c>
      <c r="D3" s="121"/>
      <c r="E3" s="122"/>
    </row>
    <row r="4" spans="1:5">
      <c r="A4" s="62" t="str">
        <f ca="1">'Orçamento Sintético'!A4</f>
        <v>C</v>
      </c>
      <c r="B4" s="66" t="str">
        <f ca="1">'Orçamento Sintético'!C4</f>
        <v>D</v>
      </c>
      <c r="C4" s="66">
        <f ca="1">'Orçamento Sintético'!E2</f>
        <v>1</v>
      </c>
      <c r="D4" s="121"/>
      <c r="E4" s="122"/>
    </row>
    <row r="5" spans="1:5">
      <c r="A5" s="59" t="str">
        <f ca="1">'Orçamento Sintético'!A5</f>
        <v>P. Garantia:</v>
      </c>
      <c r="B5" s="65" t="str">
        <f ca="1">'Orçamento Sintético'!C5</f>
        <v>CNPJ:</v>
      </c>
      <c r="C5" s="59" t="str">
        <f ca="1">'Orçamento Sintético'!E3</f>
        <v>Telefone:</v>
      </c>
      <c r="D5" s="121"/>
      <c r="E5" s="122"/>
    </row>
    <row r="6" spans="1:5">
      <c r="A6" s="62" t="str">
        <f ca="1">'Orçamento Sintético'!A6</f>
        <v>F</v>
      </c>
      <c r="B6" s="66" t="str">
        <f ca="1">'Orçamento Sintético'!C6</f>
        <v>G</v>
      </c>
      <c r="C6" s="66" t="str">
        <f ca="1">'Orçamento Sintético'!E4</f>
        <v>E</v>
      </c>
      <c r="D6" s="123"/>
      <c r="E6" s="124"/>
    </row>
    <row r="7" spans="1:5" ht="15">
      <c r="A7" s="145" t="s">
        <v>563</v>
      </c>
      <c r="B7" s="146"/>
      <c r="C7" s="146"/>
      <c r="D7" s="146"/>
      <c r="E7" s="146"/>
    </row>
    <row r="8" spans="1:5">
      <c r="A8" s="6" t="s">
        <v>1</v>
      </c>
      <c r="B8" s="6" t="s">
        <v>4</v>
      </c>
      <c r="C8" s="6" t="s">
        <v>562</v>
      </c>
      <c r="D8" s="6" t="s">
        <v>561</v>
      </c>
      <c r="E8" s="6" t="s">
        <v>560</v>
      </c>
    </row>
    <row r="9" spans="1:5">
      <c r="A9" s="190" t="s">
        <v>9</v>
      </c>
      <c r="B9" s="201" t="str">
        <f ca="1">VLOOKUP($A9,'Orçamento Sintético'!$A:$H,4,0)</f>
        <v>SERVIÇOS TÉCNICO - PROFISSIONAIS</v>
      </c>
      <c r="C9" s="125">
        <f ca="1">ROUND(C10/$E$228,4)</f>
        <v>1.6999999999999999E-3</v>
      </c>
      <c r="D9" s="126">
        <f>ROUND(D10/$C10,4)</f>
        <v>1</v>
      </c>
      <c r="E9" s="126">
        <f>ROUND(E10/$C10,4)</f>
        <v>0</v>
      </c>
    </row>
    <row r="10" spans="1:5">
      <c r="A10" s="190"/>
      <c r="B10" s="201"/>
      <c r="C10" s="127">
        <f ca="1">VLOOKUP($A9,'Orçamento Sintético'!$A:$H,8,0)</f>
        <v>244.19</v>
      </c>
      <c r="D10" s="128">
        <f>D12</f>
        <v>244.19</v>
      </c>
      <c r="E10" s="128">
        <f>E12</f>
        <v>0</v>
      </c>
    </row>
    <row r="11" spans="1:5">
      <c r="A11" s="202" t="s">
        <v>11</v>
      </c>
      <c r="B11" s="193" t="str">
        <f ca="1">VLOOKUP($A11,'Orçamento Sintético'!$A:$H,4,0)</f>
        <v>TAXAS E EMOLUMENTOS</v>
      </c>
      <c r="C11" s="129">
        <f ca="1">ROUND(C12/$E$228,4)</f>
        <v>1.6999999999999999E-3</v>
      </c>
      <c r="D11" s="129">
        <f>ROUND(D12/$C12,4)</f>
        <v>1</v>
      </c>
      <c r="E11" s="129">
        <f>ROUND(E12/$C12,4)</f>
        <v>0</v>
      </c>
    </row>
    <row r="12" spans="1:5">
      <c r="A12" s="202"/>
      <c r="B12" s="193"/>
      <c r="C12" s="130">
        <f ca="1">VLOOKUP($A11,'Orçamento Sintético'!$A:$H,8,0)</f>
        <v>244.19</v>
      </c>
      <c r="D12" s="130">
        <f>D14</f>
        <v>244.19</v>
      </c>
      <c r="E12" s="130">
        <f>E14</f>
        <v>0</v>
      </c>
    </row>
    <row r="13" spans="1:5">
      <c r="A13" s="185" t="s">
        <v>13</v>
      </c>
      <c r="B13" s="194" t="str">
        <f ca="1">VLOOKUP($A13,'Orçamento Sintético'!$A:$H,4,0)</f>
        <v>Registro do contrato junto ao conselho de classe (ART)</v>
      </c>
      <c r="C13" s="131">
        <f ca="1">ROUND(C14/$E$228,4)</f>
        <v>1.6999999999999999E-3</v>
      </c>
      <c r="D13" s="131">
        <v>1</v>
      </c>
      <c r="E13" s="131">
        <f>ROUND(E14/$C14,4)</f>
        <v>0</v>
      </c>
    </row>
    <row r="14" spans="1:5">
      <c r="A14" s="185"/>
      <c r="B14" s="195"/>
      <c r="C14" s="132">
        <f ca="1">VLOOKUP($A13,'Orçamento Sintético'!$A:$H,8,0)</f>
        <v>244.19</v>
      </c>
      <c r="D14" s="132">
        <f>ROUND($C14*D13,2)</f>
        <v>244.19</v>
      </c>
      <c r="E14" s="132">
        <f>$C14-SUM(D14:D14)</f>
        <v>0</v>
      </c>
    </row>
    <row r="15" spans="1:5">
      <c r="A15" s="190" t="s">
        <v>18</v>
      </c>
      <c r="B15" s="201" t="str">
        <f ca="1">VLOOKUP($A15,'Orçamento Sintético'!$A:$H,4,0)</f>
        <v>SERVIÇOS PRELIMINARES</v>
      </c>
      <c r="C15" s="125">
        <f ca="1">ROUND(C16/$E$228,4)</f>
        <v>0.25659999999999999</v>
      </c>
      <c r="D15" s="126">
        <f>ROUND(D16/$C16,4)</f>
        <v>0.872</v>
      </c>
      <c r="E15" s="126">
        <f>ROUND(E16/$C16,4)</f>
        <v>0.128</v>
      </c>
    </row>
    <row r="16" spans="1:5">
      <c r="A16" s="190"/>
      <c r="B16" s="201"/>
      <c r="C16" s="127">
        <f ca="1">VLOOKUP($A15,'Orçamento Sintético'!$A:$H,8,0)</f>
        <v>37718.69</v>
      </c>
      <c r="D16" s="128">
        <f>D18+D32</f>
        <v>32892.199999999997</v>
      </c>
      <c r="E16" s="128">
        <f>E18+E32</f>
        <v>4826.49</v>
      </c>
    </row>
    <row r="17" spans="1:5">
      <c r="A17" s="186" t="s">
        <v>20</v>
      </c>
      <c r="B17" s="193" t="str">
        <f ca="1">VLOOKUP($A17,'Orçamento Sintético'!$A:$H,4,0)</f>
        <v>CANTEIRO DE OBRAS</v>
      </c>
      <c r="C17" s="129">
        <f ca="1">ROUND(C18/$E$228,4)</f>
        <v>0.1026</v>
      </c>
      <c r="D17" s="129">
        <f>ROUND(D18/$C18,4)</f>
        <v>0.93930000000000002</v>
      </c>
      <c r="E17" s="129">
        <f>ROUND(E18/$C18,4)</f>
        <v>6.0699999999999997E-2</v>
      </c>
    </row>
    <row r="18" spans="1:5">
      <c r="A18" s="187"/>
      <c r="B18" s="193"/>
      <c r="C18" s="130">
        <f ca="1">VLOOKUP($A17,'Orçamento Sintético'!$A:$H,8,0)</f>
        <v>15083.210000000001</v>
      </c>
      <c r="D18" s="130">
        <f>D20+D26</f>
        <v>14167.2</v>
      </c>
      <c r="E18" s="130">
        <f>E20+E26</f>
        <v>916.01</v>
      </c>
    </row>
    <row r="19" spans="1:5">
      <c r="A19" s="188" t="s">
        <v>22</v>
      </c>
      <c r="B19" s="196" t="str">
        <f ca="1">VLOOKUP($A19,'Orçamento Sintético'!$A:$H,4,0)</f>
        <v>Construções Provisórias</v>
      </c>
      <c r="C19" s="139">
        <f ca="1">ROUND(C20/$E$228,4)</f>
        <v>1.2500000000000001E-2</v>
      </c>
      <c r="D19" s="140">
        <f>ROUND(D20/$C20,4)</f>
        <v>0.5</v>
      </c>
      <c r="E19" s="140">
        <f>ROUND(E20/$C20,4)</f>
        <v>0.5</v>
      </c>
    </row>
    <row r="20" spans="1:5">
      <c r="A20" s="189"/>
      <c r="B20" s="196"/>
      <c r="C20" s="141">
        <f ca="1">VLOOKUP($A19,'Orçamento Sintético'!$A:$H,8,0)</f>
        <v>1832.03</v>
      </c>
      <c r="D20" s="142">
        <f>D22+D24</f>
        <v>916.02</v>
      </c>
      <c r="E20" s="142">
        <f>E22+E24</f>
        <v>916.01</v>
      </c>
    </row>
    <row r="21" spans="1:5">
      <c r="A21" s="185" t="s">
        <v>24</v>
      </c>
      <c r="B21" s="194" t="str">
        <f ca="1">VLOOKUP($A21,'Orçamento Sintético'!$A:$H,4,0)</f>
        <v>Aluguel de container para almoxarifado</v>
      </c>
      <c r="C21" s="131">
        <f ca="1">ROUND(C22/$E$228,4)</f>
        <v>6.1999999999999998E-3</v>
      </c>
      <c r="D21" s="131">
        <v>0.5</v>
      </c>
      <c r="E21" s="131">
        <f>ROUND(E22/$C22,4)</f>
        <v>0.5</v>
      </c>
    </row>
    <row r="22" spans="1:5">
      <c r="A22" s="185"/>
      <c r="B22" s="195"/>
      <c r="C22" s="132">
        <f ca="1">VLOOKUP($A21,'Orçamento Sintético'!$A:$H,8,0)</f>
        <v>914.06</v>
      </c>
      <c r="D22" s="132">
        <f>ROUND($C22*D21,2)</f>
        <v>457.03</v>
      </c>
      <c r="E22" s="132">
        <f>$C22-SUM(D22:D22)</f>
        <v>457.03</v>
      </c>
    </row>
    <row r="23" spans="1:5">
      <c r="A23" s="185" t="s">
        <v>28</v>
      </c>
      <c r="B23" s="194" t="str">
        <f ca="1">VLOOKUP($A23,'Orçamento Sintético'!$A:$H,4,0)</f>
        <v>Copia da SBC (210002) - TRANSPORTE, MONTAGEM, DESMONTAGEM E REMOÇÃO DE CONTEINERS EM OBRAS</v>
      </c>
      <c r="C23" s="131">
        <f ca="1">ROUND(C24/$E$228,4)</f>
        <v>6.1999999999999998E-3</v>
      </c>
      <c r="D23" s="131">
        <v>0.5</v>
      </c>
      <c r="E23" s="131">
        <f>ROUND(E24/$C24,4)</f>
        <v>0.5</v>
      </c>
    </row>
    <row r="24" spans="1:5">
      <c r="A24" s="185"/>
      <c r="B24" s="195"/>
      <c r="C24" s="132">
        <f ca="1">VLOOKUP($A23,'Orçamento Sintético'!$A:$H,8,0)</f>
        <v>917.97</v>
      </c>
      <c r="D24" s="132">
        <f>ROUND($C24*D23,2)</f>
        <v>458.99</v>
      </c>
      <c r="E24" s="132">
        <f>$C24-SUM(D24:D24)</f>
        <v>458.98</v>
      </c>
    </row>
    <row r="25" spans="1:5">
      <c r="A25" s="188" t="s">
        <v>32</v>
      </c>
      <c r="B25" s="196" t="str">
        <f ca="1">VLOOKUP($A25,'Orçamento Sintético'!$A:$H,4,0)</f>
        <v>Proteção e Sinalização</v>
      </c>
      <c r="C25" s="139">
        <f ca="1">ROUND(C26/$E$228,4)</f>
        <v>9.0200000000000002E-2</v>
      </c>
      <c r="D25" s="140">
        <f>ROUND(D26/$C26,4)</f>
        <v>1</v>
      </c>
      <c r="E25" s="140">
        <f>ROUND(E26/$C26,4)</f>
        <v>0</v>
      </c>
    </row>
    <row r="26" spans="1:5">
      <c r="A26" s="189"/>
      <c r="B26" s="196"/>
      <c r="C26" s="141">
        <f ca="1">VLOOKUP($A25,'Orçamento Sintético'!$A:$H,8,0)</f>
        <v>13251.18</v>
      </c>
      <c r="D26" s="142">
        <f>D28+D30</f>
        <v>13251.18</v>
      </c>
      <c r="E26" s="142">
        <f>E28+E30</f>
        <v>0</v>
      </c>
    </row>
    <row r="27" spans="1:5">
      <c r="A27" s="185" t="s">
        <v>34</v>
      </c>
      <c r="B27" s="194" t="str">
        <f ca="1">VLOOKUP($A27,'Orçamento Sintético'!$A:$H,4,0)</f>
        <v>SINALIZAÇÃO COM FITA FIXADA EM CONE PLÁSTICO, INCLUINDO CONE. AF_11/2017</v>
      </c>
      <c r="C27" s="131">
        <f ca="1">ROUND(C28/$E$228,4)</f>
        <v>2.5999999999999999E-3</v>
      </c>
      <c r="D27" s="131">
        <v>1</v>
      </c>
      <c r="E27" s="131">
        <f>ROUND(E28/$C28,4)</f>
        <v>0</v>
      </c>
    </row>
    <row r="28" spans="1:5">
      <c r="A28" s="185"/>
      <c r="B28" s="195"/>
      <c r="C28" s="132">
        <f ca="1">VLOOKUP($A27,'Orçamento Sintético'!$A:$H,8,0)</f>
        <v>384.48</v>
      </c>
      <c r="D28" s="132">
        <f>ROUND($C28*D27,2)</f>
        <v>384.48</v>
      </c>
      <c r="E28" s="132">
        <f>$C28-SUM(D28:D28)</f>
        <v>0</v>
      </c>
    </row>
    <row r="29" spans="1:5">
      <c r="A29" s="185" t="s">
        <v>39</v>
      </c>
      <c r="B29" s="194" t="str">
        <f ca="1">VLOOKUP($A29,'Orçamento Sintético'!$A:$H,4,0)</f>
        <v>TAPUME COM COMPENSADO DE MADEIRA. AF_05/2018</v>
      </c>
      <c r="C29" s="131">
        <f ca="1">ROUND(C30/$E$228,4)</f>
        <v>8.7499999999999994E-2</v>
      </c>
      <c r="D29" s="131">
        <v>1</v>
      </c>
      <c r="E29" s="131">
        <f>ROUND(E30/$C30,4)</f>
        <v>0</v>
      </c>
    </row>
    <row r="30" spans="1:5">
      <c r="A30" s="185"/>
      <c r="B30" s="195"/>
      <c r="C30" s="132">
        <f ca="1">VLOOKUP($A29,'Orçamento Sintético'!$A:$H,8,0)</f>
        <v>12866.7</v>
      </c>
      <c r="D30" s="132">
        <f>ROUND($C30*D29,2)</f>
        <v>12866.7</v>
      </c>
      <c r="E30" s="132">
        <f>$C30-SUM(D30:D30)</f>
        <v>0</v>
      </c>
    </row>
    <row r="31" spans="1:5">
      <c r="A31" s="186" t="s">
        <v>43</v>
      </c>
      <c r="B31" s="193" t="str">
        <f ca="1">VLOOKUP($A31,'Orçamento Sintético'!$A:$H,4,0)</f>
        <v>DEMOLIÇÃO</v>
      </c>
      <c r="C31" s="129">
        <f ca="1">ROUND(C32/$E$228,4)</f>
        <v>0.154</v>
      </c>
      <c r="D31" s="129">
        <f>ROUND(D32/$C32,4)</f>
        <v>0.82720000000000005</v>
      </c>
      <c r="E31" s="129">
        <f>ROUND(E32/$C32,4)</f>
        <v>0.17280000000000001</v>
      </c>
    </row>
    <row r="32" spans="1:5">
      <c r="A32" s="187"/>
      <c r="B32" s="193"/>
      <c r="C32" s="130">
        <f ca="1">VLOOKUP($A31,'Orçamento Sintético'!$A:$H,8,0)</f>
        <v>22635.48</v>
      </c>
      <c r="D32" s="130">
        <f>D34+D50</f>
        <v>18724.999999999996</v>
      </c>
      <c r="E32" s="130">
        <f>E34+E50</f>
        <v>3910.48</v>
      </c>
    </row>
    <row r="33" spans="1:5">
      <c r="A33" s="188" t="s">
        <v>45</v>
      </c>
      <c r="B33" s="196" t="str">
        <f ca="1">VLOOKUP($A33,'Orçamento Sintético'!$A:$H,4,0)</f>
        <v>Demolição Convencional</v>
      </c>
      <c r="C33" s="139">
        <f ca="1">ROUND(C34/$E$228,4)</f>
        <v>3.6200000000000003E-2</v>
      </c>
      <c r="D33" s="140">
        <f>ROUND(D34/$C34,4)</f>
        <v>0.48899999999999999</v>
      </c>
      <c r="E33" s="140">
        <f>ROUND(E34/$C34,4)</f>
        <v>0.51100000000000001</v>
      </c>
    </row>
    <row r="34" spans="1:5">
      <c r="A34" s="189"/>
      <c r="B34" s="196"/>
      <c r="C34" s="141">
        <f ca="1">VLOOKUP($A33,'Orçamento Sintético'!$A:$H,8,0)</f>
        <v>5319.12</v>
      </c>
      <c r="D34" s="142">
        <f>D36+D38+D40+D42+D44+D46+D48</f>
        <v>2600.9299999999998</v>
      </c>
      <c r="E34" s="142">
        <f>E36+E38+E40+E42+E44+E46+E48</f>
        <v>2718.19</v>
      </c>
    </row>
    <row r="35" spans="1:5">
      <c r="A35" s="185" t="s">
        <v>47</v>
      </c>
      <c r="B35" s="194" t="str">
        <f ca="1">VLOOKUP($A35,'Orçamento Sintético'!$A:$H,4,0)</f>
        <v>Copia da CPOS (04.09.100) - Retirada de guarda-corpo ou gradil em geral</v>
      </c>
      <c r="C35" s="131">
        <f ca="1">ROUND(C36/$E$228,4)</f>
        <v>6.8999999999999999E-3</v>
      </c>
      <c r="D35" s="131">
        <v>1</v>
      </c>
      <c r="E35" s="131">
        <f>ROUND(E36/$C36,4)</f>
        <v>0</v>
      </c>
    </row>
    <row r="36" spans="1:5">
      <c r="A36" s="185"/>
      <c r="B36" s="195"/>
      <c r="C36" s="132">
        <f ca="1">VLOOKUP($A35,'Orçamento Sintético'!$A:$H,8,0)</f>
        <v>1016.75</v>
      </c>
      <c r="D36" s="132">
        <f>ROUND($C36*D35,2)</f>
        <v>1016.75</v>
      </c>
      <c r="E36" s="132">
        <f>$C36-SUM(D36:D36)</f>
        <v>0</v>
      </c>
    </row>
    <row r="37" spans="1:5">
      <c r="A37" s="185" t="s">
        <v>50</v>
      </c>
      <c r="B37" s="194" t="str">
        <f ca="1">VLOOKUP($A37,'Orçamento Sintético'!$A:$H,4,0)</f>
        <v>Copia da CPOS (04.09.080) - Retirada de batente, corrimão ou peças lineares metálicas, fixados</v>
      </c>
      <c r="C37" s="131">
        <f ca="1">ROUND(C38/$E$228,4)</f>
        <v>2.0999999999999999E-3</v>
      </c>
      <c r="D37" s="131">
        <v>1</v>
      </c>
      <c r="E37" s="131">
        <f>ROUND(E38/$C38,4)</f>
        <v>0</v>
      </c>
    </row>
    <row r="38" spans="1:5">
      <c r="A38" s="185"/>
      <c r="B38" s="195"/>
      <c r="C38" s="132">
        <f ca="1">VLOOKUP($A37,'Orçamento Sintético'!$A:$H,8,0)</f>
        <v>315.48</v>
      </c>
      <c r="D38" s="132">
        <f>ROUND($C38*D37,2)</f>
        <v>315.48</v>
      </c>
      <c r="E38" s="132">
        <f>$C38-SUM(D38:D38)</f>
        <v>0</v>
      </c>
    </row>
    <row r="39" spans="1:5">
      <c r="A39" s="185" t="s">
        <v>54</v>
      </c>
      <c r="B39" s="194" t="str">
        <f ca="1">VLOOKUP($A39,'Orçamento Sintético'!$A:$H,4,0)</f>
        <v>Baseado em SINAPI (99855) - REINSTALAÇÃO DE CORRIMÃO</v>
      </c>
      <c r="C39" s="131">
        <f ca="1">ROUND(C40/$E$228,4)</f>
        <v>1.8499999999999999E-2</v>
      </c>
      <c r="D39" s="131"/>
      <c r="E39" s="131">
        <f>ROUND(E40/$C40,4)</f>
        <v>1</v>
      </c>
    </row>
    <row r="40" spans="1:5">
      <c r="A40" s="185"/>
      <c r="B40" s="195"/>
      <c r="C40" s="132">
        <f ca="1">VLOOKUP($A39,'Orçamento Sintético'!$A:$H,8,0)</f>
        <v>2718.19</v>
      </c>
      <c r="D40" s="132">
        <f>ROUND($C40*D39,2)</f>
        <v>0</v>
      </c>
      <c r="E40" s="132">
        <f>$C40-SUM(D40:D40)</f>
        <v>2718.19</v>
      </c>
    </row>
    <row r="41" spans="1:5">
      <c r="A41" s="185" t="s">
        <v>57</v>
      </c>
      <c r="B41" s="194" t="str">
        <f ca="1">VLOOKUP($A41,'Orçamento Sintético'!$A:$H,4,0)</f>
        <v>Copia da SETOP (DEM-REV-015) - DEMOLIÇÃO DE REVESTIMENTO DE PEDRA (MÁRMORE, GRANITO, ARDÓSIA, SÃO TOMÉ, ETC.), INCLUSIVE AFASTAMENTO</v>
      </c>
      <c r="C41" s="131">
        <f ca="1">ROUND(C42/$E$228,4)</f>
        <v>1.8E-3</v>
      </c>
      <c r="D41" s="131">
        <v>1</v>
      </c>
      <c r="E41" s="131">
        <f>ROUND(E42/$C42,4)</f>
        <v>0</v>
      </c>
    </row>
    <row r="42" spans="1:5">
      <c r="A42" s="185"/>
      <c r="B42" s="195"/>
      <c r="C42" s="132">
        <f ca="1">VLOOKUP($A41,'Orçamento Sintético'!$A:$H,8,0)</f>
        <v>263.89</v>
      </c>
      <c r="D42" s="132">
        <f>ROUND($C42*D41,2)</f>
        <v>263.89</v>
      </c>
      <c r="E42" s="132">
        <f>$C42-SUM(D42:D42)</f>
        <v>0</v>
      </c>
    </row>
    <row r="43" spans="1:5">
      <c r="A43" s="185" t="s">
        <v>60</v>
      </c>
      <c r="B43" s="194" t="str">
        <f ca="1">VLOOKUP($A43,'Orçamento Sintético'!$A:$H,4,0)</f>
        <v>Copia da SEINFRA (C1049) - DEMOLIÇÃO DE CONCRETO SIMPLES</v>
      </c>
      <c r="C43" s="131">
        <f ca="1">ROUND(C44/$E$228,4)</f>
        <v>5.3E-3</v>
      </c>
      <c r="D43" s="131">
        <v>1</v>
      </c>
      <c r="E43" s="131">
        <f>ROUND(E44/$C44,4)</f>
        <v>0</v>
      </c>
    </row>
    <row r="44" spans="1:5">
      <c r="A44" s="185"/>
      <c r="B44" s="195"/>
      <c r="C44" s="132">
        <f ca="1">VLOOKUP($A43,'Orçamento Sintético'!$A:$H,8,0)</f>
        <v>780</v>
      </c>
      <c r="D44" s="132">
        <f>ROUND($C44*D43,2)</f>
        <v>780</v>
      </c>
      <c r="E44" s="132">
        <f>$C44-SUM(D44:D44)</f>
        <v>0</v>
      </c>
    </row>
    <row r="45" spans="1:5">
      <c r="A45" s="185" t="s">
        <v>64</v>
      </c>
      <c r="B45" s="194" t="str">
        <f ca="1">VLOOKUP($A45,'Orçamento Sintético'!$A:$H,4,0)</f>
        <v>Demolição de caixas de esgoto, água pluvial e águas servidas, inclusive fundo em concreto, escavação e reaterro</v>
      </c>
      <c r="C45" s="131">
        <f ca="1">ROUND(C46/$E$228,4)</f>
        <v>1.5E-3</v>
      </c>
      <c r="D45" s="131">
        <v>1</v>
      </c>
      <c r="E45" s="131">
        <f>ROUND(E46/$C46,4)</f>
        <v>0</v>
      </c>
    </row>
    <row r="46" spans="1:5">
      <c r="A46" s="185"/>
      <c r="B46" s="195"/>
      <c r="C46" s="132">
        <f ca="1">VLOOKUP($A45,'Orçamento Sintético'!$A:$H,8,0)</f>
        <v>214.58</v>
      </c>
      <c r="D46" s="132">
        <f>ROUND($C46*D45,2)</f>
        <v>214.58</v>
      </c>
      <c r="E46" s="132">
        <f>$C46-SUM(D46:D46)</f>
        <v>0</v>
      </c>
    </row>
    <row r="47" spans="1:5">
      <c r="A47" s="185" t="s">
        <v>68</v>
      </c>
      <c r="B47" s="194" t="str">
        <f ca="1">VLOOKUP($A47,'Orçamento Sintético'!$A:$H,4,0)</f>
        <v>Copia da SINAPI (97634) - DEMOLIÇÃO DE PISO, DE FORMA MECANIZADA COM MARTELETE, SEM REAPROVEITAMENTO. AF_12/2017</v>
      </c>
      <c r="C47" s="131">
        <f ca="1">ROUND(C48/$E$228,4)</f>
        <v>1E-4</v>
      </c>
      <c r="D47" s="131">
        <v>1</v>
      </c>
      <c r="E47" s="131">
        <f>ROUND(E48/$C48,4)</f>
        <v>0</v>
      </c>
    </row>
    <row r="48" spans="1:5">
      <c r="A48" s="185"/>
      <c r="B48" s="195"/>
      <c r="C48" s="132">
        <f ca="1">VLOOKUP($A47,'Orçamento Sintético'!$A:$H,8,0)</f>
        <v>10.23</v>
      </c>
      <c r="D48" s="132">
        <f>ROUND($C48*D47,2)</f>
        <v>10.23</v>
      </c>
      <c r="E48" s="132">
        <f>$C48-SUM(D48:D48)</f>
        <v>0</v>
      </c>
    </row>
    <row r="49" spans="1:5">
      <c r="A49" s="188" t="s">
        <v>71</v>
      </c>
      <c r="B49" s="196" t="str">
        <f ca="1">VLOOKUP($A49,'Orçamento Sintético'!$A:$H,4,0)</f>
        <v>Remoções</v>
      </c>
      <c r="C49" s="139">
        <f ca="1">ROUND(C50/$E$228,4)</f>
        <v>0.1178</v>
      </c>
      <c r="D49" s="140">
        <f>ROUND(D50/$C50,4)</f>
        <v>0.93110000000000004</v>
      </c>
      <c r="E49" s="140">
        <f>ROUND(E50/$C50,4)</f>
        <v>6.8900000000000003E-2</v>
      </c>
    </row>
    <row r="50" spans="1:5">
      <c r="A50" s="189"/>
      <c r="B50" s="196"/>
      <c r="C50" s="141">
        <f ca="1">VLOOKUP($A49,'Orçamento Sintético'!$A:$H,8,0)</f>
        <v>17316.36</v>
      </c>
      <c r="D50" s="142">
        <f>D52+D54+D56+D58+D60+D62+D64+D66+D68+D70+D72+D74+D76</f>
        <v>16124.069999999998</v>
      </c>
      <c r="E50" s="142">
        <f>E52+E54+E56+E58+E60+E62+E64+E66+E68+E70+E72+E74+E76</f>
        <v>1192.29</v>
      </c>
    </row>
    <row r="51" spans="1:5">
      <c r="A51" s="185" t="s">
        <v>73</v>
      </c>
      <c r="B51" s="194" t="str">
        <f ca="1">VLOOKUP($A51,'Orçamento Sintético'!$A:$H,4,0)</f>
        <v>Copia da SINAPI (98504) - REMOÇÃO DE GRAMA EM PLACAS COM REAPROVEITAMENTO.</v>
      </c>
      <c r="C51" s="131">
        <f ca="1">ROUND(C52/$E$228,4)</f>
        <v>3.8E-3</v>
      </c>
      <c r="D51" s="131">
        <v>1</v>
      </c>
      <c r="E51" s="131">
        <f>ROUND(E52/$C52,4)</f>
        <v>0</v>
      </c>
    </row>
    <row r="52" spans="1:5">
      <c r="A52" s="185"/>
      <c r="B52" s="195"/>
      <c r="C52" s="132">
        <f ca="1">VLOOKUP($A51,'Orçamento Sintético'!$A:$H,8,0)</f>
        <v>554.79999999999995</v>
      </c>
      <c r="D52" s="132">
        <f>ROUND($C52*D51,2)</f>
        <v>554.79999999999995</v>
      </c>
      <c r="E52" s="132">
        <f>$C52-SUM(D52:D52)</f>
        <v>0</v>
      </c>
    </row>
    <row r="53" spans="1:5">
      <c r="A53" s="185" t="s">
        <v>76</v>
      </c>
      <c r="B53" s="194" t="str">
        <f ca="1">VLOOKUP($A53,'Orçamento Sintético'!$A:$H,4,0)</f>
        <v>Copia da ORSE (227) - Remoção de estrutura metálica chumbada em concreto (alambrado, guarda-corpo)</v>
      </c>
      <c r="C53" s="131">
        <f ca="1">ROUND(C54/$E$228,4)</f>
        <v>1.26E-2</v>
      </c>
      <c r="D53" s="131">
        <v>1</v>
      </c>
      <c r="E53" s="131">
        <f>ROUND(E54/$C54,4)</f>
        <v>0</v>
      </c>
    </row>
    <row r="54" spans="1:5">
      <c r="A54" s="185"/>
      <c r="B54" s="195"/>
      <c r="C54" s="132">
        <f ca="1">VLOOKUP($A53,'Orçamento Sintético'!$A:$H,8,0)</f>
        <v>1849.05</v>
      </c>
      <c r="D54" s="132">
        <f>ROUND($C54*D53,2)</f>
        <v>1849.05</v>
      </c>
      <c r="E54" s="132">
        <f>$C54-SUM(D54:D54)</f>
        <v>0</v>
      </c>
    </row>
    <row r="55" spans="1:5">
      <c r="A55" s="185" t="s">
        <v>79</v>
      </c>
      <c r="B55" s="194" t="str">
        <f ca="1">VLOOKUP($A55,'Orçamento Sintético'!$A:$H,4,0)</f>
        <v>Copia da CPOS (04.21.130) - Remoção de poste de concreto</v>
      </c>
      <c r="C55" s="131">
        <f ca="1">ROUND(C56/$E$228,4)</f>
        <v>2.8999999999999998E-3</v>
      </c>
      <c r="D55" s="131">
        <v>1</v>
      </c>
      <c r="E55" s="131">
        <f>ROUND(E56/$C56,4)</f>
        <v>0</v>
      </c>
    </row>
    <row r="56" spans="1:5">
      <c r="A56" s="185"/>
      <c r="B56" s="195"/>
      <c r="C56" s="132">
        <f ca="1">VLOOKUP($A55,'Orçamento Sintético'!$A:$H,8,0)</f>
        <v>424.58</v>
      </c>
      <c r="D56" s="132">
        <f>ROUND($C56*D55,2)</f>
        <v>424.58</v>
      </c>
      <c r="E56" s="132">
        <f>$C56-SUM(D56:D56)</f>
        <v>0</v>
      </c>
    </row>
    <row r="57" spans="1:5">
      <c r="A57" s="185" t="s">
        <v>82</v>
      </c>
      <c r="B57" s="194" t="str">
        <f ca="1">VLOOKUP($A57,'Orçamento Sintético'!$A:$H,4,0)</f>
        <v>Baseado em SIURB (010211) - Carga manual e remoção de terra ou entulho</v>
      </c>
      <c r="C57" s="131">
        <f ca="1">ROUND(C58/$E$228,4)</f>
        <v>1.7500000000000002E-2</v>
      </c>
      <c r="D57" s="131">
        <v>1</v>
      </c>
      <c r="E57" s="131">
        <f>ROUND(E58/$C58,4)</f>
        <v>0</v>
      </c>
    </row>
    <row r="58" spans="1:5">
      <c r="A58" s="185"/>
      <c r="B58" s="195"/>
      <c r="C58" s="132">
        <f ca="1">VLOOKUP($A57,'Orçamento Sintético'!$A:$H,8,0)</f>
        <v>2577.86</v>
      </c>
      <c r="D58" s="132">
        <f>ROUND($C58*D57,2)</f>
        <v>2577.86</v>
      </c>
      <c r="E58" s="132">
        <f>$C58-SUM(D58:D58)</f>
        <v>0</v>
      </c>
    </row>
    <row r="59" spans="1:5">
      <c r="A59" s="185" t="s">
        <v>85</v>
      </c>
      <c r="B59" s="194" t="str">
        <f ca="1">VLOOKUP($A59,'Orçamento Sintético'!$A:$H,4,0)</f>
        <v>Copia da SBC (022605) - RETIRADA E RECOLOCACAO DE ESQUADRIA DE ALUMINIO</v>
      </c>
      <c r="C59" s="131">
        <f ca="1">ROUND(C60/$E$228,4)</f>
        <v>4.7000000000000002E-3</v>
      </c>
      <c r="D59" s="131">
        <v>0.5</v>
      </c>
      <c r="E59" s="131">
        <f>ROUND(E60/$C60,4)</f>
        <v>0.5</v>
      </c>
    </row>
    <row r="60" spans="1:5">
      <c r="A60" s="185"/>
      <c r="B60" s="195"/>
      <c r="C60" s="132">
        <f ca="1">VLOOKUP($A59,'Orçamento Sintético'!$A:$H,8,0)</f>
        <v>689.9</v>
      </c>
      <c r="D60" s="132">
        <f>ROUND($C60*D59,2)</f>
        <v>344.95</v>
      </c>
      <c r="E60" s="132">
        <f>$C60-SUM(D60:D60)</f>
        <v>344.95</v>
      </c>
    </row>
    <row r="61" spans="1:5">
      <c r="A61" s="185" t="s">
        <v>88</v>
      </c>
      <c r="B61" s="194" t="str">
        <f ca="1">VLOOKUP($A61,'Orçamento Sintético'!$A:$H,4,0)</f>
        <v>DEMOLIÇÃO DE PAVIMENTO INTERTRAVADO, DE FORMA MANUAL, COM REAPROVEITAMENTO. AF_12/2017</v>
      </c>
      <c r="C61" s="131">
        <f ca="1">ROUND(C62/$E$228,4)</f>
        <v>5.3E-3</v>
      </c>
      <c r="D61" s="131">
        <v>1</v>
      </c>
      <c r="E61" s="131">
        <f>ROUND(E62/$C62,4)</f>
        <v>0</v>
      </c>
    </row>
    <row r="62" spans="1:5">
      <c r="A62" s="185"/>
      <c r="B62" s="195"/>
      <c r="C62" s="132">
        <f ca="1">VLOOKUP($A61,'Orçamento Sintético'!$A:$H,8,0)</f>
        <v>785.4</v>
      </c>
      <c r="D62" s="132">
        <f>ROUND($C62*D61,2)</f>
        <v>785.4</v>
      </c>
      <c r="E62" s="132">
        <f>$C62-SUM(D62:D62)</f>
        <v>0</v>
      </c>
    </row>
    <row r="63" spans="1:5">
      <c r="A63" s="185" t="s">
        <v>91</v>
      </c>
      <c r="B63" s="194" t="str">
        <f ca="1">VLOOKUP($A63,'Orçamento Sintético'!$A:$H,4,0)</f>
        <v>Copia da CPOS (04.40.030) - Retirada manual de guia pré-moldada, inclusive limpeza e empilhamento</v>
      </c>
      <c r="C63" s="131">
        <f ca="1">ROUND(C64/$E$228,4)</f>
        <v>1.2999999999999999E-3</v>
      </c>
      <c r="D63" s="131">
        <v>1</v>
      </c>
      <c r="E63" s="131">
        <f>ROUND(E64/$C64,4)</f>
        <v>0</v>
      </c>
    </row>
    <row r="64" spans="1:5">
      <c r="A64" s="185"/>
      <c r="B64" s="195"/>
      <c r="C64" s="132">
        <f ca="1">VLOOKUP($A63,'Orçamento Sintético'!$A:$H,8,0)</f>
        <v>197.12</v>
      </c>
      <c r="D64" s="132">
        <f>ROUND($C64*D63,2)</f>
        <v>197.12</v>
      </c>
      <c r="E64" s="132">
        <f>$C64-SUM(D64:D64)</f>
        <v>0</v>
      </c>
    </row>
    <row r="65" spans="1:5">
      <c r="A65" s="185" t="s">
        <v>94</v>
      </c>
      <c r="B65" s="194" t="str">
        <f ca="1">VLOOKUP($A65,'Orçamento Sintético'!$A:$H,4,0)</f>
        <v>REMOÇÃO DE CABOS ELÉTRICOS, DE FORMA MANUAL, SEM REAPROVEITAMENTO. AF_12/2017</v>
      </c>
      <c r="C65" s="131">
        <f ca="1">ROUND(C66/$E$228,4)</f>
        <v>1E-4</v>
      </c>
      <c r="D65" s="131">
        <v>1</v>
      </c>
      <c r="E65" s="131">
        <f>ROUND(E66/$C66,4)</f>
        <v>0</v>
      </c>
    </row>
    <row r="66" spans="1:5">
      <c r="A66" s="185"/>
      <c r="B66" s="195"/>
      <c r="C66" s="132">
        <f ca="1">VLOOKUP($A65,'Orçamento Sintético'!$A:$H,8,0)</f>
        <v>14</v>
      </c>
      <c r="D66" s="132">
        <f>ROUND($C66*D65,2)</f>
        <v>14</v>
      </c>
      <c r="E66" s="132">
        <f>$C66-SUM(D66:D66)</f>
        <v>0</v>
      </c>
    </row>
    <row r="67" spans="1:5">
      <c r="A67" s="185" t="s">
        <v>97</v>
      </c>
      <c r="B67" s="194" t="str">
        <f ca="1">VLOOKUP($A67,'Orçamento Sintético'!$A:$H,4,0)</f>
        <v>Copia da SETOP (DEM-IMP-005) - REMOÇÃO DE IMPERMEABILIZAÇÃO E PROTEÇÃO MECÂNICA</v>
      </c>
      <c r="C67" s="131">
        <f ca="1">ROUND(C68/$E$228,4)</f>
        <v>5.4600000000000003E-2</v>
      </c>
      <c r="D67" s="131">
        <v>1</v>
      </c>
      <c r="E67" s="131">
        <f>ROUND(E68/$C68,4)</f>
        <v>0</v>
      </c>
    </row>
    <row r="68" spans="1:5">
      <c r="A68" s="185"/>
      <c r="B68" s="195"/>
      <c r="C68" s="132">
        <f ca="1">VLOOKUP($A67,'Orçamento Sintético'!$A:$H,8,0)</f>
        <v>8027.75</v>
      </c>
      <c r="D68" s="132">
        <f>ROUND($C68*D67,2)</f>
        <v>8027.75</v>
      </c>
      <c r="E68" s="132">
        <f>$C68-SUM(D68:D68)</f>
        <v>0</v>
      </c>
    </row>
    <row r="69" spans="1:5">
      <c r="A69" s="185" t="s">
        <v>100</v>
      </c>
      <c r="B69" s="194" t="str">
        <f ca="1">VLOOKUP($A69,'Orçamento Sintético'!$A:$H,4,0)</f>
        <v>Copia da SBC (022194) - RETIRADA GRADES DE FERRO</v>
      </c>
      <c r="C69" s="131">
        <f ca="1">ROUND(C70/$E$228,4)</f>
        <v>8.9999999999999998E-4</v>
      </c>
      <c r="D69" s="131">
        <v>1</v>
      </c>
      <c r="E69" s="131">
        <f>ROUND(E70/$C70,4)</f>
        <v>0</v>
      </c>
    </row>
    <row r="70" spans="1:5">
      <c r="A70" s="185"/>
      <c r="B70" s="195"/>
      <c r="C70" s="132">
        <f ca="1">VLOOKUP($A69,'Orçamento Sintético'!$A:$H,8,0)</f>
        <v>135.28</v>
      </c>
      <c r="D70" s="132">
        <f>ROUND($C70*D69,2)</f>
        <v>135.28</v>
      </c>
      <c r="E70" s="132">
        <f>$C70-SUM(D70:D70)</f>
        <v>0</v>
      </c>
    </row>
    <row r="71" spans="1:5">
      <c r="A71" s="185" t="s">
        <v>103</v>
      </c>
      <c r="B71" s="194" t="str">
        <f ca="1">VLOOKUP($A71,'Orçamento Sintético'!$A:$H,4,0)</f>
        <v>Transporte de material – bota-fora, D.M.T = 35,0 km</v>
      </c>
      <c r="C71" s="131">
        <f ca="1">ROUND(C72/$E$228,4)</f>
        <v>1E-3</v>
      </c>
      <c r="D71" s="131"/>
      <c r="E71" s="131">
        <f>ROUND(E72/$C72,4)</f>
        <v>1</v>
      </c>
    </row>
    <row r="72" spans="1:5">
      <c r="A72" s="185"/>
      <c r="B72" s="195"/>
      <c r="C72" s="132">
        <f ca="1">VLOOKUP($A71,'Orçamento Sintético'!$A:$H,8,0)</f>
        <v>151.47</v>
      </c>
      <c r="D72" s="132">
        <f>ROUND($C72*D71,2)</f>
        <v>0</v>
      </c>
      <c r="E72" s="132">
        <f>$C72-SUM(D72:D72)</f>
        <v>151.47</v>
      </c>
    </row>
    <row r="73" spans="1:5">
      <c r="A73" s="185" t="s">
        <v>106</v>
      </c>
      <c r="B73" s="194" t="str">
        <f ca="1">VLOOKUP($A73,'Orçamento Sintético'!$A:$H,4,0)</f>
        <v>Baseado da SEDOP (091518) - Remoção cuidadosa de Pele de vidro. Incluindo o mapeamento estocagem adequada.</v>
      </c>
      <c r="C73" s="131">
        <f ca="1">ROUND(C74/$E$228,4)</f>
        <v>9.4999999999999998E-3</v>
      </c>
      <c r="D73" s="131">
        <v>0.5</v>
      </c>
      <c r="E73" s="131">
        <f>ROUND(E74/$C74,4)</f>
        <v>0.5</v>
      </c>
    </row>
    <row r="74" spans="1:5">
      <c r="A74" s="185"/>
      <c r="B74" s="195"/>
      <c r="C74" s="132">
        <f ca="1">VLOOKUP($A73,'Orçamento Sintético'!$A:$H,8,0)</f>
        <v>1391.75</v>
      </c>
      <c r="D74" s="132">
        <f>ROUND($C74*D73,2)</f>
        <v>695.88</v>
      </c>
      <c r="E74" s="132">
        <f>$C74-SUM(D74:D74)</f>
        <v>695.87</v>
      </c>
    </row>
    <row r="75" spans="1:5">
      <c r="A75" s="185" t="s">
        <v>109</v>
      </c>
      <c r="B75" s="194" t="str">
        <f ca="1">VLOOKUP($A75,'Orçamento Sintético'!$A:$H,4,0)</f>
        <v>Copia da ORSE (12345) - Remoção e reassentamento de Porta automática de vidro</v>
      </c>
      <c r="C75" s="131">
        <f ca="1">ROUND(C76/$E$228,4)</f>
        <v>3.5000000000000001E-3</v>
      </c>
      <c r="D75" s="131">
        <v>1</v>
      </c>
      <c r="E75" s="131">
        <f>ROUND(E76/$C76,4)</f>
        <v>0</v>
      </c>
    </row>
    <row r="76" spans="1:5">
      <c r="A76" s="185"/>
      <c r="B76" s="195"/>
      <c r="C76" s="132">
        <f ca="1">VLOOKUP($A75,'Orçamento Sintético'!$A:$H,8,0)</f>
        <v>517.4</v>
      </c>
      <c r="D76" s="132">
        <f>ROUND($C76*D75,2)</f>
        <v>517.4</v>
      </c>
      <c r="E76" s="132">
        <f>$C76-SUM(D76:D76)</f>
        <v>0</v>
      </c>
    </row>
    <row r="77" spans="1:5">
      <c r="A77" s="190" t="s">
        <v>112</v>
      </c>
      <c r="B77" s="201" t="str">
        <f ca="1">VLOOKUP($A77,'Orçamento Sintético'!$A:$H,4,0)</f>
        <v>ARQUITETURA E ELEMENTOS DE URBANISMO</v>
      </c>
      <c r="C77" s="125">
        <f ca="1">ROUND(C78/$E$228,4)</f>
        <v>0.50680000000000003</v>
      </c>
      <c r="D77" s="126">
        <f>ROUND(D78/$C78,4)</f>
        <v>0.25040000000000001</v>
      </c>
      <c r="E77" s="126">
        <f>ROUND(E78/$C78,4)</f>
        <v>0.74960000000000004</v>
      </c>
    </row>
    <row r="78" spans="1:5">
      <c r="A78" s="190"/>
      <c r="B78" s="201"/>
      <c r="C78" s="127">
        <f ca="1">VLOOKUP($A77,'Orçamento Sintético'!$A:$H,8,0)</f>
        <v>74486.689999999988</v>
      </c>
      <c r="D78" s="128">
        <f>D80+D134+D154</f>
        <v>18655.070000000003</v>
      </c>
      <c r="E78" s="128">
        <f>E80+E134+E154</f>
        <v>55831.62</v>
      </c>
    </row>
    <row r="79" spans="1:5">
      <c r="A79" s="186" t="s">
        <v>114</v>
      </c>
      <c r="B79" s="193" t="str">
        <f ca="1">VLOOKUP($A79,'Orçamento Sintético'!$A:$H,4,0)</f>
        <v>ARQUITETURA</v>
      </c>
      <c r="C79" s="129">
        <f ca="1">ROUND(C80/$E$228,4)</f>
        <v>0.46439999999999998</v>
      </c>
      <c r="D79" s="129">
        <f>ROUND(D80/$C80,4)</f>
        <v>0.27329999999999999</v>
      </c>
      <c r="E79" s="129">
        <f>ROUND(E80/$C80,4)</f>
        <v>0.72670000000000001</v>
      </c>
    </row>
    <row r="80" spans="1:5">
      <c r="A80" s="187"/>
      <c r="B80" s="193"/>
      <c r="C80" s="130">
        <f ca="1">VLOOKUP($A79,'Orçamento Sintético'!$A:$H,8,0)</f>
        <v>68252.59</v>
      </c>
      <c r="D80" s="130">
        <f>D82+D88+D94+D106+D110+D128</f>
        <v>18655.070000000003</v>
      </c>
      <c r="E80" s="130">
        <f>E82+E88+E94+E106+E110+E128</f>
        <v>49597.520000000004</v>
      </c>
    </row>
    <row r="81" spans="1:5">
      <c r="A81" s="188" t="s">
        <v>116</v>
      </c>
      <c r="B81" s="196" t="str">
        <f ca="1">VLOOKUP($A81,'Orçamento Sintético'!$A:$H,4,0)</f>
        <v>Esquadria de alumínio</v>
      </c>
      <c r="C81" s="139">
        <f ca="1">ROUND(C82/$E$228,4)</f>
        <v>5.0000000000000001E-4</v>
      </c>
      <c r="D81" s="140">
        <f>ROUND(D82/$C82,4)</f>
        <v>0</v>
      </c>
      <c r="E81" s="140">
        <f>ROUND(E82/$C82,4)</f>
        <v>1</v>
      </c>
    </row>
    <row r="82" spans="1:5">
      <c r="A82" s="189"/>
      <c r="B82" s="196"/>
      <c r="C82" s="141">
        <f ca="1">VLOOKUP($A81,'Orçamento Sintético'!$A:$H,8,0)</f>
        <v>79.92</v>
      </c>
      <c r="D82" s="142">
        <f>D84+D86</f>
        <v>0</v>
      </c>
      <c r="E82" s="142">
        <f>E84+E86</f>
        <v>79.92</v>
      </c>
    </row>
    <row r="83" spans="1:5">
      <c r="A83" s="185" t="s">
        <v>118</v>
      </c>
      <c r="B83" s="194" t="str">
        <f ca="1">VLOOKUP($A83,'Orçamento Sintético'!$A:$H,4,0)</f>
        <v>Baseado em MPDFT1088 - Reinstalação de Alçapão 100x50cm</v>
      </c>
      <c r="C83" s="131">
        <f ca="1">ROUND(C84/$E$228,4)</f>
        <v>4.0000000000000002E-4</v>
      </c>
      <c r="D83" s="131"/>
      <c r="E83" s="131">
        <f>ROUND(E84/$C84,4)</f>
        <v>1</v>
      </c>
    </row>
    <row r="84" spans="1:5">
      <c r="A84" s="185"/>
      <c r="B84" s="195"/>
      <c r="C84" s="132">
        <f ca="1">VLOOKUP($A83,'Orçamento Sintético'!$A:$H,8,0)</f>
        <v>52.64</v>
      </c>
      <c r="D84" s="132">
        <f>ROUND($C84*D83,2)</f>
        <v>0</v>
      </c>
      <c r="E84" s="132">
        <f>$C84-SUM(D84:D84)</f>
        <v>52.64</v>
      </c>
    </row>
    <row r="85" spans="1:5">
      <c r="A85" s="185" t="s">
        <v>121</v>
      </c>
      <c r="B85" s="194" t="str">
        <f ca="1">VLOOKUP($A85,'Orçamento Sintético'!$A:$H,4,0)</f>
        <v>Baseado em MPDFT1088 - Reinstalação de tampas de caixa de inspeção 25 x 25cm</v>
      </c>
      <c r="C85" s="131">
        <f ca="1">ROUND(C86/$E$228,4)</f>
        <v>2.0000000000000001E-4</v>
      </c>
      <c r="D85" s="131"/>
      <c r="E85" s="131">
        <f>ROUND(E86/$C86,4)</f>
        <v>1</v>
      </c>
    </row>
    <row r="86" spans="1:5">
      <c r="A86" s="185"/>
      <c r="B86" s="195"/>
      <c r="C86" s="132">
        <f ca="1">VLOOKUP($A85,'Orçamento Sintético'!$A:$H,8,0)</f>
        <v>27.28</v>
      </c>
      <c r="D86" s="132">
        <f>ROUND($C86*D85,2)</f>
        <v>0</v>
      </c>
      <c r="E86" s="132">
        <f>$C86-SUM(D86:D86)</f>
        <v>27.28</v>
      </c>
    </row>
    <row r="87" spans="1:5">
      <c r="A87" s="188" t="s">
        <v>124</v>
      </c>
      <c r="B87" s="196" t="str">
        <f ca="1">VLOOKUP($A87,'Orçamento Sintético'!$A:$H,4,0)</f>
        <v>Vidros e Plásticos</v>
      </c>
      <c r="C87" s="139">
        <f ca="1">ROUND(C88/$E$228,4)</f>
        <v>9.1000000000000004E-3</v>
      </c>
      <c r="D87" s="140">
        <f>ROUND(D88/$C88,4)</f>
        <v>0.40160000000000001</v>
      </c>
      <c r="E87" s="140">
        <f>ROUND(E88/$C88,4)</f>
        <v>0.59840000000000004</v>
      </c>
    </row>
    <row r="88" spans="1:5">
      <c r="A88" s="189"/>
      <c r="B88" s="196"/>
      <c r="C88" s="141">
        <f ca="1">VLOOKUP($A87,'Orçamento Sintético'!$A:$H,8,0)</f>
        <v>1338.09</v>
      </c>
      <c r="D88" s="142">
        <f>D90+D92</f>
        <v>537.42999999999995</v>
      </c>
      <c r="E88" s="142">
        <f>E90+E92</f>
        <v>800.66</v>
      </c>
    </row>
    <row r="89" spans="1:5">
      <c r="A89" s="185" t="s">
        <v>126</v>
      </c>
      <c r="B89" s="194" t="str">
        <f ca="1">VLOOKUP($A89,'Orçamento Sintético'!$A:$H,4,0)</f>
        <v>Baseado da SEDOP (091518) - Reinstalação de Pele de vidro</v>
      </c>
      <c r="C89" s="131">
        <f ca="1">ROUND(C90/$E$228,4)</f>
        <v>7.3000000000000001E-3</v>
      </c>
      <c r="D89" s="131">
        <v>0.5</v>
      </c>
      <c r="E89" s="131">
        <f>ROUND(E90/$C90,4)</f>
        <v>0.5</v>
      </c>
    </row>
    <row r="90" spans="1:5">
      <c r="A90" s="185"/>
      <c r="B90" s="195"/>
      <c r="C90" s="132">
        <f ca="1">VLOOKUP($A89,'Orçamento Sintético'!$A:$H,8,0)</f>
        <v>1074.8499999999999</v>
      </c>
      <c r="D90" s="132">
        <f>ROUND($C90*D89,2)</f>
        <v>537.42999999999995</v>
      </c>
      <c r="E90" s="132">
        <f>$C90-SUM(D90:D90)</f>
        <v>537.41999999999996</v>
      </c>
    </row>
    <row r="91" spans="1:5">
      <c r="A91" s="185" t="s">
        <v>129</v>
      </c>
      <c r="B91" s="194" t="str">
        <f ca="1">VLOOKUP($A91,'Orçamento Sintético'!$A:$H,4,0)</f>
        <v>Copia da SEDOP (171062) - Instalação de sensor para porta automática (somente instalação, sem fornecimento)</v>
      </c>
      <c r="C91" s="131">
        <f ca="1">ROUND(C92/$E$228,4)</f>
        <v>1.8E-3</v>
      </c>
      <c r="D91" s="131"/>
      <c r="E91" s="131">
        <f>ROUND(E92/$C92,4)</f>
        <v>1</v>
      </c>
    </row>
    <row r="92" spans="1:5">
      <c r="A92" s="185"/>
      <c r="B92" s="195"/>
      <c r="C92" s="132">
        <f ca="1">VLOOKUP($A91,'Orçamento Sintético'!$A:$H,8,0)</f>
        <v>263.24</v>
      </c>
      <c r="D92" s="132">
        <f>ROUND($C92*D91,2)</f>
        <v>0</v>
      </c>
      <c r="E92" s="132">
        <f>$C92-SUM(D92:D92)</f>
        <v>263.24</v>
      </c>
    </row>
    <row r="93" spans="1:5">
      <c r="A93" s="188" t="s">
        <v>132</v>
      </c>
      <c r="B93" s="196" t="str">
        <f ca="1">VLOOKUP($A93,'Orçamento Sintético'!$A:$H,4,0)</f>
        <v>Revestimentos de pisos</v>
      </c>
      <c r="C93" s="139">
        <f ca="1">ROUND(C94/$E$228,4)</f>
        <v>4.41E-2</v>
      </c>
      <c r="D93" s="140">
        <f>ROUND(D94/$C94,4)</f>
        <v>0</v>
      </c>
      <c r="E93" s="140">
        <f>ROUND(E94/$C94,4)</f>
        <v>1</v>
      </c>
    </row>
    <row r="94" spans="1:5">
      <c r="A94" s="189"/>
      <c r="B94" s="196"/>
      <c r="C94" s="141">
        <f ca="1">VLOOKUP($A93,'Orçamento Sintético'!$A:$H,8,0)</f>
        <v>6478.4400000000005</v>
      </c>
      <c r="D94" s="142">
        <f>D96+D98+D100+D102+D104</f>
        <v>0</v>
      </c>
      <c r="E94" s="142">
        <f>E96+E98+E100+E102+E104</f>
        <v>6478.4400000000005</v>
      </c>
    </row>
    <row r="95" spans="1:5">
      <c r="A95" s="185" t="s">
        <v>134</v>
      </c>
      <c r="B95" s="194" t="str">
        <f ca="1">VLOOKUP($A95,'Orçamento Sintético'!$A:$H,4,0)</f>
        <v>REASSENTAMENTO DE BLOCOS RETANGULAR PARA PISO INTERTRAVADO, ESPESSURA DE 10 CM, EM VIA/ESTACIONAMENTO, COM REAPROVEITAMENTO DOS BLOCOS RETANGULAR. AF_12/2020</v>
      </c>
      <c r="C95" s="131">
        <f ca="1">ROUND(C96/$E$228,4)</f>
        <v>1.5299999999999999E-2</v>
      </c>
      <c r="D95" s="131"/>
      <c r="E95" s="131">
        <f>ROUND(E96/$C96,4)</f>
        <v>1</v>
      </c>
    </row>
    <row r="96" spans="1:5">
      <c r="A96" s="185"/>
      <c r="B96" s="195"/>
      <c r="C96" s="132">
        <f ca="1">VLOOKUP($A95,'Orçamento Sintético'!$A:$H,8,0)</f>
        <v>2251.44</v>
      </c>
      <c r="D96" s="132">
        <f>ROUND($C96*D95,2)</f>
        <v>0</v>
      </c>
      <c r="E96" s="132">
        <f>$C96-SUM(D96:D96)</f>
        <v>2251.44</v>
      </c>
    </row>
    <row r="97" spans="1:5">
      <c r="A97" s="185" t="s">
        <v>137</v>
      </c>
      <c r="B97" s="194" t="str">
        <f ca="1">VLOOKUP($A97,'Orçamento Sintético'!$A:$H,4,0)</f>
        <v>Baseado em SINAPI (101092) - Piso em granito levigado, Vermelho Brasília, e = 2cm</v>
      </c>
      <c r="C97" s="131">
        <f ca="1">ROUND(C98/$E$228,4)</f>
        <v>1.23E-2</v>
      </c>
      <c r="D97" s="131"/>
      <c r="E97" s="131">
        <f>ROUND(E98/$C98,4)</f>
        <v>1</v>
      </c>
    </row>
    <row r="98" spans="1:5">
      <c r="A98" s="185"/>
      <c r="B98" s="195"/>
      <c r="C98" s="132">
        <f ca="1">VLOOKUP($A97,'Orçamento Sintético'!$A:$H,8,0)</f>
        <v>1806.12</v>
      </c>
      <c r="D98" s="132">
        <f>ROUND($C98*D97,2)</f>
        <v>0</v>
      </c>
      <c r="E98" s="132">
        <f>$C98-SUM(D98:D98)</f>
        <v>1806.12</v>
      </c>
    </row>
    <row r="99" spans="1:5">
      <c r="A99" s="185" t="s">
        <v>140</v>
      </c>
      <c r="B99" s="194" t="str">
        <f ca="1">VLOOKUP($A99,'Orçamento Sintético'!$A:$H,4,0)</f>
        <v>Copia da ORSE (7324) - Piso tátil rígido de concreto, DM 25x25cm, espessura 20mm, modelo direcional ou alerta, cor amarela</v>
      </c>
      <c r="C99" s="131">
        <f ca="1">ROUND(C100/$E$228,4)</f>
        <v>8.0000000000000004E-4</v>
      </c>
      <c r="D99" s="131"/>
      <c r="E99" s="131">
        <f>ROUND(E100/$C100,4)</f>
        <v>1</v>
      </c>
    </row>
    <row r="100" spans="1:5">
      <c r="A100" s="185"/>
      <c r="B100" s="195"/>
      <c r="C100" s="132">
        <f ca="1">VLOOKUP($A99,'Orçamento Sintético'!$A:$H,8,0)</f>
        <v>111.08</v>
      </c>
      <c r="D100" s="132">
        <f>ROUND($C100*D99,2)</f>
        <v>0</v>
      </c>
      <c r="E100" s="132">
        <f>$C100-SUM(D100:D100)</f>
        <v>111.08</v>
      </c>
    </row>
    <row r="101" spans="1:5">
      <c r="A101" s="185" t="s">
        <v>143</v>
      </c>
      <c r="B101" s="194" t="str">
        <f ca="1">VLOOKUP($A101,'Orçamento Sintético'!$A:$H,4,0)</f>
        <v>Copia da SINAPI (98671) - PISO EM GRANITO BRANCO ITAÚNA 2MM POLIDO APLICADO EM AMBIENTES INTERNOS.</v>
      </c>
      <c r="C101" s="131">
        <f ca="1">ROUND(C102/$E$228,4)</f>
        <v>1.55E-2</v>
      </c>
      <c r="D101" s="131"/>
      <c r="E101" s="131">
        <f>ROUND(E102/$C102,4)</f>
        <v>1</v>
      </c>
    </row>
    <row r="102" spans="1:5">
      <c r="A102" s="185"/>
      <c r="B102" s="195"/>
      <c r="C102" s="132">
        <f ca="1">VLOOKUP($A101,'Orçamento Sintético'!$A:$H,8,0)</f>
        <v>2271.7800000000002</v>
      </c>
      <c r="D102" s="132">
        <f>ROUND($C102*D101,2)</f>
        <v>0</v>
      </c>
      <c r="E102" s="132">
        <f>$C102-SUM(D102:D102)</f>
        <v>2271.7800000000002</v>
      </c>
    </row>
    <row r="103" spans="1:5">
      <c r="A103" s="185" t="s">
        <v>146</v>
      </c>
      <c r="B103" s="194" t="str">
        <f ca="1">VLOOKUP($A103,'Orçamento Sintético'!$A:$H,4,0)</f>
        <v>PINTURA DE PISO COM TINTA ACRÍLICA, APLICAÇÃO MANUAL, 3 DEMÃOS, INCLUSO FUNDO PREPARADOR. AF_05/2021</v>
      </c>
      <c r="C103" s="131">
        <f ca="1">ROUND(C104/$E$228,4)</f>
        <v>2.9999999999999997E-4</v>
      </c>
      <c r="D103" s="131"/>
      <c r="E103" s="131">
        <f>ROUND(E104/$C104,4)</f>
        <v>1</v>
      </c>
    </row>
    <row r="104" spans="1:5">
      <c r="A104" s="185"/>
      <c r="B104" s="195"/>
      <c r="C104" s="132">
        <f ca="1">VLOOKUP($A103,'Orçamento Sintético'!$A:$H,8,0)</f>
        <v>38.020000000000003</v>
      </c>
      <c r="D104" s="132">
        <f>ROUND($C104*D103,2)</f>
        <v>0</v>
      </c>
      <c r="E104" s="132">
        <f>$C104-SUM(D104:D104)</f>
        <v>38.020000000000003</v>
      </c>
    </row>
    <row r="105" spans="1:5">
      <c r="A105" s="188" t="s">
        <v>149</v>
      </c>
      <c r="B105" s="196" t="str">
        <f ca="1">VLOOKUP($A105,'Orçamento Sintético'!$A:$H,4,0)</f>
        <v>Pinturas</v>
      </c>
      <c r="C105" s="139">
        <f ca="1">ROUND(C106/$E$228,4)</f>
        <v>1.12E-2</v>
      </c>
      <c r="D105" s="140">
        <f>ROUND(D106/$C106,4)</f>
        <v>0</v>
      </c>
      <c r="E105" s="140">
        <f>ROUND(E106/$C106,4)</f>
        <v>1</v>
      </c>
    </row>
    <row r="106" spans="1:5">
      <c r="A106" s="189"/>
      <c r="B106" s="196"/>
      <c r="C106" s="141">
        <f ca="1">VLOOKUP($A105,'Orçamento Sintético'!$A:$H,8,0)</f>
        <v>1652.72</v>
      </c>
      <c r="D106" s="142">
        <f>D108</f>
        <v>0</v>
      </c>
      <c r="E106" s="142">
        <f>E108</f>
        <v>1652.72</v>
      </c>
    </row>
    <row r="107" spans="1:5">
      <c r="A107" s="185" t="s">
        <v>151</v>
      </c>
      <c r="B107" s="194" t="str">
        <f ca="1">VLOOKUP($A107,'Orçamento Sintético'!$A:$H,4,0)</f>
        <v>PINTURA COM TINTA ALQUÍDICA DE FUNDO E ACABAMENTO (ESMALTE SINTÉTICO GRAFITE) APLICADA A ROLO OU PINCEL SOBRE SUPERFÍCIES METÁLICAS (EXCETO PERFIL) EXECUTADO EM OBRA (POR DEMÃO). AF_01/2020</v>
      </c>
      <c r="C107" s="131">
        <f ca="1">ROUND(C108/$E$228,4)</f>
        <v>1.12E-2</v>
      </c>
      <c r="D107" s="131"/>
      <c r="E107" s="131">
        <f>ROUND(E108/$C108,4)</f>
        <v>1</v>
      </c>
    </row>
    <row r="108" spans="1:5">
      <c r="A108" s="185"/>
      <c r="B108" s="195"/>
      <c r="C108" s="132">
        <f ca="1">VLOOKUP($A107,'Orçamento Sintético'!$A:$H,8,0)</f>
        <v>1652.72</v>
      </c>
      <c r="D108" s="132">
        <f>ROUND($C108*D107,2)</f>
        <v>0</v>
      </c>
      <c r="E108" s="132">
        <f>$C108-SUM(D108:D108)</f>
        <v>1652.72</v>
      </c>
    </row>
    <row r="109" spans="1:5">
      <c r="A109" s="188" t="s">
        <v>154</v>
      </c>
      <c r="B109" s="196" t="str">
        <f ca="1">VLOOKUP($A109,'Orçamento Sintético'!$A:$H,4,0)</f>
        <v>Impermeabilizações</v>
      </c>
      <c r="C109" s="139">
        <f ca="1">ROUND(C110/$E$228,4)</f>
        <v>0.37080000000000002</v>
      </c>
      <c r="D109" s="140">
        <f>ROUND(D110/$C110,4)</f>
        <v>0.33239999999999997</v>
      </c>
      <c r="E109" s="140">
        <f>ROUND(E110/$C110,4)</f>
        <v>0.66759999999999997</v>
      </c>
    </row>
    <row r="110" spans="1:5">
      <c r="A110" s="189"/>
      <c r="B110" s="196"/>
      <c r="C110" s="141">
        <f ca="1">VLOOKUP($A109,'Orçamento Sintético'!$A:$H,8,0)</f>
        <v>54498.020000000004</v>
      </c>
      <c r="D110" s="142">
        <f>D112+D114+D116+D118+D120+D122+D124+D126</f>
        <v>18117.640000000003</v>
      </c>
      <c r="E110" s="142">
        <f>E112+E114+E116+E118+E120+E122+E124+E126</f>
        <v>36380.380000000005</v>
      </c>
    </row>
    <row r="111" spans="1:5">
      <c r="A111" s="185" t="s">
        <v>156</v>
      </c>
      <c r="B111" s="194" t="str">
        <f ca="1">VLOOKUP($A111,'Orçamento Sintético'!$A:$H,4,0)</f>
        <v>LIMPEZA DE SUPERFÍCIE COM JATO DE ALTA PRESSÃO. AF_04/2019</v>
      </c>
      <c r="C111" s="131">
        <f ca="1">ROUND(C112/$E$228,4)</f>
        <v>2.0999999999999999E-3</v>
      </c>
      <c r="D111" s="131">
        <v>1</v>
      </c>
      <c r="E111" s="131">
        <f>ROUND(E112/$C112,4)</f>
        <v>0</v>
      </c>
    </row>
    <row r="112" spans="1:5">
      <c r="A112" s="185"/>
      <c r="B112" s="195"/>
      <c r="C112" s="132">
        <f ca="1">VLOOKUP($A111,'Orçamento Sintético'!$A:$H,8,0)</f>
        <v>309.29000000000002</v>
      </c>
      <c r="D112" s="132">
        <f>ROUND($C112*D111,2)</f>
        <v>309.29000000000002</v>
      </c>
      <c r="E112" s="132">
        <f>$C112-SUM(D112:D112)</f>
        <v>0</v>
      </c>
    </row>
    <row r="113" spans="1:5">
      <c r="A113" s="185" t="s">
        <v>159</v>
      </c>
      <c r="B113" s="194" t="str">
        <f ca="1">VLOOKUP($A113,'Orçamento Sintético'!$A:$H,4,0)</f>
        <v>Cópia da Sinapi (87747) - Regularização / preparação de superfície com argamassa, e = 3cm, traço 1:3 (cimento e areia), com adição de de emulsão adesiva a base de resinas especiais de alto desempenho</v>
      </c>
      <c r="C113" s="131">
        <f ca="1">ROUND(C114/$E$228,4)</f>
        <v>6.3600000000000004E-2</v>
      </c>
      <c r="D113" s="131">
        <v>1</v>
      </c>
      <c r="E113" s="131">
        <f>ROUND(E114/$C114,4)</f>
        <v>0</v>
      </c>
    </row>
    <row r="114" spans="1:5">
      <c r="A114" s="185"/>
      <c r="B114" s="195"/>
      <c r="C114" s="132">
        <f ca="1">VLOOKUP($A113,'Orçamento Sintético'!$A:$H,8,0)</f>
        <v>9347.65</v>
      </c>
      <c r="D114" s="132">
        <f>ROUND($C114*D113,2)</f>
        <v>9347.65</v>
      </c>
      <c r="E114" s="132">
        <f>$C114-SUM(D114:D114)</f>
        <v>0</v>
      </c>
    </row>
    <row r="115" spans="1:5">
      <c r="A115" s="185" t="s">
        <v>162</v>
      </c>
      <c r="B115" s="194" t="str">
        <f ca="1">VLOOKUP($A115,'Orçamento Sintético'!$A:$H,4,0)</f>
        <v>Copia da SINAPI (98546) - Impermeabilização de superfície com manta asfáltica (com polímeros elastoméricos), e=4mm, ref. Torodin Extra, colada com asfalto derretido</v>
      </c>
      <c r="C115" s="131">
        <f ca="1">ROUND(C116/$E$228,4)</f>
        <v>1.5800000000000002E-2</v>
      </c>
      <c r="D115" s="131"/>
      <c r="E115" s="131">
        <f>ROUND(E116/$C116,4)</f>
        <v>1</v>
      </c>
    </row>
    <row r="116" spans="1:5">
      <c r="A116" s="185"/>
      <c r="B116" s="195"/>
      <c r="C116" s="132">
        <f ca="1">VLOOKUP($A115,'Orçamento Sintético'!$A:$H,8,0)</f>
        <v>2327.6</v>
      </c>
      <c r="D116" s="132">
        <f>ROUND($C116*D115,2)</f>
        <v>0</v>
      </c>
      <c r="E116" s="132">
        <f>$C116-SUM(D116:D116)</f>
        <v>2327.6</v>
      </c>
    </row>
    <row r="117" spans="1:5">
      <c r="A117" s="185" t="s">
        <v>165</v>
      </c>
      <c r="B117" s="194" t="str">
        <f ca="1">VLOOKUP($A117,'Orçamento Sintético'!$A:$H,4,0)</f>
        <v>Copia da SINAPI (98546) - Impermeabilização de ralos ou ponto emergente com manta asfáltica (com polímeros elastoméricos), e=4mm, ref. Torodin Extra, colada com asfalto derretido</v>
      </c>
      <c r="C117" s="131">
        <f ca="1">ROUND(C118/$E$228,4)</f>
        <v>1.4E-3</v>
      </c>
      <c r="D117" s="131"/>
      <c r="E117" s="131">
        <f>ROUND(E118/$C118,4)</f>
        <v>1</v>
      </c>
    </row>
    <row r="118" spans="1:5">
      <c r="A118" s="185"/>
      <c r="B118" s="195"/>
      <c r="C118" s="132">
        <f ca="1">VLOOKUP($A117,'Orçamento Sintético'!$A:$H,8,0)</f>
        <v>205.62</v>
      </c>
      <c r="D118" s="132">
        <f>ROUND($C118*D117,2)</f>
        <v>0</v>
      </c>
      <c r="E118" s="132">
        <f>$C118-SUM(D118:D118)</f>
        <v>205.62</v>
      </c>
    </row>
    <row r="119" spans="1:5">
      <c r="A119" s="185" t="s">
        <v>168</v>
      </c>
      <c r="B119" s="194" t="str">
        <f ca="1">VLOOKUP($A119,'Orçamento Sintético'!$A:$H,4,0)</f>
        <v>Copia da SINAPI (98565) - Proteção mecânica horizontal, preparo mecânico, espessura 3cm, incluso camada separadora geotextil e junta plástica</v>
      </c>
      <c r="C119" s="131">
        <f ca="1">ROUND(C120/$E$228,4)</f>
        <v>0.10580000000000001</v>
      </c>
      <c r="D119" s="131"/>
      <c r="E119" s="131">
        <f>ROUND(E120/$C120,4)</f>
        <v>1</v>
      </c>
    </row>
    <row r="120" spans="1:5">
      <c r="A120" s="185"/>
      <c r="B120" s="195"/>
      <c r="C120" s="132">
        <f ca="1">VLOOKUP($A119,'Orçamento Sintético'!$A:$H,8,0)</f>
        <v>15543.3</v>
      </c>
      <c r="D120" s="132">
        <f>ROUND($C120*D119,2)</f>
        <v>0</v>
      </c>
      <c r="E120" s="132">
        <f>$C120-SUM(D120:D120)</f>
        <v>15543.3</v>
      </c>
    </row>
    <row r="121" spans="1:5">
      <c r="A121" s="185" t="s">
        <v>171</v>
      </c>
      <c r="B121" s="194" t="str">
        <f ca="1">VLOOKUP($A121,'Orçamento Sintético'!$A:$H,4,0)</f>
        <v>Copia da SINAPI (98546) - Impermeabilização de superfície com manta asfáltica antirraiz (com polímeros elastoméricos), e=4mm, ref. Torodin Extra, colada com asfalto derretido</v>
      </c>
      <c r="C121" s="131">
        <f ca="1">ROUND(C122/$E$228,4)</f>
        <v>0.16470000000000001</v>
      </c>
      <c r="D121" s="131">
        <v>0.3</v>
      </c>
      <c r="E121" s="131">
        <f>ROUND(E122/$C122,4)</f>
        <v>0.7</v>
      </c>
    </row>
    <row r="122" spans="1:5">
      <c r="A122" s="185"/>
      <c r="B122" s="195"/>
      <c r="C122" s="132">
        <f ca="1">VLOOKUP($A121,'Orçamento Sintético'!$A:$H,8,0)</f>
        <v>24209.33</v>
      </c>
      <c r="D122" s="132">
        <f>ROUND($C122*D121,2)</f>
        <v>7262.8</v>
      </c>
      <c r="E122" s="132">
        <f>$C122-SUM(D122:D122)</f>
        <v>16946.530000000002</v>
      </c>
    </row>
    <row r="123" spans="1:5">
      <c r="A123" s="185" t="s">
        <v>174</v>
      </c>
      <c r="B123" s="194" t="str">
        <f ca="1">VLOOKUP($A123,'Orçamento Sintético'!$A:$H,4,0)</f>
        <v>Calha em formato 'U', L=0,35m, moldada in loco, com alvenaria de blocos cerâmicos maciços</v>
      </c>
      <c r="C123" s="131">
        <f ca="1">ROUND(C124/$E$228,4)</f>
        <v>8.2000000000000007E-3</v>
      </c>
      <c r="D123" s="131">
        <v>1</v>
      </c>
      <c r="E123" s="131">
        <f>ROUND(E124/$C124,4)</f>
        <v>0</v>
      </c>
    </row>
    <row r="124" spans="1:5">
      <c r="A124" s="185"/>
      <c r="B124" s="195"/>
      <c r="C124" s="132">
        <f ca="1">VLOOKUP($A123,'Orçamento Sintético'!$A:$H,8,0)</f>
        <v>1197.9000000000001</v>
      </c>
      <c r="D124" s="132">
        <f>ROUND($C124*D123,2)</f>
        <v>1197.9000000000001</v>
      </c>
      <c r="E124" s="132">
        <f>$C124-SUM(D124:D124)</f>
        <v>0</v>
      </c>
    </row>
    <row r="125" spans="1:5">
      <c r="A125" s="185" t="s">
        <v>177</v>
      </c>
      <c r="B125" s="194" t="str">
        <f ca="1">VLOOKUP($A125,'Orçamento Sintético'!$A:$H,4,0)</f>
        <v>Copia da SINAPI (73881/001) - Instalação de Geomanta drenante sobre proteção mecânica.</v>
      </c>
      <c r="C125" s="131">
        <f ca="1">ROUND(C126/$E$228,4)</f>
        <v>9.1999999999999998E-3</v>
      </c>
      <c r="D125" s="131"/>
      <c r="E125" s="131">
        <f>ROUND(E126/$C126,4)</f>
        <v>1</v>
      </c>
    </row>
    <row r="126" spans="1:5">
      <c r="A126" s="185"/>
      <c r="B126" s="195"/>
      <c r="C126" s="132">
        <f ca="1">VLOOKUP($A125,'Orçamento Sintético'!$A:$H,8,0)</f>
        <v>1357.33</v>
      </c>
      <c r="D126" s="132">
        <f>ROUND($C126*D125,2)</f>
        <v>0</v>
      </c>
      <c r="E126" s="132">
        <f>$C126-SUM(D126:D126)</f>
        <v>1357.33</v>
      </c>
    </row>
    <row r="127" spans="1:5">
      <c r="A127" s="188" t="s">
        <v>180</v>
      </c>
      <c r="B127" s="196" t="str">
        <f ca="1">VLOOKUP($A127,'Orçamento Sintético'!$A:$H,4,0)</f>
        <v>Equipamentos e Acessórios</v>
      </c>
      <c r="C127" s="139">
        <f ca="1">ROUND(C128/$E$228,4)</f>
        <v>2.86E-2</v>
      </c>
      <c r="D127" s="140">
        <f>ROUND(D128/$C128,4)</f>
        <v>0</v>
      </c>
      <c r="E127" s="140">
        <f>ROUND(E128/$C128,4)</f>
        <v>1</v>
      </c>
    </row>
    <row r="128" spans="1:5">
      <c r="A128" s="189"/>
      <c r="B128" s="196"/>
      <c r="C128" s="141">
        <f ca="1">VLOOKUP($A127,'Orçamento Sintético'!$A:$H,8,0)</f>
        <v>4205.3999999999996</v>
      </c>
      <c r="D128" s="142">
        <f>D130+D132</f>
        <v>0</v>
      </c>
      <c r="E128" s="142">
        <f>E130+E132</f>
        <v>4205.3999999999996</v>
      </c>
    </row>
    <row r="129" spans="1:5">
      <c r="A129" s="185" t="s">
        <v>182</v>
      </c>
      <c r="B129" s="194" t="str">
        <f ca="1">VLOOKUP($A129,'Orçamento Sintético'!$A:$H,4,0)</f>
        <v>Baseado da ORSE (12979) - Recolocação de Guarda-corpo em tubo de aço galvanizado de 1,1m de altura</v>
      </c>
      <c r="C129" s="131">
        <f ca="1">ROUND(C130/$E$228,4)</f>
        <v>1.4999999999999999E-2</v>
      </c>
      <c r="D129" s="131"/>
      <c r="E129" s="131">
        <f>ROUND(E130/$C130,4)</f>
        <v>1</v>
      </c>
    </row>
    <row r="130" spans="1:5">
      <c r="A130" s="185"/>
      <c r="B130" s="195"/>
      <c r="C130" s="132">
        <f ca="1">VLOOKUP($A129,'Orçamento Sintético'!$A:$H,8,0)</f>
        <v>2208</v>
      </c>
      <c r="D130" s="132">
        <f>ROUND($C130*D129,2)</f>
        <v>0</v>
      </c>
      <c r="E130" s="132">
        <f>$C130-SUM(D130:D130)</f>
        <v>2208</v>
      </c>
    </row>
    <row r="131" spans="1:5">
      <c r="A131" s="185" t="s">
        <v>185</v>
      </c>
      <c r="B131" s="194" t="str">
        <f ca="1">VLOOKUP($A131,'Orçamento Sintético'!$A:$H,4,0)</f>
        <v>Copia da SINAPI (99839) - Recomposição de Guarda corpo em aço Galvanizado</v>
      </c>
      <c r="C131" s="131">
        <f ca="1">ROUND(C132/$E$228,4)</f>
        <v>1.3599999999999999E-2</v>
      </c>
      <c r="D131" s="131"/>
      <c r="E131" s="131">
        <f>ROUND(E132/$C132,4)</f>
        <v>1</v>
      </c>
    </row>
    <row r="132" spans="1:5">
      <c r="A132" s="185"/>
      <c r="B132" s="195"/>
      <c r="C132" s="132">
        <f ca="1">VLOOKUP($A131,'Orçamento Sintético'!$A:$H,8,0)</f>
        <v>1997.4</v>
      </c>
      <c r="D132" s="132">
        <f>ROUND($C132*D131,2)</f>
        <v>0</v>
      </c>
      <c r="E132" s="132">
        <f>$C132-SUM(D132:D132)</f>
        <v>1997.4</v>
      </c>
    </row>
    <row r="133" spans="1:5">
      <c r="A133" s="186" t="s">
        <v>188</v>
      </c>
      <c r="B133" s="193" t="str">
        <f ca="1">VLOOKUP($A133,'Orçamento Sintético'!$A:$H,4,0)</f>
        <v>PAISAGISMO</v>
      </c>
      <c r="C133" s="129">
        <f ca="1">ROUND(C134/$E$228,4)</f>
        <v>3.6799999999999999E-2</v>
      </c>
      <c r="D133" s="129">
        <f>ROUND(D134/$C134,4)</f>
        <v>0</v>
      </c>
      <c r="E133" s="129">
        <f>ROUND(E134/$C134,4)</f>
        <v>1</v>
      </c>
    </row>
    <row r="134" spans="1:5">
      <c r="A134" s="187"/>
      <c r="B134" s="193"/>
      <c r="C134" s="130">
        <f ca="1">VLOOKUP($A133,'Orçamento Sintético'!$A:$H,8,0)</f>
        <v>5403.34</v>
      </c>
      <c r="D134" s="130">
        <f>D136+D142+D148</f>
        <v>0</v>
      </c>
      <c r="E134" s="130">
        <f>E136+E142+E148</f>
        <v>5403.34</v>
      </c>
    </row>
    <row r="135" spans="1:5">
      <c r="A135" s="188" t="s">
        <v>190</v>
      </c>
      <c r="B135" s="196" t="str">
        <f ca="1">VLOOKUP($A135,'Orçamento Sintético'!$A:$H,4,0)</f>
        <v>Preparo do Solo para Plantio</v>
      </c>
      <c r="C135" s="139">
        <f ca="1">ROUND(C136/$E$228,4)</f>
        <v>2.64E-2</v>
      </c>
      <c r="D135" s="140">
        <f>ROUND(D136/$C136,4)</f>
        <v>0</v>
      </c>
      <c r="E135" s="140">
        <f>ROUND(E136/$C136,4)</f>
        <v>1</v>
      </c>
    </row>
    <row r="136" spans="1:5">
      <c r="A136" s="189"/>
      <c r="B136" s="196"/>
      <c r="C136" s="141">
        <f ca="1">VLOOKUP($A135,'Orçamento Sintético'!$A:$H,8,0)</f>
        <v>3884.42</v>
      </c>
      <c r="D136" s="142">
        <f>D138+D140</f>
        <v>0</v>
      </c>
      <c r="E136" s="142">
        <f>E138+E140</f>
        <v>3884.42</v>
      </c>
    </row>
    <row r="137" spans="1:5">
      <c r="A137" s="185" t="s">
        <v>192</v>
      </c>
      <c r="B137" s="194" t="str">
        <f ca="1">VLOOKUP($A137,'Orçamento Sintético'!$A:$H,4,0)</f>
        <v>Baseado em SIURB (010211) - Carga manual e remoção de terra ou entulho</v>
      </c>
      <c r="C137" s="131">
        <f ca="1">ROUND(C138/$E$228,4)</f>
        <v>1.7500000000000002E-2</v>
      </c>
      <c r="D137" s="131"/>
      <c r="E137" s="131">
        <f>ROUND(E138/$C138,4)</f>
        <v>1</v>
      </c>
    </row>
    <row r="138" spans="1:5">
      <c r="A138" s="185"/>
      <c r="B138" s="195"/>
      <c r="C138" s="132">
        <f ca="1">VLOOKUP($A137,'Orçamento Sintético'!$A:$H,8,0)</f>
        <v>2577.86</v>
      </c>
      <c r="D138" s="132">
        <f>ROUND($C138*D137,2)</f>
        <v>0</v>
      </c>
      <c r="E138" s="132">
        <f>$C138-SUM(D138:D138)</f>
        <v>2577.86</v>
      </c>
    </row>
    <row r="139" spans="1:5">
      <c r="A139" s="185" t="s">
        <v>193</v>
      </c>
      <c r="B139" s="194" t="str">
        <f ca="1">VLOOKUP($A139,'Orçamento Sintético'!$A:$H,4,0)</f>
        <v>Carga, descarga e espalhamento de solo, inclusive transporte em caminhão basculante 14 m3, DMT 20km</v>
      </c>
      <c r="C139" s="131">
        <f ca="1">ROUND(C140/$E$228,4)</f>
        <v>8.8999999999999999E-3</v>
      </c>
      <c r="D139" s="131"/>
      <c r="E139" s="131">
        <f>ROUND(E140/$C140,4)</f>
        <v>1</v>
      </c>
    </row>
    <row r="140" spans="1:5">
      <c r="A140" s="185"/>
      <c r="B140" s="195"/>
      <c r="C140" s="132">
        <f ca="1">VLOOKUP($A139,'Orçamento Sintético'!$A:$H,8,0)</f>
        <v>1306.56</v>
      </c>
      <c r="D140" s="132">
        <f>ROUND($C140*D139,2)</f>
        <v>0</v>
      </c>
      <c r="E140" s="132">
        <f>$C140-SUM(D140:D140)</f>
        <v>1306.56</v>
      </c>
    </row>
    <row r="141" spans="1:5">
      <c r="A141" s="188" t="s">
        <v>196</v>
      </c>
      <c r="B141" s="196" t="str">
        <f ca="1">VLOOKUP($A141,'Orçamento Sintético'!$A:$H,4,0)</f>
        <v>Vegetação</v>
      </c>
      <c r="C141" s="139">
        <f ca="1">ROUND(C142/$E$228,4)</f>
        <v>6.1999999999999998E-3</v>
      </c>
      <c r="D141" s="140">
        <f>ROUND(D142/$C142,4)</f>
        <v>0</v>
      </c>
      <c r="E141" s="140">
        <f>ROUND(E142/$C142,4)</f>
        <v>1</v>
      </c>
    </row>
    <row r="142" spans="1:5">
      <c r="A142" s="189"/>
      <c r="B142" s="196"/>
      <c r="C142" s="141">
        <f ca="1">VLOOKUP($A141,'Orçamento Sintético'!$A:$H,8,0)</f>
        <v>906.96</v>
      </c>
      <c r="D142" s="142">
        <f>D144+D146</f>
        <v>0</v>
      </c>
      <c r="E142" s="142">
        <f>E144+E146</f>
        <v>906.96</v>
      </c>
    </row>
    <row r="143" spans="1:5">
      <c r="A143" s="185" t="s">
        <v>198</v>
      </c>
      <c r="B143" s="194" t="str">
        <f ca="1">VLOOKUP($A143,'Orçamento Sintético'!$A:$H,4,0)</f>
        <v>PLANTIO DE GRAMA EM PLACAS. AF_05/2018</v>
      </c>
      <c r="C143" s="131">
        <f ca="1">ROUND(C144/$E$228,4)</f>
        <v>2.3999999999999998E-3</v>
      </c>
      <c r="D143" s="131"/>
      <c r="E143" s="131">
        <f>ROUND(E144/$C144,4)</f>
        <v>1</v>
      </c>
    </row>
    <row r="144" spans="1:5">
      <c r="A144" s="185"/>
      <c r="B144" s="195"/>
      <c r="C144" s="132">
        <f ca="1">VLOOKUP($A143,'Orçamento Sintético'!$A:$H,8,0)</f>
        <v>352.16</v>
      </c>
      <c r="D144" s="132">
        <f>ROUND($C144*D143,2)</f>
        <v>0</v>
      </c>
      <c r="E144" s="132">
        <f>$C144-SUM(D144:D144)</f>
        <v>352.16</v>
      </c>
    </row>
    <row r="145" spans="1:5">
      <c r="A145" s="185" t="s">
        <v>201</v>
      </c>
      <c r="B145" s="194" t="str">
        <f ca="1">VLOOKUP($A145,'Orçamento Sintético'!$A:$H,4,0)</f>
        <v>Copia da SINAPI (98504) - REPLANTIO DE GRAMA EM PLACAS.</v>
      </c>
      <c r="C145" s="131">
        <f ca="1">ROUND(C146/$E$228,4)</f>
        <v>3.8E-3</v>
      </c>
      <c r="D145" s="131"/>
      <c r="E145" s="131">
        <f>ROUND(E146/$C146,4)</f>
        <v>1</v>
      </c>
    </row>
    <row r="146" spans="1:5">
      <c r="A146" s="185"/>
      <c r="B146" s="195"/>
      <c r="C146" s="132">
        <f ca="1">VLOOKUP($A145,'Orçamento Sintético'!$A:$H,8,0)</f>
        <v>554.79999999999995</v>
      </c>
      <c r="D146" s="132">
        <f>ROUND($C146*D145,2)</f>
        <v>0</v>
      </c>
      <c r="E146" s="132">
        <f>$C146-SUM(D146:D146)</f>
        <v>554.79999999999995</v>
      </c>
    </row>
    <row r="147" spans="1:5">
      <c r="A147" s="188" t="s">
        <v>204</v>
      </c>
      <c r="B147" s="196" t="str">
        <f ca="1">VLOOKUP($A147,'Orçamento Sintético'!$A:$H,4,0)</f>
        <v>Passeios</v>
      </c>
      <c r="C147" s="139">
        <f ca="1">ROUND(C148/$E$228,4)</f>
        <v>4.1999999999999997E-3</v>
      </c>
      <c r="D147" s="140">
        <f>ROUND(D148/$C148,4)</f>
        <v>0</v>
      </c>
      <c r="E147" s="140">
        <f>ROUND(E148/$C148,4)</f>
        <v>1</v>
      </c>
    </row>
    <row r="148" spans="1:5">
      <c r="A148" s="189"/>
      <c r="B148" s="196"/>
      <c r="C148" s="141">
        <f ca="1">VLOOKUP($A147,'Orçamento Sintético'!$A:$H,8,0)</f>
        <v>611.96</v>
      </c>
      <c r="D148" s="142">
        <f>D150+D152</f>
        <v>0</v>
      </c>
      <c r="E148" s="142">
        <f>E150+E152</f>
        <v>611.96</v>
      </c>
    </row>
    <row r="149" spans="1:5">
      <c r="A149" s="185" t="s">
        <v>206</v>
      </c>
      <c r="B149" s="194" t="str">
        <f ca="1">VLOOKUP($A149,'Orçamento Sintético'!$A:$H,4,0)</f>
        <v>EXECUÇÃO DE PASSEIO (CALÇADA) OU PISO DE CONCRETO COM CONCRETO MOLDADO IN LOCO, FEITO EM OBRA, ACABAMENTO CONVENCIONAL, ESPESSURA 8 CM, ARMADO. AF_07/2016</v>
      </c>
      <c r="C149" s="131">
        <f ca="1">ROUND(C150/$E$228,4)</f>
        <v>2.3999999999999998E-3</v>
      </c>
      <c r="D149" s="131"/>
      <c r="E149" s="131">
        <f>ROUND(E150/$C150,4)</f>
        <v>1</v>
      </c>
    </row>
    <row r="150" spans="1:5">
      <c r="A150" s="185"/>
      <c r="B150" s="195"/>
      <c r="C150" s="132">
        <f ca="1">VLOOKUP($A149,'Orçamento Sintético'!$A:$H,8,0)</f>
        <v>349.56</v>
      </c>
      <c r="D150" s="132">
        <f>ROUND($C150*D149,2)</f>
        <v>0</v>
      </c>
      <c r="E150" s="132">
        <f>$C150-SUM(D150:D150)</f>
        <v>349.56</v>
      </c>
    </row>
    <row r="151" spans="1:5">
      <c r="A151" s="185" t="s">
        <v>209</v>
      </c>
      <c r="B151" s="194" t="str">
        <f ca="1">VLOOKUP($A151,'Orçamento Sintético'!$A:$H,4,0)</f>
        <v>Copia da SBC (030412) - Junta de dilatação para impermeabilização, com asfalto oxidado aplicado à quente, DM 2x2cm</v>
      </c>
      <c r="C151" s="131">
        <f ca="1">ROUND(C152/$E$228,4)</f>
        <v>1.8E-3</v>
      </c>
      <c r="D151" s="131"/>
      <c r="E151" s="131">
        <f>ROUND(E152/$C152,4)</f>
        <v>1</v>
      </c>
    </row>
    <row r="152" spans="1:5">
      <c r="A152" s="185"/>
      <c r="B152" s="195"/>
      <c r="C152" s="132">
        <f ca="1">VLOOKUP($A151,'Orçamento Sintético'!$A:$H,8,0)</f>
        <v>262.39999999999998</v>
      </c>
      <c r="D152" s="132">
        <f>ROUND($C152*D151,2)</f>
        <v>0</v>
      </c>
      <c r="E152" s="132">
        <f>$C152-SUM(D152:D152)</f>
        <v>262.39999999999998</v>
      </c>
    </row>
    <row r="153" spans="1:5">
      <c r="A153" s="186" t="s">
        <v>212</v>
      </c>
      <c r="B153" s="193" t="str">
        <f ca="1">VLOOKUP($A153,'Orçamento Sintético'!$A:$H,4,0)</f>
        <v>PAVIMENTAÇÃO</v>
      </c>
      <c r="C153" s="129">
        <f ca="1">ROUND(C154/$E$228,4)</f>
        <v>5.7000000000000002E-3</v>
      </c>
      <c r="D153" s="129">
        <f>ROUND(D154/$C154,4)</f>
        <v>0</v>
      </c>
      <c r="E153" s="129">
        <f>ROUND(E154/$C154,4)</f>
        <v>1</v>
      </c>
    </row>
    <row r="154" spans="1:5">
      <c r="A154" s="187"/>
      <c r="B154" s="193"/>
      <c r="C154" s="130">
        <f ca="1">VLOOKUP($A153,'Orçamento Sintético'!$A:$H,8,0)</f>
        <v>830.76</v>
      </c>
      <c r="D154" s="130">
        <f>D156</f>
        <v>0</v>
      </c>
      <c r="E154" s="130">
        <f>E156</f>
        <v>830.76</v>
      </c>
    </row>
    <row r="155" spans="1:5">
      <c r="A155" s="185" t="s">
        <v>214</v>
      </c>
      <c r="B155" s="194" t="str">
        <f ca="1">VLOOKUP($A155,'Orçamento Sintético'!$A:$H,4,0)</f>
        <v>Copia da SINAPI (94276) - Assentamento de guia (meio-fio) reaproveitada, em concreto pré-fabricado DM 1,00x15x30, exclusive guia (meio fio)</v>
      </c>
      <c r="C155" s="131">
        <f ca="1">ROUND(C156/$E$228,4)</f>
        <v>5.7000000000000002E-3</v>
      </c>
      <c r="D155" s="131"/>
      <c r="E155" s="131">
        <f>ROUND(E156/$C156,4)</f>
        <v>1</v>
      </c>
    </row>
    <row r="156" spans="1:5">
      <c r="A156" s="185"/>
      <c r="B156" s="195"/>
      <c r="C156" s="132">
        <f ca="1">VLOOKUP($A155,'Orçamento Sintético'!$A:$H,8,0)</f>
        <v>830.76</v>
      </c>
      <c r="D156" s="132">
        <f>ROUND($C156*D155,2)</f>
        <v>0</v>
      </c>
      <c r="E156" s="132">
        <f>$C156-SUM(D156:D156)</f>
        <v>830.76</v>
      </c>
    </row>
    <row r="157" spans="1:5">
      <c r="A157" s="191" t="s">
        <v>217</v>
      </c>
      <c r="B157" s="201" t="str">
        <f ca="1">VLOOKUP($A157,'Orçamento Sintético'!$A:$H,4,0)</f>
        <v>INSTALAÇÕES HIDRÁULICAS E SANITÁRIAS</v>
      </c>
      <c r="C157" s="125">
        <f ca="1">ROUND(C158/$E$228,4)</f>
        <v>8.5599999999999996E-2</v>
      </c>
      <c r="D157" s="126">
        <f>ROUND(D158/$C158,4)</f>
        <v>0.70899999999999996</v>
      </c>
      <c r="E157" s="126">
        <f>ROUND(E158/$C158,4)</f>
        <v>0.29099999999999998</v>
      </c>
    </row>
    <row r="158" spans="1:5">
      <c r="A158" s="192"/>
      <c r="B158" s="201"/>
      <c r="C158" s="127">
        <f ca="1">VLOOKUP($A157,'Orçamento Sintético'!$A:$H,8,0)</f>
        <v>12583.99</v>
      </c>
      <c r="D158" s="128">
        <f>D160+D180</f>
        <v>8922.3700000000008</v>
      </c>
      <c r="E158" s="128">
        <f>E160+E180</f>
        <v>3661.62</v>
      </c>
    </row>
    <row r="159" spans="1:5">
      <c r="A159" s="186" t="s">
        <v>219</v>
      </c>
      <c r="B159" s="193" t="str">
        <f ca="1">VLOOKUP($A159,'Orçamento Sintético'!$A:$H,4,0)</f>
        <v>DRENAGEM DE ÁGUAS PLUVIAIS</v>
      </c>
      <c r="C159" s="129">
        <f ca="1">ROUND(C160/$E$228,4)</f>
        <v>7.3599999999999999E-2</v>
      </c>
      <c r="D159" s="129">
        <f>ROUND(D160/$C160,4)</f>
        <v>0.74329999999999996</v>
      </c>
      <c r="E159" s="129">
        <f>ROUND(E160/$C160,4)</f>
        <v>0.25669999999999998</v>
      </c>
    </row>
    <row r="160" spans="1:5">
      <c r="A160" s="187"/>
      <c r="B160" s="193"/>
      <c r="C160" s="130">
        <f ca="1">VLOOKUP($A159,'Orçamento Sintético'!$A:$H,8,0)</f>
        <v>10811.75</v>
      </c>
      <c r="D160" s="130">
        <f>D162+D174</f>
        <v>8036.2500000000009</v>
      </c>
      <c r="E160" s="130">
        <f>E162+E174</f>
        <v>2775.5</v>
      </c>
    </row>
    <row r="161" spans="1:5">
      <c r="A161" s="188" t="s">
        <v>221</v>
      </c>
      <c r="B161" s="196" t="str">
        <f ca="1">VLOOKUP($A161,'Orçamento Sintético'!$A:$H,4,0)</f>
        <v>Tubulações e Conexões de PVC</v>
      </c>
      <c r="C161" s="139">
        <f ca="1">ROUND(C162/$E$228,4)</f>
        <v>5.0799999999999998E-2</v>
      </c>
      <c r="D161" s="140">
        <f>ROUND(D162/$C162,4)</f>
        <v>1</v>
      </c>
      <c r="E161" s="140">
        <f>ROUND(E162/$C162,4)</f>
        <v>0</v>
      </c>
    </row>
    <row r="162" spans="1:5">
      <c r="A162" s="189"/>
      <c r="B162" s="196"/>
      <c r="C162" s="141">
        <f ca="1">VLOOKUP($A161,'Orçamento Sintético'!$A:$H,8,0)</f>
        <v>7472.4500000000007</v>
      </c>
      <c r="D162" s="142">
        <f>D164+D166+D168+D170+D172</f>
        <v>7472.4500000000007</v>
      </c>
      <c r="E162" s="142">
        <f>E164+E166+E168+E170+E172</f>
        <v>0</v>
      </c>
    </row>
    <row r="163" spans="1:5" ht="14.25" customHeight="1">
      <c r="A163" s="185" t="s">
        <v>223</v>
      </c>
      <c r="B163" s="194" t="str">
        <f ca="1">VLOOKUP($A163,'Orçamento Sintético'!$A:$H,4,0)</f>
        <v>(COMPOSIÇÃO REPRESENTATIVA) DO SERVIÇO DE INSTALAÇÃO DE TUBOS DE PVC, SÉRIE R, ÁGUA PLUVIAL, DN 150 MM (INSTALADO EM CONDUTORES VERTICAIS), INCLUSIVE CONEXÕES, CORTES E FIXAÇÕES, PARA PRÉDIOS. AF_10/2015</v>
      </c>
      <c r="C163" s="131">
        <f ca="1">ROUND(C164/$E$228,4)</f>
        <v>3.1600000000000003E-2</v>
      </c>
      <c r="D163" s="131">
        <v>1</v>
      </c>
      <c r="E163" s="131">
        <f>ROUND(E164/$C164,4)</f>
        <v>0</v>
      </c>
    </row>
    <row r="164" spans="1:5">
      <c r="A164" s="185"/>
      <c r="B164" s="195"/>
      <c r="C164" s="132">
        <f ca="1">VLOOKUP($A163,'Orçamento Sintético'!$A:$H,8,0)</f>
        <v>4650.88</v>
      </c>
      <c r="D164" s="132">
        <f>ROUND($C164*D163,2)</f>
        <v>4650.88</v>
      </c>
      <c r="E164" s="132">
        <f>$C164-SUM(D164:D164)</f>
        <v>0</v>
      </c>
    </row>
    <row r="165" spans="1:5">
      <c r="A165" s="185" t="s">
        <v>226</v>
      </c>
      <c r="B165" s="194" t="str">
        <f ca="1">VLOOKUP($A165,'Orçamento Sintético'!$A:$H,4,0)</f>
        <v>JOELHO 90 GRAUS, PVC, SERIE R, ÁGUA PLUVIAL, DN 150 MM, JUNTA ELÁSTICA, FORNECIDO E INSTALADO EM CONDUTORES VERTICAIS DE ÁGUAS PLUVIAIS. AF_12/2014</v>
      </c>
      <c r="C165" s="131">
        <f ca="1">ROUND(C166/$E$228,4)</f>
        <v>4.1999999999999997E-3</v>
      </c>
      <c r="D165" s="131">
        <v>1</v>
      </c>
      <c r="E165" s="131">
        <f>ROUND(E166/$C166,4)</f>
        <v>0</v>
      </c>
    </row>
    <row r="166" spans="1:5">
      <c r="A166" s="185"/>
      <c r="B166" s="195"/>
      <c r="C166" s="132">
        <f ca="1">VLOOKUP($A165,'Orçamento Sintético'!$A:$H,8,0)</f>
        <v>617.85</v>
      </c>
      <c r="D166" s="132">
        <f>ROUND($C166*D165,2)</f>
        <v>617.85</v>
      </c>
      <c r="E166" s="132">
        <f>$C166-SUM(D166:D166)</f>
        <v>0</v>
      </c>
    </row>
    <row r="167" spans="1:5">
      <c r="A167" s="185" t="s">
        <v>229</v>
      </c>
      <c r="B167" s="194" t="str">
        <f ca="1">VLOOKUP($A167,'Orçamento Sintético'!$A:$H,4,0)</f>
        <v>JUNÇÃO SIMPLES, PVC, SERIE R, ÁGUA PLUVIAL, DN 150 X 150 MM, JUNTA ELÁSTICA, FORNECIDO E INSTALADO EM CONDUTORES VERTICAIS DE ÁGUAS PLUVIAIS. AF_12/2014</v>
      </c>
      <c r="C167" s="131">
        <f ca="1">ROUND(C168/$E$228,4)</f>
        <v>8.6E-3</v>
      </c>
      <c r="D167" s="131">
        <v>1</v>
      </c>
      <c r="E167" s="131">
        <f>ROUND(E168/$C168,4)</f>
        <v>0</v>
      </c>
    </row>
    <row r="168" spans="1:5">
      <c r="A168" s="185"/>
      <c r="B168" s="195"/>
      <c r="C168" s="132">
        <f ca="1">VLOOKUP($A167,'Orçamento Sintético'!$A:$H,8,0)</f>
        <v>1268.3399999999999</v>
      </c>
      <c r="D168" s="132">
        <f>ROUND($C168*D167,2)</f>
        <v>1268.3399999999999</v>
      </c>
      <c r="E168" s="132">
        <f>$C168-SUM(D168:D168)</f>
        <v>0</v>
      </c>
    </row>
    <row r="169" spans="1:5">
      <c r="A169" s="185" t="s">
        <v>232</v>
      </c>
      <c r="B169" s="194" t="str">
        <f ca="1">VLOOKUP($A169,'Orçamento Sintético'!$A:$H,4,0)</f>
        <v>Copia da SINAPI (89863) - JUNÇÃO SIMPLES, PVC, SERIE NORMAL, ESGOTO PREDIAL, DN 200 X 150 MM, JUNTA ELÁSTICA, FORNECIDO E INSTALADO</v>
      </c>
      <c r="C169" s="131">
        <f ca="1">ROUND(C170/$E$228,4)</f>
        <v>3.8999999999999998E-3</v>
      </c>
      <c r="D169" s="131">
        <v>1</v>
      </c>
      <c r="E169" s="131">
        <f>ROUND(E170/$C170,4)</f>
        <v>0</v>
      </c>
    </row>
    <row r="170" spans="1:5">
      <c r="A170" s="185"/>
      <c r="B170" s="195"/>
      <c r="C170" s="132">
        <f ca="1">VLOOKUP($A169,'Orçamento Sintético'!$A:$H,8,0)</f>
        <v>567.9</v>
      </c>
      <c r="D170" s="132">
        <f>ROUND($C170*D169,2)</f>
        <v>567.9</v>
      </c>
      <c r="E170" s="132">
        <f>$C170-SUM(D170:D170)</f>
        <v>0</v>
      </c>
    </row>
    <row r="171" spans="1:5">
      <c r="A171" s="185" t="s">
        <v>235</v>
      </c>
      <c r="B171" s="194" t="str">
        <f ca="1">VLOOKUP($A171,'Orçamento Sintético'!$A:$H,4,0)</f>
        <v>Copia da SINAPI (89677) - CAP / TAMPÃO, PVC, SERIE R, ÁGUA PLUVIAL, DN 150 MM, JUNTA ELÁSTICA, FORNECIDO E INSTALADO EM CONDUTORES VERTICAIS DE ÁGUAS PLUVIAIS. AF_12/2014</v>
      </c>
      <c r="C171" s="131">
        <f ca="1">ROUND(C172/$E$228,4)</f>
        <v>2.5000000000000001E-3</v>
      </c>
      <c r="D171" s="131">
        <v>1</v>
      </c>
      <c r="E171" s="131">
        <f>ROUND(E172/$C172,4)</f>
        <v>0</v>
      </c>
    </row>
    <row r="172" spans="1:5">
      <c r="A172" s="185"/>
      <c r="B172" s="195"/>
      <c r="C172" s="132">
        <f ca="1">VLOOKUP($A171,'Orçamento Sintético'!$A:$H,8,0)</f>
        <v>367.48</v>
      </c>
      <c r="D172" s="132">
        <f>ROUND($C172*D171,2)</f>
        <v>367.48</v>
      </c>
      <c r="E172" s="132">
        <f>$C172-SUM(D172:D172)</f>
        <v>0</v>
      </c>
    </row>
    <row r="173" spans="1:5">
      <c r="A173" s="188" t="s">
        <v>238</v>
      </c>
      <c r="B173" s="196" t="str">
        <f ca="1">VLOOKUP($A173,'Orçamento Sintético'!$A:$H,4,0)</f>
        <v>Acessórios</v>
      </c>
      <c r="C173" s="139">
        <f ca="1">ROUND(C174/$E$228,4)</f>
        <v>2.2700000000000001E-2</v>
      </c>
      <c r="D173" s="140">
        <f>ROUND(D174/$C174,4)</f>
        <v>0.16880000000000001</v>
      </c>
      <c r="E173" s="140">
        <f>ROUND(E174/$C174,4)</f>
        <v>0.83120000000000005</v>
      </c>
    </row>
    <row r="174" spans="1:5">
      <c r="A174" s="189"/>
      <c r="B174" s="196"/>
      <c r="C174" s="141">
        <f ca="1">VLOOKUP($A173,'Orçamento Sintético'!$A:$H,8,0)</f>
        <v>3339.3</v>
      </c>
      <c r="D174" s="142">
        <f>D176+D178</f>
        <v>563.79999999999995</v>
      </c>
      <c r="E174" s="142">
        <f>E176+E178</f>
        <v>2775.5</v>
      </c>
    </row>
    <row r="175" spans="1:5">
      <c r="A175" s="185" t="s">
        <v>240</v>
      </c>
      <c r="B175" s="194" t="str">
        <f ca="1">VLOOKUP($A175,'Orçamento Sintético'!$A:$H,4,0)</f>
        <v>Copia da CPOS (49.06.170) - Grelha em alumínio para caixas e canaletas</v>
      </c>
      <c r="C175" s="131">
        <f ca="1">ROUND(C176/$E$228,4)</f>
        <v>1.89E-2</v>
      </c>
      <c r="D175" s="131"/>
      <c r="E175" s="131">
        <f>ROUND(E176/$C176,4)</f>
        <v>1</v>
      </c>
    </row>
    <row r="176" spans="1:5">
      <c r="A176" s="185"/>
      <c r="B176" s="195"/>
      <c r="C176" s="132">
        <f ca="1">VLOOKUP($A175,'Orçamento Sintético'!$A:$H,8,0)</f>
        <v>2775.5</v>
      </c>
      <c r="D176" s="132">
        <f>ROUND($C176*D175,2)</f>
        <v>0</v>
      </c>
      <c r="E176" s="132">
        <f>$C176-SUM(D176:D176)</f>
        <v>2775.5</v>
      </c>
    </row>
    <row r="177" spans="1:5">
      <c r="A177" s="185" t="s">
        <v>243</v>
      </c>
      <c r="B177" s="194" t="str">
        <f ca="1">VLOOKUP($A177,'Orçamento Sintético'!$A:$H,4,0)</f>
        <v>FURO EM CONCRETO PARA DIÂMETROS MAIORES QUE 75 MM. AF_05/2015</v>
      </c>
      <c r="C177" s="131">
        <f ca="1">ROUND(C178/$E$228,4)</f>
        <v>3.8E-3</v>
      </c>
      <c r="D177" s="131">
        <v>1</v>
      </c>
      <c r="E177" s="131">
        <f>ROUND(E178/$C178,4)</f>
        <v>0</v>
      </c>
    </row>
    <row r="178" spans="1:5">
      <c r="A178" s="185"/>
      <c r="B178" s="195"/>
      <c r="C178" s="132">
        <f ca="1">VLOOKUP($A177,'Orçamento Sintético'!$A:$H,8,0)</f>
        <v>563.79999999999995</v>
      </c>
      <c r="D178" s="132">
        <f>ROUND($C178*D177,2)</f>
        <v>563.79999999999995</v>
      </c>
      <c r="E178" s="132">
        <f>$C178-SUM(D178:D178)</f>
        <v>0</v>
      </c>
    </row>
    <row r="179" spans="1:5">
      <c r="A179" s="186" t="s">
        <v>246</v>
      </c>
      <c r="B179" s="193" t="str">
        <f ca="1">VLOOKUP($A179,'Orçamento Sintético'!$A:$H,4,0)</f>
        <v>SERVIÇOS DIVERSOS</v>
      </c>
      <c r="C179" s="129">
        <f ca="1">ROUND(C180/$E$228,4)</f>
        <v>1.21E-2</v>
      </c>
      <c r="D179" s="129">
        <f>ROUND(D180/$C180,4)</f>
        <v>0.5</v>
      </c>
      <c r="E179" s="129">
        <f>ROUND(E180/$C180,4)</f>
        <v>0.5</v>
      </c>
    </row>
    <row r="180" spans="1:5">
      <c r="A180" s="187"/>
      <c r="B180" s="193"/>
      <c r="C180" s="130">
        <f ca="1">VLOOKUP($A179,'Orçamento Sintético'!$A:$H,8,0)</f>
        <v>1772.24</v>
      </c>
      <c r="D180" s="130">
        <f>D182</f>
        <v>886.12</v>
      </c>
      <c r="E180" s="130">
        <f>E182</f>
        <v>886.12</v>
      </c>
    </row>
    <row r="181" spans="1:5">
      <c r="A181" s="188" t="s">
        <v>248</v>
      </c>
      <c r="B181" s="196" t="str">
        <f ca="1">VLOOKUP($A181,'Orçamento Sintético'!$A:$H,4,0)</f>
        <v>Caixas de Passagem</v>
      </c>
      <c r="C181" s="139">
        <f ca="1">ROUND(C182/$E$228,4)</f>
        <v>1.21E-2</v>
      </c>
      <c r="D181" s="140">
        <f>ROUND(D182/$C182,4)</f>
        <v>0.5</v>
      </c>
      <c r="E181" s="140">
        <f>ROUND(E182/$C182,4)</f>
        <v>0.5</v>
      </c>
    </row>
    <row r="182" spans="1:5">
      <c r="A182" s="189"/>
      <c r="B182" s="196"/>
      <c r="C182" s="141">
        <f ca="1">VLOOKUP($A181,'Orçamento Sintético'!$A:$H,8,0)</f>
        <v>1772.24</v>
      </c>
      <c r="D182" s="142">
        <f>D184</f>
        <v>886.12</v>
      </c>
      <c r="E182" s="142">
        <f>E184</f>
        <v>886.12</v>
      </c>
    </row>
    <row r="183" spans="1:5">
      <c r="A183" s="185" t="s">
        <v>250</v>
      </c>
      <c r="B183" s="194" t="str">
        <f ca="1">VLOOKUP($A183,'Orçamento Sintético'!$A:$H,4,0)</f>
        <v>CAIXA ENTERRADA HIDRÁULICA RETANGULAR EM ALVENARIA COM TIJOLOS CERÂMICOS MACIÇOS, DIMENSÕES INTERNAS: 1X1X0,6 M PARA REDE DE DRENAGEM. AF_12/2020</v>
      </c>
      <c r="C183" s="131">
        <f ca="1">ROUND(C184/$E$228,4)</f>
        <v>1.21E-2</v>
      </c>
      <c r="D183" s="131">
        <v>0.5</v>
      </c>
      <c r="E183" s="131">
        <f>ROUND(E184/$C184,4)</f>
        <v>0.5</v>
      </c>
    </row>
    <row r="184" spans="1:5">
      <c r="A184" s="185"/>
      <c r="B184" s="195"/>
      <c r="C184" s="132">
        <f ca="1">VLOOKUP($A183,'Orçamento Sintético'!$A:$H,8,0)</f>
        <v>1772.24</v>
      </c>
      <c r="D184" s="132">
        <f>ROUND($C184*D183,2)</f>
        <v>886.12</v>
      </c>
      <c r="E184" s="132">
        <f>$C184-SUM(D184:D184)</f>
        <v>886.12</v>
      </c>
    </row>
    <row r="185" spans="1:5">
      <c r="A185" s="190" t="s">
        <v>253</v>
      </c>
      <c r="B185" s="201" t="str">
        <f ca="1">VLOOKUP($A185,'Orçamento Sintético'!$A:$H,4,0)</f>
        <v>INSTALAÇÕES ELÉTRICAS E ELETRÔNICAS</v>
      </c>
      <c r="C185" s="125">
        <f ca="1">ROUND(C186/$E$228,4)</f>
        <v>1.6899999999999998E-2</v>
      </c>
      <c r="D185" s="126">
        <f>ROUND(D186/$C186,4)</f>
        <v>0.16289999999999999</v>
      </c>
      <c r="E185" s="126">
        <f>ROUND(E186/$C186,4)</f>
        <v>0.83709999999999996</v>
      </c>
    </row>
    <row r="186" spans="1:5">
      <c r="A186" s="190"/>
      <c r="B186" s="201"/>
      <c r="C186" s="127">
        <f ca="1">VLOOKUP($A185,'Orçamento Sintético'!$A:$H,8,0)</f>
        <v>2483.3199999999997</v>
      </c>
      <c r="D186" s="128">
        <f>D188+D200</f>
        <v>404.56</v>
      </c>
      <c r="E186" s="128">
        <f>E188+E200</f>
        <v>2078.7600000000002</v>
      </c>
    </row>
    <row r="187" spans="1:5">
      <c r="A187" s="186" t="s">
        <v>255</v>
      </c>
      <c r="B187" s="193" t="str">
        <f ca="1">VLOOKUP($A187,'Orçamento Sintético'!$A:$H,4,0)</f>
        <v>INSTALAÇÕES ELÉTRICAS</v>
      </c>
      <c r="C187" s="129">
        <f ca="1">ROUND(C188/$E$228,4)</f>
        <v>1.21E-2</v>
      </c>
      <c r="D187" s="129">
        <f>ROUND(D188/$C188,4)</f>
        <v>0.22789999999999999</v>
      </c>
      <c r="E187" s="129">
        <f>ROUND(E188/$C188,4)</f>
        <v>0.77210000000000001</v>
      </c>
    </row>
    <row r="188" spans="1:5">
      <c r="A188" s="187"/>
      <c r="B188" s="193"/>
      <c r="C188" s="130">
        <f ca="1">VLOOKUP($A187,'Orçamento Sintético'!$A:$H,8,0)</f>
        <v>1775.1</v>
      </c>
      <c r="D188" s="130">
        <f>D190</f>
        <v>404.56</v>
      </c>
      <c r="E188" s="130">
        <f>E190</f>
        <v>1370.54</v>
      </c>
    </row>
    <row r="189" spans="1:5">
      <c r="A189" s="188" t="s">
        <v>257</v>
      </c>
      <c r="B189" s="196" t="str">
        <f ca="1">VLOOKUP($A189,'Orçamento Sintético'!$A:$H,4,0)</f>
        <v>Rede Elétrica Secundária</v>
      </c>
      <c r="C189" s="139">
        <f ca="1">ROUND(C190/$E$228,4)</f>
        <v>1.21E-2</v>
      </c>
      <c r="D189" s="140">
        <f>ROUND(D190/$C190,4)</f>
        <v>0.22789999999999999</v>
      </c>
      <c r="E189" s="140">
        <f>ROUND(E190/$C190,4)</f>
        <v>0.77210000000000001</v>
      </c>
    </row>
    <row r="190" spans="1:5">
      <c r="A190" s="189"/>
      <c r="B190" s="196"/>
      <c r="C190" s="141">
        <f ca="1">VLOOKUP($A189,'Orçamento Sintético'!$A:$H,8,0)</f>
        <v>1775.1</v>
      </c>
      <c r="D190" s="142">
        <f>D192+D194+D196+D198</f>
        <v>404.56</v>
      </c>
      <c r="E190" s="142">
        <f>E192+E194+E196+E198</f>
        <v>1370.54</v>
      </c>
    </row>
    <row r="191" spans="1:5">
      <c r="A191" s="185" t="s">
        <v>259</v>
      </c>
      <c r="B191" s="194" t="str">
        <f ca="1">VLOOKUP($A191,'Orçamento Sintético'!$A:$H,4,0)</f>
        <v>ELETRODUTO RÍGIDO ROSCÁVEL, PVC, DN 32 MM (1"), PARA CIRCUITOS TERMINAIS, INSTALADO EM PAREDE - FORNECIMENTO E INSTALAÇÃO. AF_12/2015</v>
      </c>
      <c r="C191" s="131">
        <f ca="1">ROUND(C192/$E$228,4)</f>
        <v>2.5000000000000001E-3</v>
      </c>
      <c r="D191" s="131"/>
      <c r="E191" s="131">
        <f>ROUND(E192/$C192,4)</f>
        <v>1</v>
      </c>
    </row>
    <row r="192" spans="1:5">
      <c r="A192" s="185"/>
      <c r="B192" s="195"/>
      <c r="C192" s="132">
        <f ca="1">VLOOKUP($A191,'Orçamento Sintético'!$A:$H,8,0)</f>
        <v>371.5</v>
      </c>
      <c r="D192" s="132">
        <f>ROUND($C192*D191,2)</f>
        <v>0</v>
      </c>
      <c r="E192" s="132">
        <f>$C192-SUM(D192:D192)</f>
        <v>371.5</v>
      </c>
    </row>
    <row r="193" spans="1:5">
      <c r="A193" s="185" t="s">
        <v>262</v>
      </c>
      <c r="B193" s="194" t="str">
        <f ca="1">VLOOKUP($A193,'Orçamento Sintético'!$A:$H,4,0)</f>
        <v>CABO DE COBRE FLEXÍVEL ISOLADO, 4 MM², ANTI-CHAMA 0,6/1,0 KV, PARA CIRCUITOS TERMINAIS - FORNECIMENTO E INSTALAÇÃO. AF_12/2015</v>
      </c>
      <c r="C193" s="131">
        <f ca="1">ROUND(C194/$E$228,4)</f>
        <v>5.7000000000000002E-3</v>
      </c>
      <c r="D193" s="131"/>
      <c r="E193" s="131">
        <f>ROUND(E194/$C194,4)</f>
        <v>1</v>
      </c>
    </row>
    <row r="194" spans="1:5">
      <c r="A194" s="185"/>
      <c r="B194" s="195"/>
      <c r="C194" s="132">
        <f ca="1">VLOOKUP($A193,'Orçamento Sintético'!$A:$H,8,0)</f>
        <v>843.6</v>
      </c>
      <c r="D194" s="132">
        <f>ROUND($C194*D193,2)</f>
        <v>0</v>
      </c>
      <c r="E194" s="132">
        <f>$C194-SUM(D194:D194)</f>
        <v>843.6</v>
      </c>
    </row>
    <row r="195" spans="1:5">
      <c r="A195" s="185" t="s">
        <v>265</v>
      </c>
      <c r="B195" s="194" t="str">
        <f ca="1">VLOOKUP($A195,'Orçamento Sintético'!$A:$H,4,0)</f>
        <v>Base nova para poste, em concreto 30 x 30 cm, aço de 8mm.</v>
      </c>
      <c r="C195" s="131">
        <f ca="1">ROUND(C196/$E$228,4)</f>
        <v>2.8E-3</v>
      </c>
      <c r="D195" s="131">
        <v>1</v>
      </c>
      <c r="E195" s="131">
        <f>ROUND(E196/$C196,4)</f>
        <v>0</v>
      </c>
    </row>
    <row r="196" spans="1:5">
      <c r="A196" s="185"/>
      <c r="B196" s="195"/>
      <c r="C196" s="132">
        <f ca="1">VLOOKUP($A195,'Orçamento Sintético'!$A:$H,8,0)</f>
        <v>404.56</v>
      </c>
      <c r="D196" s="132">
        <f>ROUND($C196*D195,2)</f>
        <v>404.56</v>
      </c>
      <c r="E196" s="132">
        <f>$C196-SUM(D196:D196)</f>
        <v>0</v>
      </c>
    </row>
    <row r="197" spans="1:5">
      <c r="A197" s="185" t="s">
        <v>268</v>
      </c>
      <c r="B197" s="194" t="str">
        <f ca="1">VLOOKUP($A197,'Orçamento Sintético'!$A:$H,4,0)</f>
        <v>Copia da SINAPI (101175) - Chumbamento de poste com concreto magro 30cm de diâmetro e 1metro de profundidade, inclusive escavação.</v>
      </c>
      <c r="C197" s="131">
        <f ca="1">ROUND(C198/$E$228,4)</f>
        <v>1.1000000000000001E-3</v>
      </c>
      <c r="D197" s="131"/>
      <c r="E197" s="131">
        <f>ROUND(E198/$C198,4)</f>
        <v>1</v>
      </c>
    </row>
    <row r="198" spans="1:5">
      <c r="A198" s="185"/>
      <c r="B198" s="195"/>
      <c r="C198" s="132">
        <f ca="1">VLOOKUP($A197,'Orçamento Sintético'!$A:$H,8,0)</f>
        <v>155.44</v>
      </c>
      <c r="D198" s="132">
        <f>ROUND($C198*D197,2)</f>
        <v>0</v>
      </c>
      <c r="E198" s="132">
        <f>$C198-SUM(D198:D198)</f>
        <v>155.44</v>
      </c>
    </row>
    <row r="199" spans="1:5">
      <c r="A199" s="186" t="s">
        <v>271</v>
      </c>
      <c r="B199" s="193" t="str">
        <f ca="1">VLOOKUP($A199,'Orçamento Sintético'!$A:$H,4,0)</f>
        <v>SERVIÇOS DIVERSOS</v>
      </c>
      <c r="C199" s="129">
        <f ca="1">ROUND(C200/$E$228,4)</f>
        <v>4.7999999999999996E-3</v>
      </c>
      <c r="D199" s="129">
        <f>ROUND(D200/$C200,4)</f>
        <v>0</v>
      </c>
      <c r="E199" s="129">
        <f>ROUND(E200/$C200,4)</f>
        <v>1</v>
      </c>
    </row>
    <row r="200" spans="1:5">
      <c r="A200" s="187"/>
      <c r="B200" s="193"/>
      <c r="C200" s="130">
        <f ca="1">VLOOKUP($A199,'Orçamento Sintético'!$A:$H,8,0)</f>
        <v>708.22</v>
      </c>
      <c r="D200" s="130">
        <f>D202</f>
        <v>0</v>
      </c>
      <c r="E200" s="130">
        <f>E202</f>
        <v>708.22</v>
      </c>
    </row>
    <row r="201" spans="1:5">
      <c r="A201" s="188" t="s">
        <v>272</v>
      </c>
      <c r="B201" s="196" t="str">
        <f ca="1">VLOOKUP($A201,'Orçamento Sintético'!$A:$H,4,0)</f>
        <v>Caixas de Passagem</v>
      </c>
      <c r="C201" s="139">
        <f ca="1">ROUND(C202/$E$228,4)</f>
        <v>4.7999999999999996E-3</v>
      </c>
      <c r="D201" s="140">
        <f>ROUND(D202/$C202,4)</f>
        <v>0</v>
      </c>
      <c r="E201" s="140">
        <f>ROUND(E202/$C202,4)</f>
        <v>1</v>
      </c>
    </row>
    <row r="202" spans="1:5">
      <c r="A202" s="189"/>
      <c r="B202" s="196"/>
      <c r="C202" s="141">
        <f ca="1">VLOOKUP($A201,'Orçamento Sintético'!$A:$H,8,0)</f>
        <v>708.22</v>
      </c>
      <c r="D202" s="142">
        <f>D204</f>
        <v>0</v>
      </c>
      <c r="E202" s="142">
        <f>E204</f>
        <v>708.22</v>
      </c>
    </row>
    <row r="203" spans="1:5">
      <c r="A203" s="185" t="s">
        <v>273</v>
      </c>
      <c r="B203" s="194" t="str">
        <f ca="1">VLOOKUP($A203,'Orçamento Sintético'!$A:$H,4,0)</f>
        <v>Cópia da Sinapi (97881) - Caixa de passagem pré-moldadas, com dimensões de 30x30x30cm, incluso tampão em ferro fundido T33, fundo em lastro de concreto magro e=7cm sobre colchão de brita e=10cm</v>
      </c>
      <c r="C203" s="131">
        <f ca="1">ROUND(C204/$E$228,4)</f>
        <v>4.7999999999999996E-3</v>
      </c>
      <c r="D203" s="131"/>
      <c r="E203" s="131">
        <f>ROUND(E204/$C204,4)</f>
        <v>1</v>
      </c>
    </row>
    <row r="204" spans="1:5">
      <c r="A204" s="185"/>
      <c r="B204" s="195"/>
      <c r="C204" s="132">
        <f ca="1">VLOOKUP($A203,'Orçamento Sintético'!$A:$H,8,0)</f>
        <v>708.22</v>
      </c>
      <c r="D204" s="132">
        <f>ROUND($C204*D203,2)</f>
        <v>0</v>
      </c>
      <c r="E204" s="132">
        <f>$C204-SUM(D204:D204)</f>
        <v>708.22</v>
      </c>
    </row>
    <row r="205" spans="1:5">
      <c r="A205" s="190" t="s">
        <v>276</v>
      </c>
      <c r="B205" s="201" t="str">
        <f ca="1">VLOOKUP($A205,'Orçamento Sintético'!$A:$H,4,0)</f>
        <v>SERVIÇOS COMPLEMENTARES</v>
      </c>
      <c r="C205" s="125">
        <f ca="1">ROUND(C206/$E$228,4)</f>
        <v>6.1999999999999998E-3</v>
      </c>
      <c r="D205" s="126">
        <f>ROUND(D206/$C206,4)</f>
        <v>0</v>
      </c>
      <c r="E205" s="126">
        <f>ROUND(E206/$C206,4)</f>
        <v>1</v>
      </c>
    </row>
    <row r="206" spans="1:5">
      <c r="A206" s="190"/>
      <c r="B206" s="201"/>
      <c r="C206" s="127">
        <f ca="1">VLOOKUP($A205,'Orçamento Sintético'!$A:$H,8,0)</f>
        <v>915.3</v>
      </c>
      <c r="D206" s="128">
        <f>D208</f>
        <v>0</v>
      </c>
      <c r="E206" s="128">
        <f>E208</f>
        <v>915.3</v>
      </c>
    </row>
    <row r="207" spans="1:5">
      <c r="A207" s="186" t="s">
        <v>278</v>
      </c>
      <c r="B207" s="193" t="str">
        <f ca="1">VLOOKUP($A207,'Orçamento Sintético'!$A:$H,4,0)</f>
        <v>LIMPEZA DE OBRAS</v>
      </c>
      <c r="C207" s="129">
        <f ca="1">ROUND(C208/$E$228,4)</f>
        <v>6.1999999999999998E-3</v>
      </c>
      <c r="D207" s="129">
        <f>ROUND(D208/$C208,4)</f>
        <v>0</v>
      </c>
      <c r="E207" s="129">
        <f>ROUND(E208/$C208,4)</f>
        <v>1</v>
      </c>
    </row>
    <row r="208" spans="1:5">
      <c r="A208" s="187"/>
      <c r="B208" s="193"/>
      <c r="C208" s="130">
        <f ca="1">VLOOKUP($A207,'Orçamento Sintético'!$A:$H,8,0)</f>
        <v>915.3</v>
      </c>
      <c r="D208" s="130">
        <f>D210+D212+D214</f>
        <v>0</v>
      </c>
      <c r="E208" s="130">
        <f>E210+E212+E214</f>
        <v>915.3</v>
      </c>
    </row>
    <row r="209" spans="1:5">
      <c r="A209" s="185" t="s">
        <v>280</v>
      </c>
      <c r="B209" s="194" t="str">
        <f ca="1">VLOOKUP($A209,'Orçamento Sintético'!$A:$H,4,0)</f>
        <v>LIMPEZA DE CONTRAPISO COM VASSOURA A SECO. AF_04/2019</v>
      </c>
      <c r="C209" s="131">
        <f ca="1">ROUND(C210/$E$228,4)</f>
        <v>5.1999999999999998E-3</v>
      </c>
      <c r="D209" s="131"/>
      <c r="E209" s="131">
        <f>ROUND(E210/$C210,4)</f>
        <v>1</v>
      </c>
    </row>
    <row r="210" spans="1:5">
      <c r="A210" s="185"/>
      <c r="B210" s="195"/>
      <c r="C210" s="132">
        <f ca="1">VLOOKUP($A209,'Orçamento Sintético'!$A:$H,8,0)</f>
        <v>759.8</v>
      </c>
      <c r="D210" s="132">
        <f>ROUND($C210*D209,2)</f>
        <v>0</v>
      </c>
      <c r="E210" s="132">
        <f>$C210-SUM(D210:D210)</f>
        <v>759.8</v>
      </c>
    </row>
    <row r="211" spans="1:5">
      <c r="A211" s="185" t="s">
        <v>283</v>
      </c>
      <c r="B211" s="194" t="str">
        <f ca="1">VLOOKUP($A211,'Orçamento Sintético'!$A:$H,4,0)</f>
        <v>LIMPEZA DE REVESTIMENTO CERÂMICO EM PAREDE COM PANO ÚMIDO AF_04/2019</v>
      </c>
      <c r="C211" s="131">
        <f ca="1">ROUND(C212/$E$228,4)</f>
        <v>8.9999999999999998E-4</v>
      </c>
      <c r="D211" s="131"/>
      <c r="E211" s="131">
        <f>ROUND(E212/$C212,4)</f>
        <v>1</v>
      </c>
    </row>
    <row r="212" spans="1:5">
      <c r="A212" s="185"/>
      <c r="B212" s="195"/>
      <c r="C212" s="132">
        <f ca="1">VLOOKUP($A211,'Orçamento Sintético'!$A:$H,8,0)</f>
        <v>135.1</v>
      </c>
      <c r="D212" s="132">
        <f>ROUND($C212*D211,2)</f>
        <v>0</v>
      </c>
      <c r="E212" s="132">
        <f>$C212-SUM(D212:D212)</f>
        <v>135.1</v>
      </c>
    </row>
    <row r="213" spans="1:5">
      <c r="A213" s="185" t="s">
        <v>286</v>
      </c>
      <c r="B213" s="194" t="str">
        <f ca="1">VLOOKUP($A213,'Orçamento Sintético'!$A:$H,4,0)</f>
        <v>LIMPEZA DE PISO CERÂMICO OU PORCELANATO COM PANO ÚMIDO. AF_04/2019</v>
      </c>
      <c r="C213" s="131">
        <f ca="1">ROUND(C214/$E$228,4)</f>
        <v>1E-4</v>
      </c>
      <c r="D213" s="131"/>
      <c r="E213" s="131">
        <f>ROUND(E214/$C214,4)</f>
        <v>1</v>
      </c>
    </row>
    <row r="214" spans="1:5">
      <c r="A214" s="185"/>
      <c r="B214" s="195"/>
      <c r="C214" s="132">
        <f ca="1">VLOOKUP($A213,'Orçamento Sintético'!$A:$H,8,0)</f>
        <v>20.399999999999999</v>
      </c>
      <c r="D214" s="132">
        <f>ROUND($C214*D213,2)</f>
        <v>0</v>
      </c>
      <c r="E214" s="132">
        <f>$C214-SUM(D214:D214)</f>
        <v>20.399999999999999</v>
      </c>
    </row>
    <row r="215" spans="1:5">
      <c r="A215" s="190" t="s">
        <v>289</v>
      </c>
      <c r="B215" s="201" t="str">
        <f ca="1">VLOOKUP($A215,'Orçamento Sintético'!$A:$H,4,0)</f>
        <v>SERVIÇOS AUXILIARES E ADMINISTRATIVOS</v>
      </c>
      <c r="C215" s="125">
        <f ca="1">ROUND(C216/$E$228,4)</f>
        <v>0.12620000000000001</v>
      </c>
      <c r="D215" s="126">
        <f>ROUND(D216/$C216,4)</f>
        <v>0.5</v>
      </c>
      <c r="E215" s="126">
        <f>ROUND(E216/$C216,4)</f>
        <v>0.5</v>
      </c>
    </row>
    <row r="216" spans="1:5">
      <c r="A216" s="190"/>
      <c r="B216" s="201"/>
      <c r="C216" s="127">
        <f ca="1">VLOOKUP($A215,'Orçamento Sintético'!$A:$H,8,0)</f>
        <v>18547.599999999999</v>
      </c>
      <c r="D216" s="128">
        <f>D218</f>
        <v>9273.7999999999993</v>
      </c>
      <c r="E216" s="128">
        <f>E218</f>
        <v>9273.7999999999993</v>
      </c>
    </row>
    <row r="217" spans="1:5">
      <c r="A217" s="186" t="s">
        <v>291</v>
      </c>
      <c r="B217" s="193" t="str">
        <f ca="1">VLOOKUP($A217,'Orçamento Sintético'!$A:$H,4,0)</f>
        <v>PESSOAL</v>
      </c>
      <c r="C217" s="129">
        <f ca="1">ROUND(C218/$E$228,4)</f>
        <v>0.12620000000000001</v>
      </c>
      <c r="D217" s="129">
        <f>ROUND(D218/$C218,4)</f>
        <v>0.5</v>
      </c>
      <c r="E217" s="129">
        <f>ROUND(E218/$C218,4)</f>
        <v>0.5</v>
      </c>
    </row>
    <row r="218" spans="1:5">
      <c r="A218" s="187"/>
      <c r="B218" s="193"/>
      <c r="C218" s="130">
        <f ca="1">VLOOKUP($A217,'Orçamento Sintético'!$A:$H,8,0)</f>
        <v>18547.599999999999</v>
      </c>
      <c r="D218" s="130">
        <f>D220+D222</f>
        <v>9273.7999999999993</v>
      </c>
      <c r="E218" s="130">
        <f>E220+E222</f>
        <v>9273.7999999999993</v>
      </c>
    </row>
    <row r="219" spans="1:5">
      <c r="A219" s="185" t="s">
        <v>293</v>
      </c>
      <c r="B219" s="194" t="str">
        <f ca="1">VLOOKUP($A219,'Orçamento Sintético'!$A:$H,4,0)</f>
        <v>ENCARREGADO GERAL DE OBRAS COM ENCARGOS COMPLEMENTARES</v>
      </c>
      <c r="C219" s="131">
        <f ca="1">ROUND(C220/$E$228,4)</f>
        <v>4.7199999999999999E-2</v>
      </c>
      <c r="D219" s="131">
        <v>0.5</v>
      </c>
      <c r="E219" s="131">
        <f>ROUND(E220/$C220,4)</f>
        <v>0.5</v>
      </c>
    </row>
    <row r="220" spans="1:5">
      <c r="A220" s="185"/>
      <c r="B220" s="195"/>
      <c r="C220" s="132">
        <f ca="1">VLOOKUP($A219,'Orçamento Sintético'!$A:$H,8,0)</f>
        <v>6930.5</v>
      </c>
      <c r="D220" s="132">
        <f>ROUND($C220*D219,2)</f>
        <v>3465.25</v>
      </c>
      <c r="E220" s="132">
        <f>$C220-SUM(D220:D220)</f>
        <v>3465.25</v>
      </c>
    </row>
    <row r="221" spans="1:5">
      <c r="A221" s="185" t="s">
        <v>297</v>
      </c>
      <c r="B221" s="194" t="str">
        <f ca="1">VLOOKUP($A221,'Orçamento Sintético'!$A:$H,4,0)</f>
        <v>ENGENHEIRO CIVIL DE OBRA PLENO COM ENCARGOS COMPLEMENTARES</v>
      </c>
      <c r="C221" s="131">
        <f ca="1">ROUND(C222/$E$228,4)</f>
        <v>7.9000000000000001E-2</v>
      </c>
      <c r="D221" s="131">
        <v>0.5</v>
      </c>
      <c r="E221" s="131">
        <f>ROUND(E222/$C222,4)</f>
        <v>0.5</v>
      </c>
    </row>
    <row r="222" spans="1:5">
      <c r="A222" s="185"/>
      <c r="B222" s="195"/>
      <c r="C222" s="132">
        <f ca="1">VLOOKUP($A221,'Orçamento Sintético'!$A:$H,8,0)</f>
        <v>11617.1</v>
      </c>
      <c r="D222" s="132">
        <f>ROUND($C222*D221,2)</f>
        <v>5808.55</v>
      </c>
      <c r="E222" s="132">
        <f>$C222-SUM(D222:D222)</f>
        <v>5808.55</v>
      </c>
    </row>
    <row r="223" spans="1:5">
      <c r="A223" s="197" t="s">
        <v>559</v>
      </c>
      <c r="B223" s="197"/>
      <c r="C223" s="133"/>
      <c r="D223" s="134">
        <f>ROUND(D224/$E$228,4)</f>
        <v>0.47889999999999999</v>
      </c>
      <c r="E223" s="134">
        <f>ROUND(E224/$E$228,4)</f>
        <v>0.52110000000000001</v>
      </c>
    </row>
    <row r="224" spans="1:5">
      <c r="A224" s="203" t="s">
        <v>558</v>
      </c>
      <c r="B224" s="203"/>
      <c r="C224" s="133"/>
      <c r="D224" s="135">
        <f>D10+D16+D78+D158+D186+D206+D216</f>
        <v>70392.19</v>
      </c>
      <c r="E224" s="135">
        <f>E10+E16+E78+E158+E186+E206+E216</f>
        <v>76587.590000000011</v>
      </c>
    </row>
    <row r="225" spans="1:5">
      <c r="A225" s="198" t="s">
        <v>489</v>
      </c>
      <c r="B225" s="198"/>
      <c r="C225" s="133"/>
      <c r="D225" s="136">
        <f ca="1">ROUND(D224*'Composição de BDI'!$D$23,2)</f>
        <v>15570.75</v>
      </c>
      <c r="E225" s="136">
        <f ca="1">ROUND(E224*'Composição de BDI'!$D$23,2)</f>
        <v>16941.169999999998</v>
      </c>
    </row>
    <row r="226" spans="1:5" ht="14.25" customHeight="1">
      <c r="A226" s="199" t="s">
        <v>624</v>
      </c>
      <c r="B226" s="200"/>
      <c r="C226" s="137"/>
      <c r="D226" s="138">
        <f>ROUND(SUM(D224:D225),2)</f>
        <v>85962.94</v>
      </c>
      <c r="E226" s="138">
        <f>ROUND(SUM(E224:E225),2)</f>
        <v>93528.76</v>
      </c>
    </row>
    <row r="227" spans="1:5">
      <c r="A227" s="197" t="s">
        <v>557</v>
      </c>
      <c r="B227" s="197"/>
      <c r="C227" s="133"/>
      <c r="D227" s="134">
        <f>D223</f>
        <v>0.47889999999999999</v>
      </c>
      <c r="E227" s="134">
        <f>D227+E223</f>
        <v>1</v>
      </c>
    </row>
    <row r="228" spans="1:5">
      <c r="A228" s="198" t="s">
        <v>556</v>
      </c>
      <c r="B228" s="198"/>
      <c r="C228" s="133"/>
      <c r="D228" s="135">
        <f>D224</f>
        <v>70392.19</v>
      </c>
      <c r="E228" s="135">
        <f>D228+E224</f>
        <v>146979.78000000003</v>
      </c>
    </row>
    <row r="229" spans="1:5">
      <c r="A229" s="199" t="s">
        <v>555</v>
      </c>
      <c r="B229" s="200"/>
      <c r="C229" s="137"/>
      <c r="D229" s="138">
        <f>D226</f>
        <v>85962.94</v>
      </c>
      <c r="E229" s="138">
        <f>D229+E226</f>
        <v>179491.7</v>
      </c>
    </row>
  </sheetData>
  <sheetCalcPr fullCalcOnLoad="1"/>
  <mergeCells count="222">
    <mergeCell ref="A223:B223"/>
    <mergeCell ref="B41:B42"/>
    <mergeCell ref="B43:B44"/>
    <mergeCell ref="B45:B46"/>
    <mergeCell ref="B63:B64"/>
    <mergeCell ref="B65:B66"/>
    <mergeCell ref="B67:B68"/>
    <mergeCell ref="B69:B70"/>
    <mergeCell ref="B75:B76"/>
    <mergeCell ref="B83:B84"/>
    <mergeCell ref="A224:B224"/>
    <mergeCell ref="A225:B225"/>
    <mergeCell ref="A226:B226"/>
    <mergeCell ref="B47:B48"/>
    <mergeCell ref="B51:B52"/>
    <mergeCell ref="B53:B54"/>
    <mergeCell ref="B55:B56"/>
    <mergeCell ref="B57:B58"/>
    <mergeCell ref="B59:B60"/>
    <mergeCell ref="B61:B62"/>
    <mergeCell ref="A7:E7"/>
    <mergeCell ref="B9:B10"/>
    <mergeCell ref="B11:B12"/>
    <mergeCell ref="B13:B14"/>
    <mergeCell ref="A9:A10"/>
    <mergeCell ref="A11:A12"/>
    <mergeCell ref="A13:A14"/>
    <mergeCell ref="A15:A16"/>
    <mergeCell ref="A17:A18"/>
    <mergeCell ref="B71:B72"/>
    <mergeCell ref="B73:B74"/>
    <mergeCell ref="B21:B22"/>
    <mergeCell ref="B23:B24"/>
    <mergeCell ref="B27:B28"/>
    <mergeCell ref="B29:B30"/>
    <mergeCell ref="B35:B36"/>
    <mergeCell ref="B37:B38"/>
    <mergeCell ref="B85:B86"/>
    <mergeCell ref="A228:B228"/>
    <mergeCell ref="A229:B229"/>
    <mergeCell ref="B15:B16"/>
    <mergeCell ref="B77:B78"/>
    <mergeCell ref="B157:B158"/>
    <mergeCell ref="B185:B186"/>
    <mergeCell ref="B205:B206"/>
    <mergeCell ref="B215:B216"/>
    <mergeCell ref="B17:B18"/>
    <mergeCell ref="B39:B40"/>
    <mergeCell ref="A227:B227"/>
    <mergeCell ref="A19:A20"/>
    <mergeCell ref="A21:A22"/>
    <mergeCell ref="B121:B122"/>
    <mergeCell ref="B123:B124"/>
    <mergeCell ref="B101:B102"/>
    <mergeCell ref="B103:B104"/>
    <mergeCell ref="B107:B108"/>
    <mergeCell ref="B111:B112"/>
    <mergeCell ref="B113:B114"/>
    <mergeCell ref="B89:B90"/>
    <mergeCell ref="B91:B92"/>
    <mergeCell ref="B95:B96"/>
    <mergeCell ref="B97:B98"/>
    <mergeCell ref="B99:B100"/>
    <mergeCell ref="B143:B144"/>
    <mergeCell ref="B145:B146"/>
    <mergeCell ref="B149:B150"/>
    <mergeCell ref="B151:B152"/>
    <mergeCell ref="B165:B166"/>
    <mergeCell ref="B167:B168"/>
    <mergeCell ref="B221:B222"/>
    <mergeCell ref="B181:B182"/>
    <mergeCell ref="B187:B188"/>
    <mergeCell ref="B189:B190"/>
    <mergeCell ref="B199:B200"/>
    <mergeCell ref="B201:B202"/>
    <mergeCell ref="B195:B196"/>
    <mergeCell ref="B159:B160"/>
    <mergeCell ref="B147:B148"/>
    <mergeCell ref="B153:B154"/>
    <mergeCell ref="B155:B156"/>
    <mergeCell ref="B213:B214"/>
    <mergeCell ref="B219:B220"/>
    <mergeCell ref="B169:B170"/>
    <mergeCell ref="B171:B172"/>
    <mergeCell ref="B209:B210"/>
    <mergeCell ref="B211:B212"/>
    <mergeCell ref="B207:B208"/>
    <mergeCell ref="B31:B32"/>
    <mergeCell ref="B79:B80"/>
    <mergeCell ref="B161:B162"/>
    <mergeCell ref="B179:B180"/>
    <mergeCell ref="B173:B174"/>
    <mergeCell ref="B175:B176"/>
    <mergeCell ref="B177:B178"/>
    <mergeCell ref="B183:B184"/>
    <mergeCell ref="B191:B192"/>
    <mergeCell ref="B193:B194"/>
    <mergeCell ref="B163:B164"/>
    <mergeCell ref="B197:B198"/>
    <mergeCell ref="B203:B204"/>
    <mergeCell ref="B19:B20"/>
    <mergeCell ref="B81:B82"/>
    <mergeCell ref="B133:B134"/>
    <mergeCell ref="B135:B136"/>
    <mergeCell ref="B93:B94"/>
    <mergeCell ref="B87:B88"/>
    <mergeCell ref="B49:B50"/>
    <mergeCell ref="B33:B34"/>
    <mergeCell ref="B25:B26"/>
    <mergeCell ref="B117:B118"/>
    <mergeCell ref="B141:B142"/>
    <mergeCell ref="B127:B128"/>
    <mergeCell ref="B109:B110"/>
    <mergeCell ref="B105:B106"/>
    <mergeCell ref="B125:B126"/>
    <mergeCell ref="B129:B130"/>
    <mergeCell ref="B131:B132"/>
    <mergeCell ref="B137:B138"/>
    <mergeCell ref="B139:B140"/>
    <mergeCell ref="B115:B116"/>
    <mergeCell ref="B119:B120"/>
    <mergeCell ref="A133:A134"/>
    <mergeCell ref="A87:A88"/>
    <mergeCell ref="A49:A50"/>
    <mergeCell ref="A55:A56"/>
    <mergeCell ref="A77:A78"/>
    <mergeCell ref="A105:A106"/>
    <mergeCell ref="A93:A94"/>
    <mergeCell ref="A73:A74"/>
    <mergeCell ref="A75:A76"/>
    <mergeCell ref="A191:A192"/>
    <mergeCell ref="A45:A46"/>
    <mergeCell ref="A47:A48"/>
    <mergeCell ref="A51:A52"/>
    <mergeCell ref="A53:A54"/>
    <mergeCell ref="A37:A38"/>
    <mergeCell ref="A39:A40"/>
    <mergeCell ref="A41:A42"/>
    <mergeCell ref="A43:A44"/>
    <mergeCell ref="A181:A182"/>
    <mergeCell ref="A155:A156"/>
    <mergeCell ref="A163:A164"/>
    <mergeCell ref="B217:B218"/>
    <mergeCell ref="A211:A212"/>
    <mergeCell ref="A213:A214"/>
    <mergeCell ref="A187:A188"/>
    <mergeCell ref="A189:A190"/>
    <mergeCell ref="A199:A200"/>
    <mergeCell ref="A201:A202"/>
    <mergeCell ref="A121:A122"/>
    <mergeCell ref="A123:A124"/>
    <mergeCell ref="A125:A126"/>
    <mergeCell ref="A129:A130"/>
    <mergeCell ref="A157:A158"/>
    <mergeCell ref="A185:A186"/>
    <mergeCell ref="A173:A174"/>
    <mergeCell ref="A147:A148"/>
    <mergeCell ref="A159:A160"/>
    <mergeCell ref="A161:A162"/>
    <mergeCell ref="A25:A26"/>
    <mergeCell ref="A23:A24"/>
    <mergeCell ref="A27:A28"/>
    <mergeCell ref="A29:A30"/>
    <mergeCell ref="A141:A142"/>
    <mergeCell ref="A153:A154"/>
    <mergeCell ref="A127:A128"/>
    <mergeCell ref="A109:A110"/>
    <mergeCell ref="A135:A136"/>
    <mergeCell ref="A151:A152"/>
    <mergeCell ref="A205:A206"/>
    <mergeCell ref="A215:A216"/>
    <mergeCell ref="A217:A218"/>
    <mergeCell ref="A207:A208"/>
    <mergeCell ref="A137:A138"/>
    <mergeCell ref="A139:A140"/>
    <mergeCell ref="A143:A144"/>
    <mergeCell ref="A145:A146"/>
    <mergeCell ref="A149:A150"/>
    <mergeCell ref="A179:A180"/>
    <mergeCell ref="A31:A32"/>
    <mergeCell ref="A33:A34"/>
    <mergeCell ref="A79:A80"/>
    <mergeCell ref="A81:A82"/>
    <mergeCell ref="A67:A68"/>
    <mergeCell ref="A69:A70"/>
    <mergeCell ref="A71:A72"/>
    <mergeCell ref="A35:A36"/>
    <mergeCell ref="A65:A66"/>
    <mergeCell ref="A97:A98"/>
    <mergeCell ref="A99:A100"/>
    <mergeCell ref="A101:A102"/>
    <mergeCell ref="A57:A58"/>
    <mergeCell ref="A59:A60"/>
    <mergeCell ref="A61:A62"/>
    <mergeCell ref="A63:A64"/>
    <mergeCell ref="A103:A104"/>
    <mergeCell ref="A107:A108"/>
    <mergeCell ref="A83:A84"/>
    <mergeCell ref="A85:A86"/>
    <mergeCell ref="A89:A90"/>
    <mergeCell ref="A91:A92"/>
    <mergeCell ref="A95:A96"/>
    <mergeCell ref="A209:A210"/>
    <mergeCell ref="A131:A132"/>
    <mergeCell ref="A111:A112"/>
    <mergeCell ref="A113:A114"/>
    <mergeCell ref="A115:A116"/>
    <mergeCell ref="A117:A118"/>
    <mergeCell ref="A119:A120"/>
    <mergeCell ref="A165:A166"/>
    <mergeCell ref="A167:A168"/>
    <mergeCell ref="A169:A170"/>
    <mergeCell ref="A171:A172"/>
    <mergeCell ref="A175:A176"/>
    <mergeCell ref="A177:A178"/>
    <mergeCell ref="A183:A184"/>
    <mergeCell ref="A219:A220"/>
    <mergeCell ref="A221:A222"/>
    <mergeCell ref="A193:A194"/>
    <mergeCell ref="A195:A196"/>
    <mergeCell ref="A197:A198"/>
    <mergeCell ref="A203:A204"/>
  </mergeCells>
  <phoneticPr fontId="14" type="noConversion"/>
  <conditionalFormatting sqref="E80">
    <cfRule type="cellIs" dxfId="518" priority="12" operator="equal">
      <formula>0</formula>
    </cfRule>
  </conditionalFormatting>
  <conditionalFormatting sqref="D219">
    <cfRule type="cellIs" dxfId="517" priority="128" operator="equal">
      <formula>0</formula>
    </cfRule>
  </conditionalFormatting>
  <conditionalFormatting sqref="D219">
    <cfRule type="cellIs" dxfId="516" priority="127" operator="notEqual">
      <formula>0</formula>
    </cfRule>
  </conditionalFormatting>
  <conditionalFormatting sqref="D220">
    <cfRule type="cellIs" dxfId="515" priority="126" operator="equal">
      <formula>0</formula>
    </cfRule>
  </conditionalFormatting>
  <conditionalFormatting sqref="D220">
    <cfRule type="cellIs" dxfId="514" priority="125" operator="notEqual">
      <formula>0</formula>
    </cfRule>
  </conditionalFormatting>
  <conditionalFormatting sqref="E219">
    <cfRule type="cellIs" dxfId="513" priority="124" operator="equal">
      <formula>0</formula>
    </cfRule>
  </conditionalFormatting>
  <conditionalFormatting sqref="E219">
    <cfRule type="cellIs" dxfId="512" priority="123" operator="notEqual">
      <formula>0</formula>
    </cfRule>
  </conditionalFormatting>
  <conditionalFormatting sqref="E220">
    <cfRule type="cellIs" dxfId="511" priority="122" operator="equal">
      <formula>0</formula>
    </cfRule>
  </conditionalFormatting>
  <conditionalFormatting sqref="E220">
    <cfRule type="cellIs" dxfId="510" priority="121" operator="notEqual">
      <formula>0</formula>
    </cfRule>
  </conditionalFormatting>
  <conditionalFormatting sqref="E9:E10">
    <cfRule type="cellIs" dxfId="509" priority="552" operator="equal">
      <formula>0</formula>
    </cfRule>
  </conditionalFormatting>
  <conditionalFormatting sqref="D9:E10">
    <cfRule type="cellIs" dxfId="508" priority="551" operator="equal">
      <formula>0</formula>
    </cfRule>
  </conditionalFormatting>
  <conditionalFormatting sqref="C12">
    <cfRule type="cellIs" dxfId="507" priority="550" operator="equal">
      <formula>0</formula>
    </cfRule>
  </conditionalFormatting>
  <conditionalFormatting sqref="D11">
    <cfRule type="cellIs" dxfId="506" priority="549" operator="equal">
      <formula>0</formula>
    </cfRule>
  </conditionalFormatting>
  <conditionalFormatting sqref="D12">
    <cfRule type="cellIs" dxfId="505" priority="548" operator="equal">
      <formula>0</formula>
    </cfRule>
  </conditionalFormatting>
  <conditionalFormatting sqref="E11">
    <cfRule type="cellIs" dxfId="504" priority="547" operator="equal">
      <formula>0</formula>
    </cfRule>
  </conditionalFormatting>
  <conditionalFormatting sqref="E12">
    <cfRule type="cellIs" dxfId="503" priority="546" operator="equal">
      <formula>0</formula>
    </cfRule>
  </conditionalFormatting>
  <conditionalFormatting sqref="D13">
    <cfRule type="cellIs" dxfId="502" priority="545" operator="equal">
      <formula>0</formula>
    </cfRule>
  </conditionalFormatting>
  <conditionalFormatting sqref="D13">
    <cfRule type="cellIs" dxfId="501" priority="544" operator="notEqual">
      <formula>0</formula>
    </cfRule>
  </conditionalFormatting>
  <conditionalFormatting sqref="D14">
    <cfRule type="cellIs" dxfId="500" priority="543" operator="equal">
      <formula>0</formula>
    </cfRule>
  </conditionalFormatting>
  <conditionalFormatting sqref="D14">
    <cfRule type="cellIs" dxfId="499" priority="542" operator="notEqual">
      <formula>0</formula>
    </cfRule>
  </conditionalFormatting>
  <conditionalFormatting sqref="E13">
    <cfRule type="cellIs" dxfId="498" priority="541" operator="equal">
      <formula>0</formula>
    </cfRule>
  </conditionalFormatting>
  <conditionalFormatting sqref="E13">
    <cfRule type="cellIs" dxfId="497" priority="540" operator="notEqual">
      <formula>0</formula>
    </cfRule>
  </conditionalFormatting>
  <conditionalFormatting sqref="E14">
    <cfRule type="cellIs" dxfId="496" priority="539" operator="equal">
      <formula>0</formula>
    </cfRule>
  </conditionalFormatting>
  <conditionalFormatting sqref="E14">
    <cfRule type="cellIs" dxfId="495" priority="538" operator="notEqual">
      <formula>0</formula>
    </cfRule>
  </conditionalFormatting>
  <conditionalFormatting sqref="E15:E16">
    <cfRule type="cellIs" dxfId="494" priority="537" operator="equal">
      <formula>0</formula>
    </cfRule>
  </conditionalFormatting>
  <conditionalFormatting sqref="D15:E16">
    <cfRule type="cellIs" dxfId="493" priority="536" operator="equal">
      <formula>0</formula>
    </cfRule>
  </conditionalFormatting>
  <conditionalFormatting sqref="E77:E78">
    <cfRule type="cellIs" dxfId="492" priority="535" operator="equal">
      <formula>0</formula>
    </cfRule>
  </conditionalFormatting>
  <conditionalFormatting sqref="D77:E78">
    <cfRule type="cellIs" dxfId="491" priority="534" operator="equal">
      <formula>0</formula>
    </cfRule>
  </conditionalFormatting>
  <conditionalFormatting sqref="E157:E158">
    <cfRule type="cellIs" dxfId="490" priority="533" operator="equal">
      <formula>0</formula>
    </cfRule>
  </conditionalFormatting>
  <conditionalFormatting sqref="D157:E158">
    <cfRule type="cellIs" dxfId="489" priority="532" operator="equal">
      <formula>0</formula>
    </cfRule>
  </conditionalFormatting>
  <conditionalFormatting sqref="E185:E186">
    <cfRule type="cellIs" dxfId="488" priority="531" operator="equal">
      <formula>0</formula>
    </cfRule>
  </conditionalFormatting>
  <conditionalFormatting sqref="D185:E186">
    <cfRule type="cellIs" dxfId="487" priority="530" operator="equal">
      <formula>0</formula>
    </cfRule>
  </conditionalFormatting>
  <conditionalFormatting sqref="E205:E206">
    <cfRule type="cellIs" dxfId="486" priority="529" operator="equal">
      <formula>0</formula>
    </cfRule>
  </conditionalFormatting>
  <conditionalFormatting sqref="D205:E206">
    <cfRule type="cellIs" dxfId="485" priority="528" operator="equal">
      <formula>0</formula>
    </cfRule>
  </conditionalFormatting>
  <conditionalFormatting sqref="E215:E216">
    <cfRule type="cellIs" dxfId="484" priority="527" operator="equal">
      <formula>0</formula>
    </cfRule>
  </conditionalFormatting>
  <conditionalFormatting sqref="D215:E216">
    <cfRule type="cellIs" dxfId="483" priority="526" operator="equal">
      <formula>0</formula>
    </cfRule>
  </conditionalFormatting>
  <conditionalFormatting sqref="D21">
    <cfRule type="cellIs" dxfId="482" priority="520" operator="equal">
      <formula>0</formula>
    </cfRule>
  </conditionalFormatting>
  <conditionalFormatting sqref="D21">
    <cfRule type="cellIs" dxfId="481" priority="519" operator="notEqual">
      <formula>0</formula>
    </cfRule>
  </conditionalFormatting>
  <conditionalFormatting sqref="D22">
    <cfRule type="cellIs" dxfId="480" priority="518" operator="equal">
      <formula>0</formula>
    </cfRule>
  </conditionalFormatting>
  <conditionalFormatting sqref="D22">
    <cfRule type="cellIs" dxfId="479" priority="517" operator="notEqual">
      <formula>0</formula>
    </cfRule>
  </conditionalFormatting>
  <conditionalFormatting sqref="E21">
    <cfRule type="cellIs" dxfId="478" priority="516" operator="equal">
      <formula>0</formula>
    </cfRule>
  </conditionalFormatting>
  <conditionalFormatting sqref="E21">
    <cfRule type="cellIs" dxfId="477" priority="515" operator="notEqual">
      <formula>0</formula>
    </cfRule>
  </conditionalFormatting>
  <conditionalFormatting sqref="E22">
    <cfRule type="cellIs" dxfId="476" priority="514" operator="equal">
      <formula>0</formula>
    </cfRule>
  </conditionalFormatting>
  <conditionalFormatting sqref="E22">
    <cfRule type="cellIs" dxfId="475" priority="513" operator="notEqual">
      <formula>0</formula>
    </cfRule>
  </conditionalFormatting>
  <conditionalFormatting sqref="D23">
    <cfRule type="cellIs" dxfId="474" priority="512" operator="equal">
      <formula>0</formula>
    </cfRule>
  </conditionalFormatting>
  <conditionalFormatting sqref="D23">
    <cfRule type="cellIs" dxfId="473" priority="511" operator="notEqual">
      <formula>0</formula>
    </cfRule>
  </conditionalFormatting>
  <conditionalFormatting sqref="D24">
    <cfRule type="cellIs" dxfId="472" priority="510" operator="equal">
      <formula>0</formula>
    </cfRule>
  </conditionalFormatting>
  <conditionalFormatting sqref="D24">
    <cfRule type="cellIs" dxfId="471" priority="509" operator="notEqual">
      <formula>0</formula>
    </cfRule>
  </conditionalFormatting>
  <conditionalFormatting sqref="E23">
    <cfRule type="cellIs" dxfId="470" priority="508" operator="equal">
      <formula>0</formula>
    </cfRule>
  </conditionalFormatting>
  <conditionalFormatting sqref="E23">
    <cfRule type="cellIs" dxfId="469" priority="507" operator="notEqual">
      <formula>0</formula>
    </cfRule>
  </conditionalFormatting>
  <conditionalFormatting sqref="E24">
    <cfRule type="cellIs" dxfId="468" priority="506" operator="equal">
      <formula>0</formula>
    </cfRule>
  </conditionalFormatting>
  <conditionalFormatting sqref="E24">
    <cfRule type="cellIs" dxfId="467" priority="505" operator="notEqual">
      <formula>0</formula>
    </cfRule>
  </conditionalFormatting>
  <conditionalFormatting sqref="D27">
    <cfRule type="cellIs" dxfId="466" priority="504" operator="equal">
      <formula>0</formula>
    </cfRule>
  </conditionalFormatting>
  <conditionalFormatting sqref="D27">
    <cfRule type="cellIs" dxfId="465" priority="503" operator="notEqual">
      <formula>0</formula>
    </cfRule>
  </conditionalFormatting>
  <conditionalFormatting sqref="D28">
    <cfRule type="cellIs" dxfId="464" priority="502" operator="equal">
      <formula>0</formula>
    </cfRule>
  </conditionalFormatting>
  <conditionalFormatting sqref="D28">
    <cfRule type="cellIs" dxfId="463" priority="501" operator="notEqual">
      <formula>0</formula>
    </cfRule>
  </conditionalFormatting>
  <conditionalFormatting sqref="E27">
    <cfRule type="cellIs" dxfId="462" priority="500" operator="equal">
      <formula>0</formula>
    </cfRule>
  </conditionalFormatting>
  <conditionalFormatting sqref="E27">
    <cfRule type="cellIs" dxfId="461" priority="499" operator="notEqual">
      <formula>0</formula>
    </cfRule>
  </conditionalFormatting>
  <conditionalFormatting sqref="E28">
    <cfRule type="cellIs" dxfId="460" priority="498" operator="equal">
      <formula>0</formula>
    </cfRule>
  </conditionalFormatting>
  <conditionalFormatting sqref="E28">
    <cfRule type="cellIs" dxfId="459" priority="497" operator="notEqual">
      <formula>0</formula>
    </cfRule>
  </conditionalFormatting>
  <conditionalFormatting sqref="D29">
    <cfRule type="cellIs" dxfId="458" priority="496" operator="equal">
      <formula>0</formula>
    </cfRule>
  </conditionalFormatting>
  <conditionalFormatting sqref="D29">
    <cfRule type="cellIs" dxfId="457" priority="495" operator="notEqual">
      <formula>0</formula>
    </cfRule>
  </conditionalFormatting>
  <conditionalFormatting sqref="D30">
    <cfRule type="cellIs" dxfId="456" priority="494" operator="equal">
      <formula>0</formula>
    </cfRule>
  </conditionalFormatting>
  <conditionalFormatting sqref="D30">
    <cfRule type="cellIs" dxfId="455" priority="493" operator="notEqual">
      <formula>0</formula>
    </cfRule>
  </conditionalFormatting>
  <conditionalFormatting sqref="E29">
    <cfRule type="cellIs" dxfId="454" priority="492" operator="equal">
      <formula>0</formula>
    </cfRule>
  </conditionalFormatting>
  <conditionalFormatting sqref="E29">
    <cfRule type="cellIs" dxfId="453" priority="491" operator="notEqual">
      <formula>0</formula>
    </cfRule>
  </conditionalFormatting>
  <conditionalFormatting sqref="E30">
    <cfRule type="cellIs" dxfId="452" priority="490" operator="equal">
      <formula>0</formula>
    </cfRule>
  </conditionalFormatting>
  <conditionalFormatting sqref="E30">
    <cfRule type="cellIs" dxfId="451" priority="489" operator="notEqual">
      <formula>0</formula>
    </cfRule>
  </conditionalFormatting>
  <conditionalFormatting sqref="D35">
    <cfRule type="cellIs" dxfId="450" priority="488" operator="equal">
      <formula>0</formula>
    </cfRule>
  </conditionalFormatting>
  <conditionalFormatting sqref="D35">
    <cfRule type="cellIs" dxfId="449" priority="487" operator="notEqual">
      <formula>0</formula>
    </cfRule>
  </conditionalFormatting>
  <conditionalFormatting sqref="D36">
    <cfRule type="cellIs" dxfId="448" priority="486" operator="equal">
      <formula>0</formula>
    </cfRule>
  </conditionalFormatting>
  <conditionalFormatting sqref="D36">
    <cfRule type="cellIs" dxfId="447" priority="485" operator="notEqual">
      <formula>0</formula>
    </cfRule>
  </conditionalFormatting>
  <conditionalFormatting sqref="E35">
    <cfRule type="cellIs" dxfId="446" priority="484" operator="equal">
      <formula>0</formula>
    </cfRule>
  </conditionalFormatting>
  <conditionalFormatting sqref="E35">
    <cfRule type="cellIs" dxfId="445" priority="483" operator="notEqual">
      <formula>0</formula>
    </cfRule>
  </conditionalFormatting>
  <conditionalFormatting sqref="E36">
    <cfRule type="cellIs" dxfId="444" priority="482" operator="equal">
      <formula>0</formula>
    </cfRule>
  </conditionalFormatting>
  <conditionalFormatting sqref="E36">
    <cfRule type="cellIs" dxfId="443" priority="481" operator="notEqual">
      <formula>0</formula>
    </cfRule>
  </conditionalFormatting>
  <conditionalFormatting sqref="D37">
    <cfRule type="cellIs" dxfId="442" priority="480" operator="equal">
      <formula>0</formula>
    </cfRule>
  </conditionalFormatting>
  <conditionalFormatting sqref="D37">
    <cfRule type="cellIs" dxfId="441" priority="479" operator="notEqual">
      <formula>0</formula>
    </cfRule>
  </conditionalFormatting>
  <conditionalFormatting sqref="D38">
    <cfRule type="cellIs" dxfId="440" priority="478" operator="equal">
      <formula>0</formula>
    </cfRule>
  </conditionalFormatting>
  <conditionalFormatting sqref="D38">
    <cfRule type="cellIs" dxfId="439" priority="477" operator="notEqual">
      <formula>0</formula>
    </cfRule>
  </conditionalFormatting>
  <conditionalFormatting sqref="E37">
    <cfRule type="cellIs" dxfId="438" priority="476" operator="equal">
      <formula>0</formula>
    </cfRule>
  </conditionalFormatting>
  <conditionalFormatting sqref="E37">
    <cfRule type="cellIs" dxfId="437" priority="475" operator="notEqual">
      <formula>0</formula>
    </cfRule>
  </conditionalFormatting>
  <conditionalFormatting sqref="E38">
    <cfRule type="cellIs" dxfId="436" priority="474" operator="equal">
      <formula>0</formula>
    </cfRule>
  </conditionalFormatting>
  <conditionalFormatting sqref="E38">
    <cfRule type="cellIs" dxfId="435" priority="473" operator="notEqual">
      <formula>0</formula>
    </cfRule>
  </conditionalFormatting>
  <conditionalFormatting sqref="D39">
    <cfRule type="cellIs" dxfId="434" priority="472" operator="equal">
      <formula>0</formula>
    </cfRule>
  </conditionalFormatting>
  <conditionalFormatting sqref="D39">
    <cfRule type="cellIs" dxfId="433" priority="471" operator="notEqual">
      <formula>0</formula>
    </cfRule>
  </conditionalFormatting>
  <conditionalFormatting sqref="D40">
    <cfRule type="cellIs" dxfId="432" priority="470" operator="equal">
      <formula>0</formula>
    </cfRule>
  </conditionalFormatting>
  <conditionalFormatting sqref="D40">
    <cfRule type="cellIs" dxfId="431" priority="469" operator="notEqual">
      <formula>0</formula>
    </cfRule>
  </conditionalFormatting>
  <conditionalFormatting sqref="E39">
    <cfRule type="cellIs" dxfId="430" priority="468" operator="equal">
      <formula>0</formula>
    </cfRule>
  </conditionalFormatting>
  <conditionalFormatting sqref="E39">
    <cfRule type="cellIs" dxfId="429" priority="467" operator="notEqual">
      <formula>0</formula>
    </cfRule>
  </conditionalFormatting>
  <conditionalFormatting sqref="E40">
    <cfRule type="cellIs" dxfId="428" priority="466" operator="equal">
      <formula>0</formula>
    </cfRule>
  </conditionalFormatting>
  <conditionalFormatting sqref="E40">
    <cfRule type="cellIs" dxfId="427" priority="465" operator="notEqual">
      <formula>0</formula>
    </cfRule>
  </conditionalFormatting>
  <conditionalFormatting sqref="D41">
    <cfRule type="cellIs" dxfId="426" priority="464" operator="equal">
      <formula>0</formula>
    </cfRule>
  </conditionalFormatting>
  <conditionalFormatting sqref="D41">
    <cfRule type="cellIs" dxfId="425" priority="463" operator="notEqual">
      <formula>0</formula>
    </cfRule>
  </conditionalFormatting>
  <conditionalFormatting sqref="D42">
    <cfRule type="cellIs" dxfId="424" priority="462" operator="equal">
      <formula>0</formula>
    </cfRule>
  </conditionalFormatting>
  <conditionalFormatting sqref="D42">
    <cfRule type="cellIs" dxfId="423" priority="461" operator="notEqual">
      <formula>0</formula>
    </cfRule>
  </conditionalFormatting>
  <conditionalFormatting sqref="E41">
    <cfRule type="cellIs" dxfId="422" priority="460" operator="equal">
      <formula>0</formula>
    </cfRule>
  </conditionalFormatting>
  <conditionalFormatting sqref="E41">
    <cfRule type="cellIs" dxfId="421" priority="459" operator="notEqual">
      <formula>0</formula>
    </cfRule>
  </conditionalFormatting>
  <conditionalFormatting sqref="E42">
    <cfRule type="cellIs" dxfId="420" priority="458" operator="equal">
      <formula>0</formula>
    </cfRule>
  </conditionalFormatting>
  <conditionalFormatting sqref="E42">
    <cfRule type="cellIs" dxfId="419" priority="457" operator="notEqual">
      <formula>0</formula>
    </cfRule>
  </conditionalFormatting>
  <conditionalFormatting sqref="D43">
    <cfRule type="cellIs" dxfId="418" priority="456" operator="equal">
      <formula>0</formula>
    </cfRule>
  </conditionalFormatting>
  <conditionalFormatting sqref="D43">
    <cfRule type="cellIs" dxfId="417" priority="455" operator="notEqual">
      <formula>0</formula>
    </cfRule>
  </conditionalFormatting>
  <conditionalFormatting sqref="D44">
    <cfRule type="cellIs" dxfId="416" priority="454" operator="equal">
      <formula>0</formula>
    </cfRule>
  </conditionalFormatting>
  <conditionalFormatting sqref="D44">
    <cfRule type="cellIs" dxfId="415" priority="453" operator="notEqual">
      <formula>0</formula>
    </cfRule>
  </conditionalFormatting>
  <conditionalFormatting sqref="E43">
    <cfRule type="cellIs" dxfId="414" priority="452" operator="equal">
      <formula>0</formula>
    </cfRule>
  </conditionalFormatting>
  <conditionalFormatting sqref="E43">
    <cfRule type="cellIs" dxfId="413" priority="451" operator="notEqual">
      <formula>0</formula>
    </cfRule>
  </conditionalFormatting>
  <conditionalFormatting sqref="E44">
    <cfRule type="cellIs" dxfId="412" priority="450" operator="equal">
      <formula>0</formula>
    </cfRule>
  </conditionalFormatting>
  <conditionalFormatting sqref="E44">
    <cfRule type="cellIs" dxfId="411" priority="449" operator="notEqual">
      <formula>0</formula>
    </cfRule>
  </conditionalFormatting>
  <conditionalFormatting sqref="D45">
    <cfRule type="cellIs" dxfId="410" priority="448" operator="equal">
      <formula>0</formula>
    </cfRule>
  </conditionalFormatting>
  <conditionalFormatting sqref="D45">
    <cfRule type="cellIs" dxfId="409" priority="447" operator="notEqual">
      <formula>0</formula>
    </cfRule>
  </conditionalFormatting>
  <conditionalFormatting sqref="D46">
    <cfRule type="cellIs" dxfId="408" priority="446" operator="equal">
      <formula>0</formula>
    </cfRule>
  </conditionalFormatting>
  <conditionalFormatting sqref="D46">
    <cfRule type="cellIs" dxfId="407" priority="445" operator="notEqual">
      <formula>0</formula>
    </cfRule>
  </conditionalFormatting>
  <conditionalFormatting sqref="E45">
    <cfRule type="cellIs" dxfId="406" priority="444" operator="equal">
      <formula>0</formula>
    </cfRule>
  </conditionalFormatting>
  <conditionalFormatting sqref="E45">
    <cfRule type="cellIs" dxfId="405" priority="443" operator="notEqual">
      <formula>0</formula>
    </cfRule>
  </conditionalFormatting>
  <conditionalFormatting sqref="E46">
    <cfRule type="cellIs" dxfId="404" priority="442" operator="equal">
      <formula>0</formula>
    </cfRule>
  </conditionalFormatting>
  <conditionalFormatting sqref="E46">
    <cfRule type="cellIs" dxfId="403" priority="441" operator="notEqual">
      <formula>0</formula>
    </cfRule>
  </conditionalFormatting>
  <conditionalFormatting sqref="D47">
    <cfRule type="cellIs" dxfId="402" priority="440" operator="equal">
      <formula>0</formula>
    </cfRule>
  </conditionalFormatting>
  <conditionalFormatting sqref="D47">
    <cfRule type="cellIs" dxfId="401" priority="439" operator="notEqual">
      <formula>0</formula>
    </cfRule>
  </conditionalFormatting>
  <conditionalFormatting sqref="D48">
    <cfRule type="cellIs" dxfId="400" priority="438" operator="equal">
      <formula>0</formula>
    </cfRule>
  </conditionalFormatting>
  <conditionalFormatting sqref="D48">
    <cfRule type="cellIs" dxfId="399" priority="437" operator="notEqual">
      <formula>0</formula>
    </cfRule>
  </conditionalFormatting>
  <conditionalFormatting sqref="E47">
    <cfRule type="cellIs" dxfId="398" priority="436" operator="equal">
      <formula>0</formula>
    </cfRule>
  </conditionalFormatting>
  <conditionalFormatting sqref="E47">
    <cfRule type="cellIs" dxfId="397" priority="435" operator="notEqual">
      <formula>0</formula>
    </cfRule>
  </conditionalFormatting>
  <conditionalFormatting sqref="E48">
    <cfRule type="cellIs" dxfId="396" priority="434" operator="equal">
      <formula>0</formula>
    </cfRule>
  </conditionalFormatting>
  <conditionalFormatting sqref="E48">
    <cfRule type="cellIs" dxfId="395" priority="433" operator="notEqual">
      <formula>0</formula>
    </cfRule>
  </conditionalFormatting>
  <conditionalFormatting sqref="D53 D51">
    <cfRule type="cellIs" dxfId="394" priority="424" operator="equal">
      <formula>0</formula>
    </cfRule>
  </conditionalFormatting>
  <conditionalFormatting sqref="D53 D51">
    <cfRule type="cellIs" dxfId="393" priority="423" operator="notEqual">
      <formula>0</formula>
    </cfRule>
  </conditionalFormatting>
  <conditionalFormatting sqref="D54 D52">
    <cfRule type="cellIs" dxfId="392" priority="422" operator="equal">
      <formula>0</formula>
    </cfRule>
  </conditionalFormatting>
  <conditionalFormatting sqref="D54 D52">
    <cfRule type="cellIs" dxfId="391" priority="421" operator="notEqual">
      <formula>0</formula>
    </cfRule>
  </conditionalFormatting>
  <conditionalFormatting sqref="E53 E51">
    <cfRule type="cellIs" dxfId="390" priority="420" operator="equal">
      <formula>0</formula>
    </cfRule>
  </conditionalFormatting>
  <conditionalFormatting sqref="E53 E51">
    <cfRule type="cellIs" dxfId="389" priority="419" operator="notEqual">
      <formula>0</formula>
    </cfRule>
  </conditionalFormatting>
  <conditionalFormatting sqref="E54 E52">
    <cfRule type="cellIs" dxfId="388" priority="418" operator="equal">
      <formula>0</formula>
    </cfRule>
  </conditionalFormatting>
  <conditionalFormatting sqref="E54 E52">
    <cfRule type="cellIs" dxfId="387" priority="417" operator="notEqual">
      <formula>0</formula>
    </cfRule>
  </conditionalFormatting>
  <conditionalFormatting sqref="D55 D57 D59 D61 D63 D65 D67 D69 D71 D73 D75">
    <cfRule type="cellIs" dxfId="386" priority="416" operator="equal">
      <formula>0</formula>
    </cfRule>
  </conditionalFormatting>
  <conditionalFormatting sqref="D55 D57 D59 D61 D63 D65 D67 D69 D71 D73 D75">
    <cfRule type="cellIs" dxfId="385" priority="415" operator="notEqual">
      <formula>0</formula>
    </cfRule>
  </conditionalFormatting>
  <conditionalFormatting sqref="D56 D58 D60 D62 D64 D66 D68 D70 D72 D74 D76">
    <cfRule type="cellIs" dxfId="384" priority="414" operator="equal">
      <formula>0</formula>
    </cfRule>
  </conditionalFormatting>
  <conditionalFormatting sqref="D56 D58 D60 D62 D64 D66 D68 D70 D72 D74 D76">
    <cfRule type="cellIs" dxfId="383" priority="413" operator="notEqual">
      <formula>0</formula>
    </cfRule>
  </conditionalFormatting>
  <conditionalFormatting sqref="E55 E57 E59 E61 E63 E65 E67 E69 E71 E73 E75">
    <cfRule type="cellIs" dxfId="382" priority="412" operator="equal">
      <formula>0</formula>
    </cfRule>
  </conditionalFormatting>
  <conditionalFormatting sqref="E55 E57 E59 E61 E63 E65 E67 E69 E71 E73 E75">
    <cfRule type="cellIs" dxfId="381" priority="411" operator="notEqual">
      <formula>0</formula>
    </cfRule>
  </conditionalFormatting>
  <conditionalFormatting sqref="E56 E58 E60 E62 E64 E66 E68 E70 E72 E74 E76">
    <cfRule type="cellIs" dxfId="380" priority="410" operator="equal">
      <formula>0</formula>
    </cfRule>
  </conditionalFormatting>
  <conditionalFormatting sqref="E56 E58 E60 E62 E64 E66 E68 E70 E72 E74 E76">
    <cfRule type="cellIs" dxfId="379" priority="409" operator="notEqual">
      <formula>0</formula>
    </cfRule>
  </conditionalFormatting>
  <conditionalFormatting sqref="D83">
    <cfRule type="cellIs" dxfId="378" priority="408" operator="equal">
      <formula>0</formula>
    </cfRule>
  </conditionalFormatting>
  <conditionalFormatting sqref="D83">
    <cfRule type="cellIs" dxfId="377" priority="407" operator="notEqual">
      <formula>0</formula>
    </cfRule>
  </conditionalFormatting>
  <conditionalFormatting sqref="D84">
    <cfRule type="cellIs" dxfId="376" priority="406" operator="equal">
      <formula>0</formula>
    </cfRule>
  </conditionalFormatting>
  <conditionalFormatting sqref="D84">
    <cfRule type="cellIs" dxfId="375" priority="405" operator="notEqual">
      <formula>0</formula>
    </cfRule>
  </conditionalFormatting>
  <conditionalFormatting sqref="E83">
    <cfRule type="cellIs" dxfId="374" priority="404" operator="equal">
      <formula>0</formula>
    </cfRule>
  </conditionalFormatting>
  <conditionalFormatting sqref="E83">
    <cfRule type="cellIs" dxfId="373" priority="403" operator="notEqual">
      <formula>0</formula>
    </cfRule>
  </conditionalFormatting>
  <conditionalFormatting sqref="E84">
    <cfRule type="cellIs" dxfId="372" priority="402" operator="equal">
      <formula>0</formula>
    </cfRule>
  </conditionalFormatting>
  <conditionalFormatting sqref="E84">
    <cfRule type="cellIs" dxfId="371" priority="401" operator="notEqual">
      <formula>0</formula>
    </cfRule>
  </conditionalFormatting>
  <conditionalFormatting sqref="D85">
    <cfRule type="cellIs" dxfId="370" priority="400" operator="equal">
      <formula>0</formula>
    </cfRule>
  </conditionalFormatting>
  <conditionalFormatting sqref="D85">
    <cfRule type="cellIs" dxfId="369" priority="399" operator="notEqual">
      <formula>0</formula>
    </cfRule>
  </conditionalFormatting>
  <conditionalFormatting sqref="D86">
    <cfRule type="cellIs" dxfId="368" priority="398" operator="equal">
      <formula>0</formula>
    </cfRule>
  </conditionalFormatting>
  <conditionalFormatting sqref="D86">
    <cfRule type="cellIs" dxfId="367" priority="397" operator="notEqual">
      <formula>0</formula>
    </cfRule>
  </conditionalFormatting>
  <conditionalFormatting sqref="E85">
    <cfRule type="cellIs" dxfId="366" priority="396" operator="equal">
      <formula>0</formula>
    </cfRule>
  </conditionalFormatting>
  <conditionalFormatting sqref="E85">
    <cfRule type="cellIs" dxfId="365" priority="395" operator="notEqual">
      <formula>0</formula>
    </cfRule>
  </conditionalFormatting>
  <conditionalFormatting sqref="E86">
    <cfRule type="cellIs" dxfId="364" priority="394" operator="equal">
      <formula>0</formula>
    </cfRule>
  </conditionalFormatting>
  <conditionalFormatting sqref="E86">
    <cfRule type="cellIs" dxfId="363" priority="393" operator="notEqual">
      <formula>0</formula>
    </cfRule>
  </conditionalFormatting>
  <conditionalFormatting sqref="D89">
    <cfRule type="cellIs" dxfId="362" priority="392" operator="equal">
      <formula>0</formula>
    </cfRule>
  </conditionalFormatting>
  <conditionalFormatting sqref="D89">
    <cfRule type="cellIs" dxfId="361" priority="391" operator="notEqual">
      <formula>0</formula>
    </cfRule>
  </conditionalFormatting>
  <conditionalFormatting sqref="D90">
    <cfRule type="cellIs" dxfId="360" priority="390" operator="equal">
      <formula>0</formula>
    </cfRule>
  </conditionalFormatting>
  <conditionalFormatting sqref="D90">
    <cfRule type="cellIs" dxfId="359" priority="389" operator="notEqual">
      <formula>0</formula>
    </cfRule>
  </conditionalFormatting>
  <conditionalFormatting sqref="E89">
    <cfRule type="cellIs" dxfId="358" priority="388" operator="equal">
      <formula>0</formula>
    </cfRule>
  </conditionalFormatting>
  <conditionalFormatting sqref="E89">
    <cfRule type="cellIs" dxfId="357" priority="387" operator="notEqual">
      <formula>0</formula>
    </cfRule>
  </conditionalFormatting>
  <conditionalFormatting sqref="E90">
    <cfRule type="cellIs" dxfId="356" priority="386" operator="equal">
      <formula>0</formula>
    </cfRule>
  </conditionalFormatting>
  <conditionalFormatting sqref="E90">
    <cfRule type="cellIs" dxfId="355" priority="385" operator="notEqual">
      <formula>0</formula>
    </cfRule>
  </conditionalFormatting>
  <conditionalFormatting sqref="D91">
    <cfRule type="cellIs" dxfId="354" priority="384" operator="equal">
      <formula>0</formula>
    </cfRule>
  </conditionalFormatting>
  <conditionalFormatting sqref="D91">
    <cfRule type="cellIs" dxfId="353" priority="383" operator="notEqual">
      <formula>0</formula>
    </cfRule>
  </conditionalFormatting>
  <conditionalFormatting sqref="D92">
    <cfRule type="cellIs" dxfId="352" priority="382" operator="equal">
      <formula>0</formula>
    </cfRule>
  </conditionalFormatting>
  <conditionalFormatting sqref="D92">
    <cfRule type="cellIs" dxfId="351" priority="381" operator="notEqual">
      <formula>0</formula>
    </cfRule>
  </conditionalFormatting>
  <conditionalFormatting sqref="E91">
    <cfRule type="cellIs" dxfId="350" priority="380" operator="equal">
      <formula>0</formula>
    </cfRule>
  </conditionalFormatting>
  <conditionalFormatting sqref="E91">
    <cfRule type="cellIs" dxfId="349" priority="379" operator="notEqual">
      <formula>0</formula>
    </cfRule>
  </conditionalFormatting>
  <conditionalFormatting sqref="E92">
    <cfRule type="cellIs" dxfId="348" priority="378" operator="equal">
      <formula>0</formula>
    </cfRule>
  </conditionalFormatting>
  <conditionalFormatting sqref="E92">
    <cfRule type="cellIs" dxfId="347" priority="377" operator="notEqual">
      <formula>0</formula>
    </cfRule>
  </conditionalFormatting>
  <conditionalFormatting sqref="D95">
    <cfRule type="cellIs" dxfId="346" priority="376" operator="equal">
      <formula>0</formula>
    </cfRule>
  </conditionalFormatting>
  <conditionalFormatting sqref="D95">
    <cfRule type="cellIs" dxfId="345" priority="375" operator="notEqual">
      <formula>0</formula>
    </cfRule>
  </conditionalFormatting>
  <conditionalFormatting sqref="D96">
    <cfRule type="cellIs" dxfId="344" priority="374" operator="equal">
      <formula>0</formula>
    </cfRule>
  </conditionalFormatting>
  <conditionalFormatting sqref="D96">
    <cfRule type="cellIs" dxfId="343" priority="373" operator="notEqual">
      <formula>0</formula>
    </cfRule>
  </conditionalFormatting>
  <conditionalFormatting sqref="E95">
    <cfRule type="cellIs" dxfId="342" priority="372" operator="equal">
      <formula>0</formula>
    </cfRule>
  </conditionalFormatting>
  <conditionalFormatting sqref="E95">
    <cfRule type="cellIs" dxfId="341" priority="371" operator="notEqual">
      <formula>0</formula>
    </cfRule>
  </conditionalFormatting>
  <conditionalFormatting sqref="E96">
    <cfRule type="cellIs" dxfId="340" priority="370" operator="equal">
      <formula>0</formula>
    </cfRule>
  </conditionalFormatting>
  <conditionalFormatting sqref="E96">
    <cfRule type="cellIs" dxfId="339" priority="369" operator="notEqual">
      <formula>0</formula>
    </cfRule>
  </conditionalFormatting>
  <conditionalFormatting sqref="D97">
    <cfRule type="cellIs" dxfId="338" priority="368" operator="equal">
      <formula>0</formula>
    </cfRule>
  </conditionalFormatting>
  <conditionalFormatting sqref="D97">
    <cfRule type="cellIs" dxfId="337" priority="367" operator="notEqual">
      <formula>0</formula>
    </cfRule>
  </conditionalFormatting>
  <conditionalFormatting sqref="D98">
    <cfRule type="cellIs" dxfId="336" priority="366" operator="equal">
      <formula>0</formula>
    </cfRule>
  </conditionalFormatting>
  <conditionalFormatting sqref="D98">
    <cfRule type="cellIs" dxfId="335" priority="365" operator="notEqual">
      <formula>0</formula>
    </cfRule>
  </conditionalFormatting>
  <conditionalFormatting sqref="E97">
    <cfRule type="cellIs" dxfId="334" priority="364" operator="equal">
      <formula>0</formula>
    </cfRule>
  </conditionalFormatting>
  <conditionalFormatting sqref="E97">
    <cfRule type="cellIs" dxfId="333" priority="363" operator="notEqual">
      <formula>0</formula>
    </cfRule>
  </conditionalFormatting>
  <conditionalFormatting sqref="E98">
    <cfRule type="cellIs" dxfId="332" priority="362" operator="equal">
      <formula>0</formula>
    </cfRule>
  </conditionalFormatting>
  <conditionalFormatting sqref="E98">
    <cfRule type="cellIs" dxfId="331" priority="361" operator="notEqual">
      <formula>0</formula>
    </cfRule>
  </conditionalFormatting>
  <conditionalFormatting sqref="D99">
    <cfRule type="cellIs" dxfId="330" priority="360" operator="equal">
      <formula>0</formula>
    </cfRule>
  </conditionalFormatting>
  <conditionalFormatting sqref="D99">
    <cfRule type="cellIs" dxfId="329" priority="359" operator="notEqual">
      <formula>0</formula>
    </cfRule>
  </conditionalFormatting>
  <conditionalFormatting sqref="D100">
    <cfRule type="cellIs" dxfId="328" priority="358" operator="equal">
      <formula>0</formula>
    </cfRule>
  </conditionalFormatting>
  <conditionalFormatting sqref="D100">
    <cfRule type="cellIs" dxfId="327" priority="357" operator="notEqual">
      <formula>0</formula>
    </cfRule>
  </conditionalFormatting>
  <conditionalFormatting sqref="E99">
    <cfRule type="cellIs" dxfId="326" priority="356" operator="equal">
      <formula>0</formula>
    </cfRule>
  </conditionalFormatting>
  <conditionalFormatting sqref="E99">
    <cfRule type="cellIs" dxfId="325" priority="355" operator="notEqual">
      <formula>0</formula>
    </cfRule>
  </conditionalFormatting>
  <conditionalFormatting sqref="E100">
    <cfRule type="cellIs" dxfId="324" priority="354" operator="equal">
      <formula>0</formula>
    </cfRule>
  </conditionalFormatting>
  <conditionalFormatting sqref="E100">
    <cfRule type="cellIs" dxfId="323" priority="353" operator="notEqual">
      <formula>0</formula>
    </cfRule>
  </conditionalFormatting>
  <conditionalFormatting sqref="D101">
    <cfRule type="cellIs" dxfId="322" priority="352" operator="equal">
      <formula>0</formula>
    </cfRule>
  </conditionalFormatting>
  <conditionalFormatting sqref="D101">
    <cfRule type="cellIs" dxfId="321" priority="351" operator="notEqual">
      <formula>0</formula>
    </cfRule>
  </conditionalFormatting>
  <conditionalFormatting sqref="D102">
    <cfRule type="cellIs" dxfId="320" priority="350" operator="equal">
      <formula>0</formula>
    </cfRule>
  </conditionalFormatting>
  <conditionalFormatting sqref="D102">
    <cfRule type="cellIs" dxfId="319" priority="349" operator="notEqual">
      <formula>0</formula>
    </cfRule>
  </conditionalFormatting>
  <conditionalFormatting sqref="E101">
    <cfRule type="cellIs" dxfId="318" priority="348" operator="equal">
      <formula>0</formula>
    </cfRule>
  </conditionalFormatting>
  <conditionalFormatting sqref="E101">
    <cfRule type="cellIs" dxfId="317" priority="347" operator="notEqual">
      <formula>0</formula>
    </cfRule>
  </conditionalFormatting>
  <conditionalFormatting sqref="E102">
    <cfRule type="cellIs" dxfId="316" priority="346" operator="equal">
      <formula>0</formula>
    </cfRule>
  </conditionalFormatting>
  <conditionalFormatting sqref="E102">
    <cfRule type="cellIs" dxfId="315" priority="345" operator="notEqual">
      <formula>0</formula>
    </cfRule>
  </conditionalFormatting>
  <conditionalFormatting sqref="D103">
    <cfRule type="cellIs" dxfId="314" priority="344" operator="equal">
      <formula>0</formula>
    </cfRule>
  </conditionalFormatting>
  <conditionalFormatting sqref="D103">
    <cfRule type="cellIs" dxfId="313" priority="343" operator="notEqual">
      <formula>0</formula>
    </cfRule>
  </conditionalFormatting>
  <conditionalFormatting sqref="D104">
    <cfRule type="cellIs" dxfId="312" priority="342" operator="equal">
      <formula>0</formula>
    </cfRule>
  </conditionalFormatting>
  <conditionalFormatting sqref="D104">
    <cfRule type="cellIs" dxfId="311" priority="341" operator="notEqual">
      <formula>0</formula>
    </cfRule>
  </conditionalFormatting>
  <conditionalFormatting sqref="E103">
    <cfRule type="cellIs" dxfId="310" priority="340" operator="equal">
      <formula>0</formula>
    </cfRule>
  </conditionalFormatting>
  <conditionalFormatting sqref="E103">
    <cfRule type="cellIs" dxfId="309" priority="339" operator="notEqual">
      <formula>0</formula>
    </cfRule>
  </conditionalFormatting>
  <conditionalFormatting sqref="E104">
    <cfRule type="cellIs" dxfId="308" priority="338" operator="equal">
      <formula>0</formula>
    </cfRule>
  </conditionalFormatting>
  <conditionalFormatting sqref="E104">
    <cfRule type="cellIs" dxfId="307" priority="337" operator="notEqual">
      <formula>0</formula>
    </cfRule>
  </conditionalFormatting>
  <conditionalFormatting sqref="D107">
    <cfRule type="cellIs" dxfId="306" priority="336" operator="equal">
      <formula>0</formula>
    </cfRule>
  </conditionalFormatting>
  <conditionalFormatting sqref="D107">
    <cfRule type="cellIs" dxfId="305" priority="335" operator="notEqual">
      <formula>0</formula>
    </cfRule>
  </conditionalFormatting>
  <conditionalFormatting sqref="D108">
    <cfRule type="cellIs" dxfId="304" priority="334" operator="equal">
      <formula>0</formula>
    </cfRule>
  </conditionalFormatting>
  <conditionalFormatting sqref="D108">
    <cfRule type="cellIs" dxfId="303" priority="333" operator="notEqual">
      <formula>0</formula>
    </cfRule>
  </conditionalFormatting>
  <conditionalFormatting sqref="E107">
    <cfRule type="cellIs" dxfId="302" priority="332" operator="equal">
      <formula>0</formula>
    </cfRule>
  </conditionalFormatting>
  <conditionalFormatting sqref="E107">
    <cfRule type="cellIs" dxfId="301" priority="331" operator="notEqual">
      <formula>0</formula>
    </cfRule>
  </conditionalFormatting>
  <conditionalFormatting sqref="E108">
    <cfRule type="cellIs" dxfId="300" priority="330" operator="equal">
      <formula>0</formula>
    </cfRule>
  </conditionalFormatting>
  <conditionalFormatting sqref="E108">
    <cfRule type="cellIs" dxfId="299" priority="329" operator="notEqual">
      <formula>0</formula>
    </cfRule>
  </conditionalFormatting>
  <conditionalFormatting sqref="D111">
    <cfRule type="cellIs" dxfId="298" priority="328" operator="equal">
      <formula>0</formula>
    </cfRule>
  </conditionalFormatting>
  <conditionalFormatting sqref="D111">
    <cfRule type="cellIs" dxfId="297" priority="327" operator="notEqual">
      <formula>0</formula>
    </cfRule>
  </conditionalFormatting>
  <conditionalFormatting sqref="D112">
    <cfRule type="cellIs" dxfId="296" priority="326" operator="equal">
      <formula>0</formula>
    </cfRule>
  </conditionalFormatting>
  <conditionalFormatting sqref="D112">
    <cfRule type="cellIs" dxfId="295" priority="325" operator="notEqual">
      <formula>0</formula>
    </cfRule>
  </conditionalFormatting>
  <conditionalFormatting sqref="E111">
    <cfRule type="cellIs" dxfId="294" priority="324" operator="equal">
      <formula>0</formula>
    </cfRule>
  </conditionalFormatting>
  <conditionalFormatting sqref="E111">
    <cfRule type="cellIs" dxfId="293" priority="323" operator="notEqual">
      <formula>0</formula>
    </cfRule>
  </conditionalFormatting>
  <conditionalFormatting sqref="E112">
    <cfRule type="cellIs" dxfId="292" priority="322" operator="equal">
      <formula>0</formula>
    </cfRule>
  </conditionalFormatting>
  <conditionalFormatting sqref="E112">
    <cfRule type="cellIs" dxfId="291" priority="321" operator="notEqual">
      <formula>0</formula>
    </cfRule>
  </conditionalFormatting>
  <conditionalFormatting sqref="D113">
    <cfRule type="cellIs" dxfId="290" priority="320" operator="equal">
      <formula>0</formula>
    </cfRule>
  </conditionalFormatting>
  <conditionalFormatting sqref="D113">
    <cfRule type="cellIs" dxfId="289" priority="319" operator="notEqual">
      <formula>0</formula>
    </cfRule>
  </conditionalFormatting>
  <conditionalFormatting sqref="D114">
    <cfRule type="cellIs" dxfId="288" priority="318" operator="equal">
      <formula>0</formula>
    </cfRule>
  </conditionalFormatting>
  <conditionalFormatting sqref="D114">
    <cfRule type="cellIs" dxfId="287" priority="317" operator="notEqual">
      <formula>0</formula>
    </cfRule>
  </conditionalFormatting>
  <conditionalFormatting sqref="E113">
    <cfRule type="cellIs" dxfId="286" priority="316" operator="equal">
      <formula>0</formula>
    </cfRule>
  </conditionalFormatting>
  <conditionalFormatting sqref="E113">
    <cfRule type="cellIs" dxfId="285" priority="315" operator="notEqual">
      <formula>0</formula>
    </cfRule>
  </conditionalFormatting>
  <conditionalFormatting sqref="E114">
    <cfRule type="cellIs" dxfId="284" priority="314" operator="equal">
      <formula>0</formula>
    </cfRule>
  </conditionalFormatting>
  <conditionalFormatting sqref="E114">
    <cfRule type="cellIs" dxfId="283" priority="313" operator="notEqual">
      <formula>0</formula>
    </cfRule>
  </conditionalFormatting>
  <conditionalFormatting sqref="D115">
    <cfRule type="cellIs" dxfId="282" priority="312" operator="equal">
      <formula>0</formula>
    </cfRule>
  </conditionalFormatting>
  <conditionalFormatting sqref="D115">
    <cfRule type="cellIs" dxfId="281" priority="311" operator="notEqual">
      <formula>0</formula>
    </cfRule>
  </conditionalFormatting>
  <conditionalFormatting sqref="D116">
    <cfRule type="cellIs" dxfId="280" priority="310" operator="equal">
      <formula>0</formula>
    </cfRule>
  </conditionalFormatting>
  <conditionalFormatting sqref="D116">
    <cfRule type="cellIs" dxfId="279" priority="309" operator="notEqual">
      <formula>0</formula>
    </cfRule>
  </conditionalFormatting>
  <conditionalFormatting sqref="E115">
    <cfRule type="cellIs" dxfId="278" priority="308" operator="equal">
      <formula>0</formula>
    </cfRule>
  </conditionalFormatting>
  <conditionalFormatting sqref="E115">
    <cfRule type="cellIs" dxfId="277" priority="307" operator="notEqual">
      <formula>0</formula>
    </cfRule>
  </conditionalFormatting>
  <conditionalFormatting sqref="E116">
    <cfRule type="cellIs" dxfId="276" priority="306" operator="equal">
      <formula>0</formula>
    </cfRule>
  </conditionalFormatting>
  <conditionalFormatting sqref="E116">
    <cfRule type="cellIs" dxfId="275" priority="305" operator="notEqual">
      <formula>0</formula>
    </cfRule>
  </conditionalFormatting>
  <conditionalFormatting sqref="D117">
    <cfRule type="cellIs" dxfId="274" priority="304" operator="equal">
      <formula>0</formula>
    </cfRule>
  </conditionalFormatting>
  <conditionalFormatting sqref="D117">
    <cfRule type="cellIs" dxfId="273" priority="303" operator="notEqual">
      <formula>0</formula>
    </cfRule>
  </conditionalFormatting>
  <conditionalFormatting sqref="D118">
    <cfRule type="cellIs" dxfId="272" priority="302" operator="equal">
      <formula>0</formula>
    </cfRule>
  </conditionalFormatting>
  <conditionalFormatting sqref="D118">
    <cfRule type="cellIs" dxfId="271" priority="301" operator="notEqual">
      <formula>0</formula>
    </cfRule>
  </conditionalFormatting>
  <conditionalFormatting sqref="E117">
    <cfRule type="cellIs" dxfId="270" priority="300" operator="equal">
      <formula>0</formula>
    </cfRule>
  </conditionalFormatting>
  <conditionalFormatting sqref="E117">
    <cfRule type="cellIs" dxfId="269" priority="299" operator="notEqual">
      <formula>0</formula>
    </cfRule>
  </conditionalFormatting>
  <conditionalFormatting sqref="E118">
    <cfRule type="cellIs" dxfId="268" priority="298" operator="equal">
      <formula>0</formula>
    </cfRule>
  </conditionalFormatting>
  <conditionalFormatting sqref="E118">
    <cfRule type="cellIs" dxfId="267" priority="297" operator="notEqual">
      <formula>0</formula>
    </cfRule>
  </conditionalFormatting>
  <conditionalFormatting sqref="D119">
    <cfRule type="cellIs" dxfId="266" priority="296" operator="equal">
      <formula>0</formula>
    </cfRule>
  </conditionalFormatting>
  <conditionalFormatting sqref="D119">
    <cfRule type="cellIs" dxfId="265" priority="295" operator="notEqual">
      <formula>0</formula>
    </cfRule>
  </conditionalFormatting>
  <conditionalFormatting sqref="D120">
    <cfRule type="cellIs" dxfId="264" priority="294" operator="equal">
      <formula>0</formula>
    </cfRule>
  </conditionalFormatting>
  <conditionalFormatting sqref="D120">
    <cfRule type="cellIs" dxfId="263" priority="293" operator="notEqual">
      <formula>0</formula>
    </cfRule>
  </conditionalFormatting>
  <conditionalFormatting sqref="E119">
    <cfRule type="cellIs" dxfId="262" priority="292" operator="equal">
      <formula>0</formula>
    </cfRule>
  </conditionalFormatting>
  <conditionalFormatting sqref="E119">
    <cfRule type="cellIs" dxfId="261" priority="291" operator="notEqual">
      <formula>0</formula>
    </cfRule>
  </conditionalFormatting>
  <conditionalFormatting sqref="E120">
    <cfRule type="cellIs" dxfId="260" priority="290" operator="equal">
      <formula>0</formula>
    </cfRule>
  </conditionalFormatting>
  <conditionalFormatting sqref="E120">
    <cfRule type="cellIs" dxfId="259" priority="289" operator="notEqual">
      <formula>0</formula>
    </cfRule>
  </conditionalFormatting>
  <conditionalFormatting sqref="D121">
    <cfRule type="cellIs" dxfId="258" priority="288" operator="equal">
      <formula>0</formula>
    </cfRule>
  </conditionalFormatting>
  <conditionalFormatting sqref="D121">
    <cfRule type="cellIs" dxfId="257" priority="287" operator="notEqual">
      <formula>0</formula>
    </cfRule>
  </conditionalFormatting>
  <conditionalFormatting sqref="D122">
    <cfRule type="cellIs" dxfId="256" priority="286" operator="equal">
      <formula>0</formula>
    </cfRule>
  </conditionalFormatting>
  <conditionalFormatting sqref="D122">
    <cfRule type="cellIs" dxfId="255" priority="285" operator="notEqual">
      <formula>0</formula>
    </cfRule>
  </conditionalFormatting>
  <conditionalFormatting sqref="E121">
    <cfRule type="cellIs" dxfId="254" priority="284" operator="equal">
      <formula>0</formula>
    </cfRule>
  </conditionalFormatting>
  <conditionalFormatting sqref="E121">
    <cfRule type="cellIs" dxfId="253" priority="283" operator="notEqual">
      <formula>0</formula>
    </cfRule>
  </conditionalFormatting>
  <conditionalFormatting sqref="E122">
    <cfRule type="cellIs" dxfId="252" priority="282" operator="equal">
      <formula>0</formula>
    </cfRule>
  </conditionalFormatting>
  <conditionalFormatting sqref="E122">
    <cfRule type="cellIs" dxfId="251" priority="281" operator="notEqual">
      <formula>0</formula>
    </cfRule>
  </conditionalFormatting>
  <conditionalFormatting sqref="D123">
    <cfRule type="cellIs" dxfId="250" priority="280" operator="equal">
      <formula>0</formula>
    </cfRule>
  </conditionalFormatting>
  <conditionalFormatting sqref="D123">
    <cfRule type="cellIs" dxfId="249" priority="279" operator="notEqual">
      <formula>0</formula>
    </cfRule>
  </conditionalFormatting>
  <conditionalFormatting sqref="D124">
    <cfRule type="cellIs" dxfId="248" priority="278" operator="equal">
      <formula>0</formula>
    </cfRule>
  </conditionalFormatting>
  <conditionalFormatting sqref="D124">
    <cfRule type="cellIs" dxfId="247" priority="277" operator="notEqual">
      <formula>0</formula>
    </cfRule>
  </conditionalFormatting>
  <conditionalFormatting sqref="E123">
    <cfRule type="cellIs" dxfId="246" priority="276" operator="equal">
      <formula>0</formula>
    </cfRule>
  </conditionalFormatting>
  <conditionalFormatting sqref="E123">
    <cfRule type="cellIs" dxfId="245" priority="275" operator="notEqual">
      <formula>0</formula>
    </cfRule>
  </conditionalFormatting>
  <conditionalFormatting sqref="E124">
    <cfRule type="cellIs" dxfId="244" priority="274" operator="equal">
      <formula>0</formula>
    </cfRule>
  </conditionalFormatting>
  <conditionalFormatting sqref="E124">
    <cfRule type="cellIs" dxfId="243" priority="273" operator="notEqual">
      <formula>0</formula>
    </cfRule>
  </conditionalFormatting>
  <conditionalFormatting sqref="D125">
    <cfRule type="cellIs" dxfId="242" priority="272" operator="equal">
      <formula>0</formula>
    </cfRule>
  </conditionalFormatting>
  <conditionalFormatting sqref="D125">
    <cfRule type="cellIs" dxfId="241" priority="271" operator="notEqual">
      <formula>0</formula>
    </cfRule>
  </conditionalFormatting>
  <conditionalFormatting sqref="D126">
    <cfRule type="cellIs" dxfId="240" priority="270" operator="equal">
      <formula>0</formula>
    </cfRule>
  </conditionalFormatting>
  <conditionalFormatting sqref="D126">
    <cfRule type="cellIs" dxfId="239" priority="269" operator="notEqual">
      <formula>0</formula>
    </cfRule>
  </conditionalFormatting>
  <conditionalFormatting sqref="E125">
    <cfRule type="cellIs" dxfId="238" priority="268" operator="equal">
      <formula>0</formula>
    </cfRule>
  </conditionalFormatting>
  <conditionalFormatting sqref="E125">
    <cfRule type="cellIs" dxfId="237" priority="267" operator="notEqual">
      <formula>0</formula>
    </cfRule>
  </conditionalFormatting>
  <conditionalFormatting sqref="E126">
    <cfRule type="cellIs" dxfId="236" priority="266" operator="equal">
      <formula>0</formula>
    </cfRule>
  </conditionalFormatting>
  <conditionalFormatting sqref="E126">
    <cfRule type="cellIs" dxfId="235" priority="265" operator="notEqual">
      <formula>0</formula>
    </cfRule>
  </conditionalFormatting>
  <conditionalFormatting sqref="D129 D131">
    <cfRule type="cellIs" dxfId="234" priority="264" operator="equal">
      <formula>0</formula>
    </cfRule>
  </conditionalFormatting>
  <conditionalFormatting sqref="D129 D131">
    <cfRule type="cellIs" dxfId="233" priority="263" operator="notEqual">
      <formula>0</formula>
    </cfRule>
  </conditionalFormatting>
  <conditionalFormatting sqref="D130 D132">
    <cfRule type="cellIs" dxfId="232" priority="262" operator="equal">
      <formula>0</formula>
    </cfRule>
  </conditionalFormatting>
  <conditionalFormatting sqref="D130 D132">
    <cfRule type="cellIs" dxfId="231" priority="261" operator="notEqual">
      <formula>0</formula>
    </cfRule>
  </conditionalFormatting>
  <conditionalFormatting sqref="E129 E131">
    <cfRule type="cellIs" dxfId="230" priority="260" operator="equal">
      <formula>0</formula>
    </cfRule>
  </conditionalFormatting>
  <conditionalFormatting sqref="E129 E131">
    <cfRule type="cellIs" dxfId="229" priority="259" operator="notEqual">
      <formula>0</formula>
    </cfRule>
  </conditionalFormatting>
  <conditionalFormatting sqref="E130 E132">
    <cfRule type="cellIs" dxfId="228" priority="258" operator="equal">
      <formula>0</formula>
    </cfRule>
  </conditionalFormatting>
  <conditionalFormatting sqref="E130 E132">
    <cfRule type="cellIs" dxfId="227" priority="257" operator="notEqual">
      <formula>0</formula>
    </cfRule>
  </conditionalFormatting>
  <conditionalFormatting sqref="D137 D139">
    <cfRule type="cellIs" dxfId="226" priority="256" operator="equal">
      <formula>0</formula>
    </cfRule>
  </conditionalFormatting>
  <conditionalFormatting sqref="D137 D139">
    <cfRule type="cellIs" dxfId="225" priority="255" operator="notEqual">
      <formula>0</formula>
    </cfRule>
  </conditionalFormatting>
  <conditionalFormatting sqref="D138 D140">
    <cfRule type="cellIs" dxfId="224" priority="254" operator="equal">
      <formula>0</formula>
    </cfRule>
  </conditionalFormatting>
  <conditionalFormatting sqref="D138 D140">
    <cfRule type="cellIs" dxfId="223" priority="253" operator="notEqual">
      <formula>0</formula>
    </cfRule>
  </conditionalFormatting>
  <conditionalFormatting sqref="E137 E139">
    <cfRule type="cellIs" dxfId="222" priority="252" operator="equal">
      <formula>0</formula>
    </cfRule>
  </conditionalFormatting>
  <conditionalFormatting sqref="E137 E139">
    <cfRule type="cellIs" dxfId="221" priority="251" operator="notEqual">
      <formula>0</formula>
    </cfRule>
  </conditionalFormatting>
  <conditionalFormatting sqref="E138 E140">
    <cfRule type="cellIs" dxfId="220" priority="250" operator="equal">
      <formula>0</formula>
    </cfRule>
  </conditionalFormatting>
  <conditionalFormatting sqref="E138 E140">
    <cfRule type="cellIs" dxfId="219" priority="249" operator="notEqual">
      <formula>0</formula>
    </cfRule>
  </conditionalFormatting>
  <conditionalFormatting sqref="D143 D145">
    <cfRule type="cellIs" dxfId="218" priority="248" operator="equal">
      <formula>0</formula>
    </cfRule>
  </conditionalFormatting>
  <conditionalFormatting sqref="D143 D145">
    <cfRule type="cellIs" dxfId="217" priority="247" operator="notEqual">
      <formula>0</formula>
    </cfRule>
  </conditionalFormatting>
  <conditionalFormatting sqref="D144 D146">
    <cfRule type="cellIs" dxfId="216" priority="246" operator="equal">
      <formula>0</formula>
    </cfRule>
  </conditionalFormatting>
  <conditionalFormatting sqref="D144 D146">
    <cfRule type="cellIs" dxfId="215" priority="245" operator="notEqual">
      <formula>0</formula>
    </cfRule>
  </conditionalFormatting>
  <conditionalFormatting sqref="E143 E145">
    <cfRule type="cellIs" dxfId="214" priority="244" operator="equal">
      <formula>0</formula>
    </cfRule>
  </conditionalFormatting>
  <conditionalFormatting sqref="E143 E145">
    <cfRule type="cellIs" dxfId="213" priority="243" operator="notEqual">
      <formula>0</formula>
    </cfRule>
  </conditionalFormatting>
  <conditionalFormatting sqref="E144 E146">
    <cfRule type="cellIs" dxfId="212" priority="242" operator="equal">
      <formula>0</formula>
    </cfRule>
  </conditionalFormatting>
  <conditionalFormatting sqref="E144 E146">
    <cfRule type="cellIs" dxfId="211" priority="241" operator="notEqual">
      <formula>0</formula>
    </cfRule>
  </conditionalFormatting>
  <conditionalFormatting sqref="D149 D151">
    <cfRule type="cellIs" dxfId="210" priority="240" operator="equal">
      <formula>0</formula>
    </cfRule>
  </conditionalFormatting>
  <conditionalFormatting sqref="D149 D151">
    <cfRule type="cellIs" dxfId="209" priority="239" operator="notEqual">
      <formula>0</formula>
    </cfRule>
  </conditionalFormatting>
  <conditionalFormatting sqref="D150 D152">
    <cfRule type="cellIs" dxfId="208" priority="238" operator="equal">
      <formula>0</formula>
    </cfRule>
  </conditionalFormatting>
  <conditionalFormatting sqref="D150 D152">
    <cfRule type="cellIs" dxfId="207" priority="237" operator="notEqual">
      <formula>0</formula>
    </cfRule>
  </conditionalFormatting>
  <conditionalFormatting sqref="E149 E151">
    <cfRule type="cellIs" dxfId="206" priority="236" operator="equal">
      <formula>0</formula>
    </cfRule>
  </conditionalFormatting>
  <conditionalFormatting sqref="E149 E151">
    <cfRule type="cellIs" dxfId="205" priority="235" operator="notEqual">
      <formula>0</formula>
    </cfRule>
  </conditionalFormatting>
  <conditionalFormatting sqref="E150 E152">
    <cfRule type="cellIs" dxfId="204" priority="234" operator="equal">
      <formula>0</formula>
    </cfRule>
  </conditionalFormatting>
  <conditionalFormatting sqref="E150 E152">
    <cfRule type="cellIs" dxfId="203" priority="233" operator="notEqual">
      <formula>0</formula>
    </cfRule>
  </conditionalFormatting>
  <conditionalFormatting sqref="D155">
    <cfRule type="cellIs" dxfId="202" priority="232" operator="equal">
      <formula>0</formula>
    </cfRule>
  </conditionalFormatting>
  <conditionalFormatting sqref="D155">
    <cfRule type="cellIs" dxfId="201" priority="231" operator="notEqual">
      <formula>0</formula>
    </cfRule>
  </conditionalFormatting>
  <conditionalFormatting sqref="D156">
    <cfRule type="cellIs" dxfId="200" priority="230" operator="equal">
      <formula>0</formula>
    </cfRule>
  </conditionalFormatting>
  <conditionalFormatting sqref="D156">
    <cfRule type="cellIs" dxfId="199" priority="229" operator="notEqual">
      <formula>0</formula>
    </cfRule>
  </conditionalFormatting>
  <conditionalFormatting sqref="E155">
    <cfRule type="cellIs" dxfId="198" priority="228" operator="equal">
      <formula>0</formula>
    </cfRule>
  </conditionalFormatting>
  <conditionalFormatting sqref="E155">
    <cfRule type="cellIs" dxfId="197" priority="227" operator="notEqual">
      <formula>0</formula>
    </cfRule>
  </conditionalFormatting>
  <conditionalFormatting sqref="E156">
    <cfRule type="cellIs" dxfId="196" priority="226" operator="equal">
      <formula>0</formula>
    </cfRule>
  </conditionalFormatting>
  <conditionalFormatting sqref="E156">
    <cfRule type="cellIs" dxfId="195" priority="225" operator="notEqual">
      <formula>0</formula>
    </cfRule>
  </conditionalFormatting>
  <conditionalFormatting sqref="D163 D165 D167 D169 D171">
    <cfRule type="cellIs" dxfId="194" priority="216" operator="equal">
      <formula>0</formula>
    </cfRule>
  </conditionalFormatting>
  <conditionalFormatting sqref="D163 D165 D167 D169 D171">
    <cfRule type="cellIs" dxfId="193" priority="215" operator="notEqual">
      <formula>0</formula>
    </cfRule>
  </conditionalFormatting>
  <conditionalFormatting sqref="D164 D166 D168 D170 D172">
    <cfRule type="cellIs" dxfId="192" priority="214" operator="equal">
      <formula>0</formula>
    </cfRule>
  </conditionalFormatting>
  <conditionalFormatting sqref="D164 D166 D168 D170 D172">
    <cfRule type="cellIs" dxfId="191" priority="213" operator="notEqual">
      <formula>0</formula>
    </cfRule>
  </conditionalFormatting>
  <conditionalFormatting sqref="E163 E165 E167 E169 E171">
    <cfRule type="cellIs" dxfId="190" priority="212" operator="equal">
      <formula>0</formula>
    </cfRule>
  </conditionalFormatting>
  <conditionalFormatting sqref="E163 E165 E167 E169 E171">
    <cfRule type="cellIs" dxfId="189" priority="211" operator="notEqual">
      <formula>0</formula>
    </cfRule>
  </conditionalFormatting>
  <conditionalFormatting sqref="E164 E166 E168 E170 E172">
    <cfRule type="cellIs" dxfId="188" priority="210" operator="equal">
      <formula>0</formula>
    </cfRule>
  </conditionalFormatting>
  <conditionalFormatting sqref="E164 E166 E168 E170 E172">
    <cfRule type="cellIs" dxfId="187" priority="209" operator="notEqual">
      <formula>0</formula>
    </cfRule>
  </conditionalFormatting>
  <conditionalFormatting sqref="D175 D177">
    <cfRule type="cellIs" dxfId="186" priority="208" operator="equal">
      <formula>0</formula>
    </cfRule>
  </conditionalFormatting>
  <conditionalFormatting sqref="D175 D177">
    <cfRule type="cellIs" dxfId="185" priority="207" operator="notEqual">
      <formula>0</formula>
    </cfRule>
  </conditionalFormatting>
  <conditionalFormatting sqref="D176 D178">
    <cfRule type="cellIs" dxfId="184" priority="206" operator="equal">
      <formula>0</formula>
    </cfRule>
  </conditionalFormatting>
  <conditionalFormatting sqref="D176 D178">
    <cfRule type="cellIs" dxfId="183" priority="205" operator="notEqual">
      <formula>0</formula>
    </cfRule>
  </conditionalFormatting>
  <conditionalFormatting sqref="E175 E177">
    <cfRule type="cellIs" dxfId="182" priority="204" operator="equal">
      <formula>0</formula>
    </cfRule>
  </conditionalFormatting>
  <conditionalFormatting sqref="E175 E177">
    <cfRule type="cellIs" dxfId="181" priority="203" operator="notEqual">
      <formula>0</formula>
    </cfRule>
  </conditionalFormatting>
  <conditionalFormatting sqref="E176 E178">
    <cfRule type="cellIs" dxfId="180" priority="202" operator="equal">
      <formula>0</formula>
    </cfRule>
  </conditionalFormatting>
  <conditionalFormatting sqref="E176 E178">
    <cfRule type="cellIs" dxfId="179" priority="201" operator="notEqual">
      <formula>0</formula>
    </cfRule>
  </conditionalFormatting>
  <conditionalFormatting sqref="D183">
    <cfRule type="cellIs" dxfId="178" priority="200" operator="equal">
      <formula>0</formula>
    </cfRule>
  </conditionalFormatting>
  <conditionalFormatting sqref="D183">
    <cfRule type="cellIs" dxfId="177" priority="199" operator="notEqual">
      <formula>0</formula>
    </cfRule>
  </conditionalFormatting>
  <conditionalFormatting sqref="D184">
    <cfRule type="cellIs" dxfId="176" priority="198" operator="equal">
      <formula>0</formula>
    </cfRule>
  </conditionalFormatting>
  <conditionalFormatting sqref="D184">
    <cfRule type="cellIs" dxfId="175" priority="197" operator="notEqual">
      <formula>0</formula>
    </cfRule>
  </conditionalFormatting>
  <conditionalFormatting sqref="E183">
    <cfRule type="cellIs" dxfId="174" priority="196" operator="equal">
      <formula>0</formula>
    </cfRule>
  </conditionalFormatting>
  <conditionalFormatting sqref="E183">
    <cfRule type="cellIs" dxfId="173" priority="195" operator="notEqual">
      <formula>0</formula>
    </cfRule>
  </conditionalFormatting>
  <conditionalFormatting sqref="E184">
    <cfRule type="cellIs" dxfId="172" priority="194" operator="equal">
      <formula>0</formula>
    </cfRule>
  </conditionalFormatting>
  <conditionalFormatting sqref="E184">
    <cfRule type="cellIs" dxfId="171" priority="193" operator="notEqual">
      <formula>0</formula>
    </cfRule>
  </conditionalFormatting>
  <conditionalFormatting sqref="D191">
    <cfRule type="cellIs" dxfId="170" priority="192" operator="equal">
      <formula>0</formula>
    </cfRule>
  </conditionalFormatting>
  <conditionalFormatting sqref="D191">
    <cfRule type="cellIs" dxfId="169" priority="191" operator="notEqual">
      <formula>0</formula>
    </cfRule>
  </conditionalFormatting>
  <conditionalFormatting sqref="D192">
    <cfRule type="cellIs" dxfId="168" priority="190" operator="equal">
      <formula>0</formula>
    </cfRule>
  </conditionalFormatting>
  <conditionalFormatting sqref="D192">
    <cfRule type="cellIs" dxfId="167" priority="189" operator="notEqual">
      <formula>0</formula>
    </cfRule>
  </conditionalFormatting>
  <conditionalFormatting sqref="E191">
    <cfRule type="cellIs" dxfId="166" priority="188" operator="equal">
      <formula>0</formula>
    </cfRule>
  </conditionalFormatting>
  <conditionalFormatting sqref="E191">
    <cfRule type="cellIs" dxfId="165" priority="187" operator="notEqual">
      <formula>0</formula>
    </cfRule>
  </conditionalFormatting>
  <conditionalFormatting sqref="E192">
    <cfRule type="cellIs" dxfId="164" priority="186" operator="equal">
      <formula>0</formula>
    </cfRule>
  </conditionalFormatting>
  <conditionalFormatting sqref="E192">
    <cfRule type="cellIs" dxfId="163" priority="185" operator="notEqual">
      <formula>0</formula>
    </cfRule>
  </conditionalFormatting>
  <conditionalFormatting sqref="D193">
    <cfRule type="cellIs" dxfId="162" priority="184" operator="equal">
      <formula>0</formula>
    </cfRule>
  </conditionalFormatting>
  <conditionalFormatting sqref="D193">
    <cfRule type="cellIs" dxfId="161" priority="183" operator="notEqual">
      <formula>0</formula>
    </cfRule>
  </conditionalFormatting>
  <conditionalFormatting sqref="D194">
    <cfRule type="cellIs" dxfId="160" priority="182" operator="equal">
      <formula>0</formula>
    </cfRule>
  </conditionalFormatting>
  <conditionalFormatting sqref="D194">
    <cfRule type="cellIs" dxfId="159" priority="181" operator="notEqual">
      <formula>0</formula>
    </cfRule>
  </conditionalFormatting>
  <conditionalFormatting sqref="E193">
    <cfRule type="cellIs" dxfId="158" priority="180" operator="equal">
      <formula>0</formula>
    </cfRule>
  </conditionalFormatting>
  <conditionalFormatting sqref="E193">
    <cfRule type="cellIs" dxfId="157" priority="179" operator="notEqual">
      <formula>0</formula>
    </cfRule>
  </conditionalFormatting>
  <conditionalFormatting sqref="E194">
    <cfRule type="cellIs" dxfId="156" priority="178" operator="equal">
      <formula>0</formula>
    </cfRule>
  </conditionalFormatting>
  <conditionalFormatting sqref="E194">
    <cfRule type="cellIs" dxfId="155" priority="177" operator="notEqual">
      <formula>0</formula>
    </cfRule>
  </conditionalFormatting>
  <conditionalFormatting sqref="D195">
    <cfRule type="cellIs" dxfId="154" priority="176" operator="equal">
      <formula>0</formula>
    </cfRule>
  </conditionalFormatting>
  <conditionalFormatting sqref="D195">
    <cfRule type="cellIs" dxfId="153" priority="175" operator="notEqual">
      <formula>0</formula>
    </cfRule>
  </conditionalFormatting>
  <conditionalFormatting sqref="D196">
    <cfRule type="cellIs" dxfId="152" priority="174" operator="equal">
      <formula>0</formula>
    </cfRule>
  </conditionalFormatting>
  <conditionalFormatting sqref="D196">
    <cfRule type="cellIs" dxfId="151" priority="173" operator="notEqual">
      <formula>0</formula>
    </cfRule>
  </conditionalFormatting>
  <conditionalFormatting sqref="E195">
    <cfRule type="cellIs" dxfId="150" priority="172" operator="equal">
      <formula>0</formula>
    </cfRule>
  </conditionalFormatting>
  <conditionalFormatting sqref="E195">
    <cfRule type="cellIs" dxfId="149" priority="171" operator="notEqual">
      <formula>0</formula>
    </cfRule>
  </conditionalFormatting>
  <conditionalFormatting sqref="E196">
    <cfRule type="cellIs" dxfId="148" priority="170" operator="equal">
      <formula>0</formula>
    </cfRule>
  </conditionalFormatting>
  <conditionalFormatting sqref="E196">
    <cfRule type="cellIs" dxfId="147" priority="169" operator="notEqual">
      <formula>0</formula>
    </cfRule>
  </conditionalFormatting>
  <conditionalFormatting sqref="D197">
    <cfRule type="cellIs" dxfId="146" priority="168" operator="equal">
      <formula>0</formula>
    </cfRule>
  </conditionalFormatting>
  <conditionalFormatting sqref="D197">
    <cfRule type="cellIs" dxfId="145" priority="167" operator="notEqual">
      <formula>0</formula>
    </cfRule>
  </conditionalFormatting>
  <conditionalFormatting sqref="D198">
    <cfRule type="cellIs" dxfId="144" priority="166" operator="equal">
      <formula>0</formula>
    </cfRule>
  </conditionalFormatting>
  <conditionalFormatting sqref="D198">
    <cfRule type="cellIs" dxfId="143" priority="165" operator="notEqual">
      <formula>0</formula>
    </cfRule>
  </conditionalFormatting>
  <conditionalFormatting sqref="E197">
    <cfRule type="cellIs" dxfId="142" priority="164" operator="equal">
      <formula>0</formula>
    </cfRule>
  </conditionalFormatting>
  <conditionalFormatting sqref="E197">
    <cfRule type="cellIs" dxfId="141" priority="163" operator="notEqual">
      <formula>0</formula>
    </cfRule>
  </conditionalFormatting>
  <conditionalFormatting sqref="E198">
    <cfRule type="cellIs" dxfId="140" priority="162" operator="equal">
      <formula>0</formula>
    </cfRule>
  </conditionalFormatting>
  <conditionalFormatting sqref="E198">
    <cfRule type="cellIs" dxfId="139" priority="161" operator="notEqual">
      <formula>0</formula>
    </cfRule>
  </conditionalFormatting>
  <conditionalFormatting sqref="D203">
    <cfRule type="cellIs" dxfId="138" priority="160" operator="equal">
      <formula>0</formula>
    </cfRule>
  </conditionalFormatting>
  <conditionalFormatting sqref="D203">
    <cfRule type="cellIs" dxfId="137" priority="159" operator="notEqual">
      <formula>0</formula>
    </cfRule>
  </conditionalFormatting>
  <conditionalFormatting sqref="D204">
    <cfRule type="cellIs" dxfId="136" priority="158" operator="equal">
      <formula>0</formula>
    </cfRule>
  </conditionalFormatting>
  <conditionalFormatting sqref="D204">
    <cfRule type="cellIs" dxfId="135" priority="157" operator="notEqual">
      <formula>0</formula>
    </cfRule>
  </conditionalFormatting>
  <conditionalFormatting sqref="E203">
    <cfRule type="cellIs" dxfId="134" priority="156" operator="equal">
      <formula>0</formula>
    </cfRule>
  </conditionalFormatting>
  <conditionalFormatting sqref="E203">
    <cfRule type="cellIs" dxfId="133" priority="155" operator="notEqual">
      <formula>0</formula>
    </cfRule>
  </conditionalFormatting>
  <conditionalFormatting sqref="E204">
    <cfRule type="cellIs" dxfId="132" priority="154" operator="equal">
      <formula>0</formula>
    </cfRule>
  </conditionalFormatting>
  <conditionalFormatting sqref="E204">
    <cfRule type="cellIs" dxfId="131" priority="153" operator="notEqual">
      <formula>0</formula>
    </cfRule>
  </conditionalFormatting>
  <conditionalFormatting sqref="D209">
    <cfRule type="cellIs" dxfId="130" priority="152" operator="equal">
      <formula>0</formula>
    </cfRule>
  </conditionalFormatting>
  <conditionalFormatting sqref="D209">
    <cfRule type="cellIs" dxfId="129" priority="151" operator="notEqual">
      <formula>0</formula>
    </cfRule>
  </conditionalFormatting>
  <conditionalFormatting sqref="D210">
    <cfRule type="cellIs" dxfId="128" priority="150" operator="equal">
      <formula>0</formula>
    </cfRule>
  </conditionalFormatting>
  <conditionalFormatting sqref="D210">
    <cfRule type="cellIs" dxfId="127" priority="149" operator="notEqual">
      <formula>0</formula>
    </cfRule>
  </conditionalFormatting>
  <conditionalFormatting sqref="E209">
    <cfRule type="cellIs" dxfId="126" priority="148" operator="equal">
      <formula>0</formula>
    </cfRule>
  </conditionalFormatting>
  <conditionalFormatting sqref="E209">
    <cfRule type="cellIs" dxfId="125" priority="147" operator="notEqual">
      <formula>0</formula>
    </cfRule>
  </conditionalFormatting>
  <conditionalFormatting sqref="E210">
    <cfRule type="cellIs" dxfId="124" priority="146" operator="equal">
      <formula>0</formula>
    </cfRule>
  </conditionalFormatting>
  <conditionalFormatting sqref="E210">
    <cfRule type="cellIs" dxfId="123" priority="145" operator="notEqual">
      <formula>0</formula>
    </cfRule>
  </conditionalFormatting>
  <conditionalFormatting sqref="D211">
    <cfRule type="cellIs" dxfId="122" priority="144" operator="equal">
      <formula>0</formula>
    </cfRule>
  </conditionalFormatting>
  <conditionalFormatting sqref="D211">
    <cfRule type="cellIs" dxfId="121" priority="143" operator="notEqual">
      <formula>0</formula>
    </cfRule>
  </conditionalFormatting>
  <conditionalFormatting sqref="D212">
    <cfRule type="cellIs" dxfId="120" priority="142" operator="equal">
      <formula>0</formula>
    </cfRule>
  </conditionalFormatting>
  <conditionalFormatting sqref="D212">
    <cfRule type="cellIs" dxfId="119" priority="141" operator="notEqual">
      <formula>0</formula>
    </cfRule>
  </conditionalFormatting>
  <conditionalFormatting sqref="E211">
    <cfRule type="cellIs" dxfId="118" priority="140" operator="equal">
      <formula>0</formula>
    </cfRule>
  </conditionalFormatting>
  <conditionalFormatting sqref="E211">
    <cfRule type="cellIs" dxfId="117" priority="139" operator="notEqual">
      <formula>0</formula>
    </cfRule>
  </conditionalFormatting>
  <conditionalFormatting sqref="E212">
    <cfRule type="cellIs" dxfId="116" priority="138" operator="equal">
      <formula>0</formula>
    </cfRule>
  </conditionalFormatting>
  <conditionalFormatting sqref="E212">
    <cfRule type="cellIs" dxfId="115" priority="137" operator="notEqual">
      <formula>0</formula>
    </cfRule>
  </conditionalFormatting>
  <conditionalFormatting sqref="D213">
    <cfRule type="cellIs" dxfId="114" priority="136" operator="equal">
      <formula>0</formula>
    </cfRule>
  </conditionalFormatting>
  <conditionalFormatting sqref="D213">
    <cfRule type="cellIs" dxfId="113" priority="135" operator="notEqual">
      <formula>0</formula>
    </cfRule>
  </conditionalFormatting>
  <conditionalFormatting sqref="D214">
    <cfRule type="cellIs" dxfId="112" priority="134" operator="equal">
      <formula>0</formula>
    </cfRule>
  </conditionalFormatting>
  <conditionalFormatting sqref="D214">
    <cfRule type="cellIs" dxfId="111" priority="133" operator="notEqual">
      <formula>0</formula>
    </cfRule>
  </conditionalFormatting>
  <conditionalFormatting sqref="E213">
    <cfRule type="cellIs" dxfId="110" priority="132" operator="equal">
      <formula>0</formula>
    </cfRule>
  </conditionalFormatting>
  <conditionalFormatting sqref="E213">
    <cfRule type="cellIs" dxfId="109" priority="131" operator="notEqual">
      <formula>0</formula>
    </cfRule>
  </conditionalFormatting>
  <conditionalFormatting sqref="E214">
    <cfRule type="cellIs" dxfId="108" priority="130" operator="equal">
      <formula>0</formula>
    </cfRule>
  </conditionalFormatting>
  <conditionalFormatting sqref="E214">
    <cfRule type="cellIs" dxfId="107" priority="129" operator="notEqual">
      <formula>0</formula>
    </cfRule>
  </conditionalFormatting>
  <conditionalFormatting sqref="D221">
    <cfRule type="cellIs" dxfId="106" priority="120" operator="equal">
      <formula>0</formula>
    </cfRule>
  </conditionalFormatting>
  <conditionalFormatting sqref="D221">
    <cfRule type="cellIs" dxfId="105" priority="119" operator="notEqual">
      <formula>0</formula>
    </cfRule>
  </conditionalFormatting>
  <conditionalFormatting sqref="D222">
    <cfRule type="cellIs" dxfId="104" priority="118" operator="equal">
      <formula>0</formula>
    </cfRule>
  </conditionalFormatting>
  <conditionalFormatting sqref="D222">
    <cfRule type="cellIs" dxfId="103" priority="117" operator="notEqual">
      <formula>0</formula>
    </cfRule>
  </conditionalFormatting>
  <conditionalFormatting sqref="E221">
    <cfRule type="cellIs" dxfId="102" priority="116" operator="equal">
      <formula>0</formula>
    </cfRule>
  </conditionalFormatting>
  <conditionalFormatting sqref="E221">
    <cfRule type="cellIs" dxfId="101" priority="115" operator="notEqual">
      <formula>0</formula>
    </cfRule>
  </conditionalFormatting>
  <conditionalFormatting sqref="E222">
    <cfRule type="cellIs" dxfId="100" priority="114" operator="equal">
      <formula>0</formula>
    </cfRule>
  </conditionalFormatting>
  <conditionalFormatting sqref="E222">
    <cfRule type="cellIs" dxfId="99" priority="113" operator="notEqual">
      <formula>0</formula>
    </cfRule>
  </conditionalFormatting>
  <conditionalFormatting sqref="C18">
    <cfRule type="cellIs" dxfId="98" priority="112" operator="equal">
      <formula>0</formula>
    </cfRule>
  </conditionalFormatting>
  <conditionalFormatting sqref="D17">
    <cfRule type="cellIs" dxfId="97" priority="111" operator="equal">
      <formula>0</formula>
    </cfRule>
  </conditionalFormatting>
  <conditionalFormatting sqref="D18">
    <cfRule type="cellIs" dxfId="96" priority="110" operator="equal">
      <formula>0</formula>
    </cfRule>
  </conditionalFormatting>
  <conditionalFormatting sqref="E17">
    <cfRule type="cellIs" dxfId="95" priority="109" operator="equal">
      <formula>0</formula>
    </cfRule>
  </conditionalFormatting>
  <conditionalFormatting sqref="E79">
    <cfRule type="cellIs" dxfId="94" priority="92" operator="equal">
      <formula>0</formula>
    </cfRule>
  </conditionalFormatting>
  <conditionalFormatting sqref="C32">
    <cfRule type="cellIs" dxfId="93" priority="107" operator="equal">
      <formula>0</formula>
    </cfRule>
  </conditionalFormatting>
  <conditionalFormatting sqref="D31">
    <cfRule type="cellIs" dxfId="92" priority="106" operator="equal">
      <formula>0</formula>
    </cfRule>
  </conditionalFormatting>
  <conditionalFormatting sqref="D32">
    <cfRule type="cellIs" dxfId="91" priority="105" operator="equal">
      <formula>0</formula>
    </cfRule>
  </conditionalFormatting>
  <conditionalFormatting sqref="E31">
    <cfRule type="cellIs" dxfId="90" priority="104" operator="equal">
      <formula>0</formula>
    </cfRule>
  </conditionalFormatting>
  <conditionalFormatting sqref="C134">
    <cfRule type="cellIs" dxfId="89" priority="88" operator="equal">
      <formula>0</formula>
    </cfRule>
  </conditionalFormatting>
  <conditionalFormatting sqref="E160">
    <cfRule type="cellIs" dxfId="88" priority="7" operator="equal">
      <formula>0</formula>
    </cfRule>
  </conditionalFormatting>
  <conditionalFormatting sqref="D19:D20">
    <cfRule type="cellIs" dxfId="87" priority="97" operator="equal">
      <formula>0</formula>
    </cfRule>
  </conditionalFormatting>
  <conditionalFormatting sqref="E19:E20">
    <cfRule type="cellIs" dxfId="86" priority="96" operator="equal">
      <formula>0</formula>
    </cfRule>
  </conditionalFormatting>
  <conditionalFormatting sqref="C80">
    <cfRule type="cellIs" dxfId="85" priority="95" operator="equal">
      <formula>0</formula>
    </cfRule>
  </conditionalFormatting>
  <conditionalFormatting sqref="D79">
    <cfRule type="cellIs" dxfId="84" priority="94" operator="equal">
      <formula>0</formula>
    </cfRule>
  </conditionalFormatting>
  <conditionalFormatting sqref="D80">
    <cfRule type="cellIs" dxfId="83" priority="93" operator="equal">
      <formula>0</formula>
    </cfRule>
  </conditionalFormatting>
  <conditionalFormatting sqref="D160">
    <cfRule type="cellIs" dxfId="82" priority="79" operator="equal">
      <formula>0</formula>
    </cfRule>
  </conditionalFormatting>
  <conditionalFormatting sqref="D81:D82">
    <cfRule type="cellIs" dxfId="81" priority="90" operator="equal">
      <formula>0</formula>
    </cfRule>
  </conditionalFormatting>
  <conditionalFormatting sqref="E81:E82">
    <cfRule type="cellIs" dxfId="80" priority="89" operator="equal">
      <formula>0</formula>
    </cfRule>
  </conditionalFormatting>
  <conditionalFormatting sqref="D133">
    <cfRule type="cellIs" dxfId="79" priority="87" operator="equal">
      <formula>0</formula>
    </cfRule>
  </conditionalFormatting>
  <conditionalFormatting sqref="D134">
    <cfRule type="cellIs" dxfId="78" priority="86" operator="equal">
      <formula>0</formula>
    </cfRule>
  </conditionalFormatting>
  <conditionalFormatting sqref="E133">
    <cfRule type="cellIs" dxfId="77" priority="85" operator="equal">
      <formula>0</formula>
    </cfRule>
  </conditionalFormatting>
  <conditionalFormatting sqref="D135:D136">
    <cfRule type="cellIs" dxfId="76" priority="83" operator="equal">
      <formula>0</formula>
    </cfRule>
  </conditionalFormatting>
  <conditionalFormatting sqref="E135:E136">
    <cfRule type="cellIs" dxfId="75" priority="82" operator="equal">
      <formula>0</formula>
    </cfRule>
  </conditionalFormatting>
  <conditionalFormatting sqref="C160">
    <cfRule type="cellIs" dxfId="74" priority="81" operator="equal">
      <formula>0</formula>
    </cfRule>
  </conditionalFormatting>
  <conditionalFormatting sqref="D159">
    <cfRule type="cellIs" dxfId="73" priority="80" operator="equal">
      <formula>0</formula>
    </cfRule>
  </conditionalFormatting>
  <conditionalFormatting sqref="E159">
    <cfRule type="cellIs" dxfId="72" priority="78" operator="equal">
      <formula>0</formula>
    </cfRule>
  </conditionalFormatting>
  <conditionalFormatting sqref="E180">
    <cfRule type="cellIs" dxfId="71" priority="70" operator="equal">
      <formula>0</formula>
    </cfRule>
  </conditionalFormatting>
  <conditionalFormatting sqref="D161:D162">
    <cfRule type="cellIs" dxfId="70" priority="76" operator="equal">
      <formula>0</formula>
    </cfRule>
  </conditionalFormatting>
  <conditionalFormatting sqref="E161">
    <cfRule type="cellIs" dxfId="69" priority="75" operator="equal">
      <formula>0</formula>
    </cfRule>
  </conditionalFormatting>
  <conditionalFormatting sqref="C180">
    <cfRule type="cellIs" dxfId="68" priority="74" operator="equal">
      <formula>0</formula>
    </cfRule>
  </conditionalFormatting>
  <conditionalFormatting sqref="D179">
    <cfRule type="cellIs" dxfId="67" priority="73" operator="equal">
      <formula>0</formula>
    </cfRule>
  </conditionalFormatting>
  <conditionalFormatting sqref="D180">
    <cfRule type="cellIs" dxfId="66" priority="72" operator="equal">
      <formula>0</formula>
    </cfRule>
  </conditionalFormatting>
  <conditionalFormatting sqref="E179">
    <cfRule type="cellIs" dxfId="65" priority="71" operator="equal">
      <formula>0</formula>
    </cfRule>
  </conditionalFormatting>
  <conditionalFormatting sqref="D181:D182">
    <cfRule type="cellIs" dxfId="64" priority="69" operator="equal">
      <formula>0</formula>
    </cfRule>
  </conditionalFormatting>
  <conditionalFormatting sqref="E181">
    <cfRule type="cellIs" dxfId="63" priority="68" operator="equal">
      <formula>0</formula>
    </cfRule>
  </conditionalFormatting>
  <conditionalFormatting sqref="C188">
    <cfRule type="cellIs" dxfId="62" priority="67" operator="equal">
      <formula>0</formula>
    </cfRule>
  </conditionalFormatting>
  <conditionalFormatting sqref="D187">
    <cfRule type="cellIs" dxfId="61" priority="66" operator="equal">
      <formula>0</formula>
    </cfRule>
  </conditionalFormatting>
  <conditionalFormatting sqref="D188">
    <cfRule type="cellIs" dxfId="60" priority="65" operator="equal">
      <formula>0</formula>
    </cfRule>
  </conditionalFormatting>
  <conditionalFormatting sqref="E187">
    <cfRule type="cellIs" dxfId="59" priority="64" operator="equal">
      <formula>0</formula>
    </cfRule>
  </conditionalFormatting>
  <conditionalFormatting sqref="E188">
    <cfRule type="cellIs" dxfId="58" priority="63" operator="equal">
      <formula>0</formula>
    </cfRule>
  </conditionalFormatting>
  <conditionalFormatting sqref="D189:D190">
    <cfRule type="cellIs" dxfId="57" priority="62" operator="equal">
      <formula>0</formula>
    </cfRule>
  </conditionalFormatting>
  <conditionalFormatting sqref="E189">
    <cfRule type="cellIs" dxfId="56" priority="61" operator="equal">
      <formula>0</formula>
    </cfRule>
  </conditionalFormatting>
  <conditionalFormatting sqref="C200">
    <cfRule type="cellIs" dxfId="55" priority="60" operator="equal">
      <formula>0</formula>
    </cfRule>
  </conditionalFormatting>
  <conditionalFormatting sqref="D199">
    <cfRule type="cellIs" dxfId="54" priority="59" operator="equal">
      <formula>0</formula>
    </cfRule>
  </conditionalFormatting>
  <conditionalFormatting sqref="D200">
    <cfRule type="cellIs" dxfId="53" priority="58" operator="equal">
      <formula>0</formula>
    </cfRule>
  </conditionalFormatting>
  <conditionalFormatting sqref="E199">
    <cfRule type="cellIs" dxfId="52" priority="57" operator="equal">
      <formula>0</formula>
    </cfRule>
  </conditionalFormatting>
  <conditionalFormatting sqref="E200">
    <cfRule type="cellIs" dxfId="51" priority="56" operator="equal">
      <formula>0</formula>
    </cfRule>
  </conditionalFormatting>
  <conditionalFormatting sqref="D201:D202">
    <cfRule type="cellIs" dxfId="50" priority="55" operator="equal">
      <formula>0</formula>
    </cfRule>
  </conditionalFormatting>
  <conditionalFormatting sqref="E201">
    <cfRule type="cellIs" dxfId="49" priority="54" operator="equal">
      <formula>0</formula>
    </cfRule>
  </conditionalFormatting>
  <conditionalFormatting sqref="D173:D174">
    <cfRule type="cellIs" dxfId="48" priority="53" operator="equal">
      <formula>0</formula>
    </cfRule>
  </conditionalFormatting>
  <conditionalFormatting sqref="E173:E174">
    <cfRule type="cellIs" dxfId="47" priority="52" operator="equal">
      <formula>0</formula>
    </cfRule>
  </conditionalFormatting>
  <conditionalFormatting sqref="D147:D148">
    <cfRule type="cellIs" dxfId="46" priority="51" operator="equal">
      <formula>0</formula>
    </cfRule>
  </conditionalFormatting>
  <conditionalFormatting sqref="E147:E148">
    <cfRule type="cellIs" dxfId="45" priority="50" operator="equal">
      <formula>0</formula>
    </cfRule>
  </conditionalFormatting>
  <conditionalFormatting sqref="C154">
    <cfRule type="cellIs" dxfId="44" priority="49" operator="equal">
      <formula>0</formula>
    </cfRule>
  </conditionalFormatting>
  <conditionalFormatting sqref="D153">
    <cfRule type="cellIs" dxfId="43" priority="48" operator="equal">
      <formula>0</formula>
    </cfRule>
  </conditionalFormatting>
  <conditionalFormatting sqref="D154">
    <cfRule type="cellIs" dxfId="42" priority="47" operator="equal">
      <formula>0</formula>
    </cfRule>
  </conditionalFormatting>
  <conditionalFormatting sqref="E153">
    <cfRule type="cellIs" dxfId="41" priority="46" operator="equal">
      <formula>0</formula>
    </cfRule>
  </conditionalFormatting>
  <conditionalFormatting sqref="E154">
    <cfRule type="cellIs" dxfId="40" priority="45" operator="equal">
      <formula>0</formula>
    </cfRule>
  </conditionalFormatting>
  <conditionalFormatting sqref="D141:D142">
    <cfRule type="cellIs" dxfId="39" priority="44" operator="equal">
      <formula>0</formula>
    </cfRule>
  </conditionalFormatting>
  <conditionalFormatting sqref="E141:E142">
    <cfRule type="cellIs" dxfId="38" priority="43" operator="equal">
      <formula>0</formula>
    </cfRule>
  </conditionalFormatting>
  <conditionalFormatting sqref="D127:D128">
    <cfRule type="cellIs" dxfId="37" priority="42" operator="equal">
      <formula>0</formula>
    </cfRule>
  </conditionalFormatting>
  <conditionalFormatting sqref="E127:E128">
    <cfRule type="cellIs" dxfId="36" priority="41" operator="equal">
      <formula>0</formula>
    </cfRule>
  </conditionalFormatting>
  <conditionalFormatting sqref="D109:D110">
    <cfRule type="cellIs" dxfId="35" priority="40" operator="equal">
      <formula>0</formula>
    </cfRule>
  </conditionalFormatting>
  <conditionalFormatting sqref="E109">
    <cfRule type="cellIs" dxfId="34" priority="39" operator="equal">
      <formula>0</formula>
    </cfRule>
  </conditionalFormatting>
  <conditionalFormatting sqref="D105:D106">
    <cfRule type="cellIs" dxfId="33" priority="38" operator="equal">
      <formula>0</formula>
    </cfRule>
  </conditionalFormatting>
  <conditionalFormatting sqref="E105">
    <cfRule type="cellIs" dxfId="32" priority="37" operator="equal">
      <formula>0</formula>
    </cfRule>
  </conditionalFormatting>
  <conditionalFormatting sqref="D93:D94">
    <cfRule type="cellIs" dxfId="31" priority="36" operator="equal">
      <formula>0</formula>
    </cfRule>
  </conditionalFormatting>
  <conditionalFormatting sqref="E93">
    <cfRule type="cellIs" dxfId="30" priority="35" operator="equal">
      <formula>0</formula>
    </cfRule>
  </conditionalFormatting>
  <conditionalFormatting sqref="D87:D88">
    <cfRule type="cellIs" dxfId="29" priority="34" operator="equal">
      <formula>0</formula>
    </cfRule>
  </conditionalFormatting>
  <conditionalFormatting sqref="E87:E88">
    <cfRule type="cellIs" dxfId="28" priority="33" operator="equal">
      <formula>0</formula>
    </cfRule>
  </conditionalFormatting>
  <conditionalFormatting sqref="D49:D50">
    <cfRule type="cellIs" dxfId="27" priority="32" operator="equal">
      <formula>0</formula>
    </cfRule>
  </conditionalFormatting>
  <conditionalFormatting sqref="E49">
    <cfRule type="cellIs" dxfId="26" priority="31" operator="equal">
      <formula>0</formula>
    </cfRule>
  </conditionalFormatting>
  <conditionalFormatting sqref="D33:D34">
    <cfRule type="cellIs" dxfId="25" priority="30" operator="equal">
      <formula>0</formula>
    </cfRule>
  </conditionalFormatting>
  <conditionalFormatting sqref="E33">
    <cfRule type="cellIs" dxfId="24" priority="29" operator="equal">
      <formula>0</formula>
    </cfRule>
  </conditionalFormatting>
  <conditionalFormatting sqref="D25:D26">
    <cfRule type="cellIs" dxfId="23" priority="28" operator="equal">
      <formula>0</formula>
    </cfRule>
  </conditionalFormatting>
  <conditionalFormatting sqref="E25:E26">
    <cfRule type="cellIs" dxfId="22" priority="27" operator="equal">
      <formula>0</formula>
    </cfRule>
  </conditionalFormatting>
  <conditionalFormatting sqref="C208">
    <cfRule type="cellIs" dxfId="21" priority="26" operator="equal">
      <formula>0</formula>
    </cfRule>
  </conditionalFormatting>
  <conditionalFormatting sqref="D207">
    <cfRule type="cellIs" dxfId="20" priority="25" operator="equal">
      <formula>0</formula>
    </cfRule>
  </conditionalFormatting>
  <conditionalFormatting sqref="D208">
    <cfRule type="cellIs" dxfId="19" priority="24" operator="equal">
      <formula>0</formula>
    </cfRule>
  </conditionalFormatting>
  <conditionalFormatting sqref="E207">
    <cfRule type="cellIs" dxfId="18" priority="23" operator="equal">
      <formula>0</formula>
    </cfRule>
  </conditionalFormatting>
  <conditionalFormatting sqref="D217">
    <cfRule type="cellIs" dxfId="17" priority="20" operator="equal">
      <formula>0</formula>
    </cfRule>
  </conditionalFormatting>
  <conditionalFormatting sqref="C218">
    <cfRule type="cellIs" dxfId="16" priority="21" operator="equal">
      <formula>0</formula>
    </cfRule>
  </conditionalFormatting>
  <conditionalFormatting sqref="D218">
    <cfRule type="cellIs" dxfId="15" priority="19" operator="equal">
      <formula>0</formula>
    </cfRule>
  </conditionalFormatting>
  <conditionalFormatting sqref="E217">
    <cfRule type="cellIs" dxfId="14" priority="18" operator="equal">
      <formula>0</formula>
    </cfRule>
  </conditionalFormatting>
  <conditionalFormatting sqref="E18">
    <cfRule type="cellIs" dxfId="13" priority="16" operator="equal">
      <formula>0</formula>
    </cfRule>
  </conditionalFormatting>
  <conditionalFormatting sqref="E32">
    <cfRule type="cellIs" dxfId="12" priority="15" operator="equal">
      <formula>0</formula>
    </cfRule>
  </conditionalFormatting>
  <conditionalFormatting sqref="E34">
    <cfRule type="cellIs" dxfId="11" priority="14" operator="equal">
      <formula>0</formula>
    </cfRule>
  </conditionalFormatting>
  <conditionalFormatting sqref="E50">
    <cfRule type="cellIs" dxfId="10" priority="13" operator="equal">
      <formula>0</formula>
    </cfRule>
  </conditionalFormatting>
  <conditionalFormatting sqref="E106">
    <cfRule type="cellIs" dxfId="9" priority="11" operator="equal">
      <formula>0</formula>
    </cfRule>
  </conditionalFormatting>
  <conditionalFormatting sqref="E94">
    <cfRule type="cellIs" dxfId="8" priority="10" operator="equal">
      <formula>0</formula>
    </cfRule>
  </conditionalFormatting>
  <conditionalFormatting sqref="E110">
    <cfRule type="cellIs" dxfId="7" priority="9" operator="equal">
      <formula>0</formula>
    </cfRule>
  </conditionalFormatting>
  <conditionalFormatting sqref="E134">
    <cfRule type="cellIs" dxfId="6" priority="8" operator="equal">
      <formula>0</formula>
    </cfRule>
  </conditionalFormatting>
  <conditionalFormatting sqref="E162">
    <cfRule type="cellIs" dxfId="5" priority="6" operator="equal">
      <formula>0</formula>
    </cfRule>
  </conditionalFormatting>
  <conditionalFormatting sqref="E182">
    <cfRule type="cellIs" dxfId="4" priority="5" operator="equal">
      <formula>0</formula>
    </cfRule>
  </conditionalFormatting>
  <conditionalFormatting sqref="E190">
    <cfRule type="cellIs" dxfId="3" priority="4" operator="equal">
      <formula>0</formula>
    </cfRule>
  </conditionalFormatting>
  <conditionalFormatting sqref="E202">
    <cfRule type="cellIs" dxfId="2" priority="3" operator="equal">
      <formula>0</formula>
    </cfRule>
  </conditionalFormatting>
  <conditionalFormatting sqref="E208">
    <cfRule type="cellIs" dxfId="1" priority="2" operator="equal">
      <formula>0</formula>
    </cfRule>
  </conditionalFormatting>
  <conditionalFormatting sqref="E218">
    <cfRule type="cellIs" dxfId="0" priority="1" operator="equal">
      <formula>0</formula>
    </cfRule>
  </conditionalFormatting>
  <printOptions horizontalCentered="1"/>
  <pageMargins left="0.59055118110236227" right="0.59055118110236227" top="0.59055118110236227" bottom="0.59055118110236227" header="0.19685039370078741" footer="0.19685039370078741"/>
  <pageSetup paperSize="9" scale="62" fitToHeight="0" orientation="portrait" r:id="rId1"/>
  <headerFooter>
    <oddHeader>&amp;L &amp;C &amp;R</oddHeader>
    <oddFooter>&amp;L &amp;C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12</vt:i4>
      </vt:variant>
    </vt:vector>
  </HeadingPairs>
  <TitlesOfParts>
    <vt:vector size="20" baseType="lpstr">
      <vt:lpstr>Instruções de Preenchimento</vt:lpstr>
      <vt:lpstr>Resumo do Orçamento</vt:lpstr>
      <vt:lpstr>Orçamento Sintético</vt:lpstr>
      <vt:lpstr>Orçamento Analítico</vt:lpstr>
      <vt:lpstr>Insumos e Serviços</vt:lpstr>
      <vt:lpstr>Composição de BDI</vt:lpstr>
      <vt:lpstr>Composição de Encargos Sociais</vt:lpstr>
      <vt:lpstr>Cronograma</vt:lpstr>
      <vt:lpstr>'Composição de BDI'!Area_de_impressao</vt:lpstr>
      <vt:lpstr>'Composição de Encargos Sociais'!Area_de_impressao</vt:lpstr>
      <vt:lpstr>Cronograma!Area_de_impressao</vt:lpstr>
      <vt:lpstr>'Insumos e Serviços'!Area_de_impressao</vt:lpstr>
      <vt:lpstr>'Orçamento Analítico'!Area_de_impressao</vt:lpstr>
      <vt:lpstr>'Orçamento Sintético'!Area_de_impressao</vt:lpstr>
      <vt:lpstr>'Resumo do Orçamento'!Area_de_impressao</vt:lpstr>
      <vt:lpstr>'Composição de BDI'!Titulos_de_impressao</vt:lpstr>
      <vt:lpstr>Cronograma!Titulos_de_impressao</vt:lpstr>
      <vt:lpstr>'Insumos e Serviços'!Titulos_de_impressao</vt:lpstr>
      <vt:lpstr>'Orçamento Analítico'!Titulos_de_impressao</vt:lpstr>
      <vt:lpstr>'Orçamento Sintético'!Titulos_de_impressao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AnaCZ</cp:lastModifiedBy>
  <cp:revision>0</cp:revision>
  <cp:lastPrinted>2021-07-15T22:05:17Z</cp:lastPrinted>
  <dcterms:created xsi:type="dcterms:W3CDTF">2021-07-14T20:52:24Z</dcterms:created>
  <dcterms:modified xsi:type="dcterms:W3CDTF">2021-07-20T16:20:23Z</dcterms:modified>
</cp:coreProperties>
</file>