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E:\WILAG\Documents\Trabalhos\MPDFT\ORÇ 012_2021 PJBSI\Planilhas\"/>
    </mc:Choice>
  </mc:AlternateContent>
  <xr:revisionPtr revIDLastSave="0" documentId="13_ncr:1_{E2F4D63A-E104-4AD7-BF8B-37C5FE12B552}" xr6:coauthVersionLast="47" xr6:coauthVersionMax="47" xr10:uidLastSave="{00000000-0000-0000-0000-000000000000}"/>
  <bookViews>
    <workbookView xWindow="3315" yWindow="2565" windowWidth="15375" windowHeight="9345" xr2:uid="{00000000-000D-0000-FFFF-FFFF00000000}"/>
  </bookViews>
  <sheets>
    <sheet name="Instruções de Preenchimento" sheetId="9" r:id="rId1"/>
    <sheet name="Resumo do Orçamento" sheetId="2" r:id="rId2"/>
    <sheet name="Orçamento Sintético" sheetId="1" r:id="rId3"/>
    <sheet name="Orçamento Analítico" sheetId="3" r:id="rId4"/>
    <sheet name="Insumos e Serviços" sheetId="10" r:id="rId5"/>
    <sheet name="Composição de BDI" sheetId="4" r:id="rId6"/>
    <sheet name="Composição de Encargos Sociais" sheetId="5" r:id="rId7"/>
    <sheet name="Cronograma" sheetId="8" r:id="rId8"/>
  </sheets>
  <externalReferences>
    <externalReference r:id="rId9"/>
  </externalReferences>
  <definedNames>
    <definedName name="_10Excel_BuiltIn_Print_Area_3_1_1_3_1">"#ref!"</definedName>
    <definedName name="_11Excel_BuiltIn_Print_Area_3_1_3_1">"#ref!"</definedName>
    <definedName name="_12Excel_BuiltIn_Print_Area_5_1_1">"#ref!"</definedName>
    <definedName name="_13Excel_BuiltIn_Print_Area_5_1_1_1">"#ref!"</definedName>
    <definedName name="_14Excel_BuiltIn_Print_Titles_2_1_1">"#ref!"</definedName>
    <definedName name="_15Excel_BuiltIn_Print_Titles_2_1_1_1">"#ref!"</definedName>
    <definedName name="_16Excel_BuiltIn_Print_Titles_3_1_3_1">"#ref!"</definedName>
    <definedName name="_1Excel_BuiltIn_Print_Area_1_1">"#ref!"</definedName>
    <definedName name="_2Excel_BuiltIn_Print_Area_2_1">"#ref!"</definedName>
    <definedName name="_3Excel_BuiltIn_Print_Area_2_1_1">"#ref!"</definedName>
    <definedName name="_4Excel_BuiltIn_Print_Area_2_1_1_1">"#ref!"</definedName>
    <definedName name="_5Excel_BuiltIn_Print_Area_3_1_1_1">"#ref!"</definedName>
    <definedName name="_6Excel_BuiltIn_Print_Area_3_1_1_1_1">"#ref!"</definedName>
    <definedName name="_7Excel_BuiltIn_Print_Area_3_1_1_1_1_1">"#ref!"</definedName>
    <definedName name="_8Excel_BuiltIn_Print_Area_3_1_1_1_1_3_1">"#ref!"</definedName>
    <definedName name="_9Excel_BuiltIn_Print_Area_3_1_1_1_3_1">"#ref!"</definedName>
    <definedName name="_Toc162077558_1" localSheetId="0">#REF!</definedName>
    <definedName name="_Toc162077558_1">#REF!</definedName>
    <definedName name="_xlnm.Print_Area" localSheetId="5">'Composição de BDI'!$A$1:$D$24</definedName>
    <definedName name="_xlnm.Print_Area" localSheetId="6">'Composição de Encargos Sociais'!$A$1:$D$44</definedName>
    <definedName name="_xlnm.Print_Area" localSheetId="7">Cronograma!$A$1:$E$73</definedName>
    <definedName name="_xlnm.Print_Area" localSheetId="4">'Insumos e Serviços'!$A$1:$H$93</definedName>
    <definedName name="_xlnm.Print_Area" localSheetId="3">'Orçamento Analítico'!$A$1:$H$181</definedName>
    <definedName name="_xlnm.Print_Area" localSheetId="2">'Orçamento Sintético'!$A$1:$H$99</definedName>
    <definedName name="Excel_BuiltIn_Print_Area_1" localSheetId="0">#REF!</definedName>
    <definedName name="Excel_BuiltIn_Print_Area_1">#REF!</definedName>
    <definedName name="Excel_BuiltIn_Print_Area_1_1" localSheetId="0">#REF!</definedName>
    <definedName name="Excel_BuiltIn_Print_Area_1_1">#REF!</definedName>
    <definedName name="Excel_BuiltIn_Print_Area_1_1_1" localSheetId="0">#REF!</definedName>
    <definedName name="Excel_BuiltIn_Print_Area_1_1_1">#REF!</definedName>
    <definedName name="Excel_BuiltIn_Print_Area_1_1_1_1" localSheetId="6">#REF!</definedName>
    <definedName name="Excel_BuiltIn_Print_Area_1_1_1_1" localSheetId="0">#REF!</definedName>
    <definedName name="Excel_BuiltIn_Print_Area_1_1_1_1">#REF!</definedName>
    <definedName name="Excel_BuiltIn_Print_Area_1_1_1_1_1" localSheetId="0">#REF!</definedName>
    <definedName name="Excel_BuiltIn_Print_Area_1_1_1_1_1">#REF!</definedName>
    <definedName name="Excel_BuiltIn_Print_Area_1_1_1_1_1_1" localSheetId="6">#REF!</definedName>
    <definedName name="Excel_BuiltIn_Print_Area_1_1_1_1_1_1" localSheetId="0">#REF!</definedName>
    <definedName name="Excel_BuiltIn_Print_Area_1_1_1_1_1_1">#REF!</definedName>
    <definedName name="Excel_BuiltIn_Print_Area_1_1_1_1_1_1_1_1" localSheetId="6">#REF!</definedName>
    <definedName name="Excel_BuiltIn_Print_Area_1_1_1_1_1_1_1_1" localSheetId="0">#REF!</definedName>
    <definedName name="Excel_BuiltIn_Print_Area_1_1_1_1_1_1_1_1">#REF!</definedName>
    <definedName name="Excel_BuiltIn_Print_Area_1_1_1_1_5" localSheetId="0">#REF!</definedName>
    <definedName name="Excel_BuiltIn_Print_Area_1_1_1_1_5">#REF!</definedName>
    <definedName name="Excel_BuiltIn_Print_Area_1_1_1_5" localSheetId="0">#REF!</definedName>
    <definedName name="Excel_BuiltIn_Print_Area_1_1_1_5">#REF!</definedName>
    <definedName name="Excel_BuiltIn_Print_Area_1_1_5" localSheetId="0">#REF!</definedName>
    <definedName name="Excel_BuiltIn_Print_Area_1_1_5">#REF!</definedName>
    <definedName name="Excel_BuiltIn_Print_Area_2" localSheetId="0">#REF!</definedName>
    <definedName name="Excel_BuiltIn_Print_Area_2">#REF!</definedName>
    <definedName name="Excel_BuiltIn_Print_Area_2_1" localSheetId="0">#REF!</definedName>
    <definedName name="Excel_BuiltIn_Print_Area_2_1">#REF!</definedName>
    <definedName name="Excel_BuiltIn_Print_Area_2_1_1" localSheetId="6">#REF!</definedName>
    <definedName name="Excel_BuiltIn_Print_Area_2_1_1" localSheetId="0">#REF!</definedName>
    <definedName name="Excel_BuiltIn_Print_Area_2_1_1">#REF!</definedName>
    <definedName name="Excel_BuiltIn_Print_Area_2_1_1_1" localSheetId="0">#REF!</definedName>
    <definedName name="Excel_BuiltIn_Print_Area_2_1_1_1">#REF!</definedName>
    <definedName name="Excel_BuiltIn_Print_Area_2_1_1_1_1" localSheetId="0">#REF!</definedName>
    <definedName name="Excel_BuiltIn_Print_Area_2_1_1_1_1">#REF!</definedName>
    <definedName name="Excel_BuiltIn_Print_Area_2_1_1_1_3">"#ref!"</definedName>
    <definedName name="Excel_BuiltIn_Print_Area_2_1_1_1_4">"#ref!"</definedName>
    <definedName name="Excel_BuiltIn_Print_Area_2_1_1_3">"#ref!"</definedName>
    <definedName name="Excel_BuiltIn_Print_Area_2_1_1_4">"#ref!"</definedName>
    <definedName name="Excel_BuiltIn_Print_Area_2_1_5" localSheetId="0">#REF!</definedName>
    <definedName name="Excel_BuiltIn_Print_Area_2_1_5">#REF!</definedName>
    <definedName name="Excel_BuiltIn_Print_Area_2_5" localSheetId="0">#REF!</definedName>
    <definedName name="Excel_BuiltIn_Print_Area_2_5">#REF!</definedName>
    <definedName name="Excel_BuiltIn_Print_Area_3_1" localSheetId="6">#REF!</definedName>
    <definedName name="Excel_BuiltIn_Print_Area_3_1" localSheetId="0">#REF!</definedName>
    <definedName name="Excel_BuiltIn_Print_Area_3_1">"#ref!"</definedName>
    <definedName name="Excel_BuiltIn_Print_Area_3_1_1" localSheetId="6">#REF!</definedName>
    <definedName name="Excel_BuiltIn_Print_Area_3_1_1">#REF!</definedName>
    <definedName name="Excel_BuiltIn_Print_Area_3_1_1_1" localSheetId="6">#REF!</definedName>
    <definedName name="Excel_BuiltIn_Print_Area_3_1_1_1" localSheetId="0">#REF!</definedName>
    <definedName name="Excel_BuiltIn_Print_Area_3_1_1_1_1" localSheetId="6">#REF!</definedName>
    <definedName name="Excel_BuiltIn_Print_Area_3_1_1_1_1" localSheetId="0">#REF!</definedName>
    <definedName name="Excel_BuiltIn_Print_Area_3_1_1_1_1_3" localSheetId="6">#REF!</definedName>
    <definedName name="Excel_BuiltIn_Print_Area_3_1_1_1_1_3" localSheetId="0">#REF!</definedName>
    <definedName name="Excel_BuiltIn_Print_Area_3_1_1_1_1_3">#REF!</definedName>
    <definedName name="Excel_BuiltIn_Print_Area_3_1_1_1_1_4">#REF!</definedName>
    <definedName name="Excel_BuiltIn_Print_Area_3_1_1_1_3" localSheetId="6">#REF!</definedName>
    <definedName name="Excel_BuiltIn_Print_Area_3_1_1_1_3" localSheetId="0">#REF!</definedName>
    <definedName name="Excel_BuiltIn_Print_Area_3_1_1_1_3">#REF!</definedName>
    <definedName name="Excel_BuiltIn_Print_Area_3_1_1_1_4">#REF!</definedName>
    <definedName name="Excel_BuiltIn_Print_Area_3_1_1_3" localSheetId="6">#REF!</definedName>
    <definedName name="Excel_BuiltIn_Print_Area_3_1_1_3" localSheetId="0">#REF!</definedName>
    <definedName name="Excel_BuiltIn_Print_Area_3_1_1_3">#REF!</definedName>
    <definedName name="Excel_BuiltIn_Print_Area_3_1_1_4">#REF!</definedName>
    <definedName name="Excel_BuiltIn_Print_Area_3_1_3" localSheetId="6">#REF!</definedName>
    <definedName name="Excel_BuiltIn_Print_Area_3_1_3" localSheetId="0">#REF!</definedName>
    <definedName name="Excel_BuiltIn_Print_Area_3_1_3">#REF!</definedName>
    <definedName name="Excel_BuiltIn_Print_Area_3_1_4">#REF!</definedName>
    <definedName name="Excel_BuiltIn_Print_Area_4_1" localSheetId="6">#REF!</definedName>
    <definedName name="Excel_BuiltIn_Print_Area_4_1" localSheetId="0">#REF!</definedName>
    <definedName name="Excel_BuiltIn_Print_Area_4_1">#REF!</definedName>
    <definedName name="Excel_BuiltIn_Print_Area_4_1_1" localSheetId="6">#REF!</definedName>
    <definedName name="Excel_BuiltIn_Print_Area_4_1_1" localSheetId="0">#REF!</definedName>
    <definedName name="Excel_BuiltIn_Print_Area_4_1_1">#REF!</definedName>
    <definedName name="Excel_BuiltIn_Print_Area_4_1_1_1" localSheetId="6">#REF!</definedName>
    <definedName name="Excel_BuiltIn_Print_Area_4_1_1_1" localSheetId="0">#REF!</definedName>
    <definedName name="Excel_BuiltIn_Print_Area_4_1_1_1">#REF!</definedName>
    <definedName name="Excel_BuiltIn_Print_Area_4_1_1_1_5" localSheetId="0">#REF!</definedName>
    <definedName name="Excel_BuiltIn_Print_Area_4_1_1_1_5">#REF!</definedName>
    <definedName name="Excel_BuiltIn_Print_Area_4_1_1_5" localSheetId="0">#REF!</definedName>
    <definedName name="Excel_BuiltIn_Print_Area_4_1_1_5">#REF!</definedName>
    <definedName name="Excel_BuiltIn_Print_Area_4_1_5" localSheetId="0">#REF!</definedName>
    <definedName name="Excel_BuiltIn_Print_Area_4_1_5">#REF!</definedName>
    <definedName name="Excel_BuiltIn_Print_Area_5_1" localSheetId="0">#REF!</definedName>
    <definedName name="Excel_BuiltIn_Print_Area_5_1">#REF!</definedName>
    <definedName name="Excel_BuiltIn_Print_Area_5_1_1" localSheetId="0">#REF!</definedName>
    <definedName name="Excel_BuiltIn_Print_Area_5_1_1">#REF!</definedName>
    <definedName name="Excel_BuiltIn_Print_Area_5_1_1_1" localSheetId="6">#REF!</definedName>
    <definedName name="Excel_BuiltIn_Print_Area_5_1_1_1" localSheetId="0">#REF!</definedName>
    <definedName name="Excel_BuiltIn_Print_Area_5_1_1_1">#REF!</definedName>
    <definedName name="Excel_BuiltIn_Print_Area_5_1_1_5" localSheetId="0">#REF!</definedName>
    <definedName name="Excel_BuiltIn_Print_Area_5_1_1_5">#REF!</definedName>
    <definedName name="Excel_BuiltIn_Print_Area_5_1_5" localSheetId="0">#REF!</definedName>
    <definedName name="Excel_BuiltIn_Print_Area_5_1_5">#REF!</definedName>
    <definedName name="Excel_BuiltIn_Print_Area_6_1" localSheetId="0">#REF!</definedName>
    <definedName name="Excel_BuiltIn_Print_Area_6_1">#REF!</definedName>
    <definedName name="Excel_BuiltIn_Print_Titles_1" localSheetId="0">#REF!</definedName>
    <definedName name="Excel_BuiltIn_Print_Titles_1">#REF!</definedName>
    <definedName name="Excel_BuiltIn_Print_Titles_1_1" localSheetId="6">#REF!</definedName>
    <definedName name="Excel_BuiltIn_Print_Titles_1_1" localSheetId="0">#REF!</definedName>
    <definedName name="Excel_BuiltIn_Print_Titles_1_1">#REF!</definedName>
    <definedName name="Excel_BuiltIn_Print_Titles_1_1_1" localSheetId="6">#REF!</definedName>
    <definedName name="Excel_BuiltIn_Print_Titles_1_1_1" localSheetId="0">#REF!</definedName>
    <definedName name="Excel_BuiltIn_Print_Titles_1_1_1">#REF!</definedName>
    <definedName name="Excel_BuiltIn_Print_Titles_1_1_5" localSheetId="0">#REF!</definedName>
    <definedName name="Excel_BuiltIn_Print_Titles_1_1_5">#REF!</definedName>
    <definedName name="Excel_BuiltIn_Print_Titles_2" localSheetId="0">#REF!</definedName>
    <definedName name="Excel_BuiltIn_Print_Titles_2">#REF!</definedName>
    <definedName name="Excel_BuiltIn_Print_Titles_2_1" localSheetId="0">#REF!</definedName>
    <definedName name="Excel_BuiltIn_Print_Titles_2_1">#REF!</definedName>
    <definedName name="Excel_BuiltIn_Print_Titles_2_1_1" localSheetId="6">#REF!</definedName>
    <definedName name="Excel_BuiltIn_Print_Titles_2_1_1" localSheetId="0">#REF!</definedName>
    <definedName name="Excel_BuiltIn_Print_Titles_2_1_1">#REF!</definedName>
    <definedName name="Excel_BuiltIn_Print_Titles_2_1_1_1" localSheetId="6">#REF!</definedName>
    <definedName name="Excel_BuiltIn_Print_Titles_2_1_1_1" localSheetId="0">#REF!</definedName>
    <definedName name="Excel_BuiltIn_Print_Titles_2_1_1_1">#REF!</definedName>
    <definedName name="Excel_BuiltIn_Print_Titles_2_1_1_1_1" localSheetId="6">#REF!</definedName>
    <definedName name="Excel_BuiltIn_Print_Titles_2_1_1_1_1" localSheetId="0">#REF!</definedName>
    <definedName name="Excel_BuiltIn_Print_Titles_2_1_1_1_1">#REF!</definedName>
    <definedName name="Excel_BuiltIn_Print_Titles_2_1_1_1_1_1" localSheetId="6">#REF!</definedName>
    <definedName name="Excel_BuiltIn_Print_Titles_2_1_1_1_1_1" localSheetId="0">#REF!</definedName>
    <definedName name="Excel_BuiltIn_Print_Titles_2_1_1_1_1_1">#REF!</definedName>
    <definedName name="Excel_BuiltIn_Print_Titles_2_1_1_1_5" localSheetId="0">#REF!</definedName>
    <definedName name="Excel_BuiltIn_Print_Titles_2_1_1_1_5">#REF!</definedName>
    <definedName name="Excel_BuiltIn_Print_Titles_2_1_1_5" localSheetId="0">#REF!</definedName>
    <definedName name="Excel_BuiltIn_Print_Titles_2_1_1_5">#REF!</definedName>
    <definedName name="Excel_BuiltIn_Print_Titles_2_1_5" localSheetId="0">#REF!</definedName>
    <definedName name="Excel_BuiltIn_Print_Titles_2_1_5">#REF!</definedName>
    <definedName name="Excel_BuiltIn_Print_Titles_2_5" localSheetId="0">#REF!</definedName>
    <definedName name="Excel_BuiltIn_Print_Titles_2_5">#REF!</definedName>
    <definedName name="Excel_BuiltIn_Print_Titles_3_1" localSheetId="6">#REF!</definedName>
    <definedName name="Excel_BuiltIn_Print_Titles_3_1" localSheetId="0">#REF!</definedName>
    <definedName name="Excel_BuiltIn_Print_Titles_3_1">'[1]Planilha Sintética'!#REF!</definedName>
    <definedName name="Excel_BuiltIn_Print_Titles_3_1_3" localSheetId="0">#REF!</definedName>
    <definedName name="Excel_BuiltIn_Print_Titles_3_1_3">#REF!</definedName>
    <definedName name="Excel_BuiltIn_Print_Titles_3_1_4">#N/A</definedName>
    <definedName name="Excel_BuiltIn_Print_Titles_4" localSheetId="0">#REF!</definedName>
    <definedName name="Excel_BuiltIn_Print_Titles_4">#REF!</definedName>
    <definedName name="Excel_BuiltIn_Print_Titles_4_1" localSheetId="0">#REF!</definedName>
    <definedName name="Excel_BuiltIn_Print_Titles_4_1">#REF!</definedName>
    <definedName name="Excel_BuiltIn_Print_Titles_4_1_5" localSheetId="0">#REF!</definedName>
    <definedName name="Excel_BuiltIn_Print_Titles_4_1_5">#REF!</definedName>
    <definedName name="Excel_BuiltIn_Print_Titles_5" localSheetId="0">#REF!</definedName>
    <definedName name="Excel_BuiltIn_Print_Titles_5">#REF!</definedName>
    <definedName name="Excel_BuiltIn_Print_Titles_5_1" localSheetId="0">#REF!</definedName>
    <definedName name="Excel_BuiltIn_Print_Titles_5_1">#REF!</definedName>
    <definedName name="Excel_BuiltIn_Print_Titles_5_5" localSheetId="0">#REF!</definedName>
    <definedName name="Excel_BuiltIn_Print_Titles_5_5">#REF!</definedName>
    <definedName name="_xlnm.Print_Titles" localSheetId="5">'Composição de BDI'!$1:$8</definedName>
    <definedName name="_xlnm.Print_Titles" localSheetId="7">Cronograma!$1:$8</definedName>
    <definedName name="_xlnm.Print_Titles" localSheetId="4">'Insumos e Serviços'!$1:$7</definedName>
    <definedName name="_xlnm.Print_Titles" localSheetId="3">'Orçamento Analítico'!$1:$8</definedName>
    <definedName name="_xlnm.Print_Titles" localSheetId="2">'Orçamento Sintético'!$1:$8</definedName>
    <definedName name="Z_71409849_3ED0_4F48_B303_9AEF25621248_.wvu.PrintArea" localSheetId="6" hidden="1">'Composição de Encargos Sociais'!$A$1:$D$44</definedName>
  </definedNames>
  <calcPr calcId="191029"/>
</workbook>
</file>

<file path=xl/calcChain.xml><?xml version="1.0" encoding="utf-8"?>
<calcChain xmlns="http://schemas.openxmlformats.org/spreadsheetml/2006/main">
  <c r="D10" i="4" l="1"/>
  <c r="C66" i="8" l="1"/>
  <c r="B65" i="8"/>
  <c r="B61" i="8"/>
  <c r="C60" i="8"/>
  <c r="B59" i="8"/>
  <c r="B55" i="8"/>
  <c r="B53" i="8"/>
  <c r="B51" i="8"/>
  <c r="C50" i="8"/>
  <c r="D50" i="8" s="1"/>
  <c r="E50" i="8" s="1"/>
  <c r="E49" i="8" s="1"/>
  <c r="B49" i="8"/>
  <c r="B47" i="8"/>
  <c r="B45" i="8"/>
  <c r="B39" i="8"/>
  <c r="B37" i="8"/>
  <c r="B35" i="8"/>
  <c r="B29" i="8"/>
  <c r="C28" i="8"/>
  <c r="B27" i="8"/>
  <c r="B25" i="8"/>
  <c r="B23" i="8"/>
  <c r="C64" i="8"/>
  <c r="B63" i="8"/>
  <c r="B57" i="8"/>
  <c r="B41" i="8"/>
  <c r="B31" i="8"/>
  <c r="B19" i="8"/>
  <c r="B43" i="8"/>
  <c r="B33" i="8"/>
  <c r="B21" i="8"/>
  <c r="B17" i="8"/>
  <c r="B15" i="8"/>
  <c r="B13" i="8"/>
  <c r="B11" i="8"/>
  <c r="B9" i="8"/>
  <c r="G181" i="3"/>
  <c r="H181" i="3" s="1"/>
  <c r="G180" i="3"/>
  <c r="H180" i="3" s="1"/>
  <c r="H179" i="3" s="1"/>
  <c r="G175" i="3"/>
  <c r="H175" i="3" s="1"/>
  <c r="G174" i="3"/>
  <c r="H174" i="3" s="1"/>
  <c r="G173" i="3"/>
  <c r="H173" i="3" s="1"/>
  <c r="G172" i="3"/>
  <c r="H172" i="3" s="1"/>
  <c r="G168" i="3"/>
  <c r="H168" i="3" s="1"/>
  <c r="G167" i="3"/>
  <c r="H167" i="3" s="1"/>
  <c r="G166" i="3"/>
  <c r="H166" i="3" s="1"/>
  <c r="G163" i="3"/>
  <c r="H163" i="3" s="1"/>
  <c r="G162" i="3"/>
  <c r="H162" i="3" s="1"/>
  <c r="G161" i="3"/>
  <c r="H161" i="3" s="1"/>
  <c r="G157" i="3"/>
  <c r="H157" i="3" s="1"/>
  <c r="G156" i="3"/>
  <c r="H156" i="3" s="1"/>
  <c r="G155" i="3"/>
  <c r="H155" i="3" s="1"/>
  <c r="G154" i="3"/>
  <c r="H154" i="3" s="1"/>
  <c r="G151" i="3"/>
  <c r="H151" i="3" s="1"/>
  <c r="G150" i="3"/>
  <c r="H150" i="3" s="1"/>
  <c r="H147" i="3" s="1"/>
  <c r="G149" i="3"/>
  <c r="H149" i="3" s="1"/>
  <c r="G148" i="3"/>
  <c r="H148" i="3" s="1"/>
  <c r="G145" i="3"/>
  <c r="H145" i="3" s="1"/>
  <c r="G144" i="3"/>
  <c r="H144" i="3" s="1"/>
  <c r="G143" i="3"/>
  <c r="H143" i="3" s="1"/>
  <c r="G139" i="3"/>
  <c r="H139" i="3" s="1"/>
  <c r="G138" i="3"/>
  <c r="H138" i="3" s="1"/>
  <c r="G137" i="3"/>
  <c r="H137" i="3" s="1"/>
  <c r="H136" i="3" s="1"/>
  <c r="G134" i="3"/>
  <c r="H134" i="3" s="1"/>
  <c r="G133" i="3"/>
  <c r="H133" i="3" s="1"/>
  <c r="G132" i="3"/>
  <c r="H132" i="3" s="1"/>
  <c r="G129" i="3"/>
  <c r="H129" i="3" s="1"/>
  <c r="G128" i="3"/>
  <c r="H128" i="3" s="1"/>
  <c r="G127" i="3"/>
  <c r="H127" i="3" s="1"/>
  <c r="G126" i="3"/>
  <c r="H126" i="3" s="1"/>
  <c r="G122" i="3"/>
  <c r="H122" i="3" s="1"/>
  <c r="G121" i="3"/>
  <c r="H121" i="3" s="1"/>
  <c r="G120" i="3"/>
  <c r="H120" i="3" s="1"/>
  <c r="G119" i="3"/>
  <c r="H119" i="3" s="1"/>
  <c r="G116" i="3"/>
  <c r="H116" i="3" s="1"/>
  <c r="G115" i="3"/>
  <c r="H115" i="3" s="1"/>
  <c r="G114" i="3"/>
  <c r="H114" i="3" s="1"/>
  <c r="G113" i="3"/>
  <c r="H113" i="3" s="1"/>
  <c r="G107" i="3"/>
  <c r="H107" i="3" s="1"/>
  <c r="G106" i="3"/>
  <c r="H106" i="3" s="1"/>
  <c r="G105" i="3"/>
  <c r="H105" i="3" s="1"/>
  <c r="G104" i="3"/>
  <c r="H104" i="3" s="1"/>
  <c r="G103" i="3"/>
  <c r="H103" i="3" s="1"/>
  <c r="H102" i="3" s="1"/>
  <c r="G100" i="3"/>
  <c r="H100" i="3" s="1"/>
  <c r="G99" i="3"/>
  <c r="H99" i="3" s="1"/>
  <c r="G98" i="3"/>
  <c r="H98" i="3" s="1"/>
  <c r="G97" i="3"/>
  <c r="H97" i="3" s="1"/>
  <c r="H95" i="3" s="1"/>
  <c r="G96" i="3"/>
  <c r="H96" i="3" s="1"/>
  <c r="G93" i="3"/>
  <c r="H93" i="3" s="1"/>
  <c r="G92" i="3"/>
  <c r="H92" i="3" s="1"/>
  <c r="G91" i="3"/>
  <c r="H91" i="3" s="1"/>
  <c r="G90" i="3"/>
  <c r="H90" i="3" s="1"/>
  <c r="G89" i="3"/>
  <c r="H89" i="3" s="1"/>
  <c r="G88" i="3"/>
  <c r="H88" i="3" s="1"/>
  <c r="G87" i="3"/>
  <c r="H87" i="3" s="1"/>
  <c r="G86" i="3"/>
  <c r="H86" i="3" s="1"/>
  <c r="G82" i="3"/>
  <c r="H82" i="3" s="1"/>
  <c r="G81" i="3"/>
  <c r="H81" i="3" s="1"/>
  <c r="G80" i="3"/>
  <c r="H80" i="3" s="1"/>
  <c r="G79" i="3"/>
  <c r="H79" i="3" s="1"/>
  <c r="G78" i="3"/>
  <c r="H78" i="3" s="1"/>
  <c r="G75" i="3"/>
  <c r="H75" i="3" s="1"/>
  <c r="G74" i="3"/>
  <c r="H74" i="3" s="1"/>
  <c r="G73" i="3"/>
  <c r="H73" i="3" s="1"/>
  <c r="G72" i="3"/>
  <c r="H72" i="3" s="1"/>
  <c r="G68" i="3"/>
  <c r="H68" i="3" s="1"/>
  <c r="G67" i="3"/>
  <c r="H67" i="3" s="1"/>
  <c r="H64" i="3" s="1"/>
  <c r="G66" i="3"/>
  <c r="H66" i="3" s="1"/>
  <c r="G65" i="3"/>
  <c r="H65" i="3" s="1"/>
  <c r="G62" i="3"/>
  <c r="H62" i="3" s="1"/>
  <c r="G61" i="3"/>
  <c r="H61" i="3" s="1"/>
  <c r="G60" i="3"/>
  <c r="H60" i="3" s="1"/>
  <c r="G54" i="3"/>
  <c r="H54" i="3" s="1"/>
  <c r="G53" i="3"/>
  <c r="H53" i="3" s="1"/>
  <c r="H52" i="3" s="1"/>
  <c r="G50" i="3"/>
  <c r="H50" i="3" s="1"/>
  <c r="H49" i="3" s="1"/>
  <c r="G47" i="3"/>
  <c r="H47" i="3" s="1"/>
  <c r="H46" i="3" s="1"/>
  <c r="G44" i="3"/>
  <c r="H44" i="3" s="1"/>
  <c r="G43" i="3"/>
  <c r="H43" i="3" s="1"/>
  <c r="H42" i="3" s="1"/>
  <c r="G39" i="3"/>
  <c r="H39" i="3" s="1"/>
  <c r="G38" i="3"/>
  <c r="H38" i="3" s="1"/>
  <c r="G37" i="3"/>
  <c r="H37" i="3" s="1"/>
  <c r="G36" i="3"/>
  <c r="H36" i="3" s="1"/>
  <c r="G33" i="3"/>
  <c r="H33" i="3" s="1"/>
  <c r="H32" i="3" s="1"/>
  <c r="G29" i="3"/>
  <c r="H29" i="3" s="1"/>
  <c r="H28" i="3" s="1"/>
  <c r="G23" i="3"/>
  <c r="H23" i="3" s="1"/>
  <c r="G22" i="3"/>
  <c r="H22" i="3" s="1"/>
  <c r="H21" i="3" s="1"/>
  <c r="G19" i="3"/>
  <c r="H19" i="3" s="1"/>
  <c r="G18" i="3"/>
  <c r="H18" i="3" s="1"/>
  <c r="E181" i="3"/>
  <c r="D181" i="3"/>
  <c r="C181" i="3"/>
  <c r="E180" i="3"/>
  <c r="D180" i="3"/>
  <c r="C180" i="3"/>
  <c r="E175" i="3"/>
  <c r="D175" i="3"/>
  <c r="C175" i="3"/>
  <c r="E174" i="3"/>
  <c r="D174" i="3"/>
  <c r="C174" i="3"/>
  <c r="E173" i="3"/>
  <c r="D173" i="3"/>
  <c r="C173" i="3"/>
  <c r="E172" i="3"/>
  <c r="D172" i="3"/>
  <c r="C172" i="3"/>
  <c r="E168" i="3"/>
  <c r="D168" i="3"/>
  <c r="C168" i="3"/>
  <c r="E167" i="3"/>
  <c r="D167" i="3"/>
  <c r="C167" i="3"/>
  <c r="E166" i="3"/>
  <c r="D166" i="3"/>
  <c r="C166" i="3"/>
  <c r="E163" i="3"/>
  <c r="D163" i="3"/>
  <c r="C163" i="3"/>
  <c r="E162" i="3"/>
  <c r="D162" i="3"/>
  <c r="C162" i="3"/>
  <c r="E161" i="3"/>
  <c r="D161" i="3"/>
  <c r="C161" i="3"/>
  <c r="E157" i="3"/>
  <c r="D157" i="3"/>
  <c r="C157" i="3"/>
  <c r="E156" i="3"/>
  <c r="D156" i="3"/>
  <c r="C156" i="3"/>
  <c r="E155" i="3"/>
  <c r="D155" i="3"/>
  <c r="C155" i="3"/>
  <c r="E154" i="3"/>
  <c r="D154" i="3"/>
  <c r="C154" i="3"/>
  <c r="E151" i="3"/>
  <c r="D151" i="3"/>
  <c r="C151" i="3"/>
  <c r="E150" i="3"/>
  <c r="D150" i="3"/>
  <c r="C150" i="3"/>
  <c r="E149" i="3"/>
  <c r="D149" i="3"/>
  <c r="C149" i="3"/>
  <c r="E148" i="3"/>
  <c r="D148" i="3"/>
  <c r="C148" i="3"/>
  <c r="E145" i="3"/>
  <c r="D145" i="3"/>
  <c r="C145" i="3"/>
  <c r="E144" i="3"/>
  <c r="D144" i="3"/>
  <c r="C144" i="3"/>
  <c r="E143" i="3"/>
  <c r="D143" i="3"/>
  <c r="C143" i="3"/>
  <c r="E139" i="3"/>
  <c r="D139" i="3"/>
  <c r="C139" i="3"/>
  <c r="E138" i="3"/>
  <c r="D138" i="3"/>
  <c r="C138" i="3"/>
  <c r="E137" i="3"/>
  <c r="D137" i="3"/>
  <c r="C137" i="3"/>
  <c r="E134" i="3"/>
  <c r="D134" i="3"/>
  <c r="C134" i="3"/>
  <c r="E133" i="3"/>
  <c r="D133" i="3"/>
  <c r="C133" i="3"/>
  <c r="E132" i="3"/>
  <c r="D132" i="3"/>
  <c r="C132" i="3"/>
  <c r="E129" i="3"/>
  <c r="D129" i="3"/>
  <c r="C129" i="3"/>
  <c r="E128" i="3"/>
  <c r="D128" i="3"/>
  <c r="C128" i="3"/>
  <c r="E127" i="3"/>
  <c r="D127" i="3"/>
  <c r="C127" i="3"/>
  <c r="E126" i="3"/>
  <c r="D126" i="3"/>
  <c r="C126" i="3"/>
  <c r="E122" i="3"/>
  <c r="D122" i="3"/>
  <c r="C122" i="3"/>
  <c r="E121" i="3"/>
  <c r="D121" i="3"/>
  <c r="C121" i="3"/>
  <c r="E120" i="3"/>
  <c r="D120" i="3"/>
  <c r="C120" i="3"/>
  <c r="E119" i="3"/>
  <c r="D119" i="3"/>
  <c r="C119" i="3"/>
  <c r="E116" i="3"/>
  <c r="D116" i="3"/>
  <c r="C116" i="3"/>
  <c r="E115" i="3"/>
  <c r="D115" i="3"/>
  <c r="C115" i="3"/>
  <c r="E114" i="3"/>
  <c r="D114" i="3"/>
  <c r="C114" i="3"/>
  <c r="E113" i="3"/>
  <c r="D113" i="3"/>
  <c r="C113" i="3"/>
  <c r="E107" i="3"/>
  <c r="D107" i="3"/>
  <c r="C107" i="3"/>
  <c r="E106" i="3"/>
  <c r="D106" i="3"/>
  <c r="C106" i="3"/>
  <c r="E105" i="3"/>
  <c r="D105" i="3"/>
  <c r="C105" i="3"/>
  <c r="E104" i="3"/>
  <c r="D104" i="3"/>
  <c r="C104" i="3"/>
  <c r="E103" i="3"/>
  <c r="D103" i="3"/>
  <c r="C103" i="3"/>
  <c r="E100" i="3"/>
  <c r="D100" i="3"/>
  <c r="C100" i="3"/>
  <c r="E99" i="3"/>
  <c r="D99" i="3"/>
  <c r="C99" i="3"/>
  <c r="E98" i="3"/>
  <c r="D98" i="3"/>
  <c r="C98" i="3"/>
  <c r="E97" i="3"/>
  <c r="D97" i="3"/>
  <c r="C97" i="3"/>
  <c r="E96" i="3"/>
  <c r="D96" i="3"/>
  <c r="C96" i="3"/>
  <c r="E93" i="3"/>
  <c r="D93" i="3"/>
  <c r="C93" i="3"/>
  <c r="E92" i="3"/>
  <c r="D92" i="3"/>
  <c r="C92" i="3"/>
  <c r="E91" i="3"/>
  <c r="D91" i="3"/>
  <c r="C91" i="3"/>
  <c r="E90" i="3"/>
  <c r="D90" i="3"/>
  <c r="C90" i="3"/>
  <c r="E89" i="3"/>
  <c r="D89" i="3"/>
  <c r="C89" i="3"/>
  <c r="E88" i="3"/>
  <c r="D88" i="3"/>
  <c r="C88" i="3"/>
  <c r="E87" i="3"/>
  <c r="D87" i="3"/>
  <c r="C87" i="3"/>
  <c r="E86" i="3"/>
  <c r="D86" i="3"/>
  <c r="C86" i="3"/>
  <c r="E82" i="3"/>
  <c r="D82" i="3"/>
  <c r="C82" i="3"/>
  <c r="E81" i="3"/>
  <c r="D81" i="3"/>
  <c r="C81" i="3"/>
  <c r="E80" i="3"/>
  <c r="D80" i="3"/>
  <c r="C80" i="3"/>
  <c r="E79" i="3"/>
  <c r="D79" i="3"/>
  <c r="C79" i="3"/>
  <c r="E78" i="3"/>
  <c r="D78" i="3"/>
  <c r="C78" i="3"/>
  <c r="E75" i="3"/>
  <c r="D75" i="3"/>
  <c r="C75" i="3"/>
  <c r="E74" i="3"/>
  <c r="D74" i="3"/>
  <c r="C74" i="3"/>
  <c r="E73" i="3"/>
  <c r="D73" i="3"/>
  <c r="C73" i="3"/>
  <c r="E72" i="3"/>
  <c r="D72" i="3"/>
  <c r="C72" i="3"/>
  <c r="E68" i="3"/>
  <c r="D68" i="3"/>
  <c r="C68" i="3"/>
  <c r="E67" i="3"/>
  <c r="D67" i="3"/>
  <c r="C67" i="3"/>
  <c r="E66" i="3"/>
  <c r="D66" i="3"/>
  <c r="C66" i="3"/>
  <c r="E65" i="3"/>
  <c r="D65" i="3"/>
  <c r="C65" i="3"/>
  <c r="E62" i="3"/>
  <c r="D62" i="3"/>
  <c r="C62" i="3"/>
  <c r="E61" i="3"/>
  <c r="D61" i="3"/>
  <c r="C61" i="3"/>
  <c r="E60" i="3"/>
  <c r="D60" i="3"/>
  <c r="C60" i="3"/>
  <c r="E54" i="3"/>
  <c r="D54" i="3"/>
  <c r="C54" i="3"/>
  <c r="E53" i="3"/>
  <c r="D53" i="3"/>
  <c r="C53" i="3"/>
  <c r="E50" i="3"/>
  <c r="D50" i="3"/>
  <c r="C50" i="3"/>
  <c r="E47" i="3"/>
  <c r="D47" i="3"/>
  <c r="C47" i="3"/>
  <c r="E44" i="3"/>
  <c r="D44" i="3"/>
  <c r="C44" i="3"/>
  <c r="E43" i="3"/>
  <c r="D43" i="3"/>
  <c r="C43" i="3"/>
  <c r="E39" i="3"/>
  <c r="D39" i="3"/>
  <c r="C39" i="3"/>
  <c r="E38" i="3"/>
  <c r="D38" i="3"/>
  <c r="C38" i="3"/>
  <c r="E37" i="3"/>
  <c r="D37" i="3"/>
  <c r="C37" i="3"/>
  <c r="E36" i="3"/>
  <c r="D36" i="3"/>
  <c r="C36" i="3"/>
  <c r="E33" i="3"/>
  <c r="D33" i="3"/>
  <c r="C33" i="3"/>
  <c r="E29" i="3"/>
  <c r="D29" i="3"/>
  <c r="C29" i="3"/>
  <c r="E23" i="3"/>
  <c r="D23" i="3"/>
  <c r="C23" i="3"/>
  <c r="E22" i="3"/>
  <c r="D22" i="3"/>
  <c r="C22" i="3"/>
  <c r="E19" i="3"/>
  <c r="D19" i="3"/>
  <c r="C19" i="3"/>
  <c r="E18" i="3"/>
  <c r="D18" i="3"/>
  <c r="C18" i="3"/>
  <c r="A181" i="3"/>
  <c r="A180" i="3"/>
  <c r="A175" i="3"/>
  <c r="A174" i="3"/>
  <c r="A173" i="3"/>
  <c r="A172" i="3"/>
  <c r="A168" i="3"/>
  <c r="A167" i="3"/>
  <c r="A166" i="3"/>
  <c r="A163" i="3"/>
  <c r="A162" i="3"/>
  <c r="A161" i="3"/>
  <c r="A157" i="3"/>
  <c r="A156" i="3"/>
  <c r="A155" i="3"/>
  <c r="A154" i="3"/>
  <c r="A151" i="3"/>
  <c r="A150" i="3"/>
  <c r="A149" i="3"/>
  <c r="A148" i="3"/>
  <c r="A145" i="3"/>
  <c r="A144" i="3"/>
  <c r="A143" i="3"/>
  <c r="A139" i="3"/>
  <c r="A138" i="3"/>
  <c r="A137" i="3"/>
  <c r="A134" i="3"/>
  <c r="A133" i="3"/>
  <c r="A132" i="3"/>
  <c r="A129" i="3"/>
  <c r="A128" i="3"/>
  <c r="A127" i="3"/>
  <c r="A126" i="3"/>
  <c r="A122" i="3"/>
  <c r="A121" i="3"/>
  <c r="A120" i="3"/>
  <c r="A119" i="3"/>
  <c r="A116" i="3"/>
  <c r="A115" i="3"/>
  <c r="A114" i="3"/>
  <c r="A113" i="3"/>
  <c r="A107" i="3"/>
  <c r="A106" i="3"/>
  <c r="A105" i="3"/>
  <c r="A104" i="3"/>
  <c r="A103" i="3"/>
  <c r="A100" i="3"/>
  <c r="A99" i="3"/>
  <c r="A98" i="3"/>
  <c r="A97" i="3"/>
  <c r="A96" i="3"/>
  <c r="A93" i="3"/>
  <c r="A92" i="3"/>
  <c r="A91" i="3"/>
  <c r="A90" i="3"/>
  <c r="A89" i="3"/>
  <c r="A88" i="3"/>
  <c r="A87" i="3"/>
  <c r="A86" i="3"/>
  <c r="A82" i="3"/>
  <c r="A81" i="3"/>
  <c r="A80" i="3"/>
  <c r="A79" i="3"/>
  <c r="A78" i="3"/>
  <c r="A75" i="3"/>
  <c r="A74" i="3"/>
  <c r="A73" i="3"/>
  <c r="A72" i="3"/>
  <c r="A68" i="3"/>
  <c r="A67" i="3"/>
  <c r="A66" i="3"/>
  <c r="A65" i="3"/>
  <c r="A62" i="3"/>
  <c r="A61" i="3"/>
  <c r="A60" i="3"/>
  <c r="A54" i="3"/>
  <c r="A53" i="3"/>
  <c r="A50" i="3"/>
  <c r="A47" i="3"/>
  <c r="A44" i="3"/>
  <c r="A43" i="3"/>
  <c r="A39" i="3"/>
  <c r="A38" i="3"/>
  <c r="A37" i="3"/>
  <c r="A36" i="3"/>
  <c r="A33" i="3"/>
  <c r="A29" i="3"/>
  <c r="A23" i="3"/>
  <c r="A22" i="3"/>
  <c r="A19" i="3"/>
  <c r="A18" i="3"/>
  <c r="E179" i="3"/>
  <c r="D179" i="3"/>
  <c r="C179" i="3"/>
  <c r="B179" i="3"/>
  <c r="E171" i="3"/>
  <c r="D171" i="3"/>
  <c r="C171" i="3"/>
  <c r="B171" i="3"/>
  <c r="E165" i="3"/>
  <c r="D165" i="3"/>
  <c r="C165" i="3"/>
  <c r="B165" i="3"/>
  <c r="E160" i="3"/>
  <c r="D160" i="3"/>
  <c r="C160" i="3"/>
  <c r="B160" i="3"/>
  <c r="E153" i="3"/>
  <c r="D153" i="3"/>
  <c r="C153" i="3"/>
  <c r="B153" i="3"/>
  <c r="E147" i="3"/>
  <c r="D147" i="3"/>
  <c r="C147" i="3"/>
  <c r="B147" i="3"/>
  <c r="E142" i="3"/>
  <c r="D142" i="3"/>
  <c r="C142" i="3"/>
  <c r="B142" i="3"/>
  <c r="E136" i="3"/>
  <c r="D136" i="3"/>
  <c r="C136" i="3"/>
  <c r="B136" i="3"/>
  <c r="E131" i="3"/>
  <c r="D131" i="3"/>
  <c r="C131" i="3"/>
  <c r="B131" i="3"/>
  <c r="E125" i="3"/>
  <c r="D125" i="3"/>
  <c r="C125" i="3"/>
  <c r="B125" i="3"/>
  <c r="E118" i="3"/>
  <c r="D118" i="3"/>
  <c r="C118" i="3"/>
  <c r="B118" i="3"/>
  <c r="E112" i="3"/>
  <c r="D112" i="3"/>
  <c r="C112" i="3"/>
  <c r="B112" i="3"/>
  <c r="E102" i="3"/>
  <c r="D102" i="3"/>
  <c r="C102" i="3"/>
  <c r="B102" i="3"/>
  <c r="E95" i="3"/>
  <c r="D95" i="3"/>
  <c r="C95" i="3"/>
  <c r="B95" i="3"/>
  <c r="E85" i="3"/>
  <c r="D85" i="3"/>
  <c r="C85" i="3"/>
  <c r="B85" i="3"/>
  <c r="E77" i="3"/>
  <c r="D77" i="3"/>
  <c r="C77" i="3"/>
  <c r="B77" i="3"/>
  <c r="E71" i="3"/>
  <c r="D71" i="3"/>
  <c r="C71" i="3"/>
  <c r="B71" i="3"/>
  <c r="E64" i="3"/>
  <c r="D64" i="3"/>
  <c r="C64" i="3"/>
  <c r="B64" i="3"/>
  <c r="E59" i="3"/>
  <c r="D59" i="3"/>
  <c r="C59" i="3"/>
  <c r="B59" i="3"/>
  <c r="E52" i="3"/>
  <c r="D52" i="3"/>
  <c r="C52" i="3"/>
  <c r="B52" i="3"/>
  <c r="E49" i="3"/>
  <c r="D49" i="3"/>
  <c r="C49" i="3"/>
  <c r="B49" i="3"/>
  <c r="E46" i="3"/>
  <c r="D46" i="3"/>
  <c r="C46" i="3"/>
  <c r="B46" i="3"/>
  <c r="E42" i="3"/>
  <c r="D42" i="3"/>
  <c r="C42" i="3"/>
  <c r="B42" i="3"/>
  <c r="E35" i="3"/>
  <c r="D35" i="3"/>
  <c r="C35" i="3"/>
  <c r="B35" i="3"/>
  <c r="E32" i="3"/>
  <c r="D32" i="3"/>
  <c r="C32" i="3"/>
  <c r="B32" i="3"/>
  <c r="E28" i="3"/>
  <c r="D28" i="3"/>
  <c r="C28" i="3"/>
  <c r="B28" i="3"/>
  <c r="E21" i="3"/>
  <c r="D21" i="3"/>
  <c r="C21" i="3"/>
  <c r="B21" i="3"/>
  <c r="E17" i="3"/>
  <c r="D17" i="3"/>
  <c r="C17" i="3"/>
  <c r="B17" i="3"/>
  <c r="E11" i="3"/>
  <c r="D11" i="3"/>
  <c r="C11" i="3"/>
  <c r="B11" i="3"/>
  <c r="G12" i="3"/>
  <c r="H12" i="3" s="1"/>
  <c r="H11" i="3" s="1"/>
  <c r="E12" i="3"/>
  <c r="D12" i="3"/>
  <c r="C12" i="3"/>
  <c r="A12" i="3"/>
  <c r="H93" i="1"/>
  <c r="H92" i="1" s="1"/>
  <c r="C15" i="2" s="1"/>
  <c r="H84" i="1"/>
  <c r="H70" i="1"/>
  <c r="H27" i="1"/>
  <c r="E95" i="1"/>
  <c r="D95" i="1"/>
  <c r="C95" i="1"/>
  <c r="E94" i="1"/>
  <c r="D94" i="1"/>
  <c r="C94" i="1"/>
  <c r="E91" i="1"/>
  <c r="D91" i="1"/>
  <c r="C91" i="1"/>
  <c r="E90" i="1"/>
  <c r="D90" i="1"/>
  <c r="C90" i="1"/>
  <c r="E88" i="1"/>
  <c r="D88" i="1"/>
  <c r="C88" i="1"/>
  <c r="E87" i="1"/>
  <c r="D87" i="1"/>
  <c r="C87" i="1"/>
  <c r="E85" i="1"/>
  <c r="D85" i="1"/>
  <c r="C85" i="1"/>
  <c r="E82" i="1"/>
  <c r="D82" i="1"/>
  <c r="C82" i="1"/>
  <c r="E76" i="1"/>
  <c r="D76" i="1"/>
  <c r="C76" i="1"/>
  <c r="E71" i="1"/>
  <c r="D71" i="1"/>
  <c r="C71" i="1"/>
  <c r="E60" i="1"/>
  <c r="D60" i="1"/>
  <c r="C60" i="1"/>
  <c r="E59" i="1"/>
  <c r="D59" i="1"/>
  <c r="C59" i="1"/>
  <c r="E56" i="1"/>
  <c r="D56" i="1"/>
  <c r="C56" i="1"/>
  <c r="E55" i="1"/>
  <c r="D55" i="1"/>
  <c r="C55" i="1"/>
  <c r="E54" i="1"/>
  <c r="D54" i="1"/>
  <c r="C54" i="1"/>
  <c r="E53" i="1"/>
  <c r="D53" i="1"/>
  <c r="C53" i="1"/>
  <c r="E52" i="1"/>
  <c r="D52" i="1"/>
  <c r="C52" i="1"/>
  <c r="E51" i="1"/>
  <c r="D51" i="1"/>
  <c r="C51" i="1"/>
  <c r="E50" i="1"/>
  <c r="D50" i="1"/>
  <c r="C50" i="1"/>
  <c r="E47" i="1"/>
  <c r="D47" i="1"/>
  <c r="C47" i="1"/>
  <c r="E35" i="1"/>
  <c r="D35" i="1"/>
  <c r="C35" i="1"/>
  <c r="E32" i="1"/>
  <c r="D32" i="1"/>
  <c r="C32" i="1"/>
  <c r="E31" i="1"/>
  <c r="D31" i="1"/>
  <c r="C31" i="1"/>
  <c r="E30" i="1"/>
  <c r="D30" i="1"/>
  <c r="C30" i="1"/>
  <c r="E29" i="1"/>
  <c r="D29" i="1"/>
  <c r="C29" i="1"/>
  <c r="E28" i="1"/>
  <c r="D28" i="1"/>
  <c r="C28" i="1"/>
  <c r="E24" i="1"/>
  <c r="D24" i="1"/>
  <c r="C24" i="1"/>
  <c r="E16" i="1"/>
  <c r="D16" i="1"/>
  <c r="C16" i="1"/>
  <c r="C15" i="1"/>
  <c r="G95" i="1"/>
  <c r="H95" i="1" s="1"/>
  <c r="G94" i="1"/>
  <c r="H94" i="1" s="1"/>
  <c r="G91" i="1"/>
  <c r="H91" i="1" s="1"/>
  <c r="G90" i="1"/>
  <c r="H90" i="1" s="1"/>
  <c r="G88" i="1"/>
  <c r="H88" i="1" s="1"/>
  <c r="G87" i="1"/>
  <c r="H87" i="1" s="1"/>
  <c r="G85" i="1"/>
  <c r="H85" i="1" s="1"/>
  <c r="G82" i="1"/>
  <c r="H82" i="1" s="1"/>
  <c r="G76" i="1"/>
  <c r="H76" i="1" s="1"/>
  <c r="G71" i="1"/>
  <c r="H71" i="1" s="1"/>
  <c r="G60" i="1"/>
  <c r="H60" i="1" s="1"/>
  <c r="G59" i="1"/>
  <c r="H59" i="1" s="1"/>
  <c r="G56" i="1"/>
  <c r="H56" i="1" s="1"/>
  <c r="G55" i="1"/>
  <c r="H55" i="1" s="1"/>
  <c r="G54" i="1"/>
  <c r="H54" i="1" s="1"/>
  <c r="G53" i="1"/>
  <c r="H53" i="1" s="1"/>
  <c r="G52" i="1"/>
  <c r="H52" i="1" s="1"/>
  <c r="G51" i="1"/>
  <c r="H51" i="1" s="1"/>
  <c r="G50" i="1"/>
  <c r="H50" i="1" s="1"/>
  <c r="G47" i="1"/>
  <c r="H47" i="1" s="1"/>
  <c r="G35" i="1"/>
  <c r="H35" i="1" s="1"/>
  <c r="G32" i="1"/>
  <c r="H32" i="1" s="1"/>
  <c r="G31" i="1"/>
  <c r="H31" i="1" s="1"/>
  <c r="G30" i="1"/>
  <c r="H30" i="1" s="1"/>
  <c r="G29" i="1"/>
  <c r="H29" i="1" s="1"/>
  <c r="G28" i="1"/>
  <c r="H28" i="1" s="1"/>
  <c r="G24" i="1"/>
  <c r="H24" i="1" s="1"/>
  <c r="G16" i="1"/>
  <c r="H16" i="1" s="1"/>
  <c r="H15" i="1"/>
  <c r="G15" i="1"/>
  <c r="E15" i="1"/>
  <c r="D15" i="1"/>
  <c r="B15" i="2"/>
  <c r="B14" i="2"/>
  <c r="B13" i="2"/>
  <c r="B12" i="2"/>
  <c r="B11" i="2"/>
  <c r="B10" i="2"/>
  <c r="B9" i="2"/>
  <c r="E6" i="3"/>
  <c r="C6" i="3"/>
  <c r="A6" i="3"/>
  <c r="E5" i="3"/>
  <c r="C5" i="3"/>
  <c r="A5" i="3"/>
  <c r="E4" i="3"/>
  <c r="C4" i="3"/>
  <c r="A4" i="3"/>
  <c r="E3" i="3"/>
  <c r="C3" i="3"/>
  <c r="A3" i="3"/>
  <c r="E2" i="3"/>
  <c r="D2" i="3"/>
  <c r="C2" i="3"/>
  <c r="A2" i="3"/>
  <c r="E1" i="3"/>
  <c r="D1" i="3"/>
  <c r="C1" i="3"/>
  <c r="A1" i="3"/>
  <c r="C6" i="8"/>
  <c r="B6" i="8"/>
  <c r="A6" i="8"/>
  <c r="C5" i="8"/>
  <c r="B5" i="8"/>
  <c r="A5" i="8"/>
  <c r="C4" i="8"/>
  <c r="B4" i="8"/>
  <c r="A4" i="8"/>
  <c r="C3" i="8"/>
  <c r="B3" i="8"/>
  <c r="A3" i="8"/>
  <c r="C2" i="8"/>
  <c r="B2" i="8"/>
  <c r="A2" i="8"/>
  <c r="C1" i="8"/>
  <c r="B1" i="8"/>
  <c r="A1" i="8"/>
  <c r="D6" i="5"/>
  <c r="C6" i="5"/>
  <c r="A6" i="5"/>
  <c r="D5" i="5"/>
  <c r="C5" i="5"/>
  <c r="A5" i="5"/>
  <c r="D4" i="5"/>
  <c r="C4" i="5"/>
  <c r="A4" i="5"/>
  <c r="D3" i="5"/>
  <c r="C3" i="5"/>
  <c r="A3" i="5"/>
  <c r="D2" i="5"/>
  <c r="C2" i="5"/>
  <c r="A2" i="5"/>
  <c r="D1" i="5"/>
  <c r="C1" i="5"/>
  <c r="A1" i="5"/>
  <c r="D6" i="4"/>
  <c r="C6" i="4"/>
  <c r="A6" i="4"/>
  <c r="D5" i="4"/>
  <c r="C5" i="4"/>
  <c r="A5" i="4"/>
  <c r="D4" i="4"/>
  <c r="C4" i="4"/>
  <c r="A4" i="4"/>
  <c r="D3" i="4"/>
  <c r="C3" i="4"/>
  <c r="A3" i="4"/>
  <c r="D2" i="4"/>
  <c r="C2" i="4"/>
  <c r="A2" i="4"/>
  <c r="D1" i="4"/>
  <c r="C1" i="4"/>
  <c r="A1" i="4"/>
  <c r="E6" i="10"/>
  <c r="C6" i="10"/>
  <c r="A6" i="10"/>
  <c r="E5" i="10"/>
  <c r="C5" i="10"/>
  <c r="A5" i="10"/>
  <c r="E4" i="10"/>
  <c r="C4" i="10"/>
  <c r="A4" i="10"/>
  <c r="E3" i="10"/>
  <c r="C3" i="10"/>
  <c r="A3" i="10"/>
  <c r="E2" i="10"/>
  <c r="D2" i="10"/>
  <c r="C2" i="10"/>
  <c r="A2" i="10"/>
  <c r="E1" i="10"/>
  <c r="D1" i="10"/>
  <c r="C1" i="10"/>
  <c r="A1" i="10"/>
  <c r="C6" i="2"/>
  <c r="B6" i="2"/>
  <c r="A6" i="2"/>
  <c r="C5" i="2"/>
  <c r="B5" i="2"/>
  <c r="A5" i="2"/>
  <c r="C4" i="2"/>
  <c r="B4" i="2"/>
  <c r="A4" i="2"/>
  <c r="C3" i="2"/>
  <c r="B3" i="2"/>
  <c r="A3" i="2"/>
  <c r="C2" i="2"/>
  <c r="B2" i="2"/>
  <c r="A2" i="2"/>
  <c r="C1" i="2"/>
  <c r="B1" i="2"/>
  <c r="A1" i="2"/>
  <c r="H35" i="3" l="1"/>
  <c r="H112" i="3"/>
  <c r="H118" i="3"/>
  <c r="H131" i="3"/>
  <c r="H165" i="3"/>
  <c r="G89" i="1"/>
  <c r="H89" i="1" s="1"/>
  <c r="H86" i="1" s="1"/>
  <c r="C62" i="8" s="1"/>
  <c r="D62" i="8" s="1"/>
  <c r="E62" i="8" s="1"/>
  <c r="E61" i="8" s="1"/>
  <c r="H77" i="3"/>
  <c r="H160" i="3"/>
  <c r="H17" i="3"/>
  <c r="H59" i="3"/>
  <c r="G42" i="1" s="1"/>
  <c r="H42" i="1" s="1"/>
  <c r="H71" i="3"/>
  <c r="H85" i="3"/>
  <c r="H142" i="3"/>
  <c r="H171" i="3"/>
  <c r="H125" i="3"/>
  <c r="H153" i="3"/>
  <c r="D60" i="8"/>
  <c r="D28" i="8"/>
  <c r="E28" i="8" s="1"/>
  <c r="E27" i="8" s="1"/>
  <c r="G38" i="1"/>
  <c r="H38" i="1" s="1"/>
  <c r="G69" i="1"/>
  <c r="H69" i="1" s="1"/>
  <c r="G18" i="1"/>
  <c r="H18" i="1" s="1"/>
  <c r="G34" i="1"/>
  <c r="H34" i="1" s="1"/>
  <c r="G49" i="1"/>
  <c r="H49" i="1" s="1"/>
  <c r="G65" i="1"/>
  <c r="H65" i="1" s="1"/>
  <c r="G73" i="1"/>
  <c r="H73" i="1" s="1"/>
  <c r="G79" i="1"/>
  <c r="H79" i="1" s="1"/>
  <c r="G26" i="1"/>
  <c r="H26" i="1" s="1"/>
  <c r="G64" i="1"/>
  <c r="H64" i="1" s="1"/>
  <c r="G22" i="1"/>
  <c r="H22" i="1" s="1"/>
  <c r="H21" i="1" s="1"/>
  <c r="C24" i="8" s="1"/>
  <c r="G36" i="1"/>
  <c r="H36" i="1" s="1"/>
  <c r="G43" i="1"/>
  <c r="H43" i="1" s="1"/>
  <c r="G57" i="1"/>
  <c r="H57" i="1" s="1"/>
  <c r="G67" i="1"/>
  <c r="H67" i="1" s="1"/>
  <c r="G74" i="1"/>
  <c r="H74" i="1" s="1"/>
  <c r="H72" i="1" s="1"/>
  <c r="C52" i="8" s="1"/>
  <c r="G81" i="1"/>
  <c r="H81" i="1" s="1"/>
  <c r="H80" i="1" s="1"/>
  <c r="C56" i="8" s="1"/>
  <c r="G17" i="1"/>
  <c r="H17" i="1" s="1"/>
  <c r="H14" i="1" s="1"/>
  <c r="G46" i="1"/>
  <c r="H46" i="1" s="1"/>
  <c r="G78" i="1"/>
  <c r="H78" i="1" s="1"/>
  <c r="H77" i="1" s="1"/>
  <c r="C54" i="8" s="1"/>
  <c r="G11" i="1"/>
  <c r="H11" i="1" s="1"/>
  <c r="H10" i="1" s="1"/>
  <c r="G25" i="1"/>
  <c r="H25" i="1" s="1"/>
  <c r="G37" i="1"/>
  <c r="H37" i="1" s="1"/>
  <c r="G45" i="1"/>
  <c r="H45" i="1" s="1"/>
  <c r="H44" i="1" s="1"/>
  <c r="C38" i="8" s="1"/>
  <c r="G58" i="1"/>
  <c r="H58" i="1" s="1"/>
  <c r="G68" i="1"/>
  <c r="H68" i="1" s="1"/>
  <c r="G75" i="1"/>
  <c r="H75" i="1" s="1"/>
  <c r="H63" i="1"/>
  <c r="C46" i="8" s="1"/>
  <c r="H83" i="1"/>
  <c r="H33" i="1" l="1"/>
  <c r="C30" i="8" s="1"/>
  <c r="D30" i="8" s="1"/>
  <c r="E30" i="8" s="1"/>
  <c r="E29" i="8" s="1"/>
  <c r="H41" i="1"/>
  <c r="C36" i="8" s="1"/>
  <c r="D36" i="8" s="1"/>
  <c r="H23" i="1"/>
  <c r="C26" i="8" s="1"/>
  <c r="H48" i="1"/>
  <c r="C40" i="8" s="1"/>
  <c r="D40" i="8" s="1"/>
  <c r="E40" i="8" s="1"/>
  <c r="E39" i="8" s="1"/>
  <c r="D52" i="8"/>
  <c r="E52" i="8" s="1"/>
  <c r="E51" i="8" s="1"/>
  <c r="H9" i="1"/>
  <c r="C10" i="8" s="1"/>
  <c r="C12" i="8"/>
  <c r="D54" i="8"/>
  <c r="E54" i="8" s="1"/>
  <c r="E53" i="8" s="1"/>
  <c r="C14" i="2"/>
  <c r="C58" i="8"/>
  <c r="D46" i="8"/>
  <c r="E60" i="8"/>
  <c r="D58" i="8"/>
  <c r="H13" i="1"/>
  <c r="C18" i="8"/>
  <c r="D56" i="8"/>
  <c r="E56" i="8" s="1"/>
  <c r="E55" i="8" s="1"/>
  <c r="D26" i="8"/>
  <c r="E26" i="8" s="1"/>
  <c r="E25" i="8" s="1"/>
  <c r="D38" i="8"/>
  <c r="E38" i="8" s="1"/>
  <c r="E37" i="8" s="1"/>
  <c r="H66" i="1"/>
  <c r="C48" i="8" s="1"/>
  <c r="D24" i="8"/>
  <c r="E24" i="8" s="1"/>
  <c r="H62" i="1"/>
  <c r="H40" i="1" l="1"/>
  <c r="H39" i="1" s="1"/>
  <c r="H20" i="1"/>
  <c r="H19" i="1" s="1"/>
  <c r="D57" i="8"/>
  <c r="D48" i="8"/>
  <c r="E48" i="8" s="1"/>
  <c r="E47" i="8" s="1"/>
  <c r="E58" i="8"/>
  <c r="E57" i="8" s="1"/>
  <c r="E59" i="8"/>
  <c r="D12" i="8"/>
  <c r="D10" i="8" s="1"/>
  <c r="E36" i="8"/>
  <c r="D34" i="8"/>
  <c r="H61" i="1"/>
  <c r="C44" i="8"/>
  <c r="D18" i="8"/>
  <c r="D16" i="8" s="1"/>
  <c r="D22" i="8"/>
  <c r="H12" i="1"/>
  <c r="C16" i="8"/>
  <c r="E46" i="8"/>
  <c r="C9" i="2"/>
  <c r="C34" i="8" l="1"/>
  <c r="C22" i="8"/>
  <c r="E18" i="8"/>
  <c r="E16" i="8" s="1"/>
  <c r="E12" i="8"/>
  <c r="E44" i="8"/>
  <c r="E45" i="8"/>
  <c r="E22" i="8"/>
  <c r="E23" i="8"/>
  <c r="C13" i="2"/>
  <c r="C42" i="8"/>
  <c r="E11" i="8"/>
  <c r="E10" i="8"/>
  <c r="C11" i="2"/>
  <c r="C20" i="8"/>
  <c r="G97" i="1"/>
  <c r="C10" i="2"/>
  <c r="C14" i="8"/>
  <c r="D33" i="8"/>
  <c r="D32" i="8"/>
  <c r="D9" i="8"/>
  <c r="D44" i="8"/>
  <c r="D20" i="8"/>
  <c r="D21" i="8"/>
  <c r="D15" i="8"/>
  <c r="D14" i="8"/>
  <c r="E34" i="8"/>
  <c r="E35" i="8"/>
  <c r="C12" i="2"/>
  <c r="C32" i="8"/>
  <c r="E17" i="8" l="1"/>
  <c r="D13" i="8"/>
  <c r="D17" i="2"/>
  <c r="D9" i="2" s="1"/>
  <c r="E43" i="8"/>
  <c r="E42" i="8"/>
  <c r="E41" i="8" s="1"/>
  <c r="E9" i="8"/>
  <c r="E33" i="8"/>
  <c r="E32" i="8"/>
  <c r="E31" i="8" s="1"/>
  <c r="D19" i="8"/>
  <c r="D31" i="8"/>
  <c r="E21" i="8"/>
  <c r="E20" i="8"/>
  <c r="D43" i="8"/>
  <c r="D42" i="8"/>
  <c r="D41" i="8" s="1"/>
  <c r="E15" i="8"/>
  <c r="E14" i="8"/>
  <c r="E13" i="8" s="1"/>
  <c r="D22" i="4"/>
  <c r="D38" i="5"/>
  <c r="D31" i="5"/>
  <c r="D19" i="5"/>
  <c r="B97" i="1"/>
  <c r="D24" i="4" l="1"/>
  <c r="G98" i="1" s="1"/>
  <c r="G99" i="1" s="1"/>
  <c r="D19" i="4"/>
  <c r="D14" i="2"/>
  <c r="D11" i="2"/>
  <c r="D10" i="2"/>
  <c r="D12" i="2"/>
  <c r="D13" i="2"/>
  <c r="D15" i="2"/>
  <c r="D75" i="8"/>
  <c r="E19" i="8"/>
  <c r="E75" i="8"/>
  <c r="C18" i="2"/>
  <c r="D40" i="5"/>
  <c r="D42" i="5" s="1"/>
  <c r="D44" i="5" s="1"/>
  <c r="D41" i="5"/>
  <c r="D18" i="2" l="1"/>
  <c r="D19" i="2" s="1"/>
  <c r="E98" i="1"/>
  <c r="C75" i="8"/>
  <c r="D65" i="8" s="1"/>
  <c r="D66" i="8" s="1"/>
  <c r="D64" i="8" s="1"/>
  <c r="E66" i="8" l="1"/>
  <c r="E65" i="8" s="1"/>
  <c r="D63" i="8"/>
  <c r="D68" i="8"/>
  <c r="E64" i="8" l="1"/>
  <c r="E63" i="8" s="1"/>
  <c r="D69" i="8"/>
  <c r="D70" i="8" s="1"/>
  <c r="D73" i="8" s="1"/>
  <c r="D72" i="8"/>
  <c r="E68" i="8" l="1"/>
  <c r="E72" i="8" s="1"/>
  <c r="E69" i="8" l="1"/>
  <c r="E70" i="8" s="1"/>
  <c r="E73" i="8" s="1"/>
  <c r="E71" i="8"/>
  <c r="C27" i="8"/>
  <c r="C25" i="8"/>
  <c r="C39" i="8"/>
  <c r="C23" i="8"/>
  <c r="C17" i="8"/>
  <c r="C33" i="8"/>
  <c r="C19" i="8"/>
  <c r="C65" i="8"/>
  <c r="C35" i="8"/>
  <c r="C11" i="8"/>
  <c r="C13" i="8"/>
  <c r="C49" i="8"/>
  <c r="C63" i="8"/>
  <c r="C45" i="8"/>
  <c r="C37" i="8"/>
  <c r="C47" i="8"/>
  <c r="C43" i="8"/>
  <c r="C15" i="8"/>
  <c r="C41" i="8"/>
  <c r="C53" i="8"/>
  <c r="C55" i="8"/>
  <c r="C9" i="8"/>
  <c r="C61" i="8"/>
  <c r="C59" i="8"/>
  <c r="C51" i="8"/>
  <c r="C29" i="8"/>
  <c r="C57" i="8"/>
  <c r="C21" i="8"/>
  <c r="C31" i="8"/>
  <c r="D67" i="8"/>
  <c r="E67" i="8"/>
  <c r="D71" i="8"/>
</calcChain>
</file>

<file path=xl/sharedStrings.xml><?xml version="1.0" encoding="utf-8"?>
<sst xmlns="http://schemas.openxmlformats.org/spreadsheetml/2006/main" count="1219" uniqueCount="539">
  <si>
    <t>Orçamento Sintética</t>
  </si>
  <si>
    <t>Item</t>
  </si>
  <si>
    <t>Código</t>
  </si>
  <si>
    <t>Banco</t>
  </si>
  <si>
    <t>Descrição</t>
  </si>
  <si>
    <t>Und</t>
  </si>
  <si>
    <t>Quant.</t>
  </si>
  <si>
    <t>Valor Unit</t>
  </si>
  <si>
    <t>Total</t>
  </si>
  <si>
    <t xml:space="preserve"> 01 </t>
  </si>
  <si>
    <t>SERVIÇOS TÉCNICOS-PROFISSIONAIS</t>
  </si>
  <si>
    <t xml:space="preserve"> 01.08 </t>
  </si>
  <si>
    <t>TAXAS E EMOLUMENTOS</t>
  </si>
  <si>
    <t xml:space="preserve"> 01.08.1 </t>
  </si>
  <si>
    <t xml:space="preserve"> MPDFT0009 </t>
  </si>
  <si>
    <t>Próprio</t>
  </si>
  <si>
    <t>Registro do contrato junto ao conselho de classe (ART)</t>
  </si>
  <si>
    <t>vb</t>
  </si>
  <si>
    <t xml:space="preserve"> 02 </t>
  </si>
  <si>
    <t>SERVIÇOS PRELIMINARES</t>
  </si>
  <si>
    <t xml:space="preserve"> 02.02 </t>
  </si>
  <si>
    <t>DEMOLIÇÃO</t>
  </si>
  <si>
    <t xml:space="preserve"> 02.02.300 </t>
  </si>
  <si>
    <t>Remoções</t>
  </si>
  <si>
    <t xml:space="preserve"> 02.02.300.1 </t>
  </si>
  <si>
    <t xml:space="preserve"> 97641 </t>
  </si>
  <si>
    <t>SINAPI</t>
  </si>
  <si>
    <t>REMOÇÃO DE FORRO DE GESSO, DE FORMA MANUAL, SEM REAPROVEITAMENTO. AF_12/2017</t>
  </si>
  <si>
    <t>m²</t>
  </si>
  <si>
    <t xml:space="preserve"> 02.02.300.2 </t>
  </si>
  <si>
    <t xml:space="preserve"> 97665 </t>
  </si>
  <si>
    <t>REMOÇÃO DE LUMINÁRIAS, DE FORMA MANUAL, SEM REAPROVEITAMENTO. AF_12/2017</t>
  </si>
  <si>
    <t>UN</t>
  </si>
  <si>
    <t xml:space="preserve"> 02.02.300.3 </t>
  </si>
  <si>
    <t xml:space="preserve"> MPDFT0611 </t>
  </si>
  <si>
    <t>Copia da SBC (022358) - RETIRADA DE GRELHA</t>
  </si>
  <si>
    <t>m</t>
  </si>
  <si>
    <t xml:space="preserve"> 02.02.300.4 </t>
  </si>
  <si>
    <t xml:space="preserve"> MPDFT1008 </t>
  </si>
  <si>
    <t>Remoção de detector de fumaça</t>
  </si>
  <si>
    <t>un</t>
  </si>
  <si>
    <t xml:space="preserve"> 04 </t>
  </si>
  <si>
    <t>ARQUITETURA E ELEMENTOS DE URBANISMO</t>
  </si>
  <si>
    <t xml:space="preserve"> 04.01 </t>
  </si>
  <si>
    <t>ARQUITETURA</t>
  </si>
  <si>
    <t xml:space="preserve"> 04.01.530 </t>
  </si>
  <si>
    <t>Revestimentos de paredes</t>
  </si>
  <si>
    <t xml:space="preserve"> 04.01.530.1 </t>
  </si>
  <si>
    <t xml:space="preserve"> MPDFT0994 </t>
  </si>
  <si>
    <t>Painel por módulos em parede, sistema de vídeowall, com ajuste de profundidade, alinhamento e altura, em MDF de e=25mm, acabamento em laminado melamínico BP padrão madeirado - ref. Duratex, raízes, imbuia terra</t>
  </si>
  <si>
    <t xml:space="preserve"> 04.01.550 </t>
  </si>
  <si>
    <t>Revestimentos de forro</t>
  </si>
  <si>
    <t xml:space="preserve"> 04.01.550.1 </t>
  </si>
  <si>
    <t xml:space="preserve"> 96114 </t>
  </si>
  <si>
    <t>FORRO EM DRYWALL, PARA AMBIENTES COMERCIAIS, INCLUSIVE ESTRUTURA DE FIXAÇÃO. AF_05/2017_P</t>
  </si>
  <si>
    <t xml:space="preserve"> 04.01.550.2 </t>
  </si>
  <si>
    <t xml:space="preserve"> MPDFT1052 </t>
  </si>
  <si>
    <t>Tabica metálica pré pintada, para forro em gesso acartonado</t>
  </si>
  <si>
    <t xml:space="preserve"> 04.01.550.3 </t>
  </si>
  <si>
    <t xml:space="preserve"> MPDFT1051 </t>
  </si>
  <si>
    <t>Copia da SBC (023361) - Execução de visita em forro de gesso, DM 60 x 60cm, inclusive acabamento em perfis de alumínio na cor branca</t>
  </si>
  <si>
    <t xml:space="preserve"> 04.01.560 </t>
  </si>
  <si>
    <t>Pinturas</t>
  </si>
  <si>
    <t xml:space="preserve"> 04.01.560.1 </t>
  </si>
  <si>
    <t xml:space="preserve"> 88496 </t>
  </si>
  <si>
    <t>APLICAÇÃO E LIXAMENTO DE MASSA LÁTEX EM TETO, DUAS DEMÃOS. AF_06/2014</t>
  </si>
  <si>
    <t xml:space="preserve"> 04.01.560.2 </t>
  </si>
  <si>
    <t xml:space="preserve"> 04.01.560.3 </t>
  </si>
  <si>
    <t xml:space="preserve"> 04.01.560.4 </t>
  </si>
  <si>
    <t xml:space="preserve"> 102219 </t>
  </si>
  <si>
    <t>PINTURA TINTA DE ACABAMENTO (PIGMENTADA) ESMALTE SINTÉTICO ACETINADO EM MADEIRA, 2 DEMÃOS. AF_01/2021</t>
  </si>
  <si>
    <t xml:space="preserve"> 04.01.560.5 </t>
  </si>
  <si>
    <t xml:space="preserve"> 88489 </t>
  </si>
  <si>
    <t>APLICAÇÃO MANUAL DE PINTURA COM TINTA LÁTEX ACRÍLICA EM PAREDES, DUAS DEMÃOS. AF_06/2014</t>
  </si>
  <si>
    <t xml:space="preserve"> 04.01.700 </t>
  </si>
  <si>
    <t>Acabamentos e Arremates</t>
  </si>
  <si>
    <t xml:space="preserve"> 04.01.700.1 </t>
  </si>
  <si>
    <t xml:space="preserve"> MPDFT0992 </t>
  </si>
  <si>
    <t>Cópia da CPOS (02.03.030) - Proteção de superfícies com manta de papel kraft com plástico bolha alta resistência</t>
  </si>
  <si>
    <t xml:space="preserve"> 04.01.700.2 </t>
  </si>
  <si>
    <t xml:space="preserve"> 90439 </t>
  </si>
  <si>
    <t>FURO EM CONCRETO PARA DIÂMETROS MENORES OU IGUAIS A 40 MM. AF_05/2015</t>
  </si>
  <si>
    <t xml:space="preserve"> 04.01.700.3 </t>
  </si>
  <si>
    <t xml:space="preserve"> MPDFT0993 </t>
  </si>
  <si>
    <t>Cópia da SBC (023000) - Retirada, guarda e recolocação de cortina, persiana ou semelhante</t>
  </si>
  <si>
    <t xml:space="preserve"> 04.01.700.4 </t>
  </si>
  <si>
    <t xml:space="preserve"> MPDFT0995 </t>
  </si>
  <si>
    <t>Jardineira em módulos,  0,58x0,50 (AxP), MDF e=25mm de espessura, acabamento em laminado melamínico BP padrão madeirado (ref. Duratex, raízes, imbuia terra)</t>
  </si>
  <si>
    <t xml:space="preserve"> MPDFT1007 </t>
  </si>
  <si>
    <t>Copia da ORSE (12018) - Instalação de detector de fumaça</t>
  </si>
  <si>
    <t xml:space="preserve"> 06 </t>
  </si>
  <si>
    <t>INSTALAÇÕES ELÉTRICAS E ELETRÔNICAS</t>
  </si>
  <si>
    <t xml:space="preserve"> 06.01 </t>
  </si>
  <si>
    <t>INSTALAÇÕES ELÉTRICAS</t>
  </si>
  <si>
    <t xml:space="preserve"> 06.01.100 </t>
  </si>
  <si>
    <t>Quadros Elétricos</t>
  </si>
  <si>
    <t xml:space="preserve"> 06.01.100.1 </t>
  </si>
  <si>
    <t xml:space="preserve"> MPDFT0989 </t>
  </si>
  <si>
    <t>Quadro elétrico para sala-situação - QTE-ACSS (PJBSI)</t>
  </si>
  <si>
    <t xml:space="preserve"> 06.01.100.2 </t>
  </si>
  <si>
    <t xml:space="preserve"> MPDFT0990 </t>
  </si>
  <si>
    <t>Cópia da CPOS (37.25.090) - Disjuntor trifásico caixa moldada 380V 35kA 60A, Fabricação Schneider LV429003+LV429032</t>
  </si>
  <si>
    <t xml:space="preserve"> 06.01.300 </t>
  </si>
  <si>
    <t>Rede Elétrica Primária</t>
  </si>
  <si>
    <t xml:space="preserve"> 06.01.300.1 </t>
  </si>
  <si>
    <t xml:space="preserve"> MPDFT0151 </t>
  </si>
  <si>
    <t>Copia da SINAPI (95791) - Condulete de alumínio, tipo LR, para eletroduto de aço galvanizado dn 40 mm (1 1/2''), aparente - fornecimento e instalação</t>
  </si>
  <si>
    <t xml:space="preserve"> 06.01.300.2 </t>
  </si>
  <si>
    <t xml:space="preserve"> MPDFT0988 </t>
  </si>
  <si>
    <t>Copia da SINAPI (95748) - Eletroduto rígido de aço carbono, sem costura, com revestimento protetor de zinco aplicado à quente, extremidades rosqueadas, classe pesada, Ø40 mm (1 1/2" BSPP), fab. Apolo</t>
  </si>
  <si>
    <t>M</t>
  </si>
  <si>
    <t xml:space="preserve"> 06.01.300.3 </t>
  </si>
  <si>
    <t xml:space="preserve"> 91935 </t>
  </si>
  <si>
    <t>CABO DE COBRE FLEXÍVEL ISOLADO, 16 MM², ANTI-CHAMA 0,6/1,0 KV, PARA CIRCUITOS TERMINAIS - FORNECIMENTO E INSTALAÇÃO. AF_12/2015</t>
  </si>
  <si>
    <t xml:space="preserve"> 06.01.400 </t>
  </si>
  <si>
    <t>Rede Elétrica Secundária</t>
  </si>
  <si>
    <t xml:space="preserve"> 06.01.400.1 </t>
  </si>
  <si>
    <t xml:space="preserve"> MPDFT0336 </t>
  </si>
  <si>
    <t>Copia da SINAPI (97587) - TIPO C: luminária retangular de sobrepor para 2 lâmpadas fluorescentes T8 de 32W, corpo em chapa de aço fosfatizada e pintada elostraticamente, refletor facetado em alumínio anodizado de alta pureza e reflectância. Fabricação Lumicenter CAN03-S232</t>
  </si>
  <si>
    <t xml:space="preserve"> 06.01.400.2 </t>
  </si>
  <si>
    <t xml:space="preserve"> 100903 </t>
  </si>
  <si>
    <t>LÂMPADA TUBULAR LED DE 18/20 W, BASE G13 - FORNECIMENTO E INSTALAÇÃO. AF_02/2020_P</t>
  </si>
  <si>
    <t xml:space="preserve"> 06.01.400.3 </t>
  </si>
  <si>
    <t xml:space="preserve"> 95811 </t>
  </si>
  <si>
    <t>CONDULETE DE PVC, TIPO LB, PARA ELETRODUTO DE PVC SOLDÁVEL DN 25 MM (3/4</t>
  </si>
  <si>
    <t xml:space="preserve"> 06.01.400.4 </t>
  </si>
  <si>
    <t xml:space="preserve"> 91835 </t>
  </si>
  <si>
    <t>ELETRODUTO FLEXÍVEL CORRUGADO REFORÇADO, PVC, DN 25 MM (3/4"), PARA CIRCUITOS TERMINAIS, INSTALADO EM FORRO - FORNECIMENTO E INSTALAÇÃO. AF_12/2015</t>
  </si>
  <si>
    <t xml:space="preserve"> 06.01.400.5 </t>
  </si>
  <si>
    <t xml:space="preserve"> 91863 </t>
  </si>
  <si>
    <t>ELETRODUTO RÍGIDO ROSCÁVEL, PVC, DN 25 MM (3/4"), PARA CIRCUITOS TERMINAIS, INSTALADO EM FORRO - FORNECIMENTO E INSTALAÇÃO. AF_12/2015</t>
  </si>
  <si>
    <t xml:space="preserve"> 06.01.400.6 </t>
  </si>
  <si>
    <t xml:space="preserve"> 91924 </t>
  </si>
  <si>
    <t>CABO DE COBRE FLEXÍVEL ISOLADO, 1,5 MM², ANTI-CHAMA 450/750 V, PARA CIRCUITOS TERMINAIS - FORNECIMENTO E INSTALAÇÃO. AF_12/2015</t>
  </si>
  <si>
    <t xml:space="preserve"> 06.01.400.7 </t>
  </si>
  <si>
    <t xml:space="preserve"> 95789 </t>
  </si>
  <si>
    <t>CONDULETE DE ALUMÍNIO, TIPO LR, PARA ELETRODUTO DE AÇO GALVANIZADO DN 25 MM (1</t>
  </si>
  <si>
    <t xml:space="preserve"> 06.01.400.8 </t>
  </si>
  <si>
    <t xml:space="preserve"> 95791 </t>
  </si>
  <si>
    <t>CONDULETE DE ALUMÍNIO, TIPO LR, PARA ELETRODUTO DE AÇO GALVANIZADO DN 32 MM (1 1/4</t>
  </si>
  <si>
    <t xml:space="preserve"> 06.01.400.9 </t>
  </si>
  <si>
    <t xml:space="preserve"> MPDFT0354 </t>
  </si>
  <si>
    <t>Copia da SINAPI (95746) - Eletroduto rígido de aço carbono, sem costura, com revestimento protetor de zinco aplicado à quente, extremidades rosqueadas, classe pesada, Ø25 mm (3/4" BSPP), fab. Apolo - fornecimento e instalação</t>
  </si>
  <si>
    <t xml:space="preserve"> 06.01.400.10 </t>
  </si>
  <si>
    <t xml:space="preserve"> MPDFT0355 </t>
  </si>
  <si>
    <t>Copia da SINAPI (95747) - Eletroduto rígido de aço carbono, sem costura, com revestimento protetor de zinco aplicado à quente, extremidades rosqueadas, classe pesada, Ø32 mm (1" BSPP), fab. Apolo - fornecimento e instalação</t>
  </si>
  <si>
    <t xml:space="preserve"> 06.01.400.11 </t>
  </si>
  <si>
    <t xml:space="preserve"> 91933 </t>
  </si>
  <si>
    <t>CABO DE COBRE FLEXÍVEL ISOLADO, 10 MM², ANTI-CHAMA 0,6/1,0 KV, PARA CIRCUITOS TERMINAIS - FORNECIMENTO E INSTALAÇÃO. AF_12/2015</t>
  </si>
  <si>
    <t xml:space="preserve"> 06.01.400.12 </t>
  </si>
  <si>
    <t xml:space="preserve"> 91927 </t>
  </si>
  <si>
    <t>CABO DE COBRE FLEXÍVEL ISOLADO, 2,5 MM², ANTI-CHAMA 0,6/1,0 KV, PARA CIRCUITOS TERMINAIS - FORNECIMENTO E INSTALAÇÃO. AF_12/2015</t>
  </si>
  <si>
    <t xml:space="preserve"> 07 </t>
  </si>
  <si>
    <t>INSTALAÇÕES MECÂNICAS E DE UTILIDADES</t>
  </si>
  <si>
    <t xml:space="preserve"> 07.02 </t>
  </si>
  <si>
    <t>AR CONDICIONADO CENTRAL</t>
  </si>
  <si>
    <t xml:space="preserve"> 07.02.200 </t>
  </si>
  <si>
    <t>Condicionadores</t>
  </si>
  <si>
    <t xml:space="preserve"> 07.02.200.1 </t>
  </si>
  <si>
    <t xml:space="preserve"> MPDFT0996 </t>
  </si>
  <si>
    <t>Cópia da CPOS (43.08.001) - Unidade externa para sistema mini-VRF, capacidade nominal de resfriamento 20,0 kW (5,68 TRs), eficiência mínima (COP) maior que 3,28 , DM 1380 x 950 x 320, peso 118 kg, fluido refrigerante R410A, controle de fluxo por válvula de expansão eletrônica, compressor rotativo inverter - JCI-HITACHI  AS7,0HNSKQ + HCIOTGW ou similar equivalente.</t>
  </si>
  <si>
    <t xml:space="preserve"> 07.02.200.2 </t>
  </si>
  <si>
    <t xml:space="preserve"> MPDFT0997 </t>
  </si>
  <si>
    <t>Cópia da CPOS (43.08.043) - Unidade interna para sistema mini VRF tipo cassete 4 vias, capacidade nominal de resfriamento 11,2 kW (3,18 TRs), vazão máxima de ar 1320 m³/h, motor do ventilador 127W, DM 288 x 840 x 840 mm, peso líquido 26kg, fluido refrigerante R410A -  JCI-HITACHI RCI4,0FSKDNQ+D50324A+PCALH3B+ PCAWRB ou similar equivalente</t>
  </si>
  <si>
    <t xml:space="preserve"> 07.02.300 </t>
  </si>
  <si>
    <t>Redes de Dutos</t>
  </si>
  <si>
    <t xml:space="preserve"> 07.02.300.1 </t>
  </si>
  <si>
    <t xml:space="preserve"> MPDFT1001 </t>
  </si>
  <si>
    <t>Cópia Orse (9840) - Duto em chapa de aço galvanizado #22 (espessura de parede 0,80mm), grau B, com revestimento de 250g/m² de zinco, conforme ABNT NBR 7008, incluindo junta TDC, tirantes, reforços e suportes, conforme ABNT 16401</t>
  </si>
  <si>
    <t xml:space="preserve"> 07.02.300.2 </t>
  </si>
  <si>
    <t xml:space="preserve"> MPDFT1003 </t>
  </si>
  <si>
    <t>Cópia da SBC (070473) - Duto flexível #200 para ventilação ou exaustão, fabricado em alumínio e poliéster com espiral de arame de aço bronzeado, anticorrosivo e indeformável.  Modelo de referência: Multivac Aludec 60 CO2</t>
  </si>
  <si>
    <t xml:space="preserve"> 07.02.300.3 </t>
  </si>
  <si>
    <t xml:space="preserve"> MPDFT1002 </t>
  </si>
  <si>
    <t>Cópia da SBC (070097) -  Difusor de ar com várias abertura para saída de ar em uma direção, fabricado em prefis de alumínio extrudado, anodizados na cor natural, comprimento total 3056mm, largura total 155mm, composto de 3 pelas de 1 metro cada cantoneiras de 28mm, incluindo registro de vazão de lâminas convergentes. Modelo de referência: TROX ADE-1/DG L=3000mm e H=155mm (composto de 2 peças M de 1000mm e 2 cantoneiras terminais)</t>
  </si>
  <si>
    <t xml:space="preserve"> 07.02.420 </t>
  </si>
  <si>
    <t>Tubulações e Conexões de PVC Rígido</t>
  </si>
  <si>
    <t xml:space="preserve"> 07.02.420.1 </t>
  </si>
  <si>
    <t xml:space="preserve"> 89865 </t>
  </si>
  <si>
    <t>TUBO, PVC, SOLDÁVEL, DN 25MM, INSTALADO EM DRENO DE AR-CONDICIONADO - FORNECIMENTO E INSTALAÇÃO. AF_12/2014</t>
  </si>
  <si>
    <t xml:space="preserve"> 07.02.430 </t>
  </si>
  <si>
    <t>Tubulações e Conexões de Cobre</t>
  </si>
  <si>
    <t xml:space="preserve"> 07.02.430.1 </t>
  </si>
  <si>
    <t xml:space="preserve"> MPDFT0998 </t>
  </si>
  <si>
    <t>Tubos de ramificação (refnet) em cobre fabricado/aprovado pelo fabricante dos equipamentos do sistema VRF, para as linhas de líquido e de gás, diâmetros entrada 19,3mm e 9,7mm, incluindo adaptador - HITACHI - E-102SNB</t>
  </si>
  <si>
    <t xml:space="preserve"> 07.02.430.2 </t>
  </si>
  <si>
    <t xml:space="preserve"> MPDFT1004 </t>
  </si>
  <si>
    <t>Cópia da Sinapi (97332) - Tubo de cobre, sem costura, soldável, para condução do gás  refrigerante R-410A, Ø9,53 mm - 3/8", e=0,8mm, incluindo: acessórios (curvas, joelhos luvas, etc); suporte para tubulação de tubo de cobre, com espaçamento máximo de 2,5m e isolamento térmico</t>
  </si>
  <si>
    <t xml:space="preserve"> 07.02.430.3 </t>
  </si>
  <si>
    <t xml:space="preserve"> MPDFT0070 </t>
  </si>
  <si>
    <t>Tubo de cobre,  sem costura, diâmetro de 15,88 mm (5/8"), espessura da parede de 1 mm soldável, têmpera mole, para condução do gás refrigerante R-410A,incluindo: acessórios (curvas, joelhos luvas, etc); suporte para tubulação de tubo de cobre, com espaçamento máximo de 2,5m e isolamento térmico</t>
  </si>
  <si>
    <t xml:space="preserve"> 07.02.430.4 </t>
  </si>
  <si>
    <t xml:space="preserve"> 95249 </t>
  </si>
  <si>
    <t>VÁLVULA DE ESFERA BRUTA, BRONZE, ROSCÁVEL, 3/4'', INSTALADO EM RESERVAÇÃO DE ÁGUA DE EDIFICAÇÃO QUE POSSUA RESERVATÓRIO DE FIBRA/FIBROCIMENTO - FORNECIMENTO E INSTALAÇÃO. AF_06/2016</t>
  </si>
  <si>
    <t xml:space="preserve"> 07.02.502 </t>
  </si>
  <si>
    <t>Tomada de ar exterior</t>
  </si>
  <si>
    <t xml:space="preserve"> 07.02.502.1 </t>
  </si>
  <si>
    <t xml:space="preserve"> MPDFT0999 </t>
  </si>
  <si>
    <t>Cópia da SBC (070237) - Tomada de ar exterior, DM397x347mm, com veneziana alumínio, registro e elemento filtrante - TROX VDF-FMB 397x347mm</t>
  </si>
  <si>
    <t xml:space="preserve"> 07.02.502.2 </t>
  </si>
  <si>
    <t xml:space="preserve"> MPDFT1000 </t>
  </si>
  <si>
    <t>Cópia da SBC (070901) - Caixa de ventilação estanque fabricada em aço galvanizado, com isolamento acústico não inflamável, fechos estanques, fácil acesso para abertura e manutenção, ventilador centrífugo de aletas curvadas para frente, motor IP44, com rolamento de esferas, protetor térmico e caixa de bornes remota IP55, alimentação elétrica monofásica 220V-60Hz, 2500 RPM, 421 W, para ponto operacional 150 l/s e 55mmca (aproximadamente), incluindo: caixa filtrante em aço galvanizado com filtro M5 incorporado, aspiração retangular 370 x 305 mm, com tampa removível para acesso ao fitro, para vazão de 150 l/s (conforme ABNT 16401), suportes anti-vibratórios e regulador de velocidade eletrônico. Modelo de referência: Soler&amp;Palau OTAM CAB 250N + MFL-R-250 com filtragem M5 + KSE-45+REB-2,5N</t>
  </si>
  <si>
    <t xml:space="preserve"> 07.02.600 </t>
  </si>
  <si>
    <t>Sistema de Supervisão, Comando e Controle</t>
  </si>
  <si>
    <t xml:space="preserve"> 07.02.600.1 </t>
  </si>
  <si>
    <t xml:space="preserve"> MPDFT0093 </t>
  </si>
  <si>
    <t>Eletroduto roscável em PVC para comunicação do sistema VRF, incluindo para cada ciclo indicado cabos de comunicação 2x1,5mm², blindado, com aterramento, interligando as unidades evaporadoras e unidades condensadoras de cada ciclo. Modelo de referência: Elecon (eletroduto) - Poliron (cabo) ou similar equivalente</t>
  </si>
  <si>
    <t xml:space="preserve"> 07.02.600.2 </t>
  </si>
  <si>
    <t xml:space="preserve"> 95796 </t>
  </si>
  <si>
    <t>CONDULETE DE ALUMÍNIO, TIPO T, PARA ELETRODUTO DE AÇO GALVANIZADO DN 25 MM (1</t>
  </si>
  <si>
    <t xml:space="preserve"> 09 </t>
  </si>
  <si>
    <t>SERVIÇOS COMPLEMENTARES</t>
  </si>
  <si>
    <t xml:space="preserve"> 09.01 </t>
  </si>
  <si>
    <t>ENSAIOS E TESTES</t>
  </si>
  <si>
    <t xml:space="preserve"> 09.01.1 </t>
  </si>
  <si>
    <t xml:space="preserve"> 91677 </t>
  </si>
  <si>
    <t>ENGENHEIRO ELETRICISTA COM ENCARGOS COMPLEMENTARES</t>
  </si>
  <si>
    <t>H</t>
  </si>
  <si>
    <t xml:space="preserve"> 09.02 </t>
  </si>
  <si>
    <t>LIMPEZA DE OBRA</t>
  </si>
  <si>
    <t xml:space="preserve"> 09.02.1 </t>
  </si>
  <si>
    <t xml:space="preserve"> 99803 </t>
  </si>
  <si>
    <t>LIMPEZA DE PISO CERÂMICO OU PORCELANATO COM PANO ÚMIDO. AF_04/2019</t>
  </si>
  <si>
    <t xml:space="preserve"> 09.02.2 </t>
  </si>
  <si>
    <t xml:space="preserve"> 99802 </t>
  </si>
  <si>
    <t>LIMPEZA DE PISO CERÂMICO OU PORCELANATO COM VASSOURA A SECO. AF_04/2019</t>
  </si>
  <si>
    <t xml:space="preserve"> 09.02.3 </t>
  </si>
  <si>
    <t xml:space="preserve"> MPDFT0004 </t>
  </si>
  <si>
    <t>Transporte de material – bota-fora, D.M.T = 35,0 km</t>
  </si>
  <si>
    <t>m³</t>
  </si>
  <si>
    <t xml:space="preserve"> 09.02.4 </t>
  </si>
  <si>
    <t xml:space="preserve"> 100206 </t>
  </si>
  <si>
    <t>TRANSPORTE HORIZONTAL COM JERICA DE 90 L, DE MASSA/ GRANEL (UNIDADE: M3XKM). AF_07/2019</t>
  </si>
  <si>
    <t>M3XKM</t>
  </si>
  <si>
    <t xml:space="preserve"> 09.02.5 </t>
  </si>
  <si>
    <t xml:space="preserve"> 100225 </t>
  </si>
  <si>
    <t>TRANSPORTE HORIZONTAL MANUAL, DE LATA DE 18 LITROS (UNIDADE: LXKM). AF_07/2019</t>
  </si>
  <si>
    <t>LXKM</t>
  </si>
  <si>
    <t xml:space="preserve"> 10 </t>
  </si>
  <si>
    <t>SERVIÇOS AUXILIARES E ADMINISTRATIVOS</t>
  </si>
  <si>
    <t xml:space="preserve"> 10.01 </t>
  </si>
  <si>
    <t>PESSOAL</t>
  </si>
  <si>
    <t xml:space="preserve"> 10.01.1 </t>
  </si>
  <si>
    <t xml:space="preserve"> 93572 </t>
  </si>
  <si>
    <t>ENCARREGADO GERAL DE OBRAS COM ENCARGOS COMPLEMENTARES</t>
  </si>
  <si>
    <t>MES</t>
  </si>
  <si>
    <t xml:space="preserve"> 10.01.2 </t>
  </si>
  <si>
    <t>Total sem BDI</t>
  </si>
  <si>
    <t>Total do BDI</t>
  </si>
  <si>
    <t>Total Geral</t>
  </si>
  <si>
    <t>Data:</t>
  </si>
  <si>
    <t>Material</t>
  </si>
  <si>
    <t>Mão de Obra</t>
  </si>
  <si>
    <t>Peso (%)</t>
  </si>
  <si>
    <t>Planilha Orçamentária Resumida</t>
  </si>
  <si>
    <t>Insumo</t>
  </si>
  <si>
    <t>Composição</t>
  </si>
  <si>
    <t>SERVENTE COM ENCARGOS COMPLEMENTARES</t>
  </si>
  <si>
    <t xml:space="preserve"> 88316 </t>
  </si>
  <si>
    <t>CARGA MANUAL DE ENTULHO EM CAMINHAO BASCULANTE 6 M3</t>
  </si>
  <si>
    <t xml:space="preserve"> 72897 </t>
  </si>
  <si>
    <t>TRANSPORTE COM CAMINHÃO BASCULANTE DE 6 M³, EM VIA URBANA PAVIMENTADA, ADICIONAL PARA DMT EXCEDENTE A 30 KM (UNIDADE: M3XKM). AF_07/2020</t>
  </si>
  <si>
    <t xml:space="preserve"> 97915 </t>
  </si>
  <si>
    <t>BUCHA DE NYLON SEM ABA S6, COM PARAFUSO DE 4,20 X 40 MM EM ACO ZINCADO COM ROSCA SOBERBA, CABECA CHATA E FENDA PHILLIPS</t>
  </si>
  <si>
    <t xml:space="preserve"> 00011950 </t>
  </si>
  <si>
    <t>ELETRICISTA COM ENCARGOS COMPLEMENTARES</t>
  </si>
  <si>
    <t xml:space="preserve"> 88264 </t>
  </si>
  <si>
    <t>AUXILIAR DE ELETRICISTA COM ENCARGOS COMPLEMENTARES</t>
  </si>
  <si>
    <t xml:space="preserve"> 88247 </t>
  </si>
  <si>
    <t>Cabo de comunicação 2x1,5mm², blindado, fab. Poliron</t>
  </si>
  <si>
    <t xml:space="preserve"> CM0479 </t>
  </si>
  <si>
    <t>ELETRODUTO RÍGIDO ROSCÁVEL, PVC, DN 32 MM (1"), PARA CIRCUITOS TERMINAIS, INSTALADO EM FORRO - FORNECIMENTO E INSTALAÇÃO. AF_12/2015</t>
  </si>
  <si>
    <t xml:space="preserve"> 91864 </t>
  </si>
  <si>
    <t xml:space="preserve"> CM1753 </t>
  </si>
  <si>
    <t>AJUDANTE ESPECIALIZADO COM ENCARGOS COMPLEMENTARES</t>
  </si>
  <si>
    <t xml:space="preserve"> 88243 </t>
  </si>
  <si>
    <t>MONTADOR (TUBO AÇO/EQUIPAMENTOS) COM ENCARGOS COMPLEMENTARES</t>
  </si>
  <si>
    <t xml:space="preserve"> 88277 </t>
  </si>
  <si>
    <t>Tomada de ar exterior, dimensões 397x347mm, composta de veneziana (alumínio extrudado, anodizado na cor natural) registro (com moldura em aço carbono, aletas em alumínio pintado) e elemento filtrante (alumínio corrugado). Modelo de referência: TROX VDF-FMB 397x347mm</t>
  </si>
  <si>
    <t xml:space="preserve"> CM1752 </t>
  </si>
  <si>
    <t>MECÃNICO DE EQUIPAMENTOS PESADOS COM ENCARGOS COMPLEMENTARES</t>
  </si>
  <si>
    <t xml:space="preserve"> 88275 </t>
  </si>
  <si>
    <t>AUXILIAR DE MECÂNICO COM ENCARGOS COMPLEMENTARES</t>
  </si>
  <si>
    <t xml:space="preserve"> 88250 </t>
  </si>
  <si>
    <t>ENCANADOR OU BOMBEIRO HIDRÁULICO COM ENCARGOS COMPLEMENTARES</t>
  </si>
  <si>
    <t xml:space="preserve"> 88267 </t>
  </si>
  <si>
    <t>AUXILIAR DE ENCANADOR OU BOMBEIRO HIDRÁULICO COM ENCARGOS COMPLEMENTARES</t>
  </si>
  <si>
    <t xml:space="preserve"> 88248 </t>
  </si>
  <si>
    <t>TUBO DE BORRACHA ELASTOMERICA FLEXIVEL, PRETA, PARA ISOLAMENTO TERMICO DE TUBULACAO, DN 5/8" (15 MM), E= 19 MM, COEFICIENTE DE CONDUTIVIDADE TERMICA 0,036W/MK, VAPOR DE AGUA MAIOR OU IGUAL A 10.000</t>
  </si>
  <si>
    <t xml:space="preserve"> 00039853 </t>
  </si>
  <si>
    <t>Tubo de cobre sem costura, soldável 5/8" espessura da parede de 1 mm, têmpera mole</t>
  </si>
  <si>
    <t xml:space="preserve"> CM1182 </t>
  </si>
  <si>
    <t>TUBO DE BORRACHA ELASTOMERICA FLEXIVEL, PRETA, PARA ISOLAMENTO TERMICO DE TUBULACAO, DN 3/8" (10 MM), E= 19 MM, COEFICIENTE DE CONDUTIVIDADE TERMICA 0,036W/mK, VAPOR DE AGUA MAIOR OU IGUAL A 10.000</t>
  </si>
  <si>
    <t xml:space="preserve"> 00039741 </t>
  </si>
  <si>
    <t>Tubo de cobre, sem costura, soldável, para condução do gás refrigerante R-410A, Ø9,53 mm - 3/8", e=0,8mm</t>
  </si>
  <si>
    <t xml:space="preserve"> CM1756 </t>
  </si>
  <si>
    <t xml:space="preserve"> CM1751 </t>
  </si>
  <si>
    <t xml:space="preserve"> CM1754 </t>
  </si>
  <si>
    <t>Duto flexível #200 para ventilação ou exaustão, fabricado em alumínio e poliéster com espiral de arame de aço bronzeado, anticorrosivo e indeformável. Modelo de referência: Multivac Aludec 60 CO2</t>
  </si>
  <si>
    <t xml:space="preserve"> CM1755 </t>
  </si>
  <si>
    <t>APLICAÇÃO MANUAL DE PINTURA COM TINTA TEXTURIZADA ACRÍLICA EM PAREDES EXTERNAS DE CASAS, UMA COR. AF_06/2014</t>
  </si>
  <si>
    <t xml:space="preserve"> 88423 </t>
  </si>
  <si>
    <t>KG</t>
  </si>
  <si>
    <t>CHAPA DE ACO GALVANIZADA BITOLA GSG 22, E = 0,80 MM (6,40 KG/M2)</t>
  </si>
  <si>
    <t xml:space="preserve"> 00011049 </t>
  </si>
  <si>
    <t>AUXILIAR DE SERRALHEIRO COM ENCARGOS COMPLEMENTARES</t>
  </si>
  <si>
    <t xml:space="preserve"> 88251 </t>
  </si>
  <si>
    <t>SERRALHEIRO COM ENCARGOS COMPLEMENTARES</t>
  </si>
  <si>
    <t xml:space="preserve"> 88315 </t>
  </si>
  <si>
    <t>SUPORTE PARA DUTO EM CHAPA GALVANIZADA BITOLA 22, ESPAÇADO A CADA 1 M, EM PERFILADO DE SEÇÃO 38X76 MM, POR ÁREA DE DUTO FIXADO. AF_07/2017</t>
  </si>
  <si>
    <t xml:space="preserve"> 96561 </t>
  </si>
  <si>
    <t xml:space="preserve"> CM1750 </t>
  </si>
  <si>
    <t>MONTADOR DE ELETROELETRÔNICOS COM ENCARGOS COMPLEMENTARES</t>
  </si>
  <si>
    <t xml:space="preserve"> 100307 </t>
  </si>
  <si>
    <t xml:space="preserve"> CM1749 </t>
  </si>
  <si>
    <t>MONTADOR ELETROMECÃNICO COM ENCARGOS COMPLEMENTARES</t>
  </si>
  <si>
    <t xml:space="preserve"> 88279 </t>
  </si>
  <si>
    <t>Eletroduto rígido de aço carbono, sem costura, com revestimento protetor de zinco aplicado à quente, extremidades rosqueadas, classe pesada, Ø32 mm (1" BSPP), fab. Apolo</t>
  </si>
  <si>
    <t xml:space="preserve"> CM0901 </t>
  </si>
  <si>
    <t>LUVA DE EMENDA PARA ELETRODUTO, AÇO GALVANIZADO, DN 32 MM (1 1/4''), APARENTE, INSTALADA EM TETO - FORNECIMENTO E INSTALAÇÃO. AF_11/2016_P</t>
  </si>
  <si>
    <t xml:space="preserve"> 95755 </t>
  </si>
  <si>
    <t>FIXAÇÃO DE TUBOS HORIZONTAIS DE PVC, CPVC OU COBRE DIÂMETROS MENORES OU IGUAIS A 40 MM OU ELETROCALHAS ATÉ 150MM DE LARGURA, COM ABRAÇADEIRA METÁLICA RÍGIDA TIPO D 1/2, FIXADA EM PERFILADO EM LAJE. AF_05/2015</t>
  </si>
  <si>
    <t xml:space="preserve"> 91170 </t>
  </si>
  <si>
    <t>Eletroduto rígido de aço carbono, sem costura, com revestimento protetor de zinco aplicado a quente, extremidades rosqueadas, classe pesada, Ø25mm (3/4" BSPP), fab. Apolo</t>
  </si>
  <si>
    <t xml:space="preserve"> CM0007 </t>
  </si>
  <si>
    <t>LUVA DE EMENDA PARA ELETRODUTO, AÇO GALVANIZADO, DN 25 MM (1''), APARENTE, INSTALADA EM TETO - FORNECIMENTO E INSTALAÇÃO. AF_11/2016_P</t>
  </si>
  <si>
    <t xml:space="preserve"> 95754 </t>
  </si>
  <si>
    <t>Tuboled 18 a 20 W - Lâmpada tubular de LED; com base/conector G13 (2 pinos) eficiência energética maior ou igual 100 lm/W;  fluxo luminoso maior ou igual a 2000 lumens; potência menor ou igual a 20 W; vida útil mínima da lâmpada de 25.000 horas; ângulo de abertura (facho) maior ou igual a 150°; temperatura de cor de 3800 a 4200 K; índice geral de reprodução de cor (IRC) maior ou igual a 80; fator de potência 0,92 (mín.); frequência nominal de 60 Hz; comprimento de 1200 mm. Fabricação Philips Master LEDTube 1200 mm 18W 840 T8 I W</t>
  </si>
  <si>
    <t xml:space="preserve"> CM0071 </t>
  </si>
  <si>
    <t>Luminária retangular de sobrepor para 2 lâmpadas fluorescentes T8 de 32W, corpo em chapa de aço fosfatizada e pintada elostraticamente, refletor facetado em alumínio anodizado de alta pureza e reflectância. Fabricação Lumicenter CAN03-S232</t>
  </si>
  <si>
    <t xml:space="preserve"> CM1072 </t>
  </si>
  <si>
    <t>Plug macho 2P+T para tomada</t>
  </si>
  <si>
    <t xml:space="preserve"> CM0261 </t>
  </si>
  <si>
    <t>CABO FLEXIVEL PVC 750 V, 3 CONDUTORES DE 1,5 MM2</t>
  </si>
  <si>
    <t xml:space="preserve"> 00034618 </t>
  </si>
  <si>
    <t>TOMADA ALTA DE EMBUTIR (1 MÓDULO), 2P+T 10 A, INCLUINDO SUPORTE E PLACA - FORNECIMENTO E INSTALAÇÃO. AF_12/2015</t>
  </si>
  <si>
    <t xml:space="preserve"> 91992 </t>
  </si>
  <si>
    <t>CONDULETE DE PVC, TIPO LL, PARA ELETRODUTO DE PVC SOLDÁVEL DN 20 MM (1/2''), APARENTE - FORNECIMENTO E INSTALAÇÃO. AF_11/2016</t>
  </si>
  <si>
    <t xml:space="preserve"> 95807 </t>
  </si>
  <si>
    <t>Eletroduto rígido de aço carbono, sem costura, com revestimento protetor de zinco aplicado à quente, extremidades rosqueadas, classe pesada, Ø40 mm (1 1/2" BSPP), fab. Apolo</t>
  </si>
  <si>
    <t xml:space="preserve"> CM1743 </t>
  </si>
  <si>
    <t>LUVA DE EMENDA PARA ELETRODUTO, AÇO GALVANIZADO, DN 40 MM (1 1/2''), APARENTE, INSTALADA EM TETO - FORNECIMENTO E INSTALAÇÃO. AF_11/2016_P</t>
  </si>
  <si>
    <t xml:space="preserve"> 95756 </t>
  </si>
  <si>
    <t>CONDULETE DE ALUMINIO TIPO LR, PARA ELETRODUTO ROSCAVEL DE 1 1/2", COM TAMPA CEGA</t>
  </si>
  <si>
    <t xml:space="preserve"> 00002587 </t>
  </si>
  <si>
    <t>Disjuntor trifásico caixa moldada 380V 35kA 60A, Fabricação Schneider LV429003+LV429032</t>
  </si>
  <si>
    <t xml:space="preserve"> CM1745 </t>
  </si>
  <si>
    <t>Quadro elétrico - QTE-ACSS (PJBSI)</t>
  </si>
  <si>
    <t xml:space="preserve"> CM1744 </t>
  </si>
  <si>
    <t>Jardineira em módulos, 0,58x0,50 (AxP), MDF e=25mm de espessura, acabamento em laminado melamínico BP padrão madeirado (ref. Duratex, raízes, imbuia terra)</t>
  </si>
  <si>
    <t xml:space="preserve"> CM1748 </t>
  </si>
  <si>
    <t>Manta de papel kraft com plástico bolha alta resistência</t>
  </si>
  <si>
    <t xml:space="preserve"> CM1746 </t>
  </si>
  <si>
    <t>PLACA / CHAPA DE GESSO ACARTONADO, STANDARD (ST), COR BRANCA, E = 12,5 MM, 1200 X 1800 MM (L X C)</t>
  </si>
  <si>
    <t xml:space="preserve"> 00039412 </t>
  </si>
  <si>
    <t>CANTONEIRA ALUMINIO ABAS IGUAIS 1 ", E = 3 /16 "</t>
  </si>
  <si>
    <t xml:space="preserve"> 00000586 </t>
  </si>
  <si>
    <t>GESSEIRO COM ENCARGOS COMPLEMENTARES</t>
  </si>
  <si>
    <t xml:space="preserve"> 88269 </t>
  </si>
  <si>
    <t>Fornecimento e instalação de tabica metálica pré pintada, para forro em gesso acartonado</t>
  </si>
  <si>
    <t xml:space="preserve"> CM0173 </t>
  </si>
  <si>
    <t xml:space="preserve"> CM1747 </t>
  </si>
  <si>
    <t>PEDREIRO COM ENCARGOS COMPLEMENTARES</t>
  </si>
  <si>
    <t xml:space="preserve"> 88309 </t>
  </si>
  <si>
    <t>Anotação de Resposanbilidade Técnica (Faixa 3 - Tabela A - CONFEA)</t>
  </si>
  <si>
    <t xml:space="preserve"> CM0645 </t>
  </si>
  <si>
    <t>Planilha Orçamentária Analítica</t>
  </si>
  <si>
    <t>Composição de BDI</t>
  </si>
  <si>
    <t>%</t>
  </si>
  <si>
    <t>Grupo A</t>
  </si>
  <si>
    <t>% em relação ao custo direto CD</t>
  </si>
  <si>
    <t>A1</t>
  </si>
  <si>
    <t>Despesas Indiretas</t>
  </si>
  <si>
    <t>a1</t>
  </si>
  <si>
    <t>Administração Central</t>
  </si>
  <si>
    <t>a2</t>
  </si>
  <si>
    <t>Seguro + garantia</t>
  </si>
  <si>
    <t>a3</t>
  </si>
  <si>
    <t>Risco</t>
  </si>
  <si>
    <t>a4</t>
  </si>
  <si>
    <t>Despesa Financeira</t>
  </si>
  <si>
    <t>a5</t>
  </si>
  <si>
    <t>Lucro</t>
  </si>
  <si>
    <t>Grupo B</t>
  </si>
  <si>
    <t>% em relação ao valor total VT</t>
  </si>
  <si>
    <t>B1</t>
  </si>
  <si>
    <t>Tributos</t>
  </si>
  <si>
    <t>Pis</t>
  </si>
  <si>
    <t>Cofins</t>
  </si>
  <si>
    <t>BDI</t>
  </si>
  <si>
    <t>BDI = [(((1+(a1+a2+a3))*(1+a4)*(1+a5)))/(1-B1)-1]</t>
  </si>
  <si>
    <t>Composição de Encargos Sociais</t>
  </si>
  <si>
    <t>GRUPO A</t>
  </si>
  <si>
    <t>INSS</t>
  </si>
  <si>
    <t>A2</t>
  </si>
  <si>
    <t>SESI</t>
  </si>
  <si>
    <t>A3</t>
  </si>
  <si>
    <t>SENAI</t>
  </si>
  <si>
    <t>A4</t>
  </si>
  <si>
    <t>INCRA</t>
  </si>
  <si>
    <t>A5</t>
  </si>
  <si>
    <t>SEBRAE</t>
  </si>
  <si>
    <t>A6</t>
  </si>
  <si>
    <t>Salário-Educação</t>
  </si>
  <si>
    <t>A7</t>
  </si>
  <si>
    <t>Seguro Contra Acidentes Trabalho</t>
  </si>
  <si>
    <t>A8</t>
  </si>
  <si>
    <t>Fundo de Garantia por Tempo de Serviços</t>
  </si>
  <si>
    <t>A9</t>
  </si>
  <si>
    <t>SECONCI</t>
  </si>
  <si>
    <t>A</t>
  </si>
  <si>
    <t xml:space="preserve"> Total dos Encargos Sociais Básicos</t>
  </si>
  <si>
    <t>GRUPO B</t>
  </si>
  <si>
    <t>Repouso Semanal Remunerado</t>
  </si>
  <si>
    <t>B2</t>
  </si>
  <si>
    <t>Feriados</t>
  </si>
  <si>
    <t>B3</t>
  </si>
  <si>
    <t>Auxílio-enfermidade</t>
  </si>
  <si>
    <t>B4</t>
  </si>
  <si>
    <t>13º Salário</t>
  </si>
  <si>
    <t>B5</t>
  </si>
  <si>
    <t>Licença-paternidade</t>
  </si>
  <si>
    <t>B6</t>
  </si>
  <si>
    <t>Faltas justificadas</t>
  </si>
  <si>
    <t>B7</t>
  </si>
  <si>
    <t>Dias de chuva</t>
  </si>
  <si>
    <t>B8</t>
  </si>
  <si>
    <t>Auxílio acidente de trabalho</t>
  </si>
  <si>
    <t>B9</t>
  </si>
  <si>
    <t>Férias gozadas</t>
  </si>
  <si>
    <t>B10</t>
  </si>
  <si>
    <t>Salário maternidade</t>
  </si>
  <si>
    <t>B</t>
  </si>
  <si>
    <t>Total de Encargos Sociais que recebem incidências de A</t>
  </si>
  <si>
    <t>GRUPO C</t>
  </si>
  <si>
    <t>C1</t>
  </si>
  <si>
    <t>Aviso prévio indenizado</t>
  </si>
  <si>
    <t>C2</t>
  </si>
  <si>
    <t>Aviso prévio trabalhado</t>
  </si>
  <si>
    <t>C3</t>
  </si>
  <si>
    <t>Férias indenizadas (inclusive 1/3)</t>
  </si>
  <si>
    <t>C4</t>
  </si>
  <si>
    <t>Depósito rescisão sem justa causa</t>
  </si>
  <si>
    <t>C5</t>
  </si>
  <si>
    <t>Indenização adicional</t>
  </si>
  <si>
    <t>C</t>
  </si>
  <si>
    <t>GRUPO D</t>
  </si>
  <si>
    <t>D1</t>
  </si>
  <si>
    <t>Reincidência de A sobre B</t>
  </si>
  <si>
    <t>D2</t>
  </si>
  <si>
    <t>Reincidência do FGTS sobre API e Grupo A sobre APT</t>
  </si>
  <si>
    <t xml:space="preserve">D </t>
  </si>
  <si>
    <t>Total das Taxas incidências e reincidências</t>
  </si>
  <si>
    <t>Total das taxas incidências e reincidências</t>
  </si>
  <si>
    <t>Valor Acumulado</t>
  </si>
  <si>
    <t>Custo Acumulado</t>
  </si>
  <si>
    <t>Porcentagem Acumulado</t>
  </si>
  <si>
    <t>Custo</t>
  </si>
  <si>
    <t>Porcentagem</t>
  </si>
  <si>
    <t>60 DIAS</t>
  </si>
  <si>
    <t>30 DIAS</t>
  </si>
  <si>
    <t>Total Por Etapa</t>
  </si>
  <si>
    <t>Cronograma Físico e Financeiro</t>
  </si>
  <si>
    <t>Valor Mensal</t>
  </si>
  <si>
    <t>Painel por módulos em parede, sistema de vídeowall, com ajuste de profundidade, alinhamento e altura, fixado por meio do sistema “mão amiga”, sem parafusos aparentes, em MDF de 25 mm de espessura, acabamento em laminado melamínico BP padrão madeirado</t>
  </si>
  <si>
    <t xml:space="preserve"> 88484 </t>
  </si>
  <si>
    <t>APLICAÇÃO DE FUNDO SELADOR ACRÍLICO EM TETO, UMA DEMÃO. AF_06/2014</t>
  </si>
  <si>
    <t xml:space="preserve"> 88488 </t>
  </si>
  <si>
    <t>APLICAÇÃO MANUAL DE PINTURA COM TINTA LÁTEX ACRÍLICA EM TETO, DUAS DEMÃOS. AF_06/2014</t>
  </si>
  <si>
    <t xml:space="preserve"> 04.01.700.5 </t>
  </si>
  <si>
    <t>Unidade externa para sistema mini-VRF, capacidade nominal de resfriamento 20,0 kW (5,68 TRs), eficiência mínima (COP) maior que 3,28 (conforme manual RTQ-C - PBE Edifica) ,dimensões (A x L x P) 1380 x 950 x 320, peso 118 kg, fluido refrigerante R410A, controle de fluxo por válvula de expansão eletrônica, compressor rotativo inverter, trocador de calor com corrente cruzada, com aletas de alumínio e tubos de cobre, descarga de ar quente frontal, vazão de descarga 122 m³/min, linha de líquido 3/8" (9,53mm), linha de gás 5/8" (15,88mm), limentação elétrica monofásica, 220V, 60 Hz, corrente de partida 32A, potência elétrica de resfriamento 5,85 kW, compatível com sistema supervisório CS-NET (versão firmware 3.1) para inclusão em sistema supervisório existente. Modelo de referência: JCI-HITACHI AS7,0HNSKQ + HCIOTGW ou similar equivalente.</t>
  </si>
  <si>
    <t>Unidade interna para sistema mini VRF tipo cassete 4 vias, capacidade nominal de resfriamento 11,2 kW (3,18 TRs), vazão máxima de ar 1320 m³/h, motor do ventilador 127W, dimensões (A x L x C) 288 x 840 x 840 mm, peso líquido 26kg, fluido refrigerante R410A, conexão com porca curta, tubulação de refrigerante 3/8" e 5/8" (9,53 mm e 15,88 mm), incluindo bomba interna de condensado, painel de acabamento, eceptor de sinal no painel e controle remoto sem fio. Modelo de referência: JCI-HITACHI RCI4,0FSKDNQ+D50324A+PCALH3B+ PCAWRB ou similar equivalente.</t>
  </si>
  <si>
    <t>Difusor de ar com várias abertura para saída de ar em uma direção, fabricado em prefis de alumínio extrudado, anodizados na cor natural, comprimento total 3056mm, largura total 155mm, composto de 3 pelas de 1 metro cada cantoneiras de 28mm, incluindo registro de vazão de lâminas convergentes. Modelo de referência: TROX ADE-1/DG L=3000mm e H=155mm (composto de 2 peças M de 1000mm e 2 cantoneiras terminais) M</t>
  </si>
  <si>
    <t>Tubos de ramificação (refnet) em cobre fabricado/aprovado pelo fabricante dos equipamentos do sistema VRF, para as linhas de líquido e de gás, diâmetros entrada 19,3mm e 9,7mm, incluindo adaptador. odelo de referência: HITACHI - E-102SNB ou similar equivalente.</t>
  </si>
  <si>
    <t>Instruções de Preenchimento do Modelo de Proposta</t>
  </si>
  <si>
    <t>CONSIDERAÇÕES GERAIS</t>
  </si>
  <si>
    <r>
      <t xml:space="preserve">O cabeçalho deverá ser preenchido somente na </t>
    </r>
    <r>
      <rPr>
        <b/>
        <sz val="8"/>
        <color indexed="10"/>
        <rFont val="Arial"/>
        <family val="2"/>
      </rPr>
      <t>PLANILHA DE ORÇAMENTO SINTÉTICO</t>
    </r>
    <r>
      <rPr>
        <sz val="8"/>
        <rFont val="Arial"/>
        <family val="2"/>
      </rPr>
      <t>, pois será repetido automaticamente nas demais planilhas. Para isso, o mouse deverá ser posicionado sobre a célula que contem a informação, e posteriormente pressionado F2</t>
    </r>
  </si>
  <si>
    <t>Sugerimos a seguinte sequência de preenchimento de planilhas:</t>
  </si>
  <si>
    <t>2.1</t>
  </si>
  <si>
    <t>2.2</t>
  </si>
  <si>
    <r>
      <t xml:space="preserve">Valide os coeficientes de participação dos insumos, constantes na </t>
    </r>
    <r>
      <rPr>
        <b/>
        <sz val="8"/>
        <rFont val="Arial"/>
        <family val="2"/>
      </rPr>
      <t>Planilha de Orçamento Analítico</t>
    </r>
    <r>
      <rPr>
        <sz val="8"/>
        <rFont val="Arial"/>
        <family val="2"/>
      </rPr>
      <t>.</t>
    </r>
  </si>
  <si>
    <t>2.3</t>
  </si>
  <si>
    <r>
      <t xml:space="preserve">Preencha os coeficientes relativo à cada item da </t>
    </r>
    <r>
      <rPr>
        <b/>
        <sz val="8"/>
        <rFont val="Arial"/>
        <family val="2"/>
      </rPr>
      <t xml:space="preserve">Planilha de Composição do BDI, </t>
    </r>
    <r>
      <rPr>
        <sz val="8"/>
        <rFont val="Arial"/>
        <family val="2"/>
      </rPr>
      <t>realizando os ajustes que julgar necessário, observando as orientações sobre esta planilha, que estão descritas abaixo;</t>
    </r>
  </si>
  <si>
    <t>2.4</t>
  </si>
  <si>
    <t>2.5</t>
  </si>
  <si>
    <r>
      <t xml:space="preserve">Neste momento o valor final da proposta já será conhecido. Preencha a </t>
    </r>
    <r>
      <rPr>
        <b/>
        <sz val="8"/>
        <rFont val="Arial"/>
        <family val="2"/>
      </rPr>
      <t>Planilha de Composição de Encargos Sociais</t>
    </r>
    <r>
      <rPr>
        <sz val="8"/>
        <rFont val="Arial"/>
        <family val="2"/>
      </rPr>
      <t xml:space="preserve"> com os percentuais de cada item que a compoe.</t>
    </r>
  </si>
  <si>
    <t>SOBRE A PLANILHA DE ORÇAMENTO SINTÉTICO</t>
  </si>
  <si>
    <r>
      <t xml:space="preserve">A Planilha Orçamentária </t>
    </r>
    <r>
      <rPr>
        <b/>
        <u/>
        <sz val="8"/>
        <color indexed="10"/>
        <rFont val="Arial"/>
        <family val="2"/>
      </rPr>
      <t>não</t>
    </r>
    <r>
      <rPr>
        <sz val="8"/>
        <rFont val="Arial"/>
        <family val="2"/>
      </rPr>
      <t xml:space="preserve"> poderá sofrer alterações em sua estrutura (adição ou subtração de serviços, ou mesmo alteração na quantidade dos itens);</t>
    </r>
  </si>
  <si>
    <r>
      <t xml:space="preserve">Os preços unitários desta planilha estão vinculados, por dependência, às demais planilhas (Orçamento Analítico, Insumos e Serviços). Desta forma </t>
    </r>
    <r>
      <rPr>
        <b/>
        <u/>
        <sz val="8"/>
        <color indexed="10"/>
        <rFont val="Arial"/>
        <family val="2"/>
      </rPr>
      <t>NENHUM</t>
    </r>
    <r>
      <rPr>
        <sz val="8"/>
        <rFont val="Arial"/>
        <family val="2"/>
      </rPr>
      <t xml:space="preserve"> valor unitário deverá ser preenchido diretamente nesta planilha;</t>
    </r>
  </si>
  <si>
    <t>SOBRE A PLANILHA DE ORÇAMENTO ANALÍTICO</t>
  </si>
  <si>
    <r>
      <t xml:space="preserve">Esta planilha é referencial, portanto os </t>
    </r>
    <r>
      <rPr>
        <b/>
        <sz val="8"/>
        <rFont val="Arial"/>
        <family val="2"/>
      </rPr>
      <t xml:space="preserve">coeficientes </t>
    </r>
    <r>
      <rPr>
        <sz val="8"/>
        <rFont val="Arial"/>
        <family val="2"/>
      </rPr>
      <t>de participação dos insumos poderão sofrer alterações;</t>
    </r>
  </si>
  <si>
    <t>Esta planilha contem vínculos. Tornando-se dependente dos preços, descrições e unidades constantes tanto na Planilha de Insumos e Serviços quanto na Planilha de Orçamento Sintético;</t>
  </si>
  <si>
    <t>Os valores unitários de serviços compostos nesta planilha, são transportados automaticamente para a Planilha de Orçamento Sintético;</t>
  </si>
  <si>
    <t>SOBRE A PLANILHA DE INSUMOS E SERVIÇOS</t>
  </si>
  <si>
    <t>Esta planilha constitui a base para estruturação dos preços unitários e totais.</t>
  </si>
  <si>
    <r>
      <t>Os valores unitários deverão ser preenchidos com</t>
    </r>
    <r>
      <rPr>
        <b/>
        <u/>
        <sz val="8"/>
        <color rgb="FFFF0000"/>
        <rFont val="Arial"/>
        <family val="2"/>
      </rPr>
      <t xml:space="preserve"> no máximo duas casas decimais</t>
    </r>
    <r>
      <rPr>
        <sz val="8"/>
        <rFont val="Arial"/>
        <family val="2"/>
      </rPr>
      <t>. Caso opte por aplicar um percentual lde desconto, certifique-se de utilizar fórmula de arredondamento ou truncamento respeitando este limite.</t>
    </r>
  </si>
  <si>
    <r>
      <t xml:space="preserve">Indique a marca e modelo dos itens (quando aplicável). </t>
    </r>
    <r>
      <rPr>
        <b/>
        <u/>
        <sz val="8"/>
        <color indexed="10"/>
        <rFont val="Arial"/>
        <family val="2"/>
      </rPr>
      <t>A não indicação  de marca e ou modelo de referência constitui afronta ao edital, sob pena de desclassificação da proposta.</t>
    </r>
  </si>
  <si>
    <t>D</t>
  </si>
  <si>
    <t>SOBRE A PLANILHA DE COMPOSIÇÃO DE BDI</t>
  </si>
  <si>
    <t>Os itens constantes nesta planilha foram adotados por este Órgão com base no decreto 7.983 de 8 de abril de 2013. Os percentuais são referenciais e foram baseados no Acórdão TCU 2622/2013-Plenário. É de responsabilidade da licitante o preenchimento dos percetuais desta planilha, em conformidade com sua realidade;</t>
  </si>
  <si>
    <t>O percentual aplicável do ISS está vinculado ao percentual de mão de obra informado na Planilha de Composição de Custo Total, e será automaticamente ajustado quando executado a orientação contida em 2.4;</t>
  </si>
  <si>
    <t>D3</t>
  </si>
  <si>
    <t>O valor final da composição do BDI está vinculado, por precedência, à Planilha de Orçamento Sintético.</t>
  </si>
  <si>
    <t>E</t>
  </si>
  <si>
    <t>SOBRE A PLANILHA DE COMPOSIÇÃO DE ENCARGOS SOCIAIS</t>
  </si>
  <si>
    <t>E1</t>
  </si>
  <si>
    <t>Esta planilha é meramente demonstrativa (não influi sobre o valor final do orçamento).</t>
  </si>
  <si>
    <t>F</t>
  </si>
  <si>
    <t>SOBRE O CRONOGRAMA FÍSICO-FINANCEIRO</t>
  </si>
  <si>
    <t>F.1</t>
  </si>
  <si>
    <t>Os itens e valores desta planiha são provenientes da Planilha de Orçamento Sintético;</t>
  </si>
  <si>
    <t>F.2</t>
  </si>
  <si>
    <r>
      <t xml:space="preserve">As </t>
    </r>
    <r>
      <rPr>
        <b/>
        <sz val="8"/>
        <color rgb="FFFF0000"/>
        <rFont val="Arial"/>
        <family val="2"/>
      </rPr>
      <t>etapas</t>
    </r>
    <r>
      <rPr>
        <sz val="8"/>
        <rFont val="Arial"/>
        <family val="2"/>
      </rPr>
      <t xml:space="preserve"> a serem executadas mensalmente, deverão ser informadas na</t>
    </r>
    <r>
      <rPr>
        <b/>
        <sz val="8"/>
        <color rgb="FFFF0000"/>
        <rFont val="Arial"/>
        <family val="2"/>
      </rPr>
      <t xml:space="preserve"> linha do percentual</t>
    </r>
    <r>
      <rPr>
        <sz val="8"/>
        <rFont val="Arial"/>
        <family val="2"/>
      </rPr>
      <t>, e os valores serão preenchidos automaticamente, inclusive nas etapas macro;</t>
    </r>
  </si>
  <si>
    <t>F.3</t>
  </si>
  <si>
    <t>O ajuste final (última etapa) de um determinado item, deverá respeitar a fórmula inserida no último mês do cronograma, transportando-a quando necessário.</t>
  </si>
  <si>
    <r>
      <t xml:space="preserve">Valide os valores constantes na </t>
    </r>
    <r>
      <rPr>
        <b/>
        <sz val="8"/>
        <rFont val="Arial"/>
        <family val="2"/>
      </rPr>
      <t>Planilha de Insumos</t>
    </r>
    <r>
      <rPr>
        <sz val="8"/>
        <rFont val="Arial"/>
        <family val="2"/>
      </rPr>
      <t xml:space="preserve"> </t>
    </r>
    <r>
      <rPr>
        <b/>
        <sz val="8"/>
        <rFont val="Arial"/>
        <family val="2"/>
      </rPr>
      <t>e Serviços</t>
    </r>
    <r>
      <rPr>
        <sz val="8"/>
        <rFont val="Arial"/>
        <family val="2"/>
      </rPr>
      <t>, observando as orientações contidas no edital no tocante aos valores máximos.</t>
    </r>
  </si>
  <si>
    <t>Valide os valores constantes nesta planilha, observando as orientações contidas no edital no tocante aos valores máximos.</t>
  </si>
  <si>
    <t>P. Execução:</t>
  </si>
  <si>
    <t>Licitação:</t>
  </si>
  <si>
    <r>
      <rPr>
        <b/>
        <sz val="8"/>
        <color indexed="8"/>
        <rFont val="Arial"/>
        <family val="2"/>
      </rPr>
      <t>Local:</t>
    </r>
    <r>
      <rPr>
        <sz val="8"/>
        <color indexed="8"/>
        <rFont val="Arial"/>
        <family val="2"/>
      </rPr>
      <t xml:space="preserve"> Praça do Buriti Bloco A, Lote 2 - Zona Cívico-Administrativa - Brasília / DF</t>
    </r>
  </si>
  <si>
    <t>P. Validade:</t>
  </si>
  <si>
    <t>Razão Social:</t>
  </si>
  <si>
    <t>Telefone:</t>
  </si>
  <si>
    <t>P. Garantia:</t>
  </si>
  <si>
    <t>CNPJ:</t>
  </si>
  <si>
    <t>E-mail:</t>
  </si>
  <si>
    <t>G</t>
  </si>
  <si>
    <r>
      <rPr>
        <b/>
        <sz val="8"/>
        <color indexed="8"/>
        <rFont val="Arial"/>
        <family val="2"/>
      </rPr>
      <t xml:space="preserve">Objeto: </t>
    </r>
    <r>
      <rPr>
        <sz val="8"/>
        <color rgb="FF000000"/>
        <rFont val="Arial"/>
        <family val="2"/>
      </rPr>
      <t xml:space="preserve">Adequações </t>
    </r>
    <r>
      <rPr>
        <sz val="8"/>
        <color indexed="8"/>
        <rFont val="Arial"/>
        <family val="2"/>
      </rPr>
      <t>Sala de Situação</t>
    </r>
  </si>
  <si>
    <t>Insumos e Serviços</t>
  </si>
  <si>
    <t>Classificação</t>
  </si>
  <si>
    <t>Marca</t>
  </si>
  <si>
    <t>Modelo</t>
  </si>
  <si>
    <t>********</t>
  </si>
  <si>
    <t>*******</t>
  </si>
  <si>
    <t>dfds</t>
  </si>
  <si>
    <r>
      <t xml:space="preserve">Preencha o percentual referente à mão-de-obra na célula </t>
    </r>
    <r>
      <rPr>
        <b/>
        <sz val="8"/>
        <color indexed="10"/>
        <rFont val="Arial"/>
        <family val="2"/>
      </rPr>
      <t xml:space="preserve">B98 </t>
    </r>
    <r>
      <rPr>
        <sz val="8"/>
        <rFont val="Arial"/>
        <family val="2"/>
      </rPr>
      <t xml:space="preserve">da </t>
    </r>
    <r>
      <rPr>
        <b/>
        <sz val="8"/>
        <rFont val="Arial"/>
        <family val="2"/>
      </rPr>
      <t>Planilha de Orçamento Sintético</t>
    </r>
    <r>
      <rPr>
        <sz val="8"/>
        <rFont val="Arial"/>
        <family val="2"/>
      </rPr>
      <t>;</t>
    </r>
  </si>
  <si>
    <t>ISS (2% após desconto das mercadorias aplicadas)</t>
  </si>
  <si>
    <t>Custo total sem o item 10</t>
  </si>
  <si>
    <t>Discriminação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</si>
</sst>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
    <numFmt numFmtId="165" formatCode="#,##0.0000"/>
    <numFmt numFmtId="166" formatCode="0.0000"/>
  </numFmts>
  <fonts count="35" x14ac:knownFonts="1">
    <font>
      <sz val="11"/>
      <name val="Arial"/>
      <family val="1"/>
    </font>
    <font>
      <b/>
      <sz val="11"/>
      <name val="Arial"/>
      <family val="1"/>
    </font>
    <font>
      <b/>
      <sz val="10"/>
      <name val="Arial"/>
      <family val="1"/>
    </font>
    <font>
      <sz val="10"/>
      <color rgb="FF000000"/>
      <name val="Arial"/>
      <family val="1"/>
    </font>
    <font>
      <sz val="10"/>
      <name val="Arial"/>
      <family val="1"/>
    </font>
    <font>
      <sz val="10"/>
      <name val="Arial"/>
      <family val="1"/>
    </font>
    <font>
      <sz val="11"/>
      <name val="Arial"/>
      <family val="1"/>
    </font>
    <font>
      <b/>
      <sz val="8"/>
      <name val="Arial"/>
      <family val="1"/>
    </font>
    <font>
      <sz val="8"/>
      <name val="Arial"/>
      <family val="2"/>
    </font>
    <font>
      <b/>
      <sz val="8"/>
      <color rgb="FF000000"/>
      <name val="Arial"/>
      <family val="1"/>
    </font>
    <font>
      <sz val="8"/>
      <color rgb="FF000000"/>
      <name val="Arial"/>
      <family val="1"/>
    </font>
    <font>
      <sz val="8"/>
      <name val="Arial"/>
      <family val="1"/>
    </font>
    <font>
      <b/>
      <sz val="11"/>
      <color indexed="8"/>
      <name val="Arial"/>
      <family val="2"/>
      <charset val="1"/>
    </font>
    <font>
      <sz val="10"/>
      <name val="Arial"/>
      <family val="2"/>
      <charset val="1"/>
    </font>
    <font>
      <sz val="10"/>
      <name val="Arial"/>
      <family val="2"/>
    </font>
    <font>
      <sz val="8"/>
      <color indexed="8"/>
      <name val="Arial"/>
      <family val="2"/>
    </font>
    <font>
      <b/>
      <sz val="11"/>
      <color indexed="8"/>
      <name val="Arial"/>
      <family val="2"/>
    </font>
    <font>
      <sz val="10"/>
      <color indexed="8"/>
      <name val="Arial"/>
      <family val="2"/>
      <charset val="1"/>
    </font>
    <font>
      <sz val="10"/>
      <name val="Tahoma"/>
      <family val="2"/>
    </font>
    <font>
      <b/>
      <sz val="8"/>
      <name val="Arial"/>
      <family val="2"/>
    </font>
    <font>
      <b/>
      <sz val="8"/>
      <name val="Arial"/>
      <family val="2"/>
      <charset val="1"/>
    </font>
    <font>
      <sz val="8"/>
      <name val="Arial"/>
      <family val="2"/>
      <charset val="1"/>
    </font>
    <font>
      <sz val="8"/>
      <color rgb="FF000000"/>
      <name val="Arial"/>
      <family val="2"/>
    </font>
    <font>
      <b/>
      <sz val="10"/>
      <name val="Arial"/>
      <family val="2"/>
    </font>
    <font>
      <sz val="4"/>
      <name val="Arial"/>
      <family val="2"/>
    </font>
    <font>
      <b/>
      <sz val="8"/>
      <color indexed="8"/>
      <name val="Arial"/>
      <family val="2"/>
    </font>
    <font>
      <b/>
      <sz val="8"/>
      <color indexed="10"/>
      <name val="Arial"/>
      <family val="2"/>
    </font>
    <font>
      <b/>
      <u/>
      <sz val="8"/>
      <color indexed="10"/>
      <name val="Arial"/>
      <family val="2"/>
    </font>
    <font>
      <b/>
      <u/>
      <sz val="8"/>
      <color rgb="FFFF0000"/>
      <name val="Arial"/>
      <family val="2"/>
    </font>
    <font>
      <b/>
      <sz val="8"/>
      <color rgb="FFFF0000"/>
      <name val="Arial"/>
      <family val="2"/>
    </font>
    <font>
      <b/>
      <sz val="11"/>
      <name val="Arial"/>
      <family val="2"/>
    </font>
    <font>
      <b/>
      <sz val="8"/>
      <color rgb="FF000000"/>
      <name val="Arial"/>
      <family val="2"/>
    </font>
    <font>
      <b/>
      <i/>
      <sz val="8"/>
      <color rgb="FF000000"/>
      <name val="Arial"/>
      <family val="1"/>
    </font>
    <font>
      <b/>
      <i/>
      <sz val="8"/>
      <color rgb="FF000000"/>
      <name val="Arial"/>
      <family val="2"/>
    </font>
    <font>
      <i/>
      <sz val="8"/>
      <color rgb="FF000000"/>
      <name val="Arial"/>
      <family val="2"/>
    </font>
  </fonts>
  <fills count="12">
    <fill>
      <patternFill patternType="none"/>
    </fill>
    <fill>
      <patternFill patternType="gray125"/>
    </fill>
    <fill>
      <patternFill patternType="solid">
        <fgColor rgb="FFFFFFFF"/>
      </patternFill>
    </fill>
    <fill>
      <patternFill patternType="solid">
        <fgColor rgb="FFD8ECF6"/>
      </patternFill>
    </fill>
    <fill>
      <patternFill patternType="solid">
        <fgColor rgb="FFFFFFFF"/>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indexed="41"/>
        <bgColor indexed="64"/>
      </patternFill>
    </fill>
    <fill>
      <patternFill patternType="solid">
        <fgColor indexed="22"/>
        <bgColor indexed="64"/>
      </patternFill>
    </fill>
    <fill>
      <patternFill patternType="solid">
        <fgColor rgb="FFD8ECF6"/>
        <bgColor indexed="64"/>
      </patternFill>
    </fill>
    <fill>
      <patternFill patternType="solid">
        <fgColor theme="0" tint="-0.14996795556505021"/>
        <bgColor indexed="64"/>
      </patternFill>
    </fill>
  </fills>
  <borders count="34">
    <border>
      <left/>
      <right/>
      <top/>
      <bottom/>
      <diagonal/>
    </border>
    <border>
      <left/>
      <right/>
      <top style="thick">
        <color rgb="FF000000"/>
      </top>
      <bottom/>
      <diagonal/>
    </border>
    <border>
      <left style="thin">
        <color rgb="FFCCCCCC"/>
      </left>
      <right style="thin">
        <color rgb="FFCCCCCC"/>
      </right>
      <top style="thin">
        <color rgb="FFCCCCCC"/>
      </top>
      <bottom style="thin">
        <color rgb="FFCCCCCC"/>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thin">
        <color indexed="64"/>
      </left>
      <right style="thin">
        <color indexed="64"/>
      </right>
      <top/>
      <bottom/>
      <diagonal/>
    </border>
    <border>
      <left/>
      <right/>
      <top style="thin">
        <color indexed="64"/>
      </top>
      <bottom style="thin">
        <color rgb="FFCCCCCC"/>
      </bottom>
      <diagonal/>
    </border>
    <border>
      <left/>
      <right/>
      <top style="thin">
        <color rgb="FFCCCCCC"/>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style="thin">
        <color rgb="FFCCCCCC"/>
      </left>
      <right style="thin">
        <color rgb="FFCCCCCC"/>
      </right>
      <top style="thin">
        <color rgb="FFCCCCCC"/>
      </top>
      <bottom/>
      <diagonal/>
    </border>
    <border>
      <left style="thin">
        <color rgb="FFCCCCCC"/>
      </left>
      <right style="thin">
        <color rgb="FFCCCCCC"/>
      </right>
      <top/>
      <bottom style="thin">
        <color rgb="FFCCCCCC"/>
      </bottom>
      <diagonal/>
    </border>
  </borders>
  <cellStyleXfs count="10">
    <xf numFmtId="0" fontId="0" fillId="0" borderId="0"/>
    <xf numFmtId="43" fontId="6" fillId="0" borderId="0" applyFont="0" applyFill="0" applyBorder="0" applyAlignment="0" applyProtection="0"/>
    <xf numFmtId="9" fontId="6" fillId="0" borderId="0" applyFont="0" applyFill="0" applyBorder="0" applyAlignment="0" applyProtection="0"/>
    <xf numFmtId="0" fontId="14" fillId="0" borderId="0"/>
    <xf numFmtId="0" fontId="14" fillId="0" borderId="0"/>
    <xf numFmtId="0" fontId="14" fillId="0" borderId="0"/>
    <xf numFmtId="0" fontId="18" fillId="0" borderId="0"/>
    <xf numFmtId="0" fontId="14" fillId="0" borderId="0"/>
    <xf numFmtId="0" fontId="14" fillId="0" borderId="0"/>
    <xf numFmtId="0" fontId="14" fillId="0" borderId="0"/>
  </cellStyleXfs>
  <cellXfs count="206">
    <xf numFmtId="0" fontId="0" fillId="0" borderId="0" xfId="0"/>
    <xf numFmtId="0" fontId="5" fillId="2" borderId="0" xfId="0" applyFont="1" applyFill="1" applyAlignment="1">
      <alignment horizontal="center" vertical="top" wrapText="1"/>
    </xf>
    <xf numFmtId="0" fontId="0" fillId="0" borderId="0" xfId="0"/>
    <xf numFmtId="0" fontId="2" fillId="5" borderId="2" xfId="0" applyFont="1" applyFill="1" applyBorder="1" applyAlignment="1">
      <alignment horizontal="center" vertical="top" wrapText="1"/>
    </xf>
    <xf numFmtId="4" fontId="2" fillId="5" borderId="2" xfId="0" applyNumberFormat="1" applyFont="1" applyFill="1" applyBorder="1" applyAlignment="1">
      <alignment horizontal="center" vertical="top" wrapText="1"/>
    </xf>
    <xf numFmtId="0" fontId="9" fillId="6" borderId="2" xfId="0" applyFont="1" applyFill="1" applyBorder="1" applyAlignment="1">
      <alignment horizontal="left" vertical="center" wrapText="1"/>
    </xf>
    <xf numFmtId="4" fontId="9" fillId="6" borderId="2" xfId="0" applyNumberFormat="1" applyFont="1" applyFill="1" applyBorder="1" applyAlignment="1">
      <alignment horizontal="right" vertical="center" wrapText="1"/>
    </xf>
    <xf numFmtId="0" fontId="9" fillId="7" borderId="2" xfId="0" applyFont="1" applyFill="1" applyBorder="1" applyAlignment="1">
      <alignment horizontal="left" vertical="center" wrapText="1"/>
    </xf>
    <xf numFmtId="0" fontId="9" fillId="7" borderId="2" xfId="0" applyFont="1" applyFill="1" applyBorder="1" applyAlignment="1">
      <alignment horizontal="right" vertical="center" wrapText="1"/>
    </xf>
    <xf numFmtId="4" fontId="9" fillId="7" borderId="2" xfId="0" applyNumberFormat="1" applyFont="1" applyFill="1" applyBorder="1" applyAlignment="1">
      <alignment horizontal="right" vertical="center" wrapText="1"/>
    </xf>
    <xf numFmtId="0" fontId="10" fillId="0" borderId="2" xfId="0" applyFont="1" applyBorder="1" applyAlignment="1">
      <alignment horizontal="left" vertical="center" wrapText="1"/>
    </xf>
    <xf numFmtId="0" fontId="10" fillId="0" borderId="2" xfId="0" applyFont="1" applyBorder="1" applyAlignment="1">
      <alignment horizontal="center" vertical="center" wrapText="1"/>
    </xf>
    <xf numFmtId="43" fontId="10" fillId="0" borderId="2" xfId="1" applyFont="1" applyFill="1" applyBorder="1" applyAlignment="1">
      <alignment horizontal="right" vertical="center" wrapText="1"/>
    </xf>
    <xf numFmtId="4" fontId="10" fillId="0" borderId="2" xfId="0" applyNumberFormat="1" applyFont="1" applyBorder="1" applyAlignment="1">
      <alignment horizontal="right" vertical="center" wrapText="1"/>
    </xf>
    <xf numFmtId="0" fontId="9" fillId="0" borderId="2" xfId="0" applyFont="1" applyBorder="1" applyAlignment="1">
      <alignment horizontal="left" vertical="top" wrapText="1"/>
    </xf>
    <xf numFmtId="0" fontId="9" fillId="0" borderId="2" xfId="0" applyFont="1" applyBorder="1" applyAlignment="1">
      <alignment horizontal="right" vertical="top" wrapText="1"/>
    </xf>
    <xf numFmtId="4" fontId="9" fillId="0" borderId="2" xfId="0" applyNumberFormat="1" applyFont="1" applyBorder="1" applyAlignment="1">
      <alignment horizontal="right" vertical="top" wrapText="1"/>
    </xf>
    <xf numFmtId="0" fontId="7" fillId="5" borderId="13" xfId="0" applyFont="1" applyFill="1" applyBorder="1" applyAlignment="1">
      <alignment horizontal="center" vertical="top" wrapText="1"/>
    </xf>
    <xf numFmtId="9" fontId="7" fillId="5" borderId="13" xfId="2" applyFont="1" applyFill="1" applyBorder="1" applyAlignment="1">
      <alignment horizontal="center" vertical="top" wrapText="1"/>
    </xf>
    <xf numFmtId="0" fontId="7" fillId="5" borderId="0" xfId="0" applyFont="1" applyFill="1" applyAlignment="1">
      <alignment horizontal="right" vertical="top" wrapText="1"/>
    </xf>
    <xf numFmtId="0" fontId="7" fillId="5" borderId="0" xfId="0" applyFont="1" applyFill="1" applyAlignment="1">
      <alignment horizontal="right" vertical="top"/>
    </xf>
    <xf numFmtId="43" fontId="7" fillId="5" borderId="0" xfId="1" applyFont="1" applyFill="1" applyAlignment="1">
      <alignment vertical="top" wrapText="1"/>
    </xf>
    <xf numFmtId="0" fontId="4" fillId="4" borderId="0" xfId="0" applyFont="1" applyFill="1" applyAlignment="1">
      <alignment horizontal="center" vertical="top" wrapText="1"/>
    </xf>
    <xf numFmtId="0" fontId="7" fillId="4" borderId="0" xfId="0" applyFont="1" applyFill="1" applyAlignment="1">
      <alignment horizontal="left" vertical="top" wrapText="1"/>
    </xf>
    <xf numFmtId="4" fontId="9" fillId="6" borderId="2" xfId="0" applyNumberFormat="1" applyFont="1" applyFill="1" applyBorder="1" applyAlignment="1">
      <alignment horizontal="right" vertical="top" wrapText="1"/>
    </xf>
    <xf numFmtId="164" fontId="9" fillId="6" borderId="2" xfId="0" applyNumberFormat="1" applyFont="1" applyFill="1" applyBorder="1" applyAlignment="1">
      <alignment horizontal="right" vertical="top" wrapText="1"/>
    </xf>
    <xf numFmtId="0" fontId="9" fillId="6" borderId="2" xfId="0" applyFont="1" applyFill="1" applyBorder="1" applyAlignment="1">
      <alignment horizontal="left" vertical="top" wrapText="1"/>
    </xf>
    <xf numFmtId="0" fontId="9" fillId="6" borderId="18" xfId="0" applyFont="1" applyFill="1" applyBorder="1" applyAlignment="1">
      <alignment vertical="top" wrapText="1"/>
    </xf>
    <xf numFmtId="165" fontId="9" fillId="6" borderId="2" xfId="0" applyNumberFormat="1" applyFont="1" applyFill="1" applyBorder="1" applyAlignment="1">
      <alignment horizontal="right" vertical="top" wrapText="1"/>
    </xf>
    <xf numFmtId="0" fontId="9" fillId="3" borderId="2" xfId="0" applyFont="1" applyFill="1" applyBorder="1" applyAlignment="1">
      <alignment horizontal="left" vertical="top" wrapText="1"/>
    </xf>
    <xf numFmtId="0" fontId="9" fillId="3" borderId="18" xfId="0" applyFont="1" applyFill="1" applyBorder="1" applyAlignment="1">
      <alignment vertical="top" wrapText="1"/>
    </xf>
    <xf numFmtId="0" fontId="9" fillId="3" borderId="2" xfId="0" applyFont="1" applyFill="1" applyBorder="1" applyAlignment="1">
      <alignment horizontal="right" vertical="top" wrapText="1"/>
    </xf>
    <xf numFmtId="4" fontId="9" fillId="3" borderId="2" xfId="0" applyNumberFormat="1" applyFont="1" applyFill="1" applyBorder="1" applyAlignment="1">
      <alignment horizontal="right" vertical="top" wrapText="1"/>
    </xf>
    <xf numFmtId="0" fontId="7" fillId="0" borderId="2" xfId="0" applyFont="1" applyBorder="1" applyAlignment="1">
      <alignment horizontal="left" vertical="center" wrapText="1"/>
    </xf>
    <xf numFmtId="0" fontId="3" fillId="0" borderId="1" xfId="0" applyFont="1" applyBorder="1" applyAlignment="1">
      <alignment horizontal="left" vertical="top" wrapText="1"/>
    </xf>
    <xf numFmtId="0" fontId="9" fillId="0" borderId="2" xfId="0" applyFont="1" applyBorder="1" applyAlignment="1">
      <alignment horizontal="left" vertical="center" wrapText="1"/>
    </xf>
    <xf numFmtId="0" fontId="9" fillId="0" borderId="18" xfId="0" applyFont="1" applyBorder="1" applyAlignment="1">
      <alignment vertical="center" wrapText="1"/>
    </xf>
    <xf numFmtId="0" fontId="9" fillId="0" borderId="2" xfId="0" applyFont="1" applyBorder="1" applyAlignment="1">
      <alignment horizontal="right" vertical="center" wrapText="1"/>
    </xf>
    <xf numFmtId="4" fontId="9" fillId="0" borderId="2" xfId="0" applyNumberFormat="1" applyFont="1" applyBorder="1" applyAlignment="1">
      <alignment horizontal="right" vertical="center" wrapText="1"/>
    </xf>
    <xf numFmtId="0" fontId="13" fillId="0" borderId="0" xfId="0" applyFont="1"/>
    <xf numFmtId="0" fontId="11" fillId="0" borderId="2" xfId="0" applyFont="1" applyBorder="1" applyAlignment="1">
      <alignment horizontal="center" vertical="top" wrapText="1"/>
    </xf>
    <xf numFmtId="0" fontId="11" fillId="0" borderId="16" xfId="0" applyFont="1" applyBorder="1" applyAlignment="1">
      <alignment vertical="top"/>
    </xf>
    <xf numFmtId="0" fontId="11" fillId="0" borderId="18" xfId="0" applyFont="1" applyBorder="1" applyAlignment="1">
      <alignment vertical="top"/>
    </xf>
    <xf numFmtId="10" fontId="11" fillId="0" borderId="2" xfId="2" applyNumberFormat="1" applyFont="1" applyFill="1" applyBorder="1" applyAlignment="1">
      <alignment horizontal="center" vertical="top" wrapText="1"/>
    </xf>
    <xf numFmtId="0" fontId="11" fillId="0" borderId="2" xfId="0" applyFont="1" applyBorder="1" applyAlignment="1">
      <alignment horizontal="left" vertical="top" wrapText="1"/>
    </xf>
    <xf numFmtId="0" fontId="17" fillId="0" borderId="0" xfId="3" applyFont="1"/>
    <xf numFmtId="0" fontId="13" fillId="0" borderId="0" xfId="4" applyFont="1"/>
    <xf numFmtId="0" fontId="8" fillId="0" borderId="2" xfId="0" applyFont="1" applyBorder="1" applyAlignment="1">
      <alignment horizontal="center" vertical="top" wrapText="1"/>
    </xf>
    <xf numFmtId="0" fontId="8" fillId="0" borderId="16" xfId="0" applyFont="1" applyBorder="1" applyAlignment="1">
      <alignment vertical="top"/>
    </xf>
    <xf numFmtId="0" fontId="8" fillId="0" borderId="18" xfId="0" applyFont="1" applyBorder="1" applyAlignment="1">
      <alignment vertical="top"/>
    </xf>
    <xf numFmtId="10" fontId="8" fillId="0" borderId="2" xfId="2" applyNumberFormat="1" applyFont="1" applyFill="1" applyBorder="1" applyAlignment="1">
      <alignment horizontal="center" vertical="top" wrapText="1"/>
    </xf>
    <xf numFmtId="0" fontId="19" fillId="0" borderId="2" xfId="0" applyFont="1" applyBorder="1" applyAlignment="1">
      <alignment horizontal="center" vertical="top" wrapText="1"/>
    </xf>
    <xf numFmtId="0" fontId="19" fillId="0" borderId="16" xfId="0" applyFont="1" applyBorder="1" applyAlignment="1">
      <alignment vertical="top"/>
    </xf>
    <xf numFmtId="0" fontId="19" fillId="0" borderId="18" xfId="0" applyFont="1" applyBorder="1" applyAlignment="1">
      <alignment vertical="top"/>
    </xf>
    <xf numFmtId="10" fontId="19" fillId="0" borderId="2" xfId="2" applyNumberFormat="1" applyFont="1" applyFill="1" applyBorder="1" applyAlignment="1">
      <alignment horizontal="center" vertical="top" wrapText="1"/>
    </xf>
    <xf numFmtId="0" fontId="21" fillId="0" borderId="2" xfId="0" applyFont="1" applyBorder="1" applyAlignment="1">
      <alignment horizontal="center" vertical="top" wrapText="1"/>
    </xf>
    <xf numFmtId="0" fontId="21" fillId="0" borderId="16" xfId="0" applyFont="1" applyBorder="1" applyAlignment="1">
      <alignment vertical="top"/>
    </xf>
    <xf numFmtId="0" fontId="21" fillId="0" borderId="18" xfId="0" applyFont="1" applyBorder="1" applyAlignment="1">
      <alignment vertical="top"/>
    </xf>
    <xf numFmtId="0" fontId="20" fillId="0" borderId="2" xfId="0" applyFont="1" applyBorder="1" applyAlignment="1">
      <alignment horizontal="center" vertical="top" wrapText="1"/>
    </xf>
    <xf numFmtId="0" fontId="20" fillId="0" borderId="16" xfId="0" applyFont="1" applyBorder="1" applyAlignment="1">
      <alignment vertical="top"/>
    </xf>
    <xf numFmtId="0" fontId="20" fillId="0" borderId="18" xfId="0" applyFont="1" applyBorder="1" applyAlignment="1">
      <alignment vertical="top"/>
    </xf>
    <xf numFmtId="10" fontId="21" fillId="0" borderId="2" xfId="2" applyNumberFormat="1" applyFont="1" applyFill="1" applyBorder="1" applyAlignment="1">
      <alignment horizontal="center" vertical="top" wrapText="1"/>
    </xf>
    <xf numFmtId="10" fontId="20" fillId="0" borderId="2" xfId="2" applyNumberFormat="1" applyFont="1" applyFill="1" applyBorder="1" applyAlignment="1">
      <alignment horizontal="center" vertical="top" wrapText="1"/>
    </xf>
    <xf numFmtId="0" fontId="0" fillId="0" borderId="0" xfId="4" applyFont="1"/>
    <xf numFmtId="0" fontId="0" fillId="0" borderId="0" xfId="4" applyFont="1" applyAlignment="1">
      <alignment wrapText="1"/>
    </xf>
    <xf numFmtId="0" fontId="0" fillId="0" borderId="0" xfId="4" applyFont="1" applyAlignment="1">
      <alignment horizontal="center"/>
    </xf>
    <xf numFmtId="0" fontId="14" fillId="0" borderId="0" xfId="4"/>
    <xf numFmtId="0" fontId="10" fillId="0" borderId="2" xfId="0" applyFont="1" applyBorder="1" applyAlignment="1">
      <alignment horizontal="justify" vertical="center" wrapText="1"/>
    </xf>
    <xf numFmtId="0" fontId="1" fillId="5" borderId="2" xfId="0" applyFont="1" applyFill="1" applyBorder="1" applyAlignment="1">
      <alignment horizontal="center" vertical="top" wrapText="1"/>
    </xf>
    <xf numFmtId="43" fontId="7" fillId="4" borderId="0" xfId="1" applyFont="1" applyFill="1" applyAlignment="1">
      <alignment horizontal="right" vertical="top" wrapText="1"/>
    </xf>
    <xf numFmtId="43" fontId="9" fillId="3" borderId="2" xfId="1" applyFont="1" applyFill="1" applyBorder="1" applyAlignment="1">
      <alignment horizontal="right" vertical="top" wrapText="1"/>
    </xf>
    <xf numFmtId="10" fontId="7" fillId="4" borderId="0" xfId="0" applyNumberFormat="1" applyFont="1" applyFill="1" applyAlignment="1">
      <alignment horizontal="right" vertical="top" wrapText="1"/>
    </xf>
    <xf numFmtId="4" fontId="7" fillId="4" borderId="0" xfId="0" applyNumberFormat="1" applyFont="1" applyFill="1" applyAlignment="1">
      <alignment horizontal="right" vertical="top" wrapText="1"/>
    </xf>
    <xf numFmtId="0" fontId="9" fillId="6" borderId="16" xfId="0" applyFont="1" applyFill="1" applyBorder="1" applyAlignment="1">
      <alignment horizontal="left" vertical="top" wrapText="1"/>
    </xf>
    <xf numFmtId="0" fontId="2" fillId="5" borderId="2" xfId="0" applyFont="1" applyFill="1" applyBorder="1" applyAlignment="1">
      <alignment horizontal="center" vertical="top" wrapText="1"/>
    </xf>
    <xf numFmtId="0" fontId="0" fillId="0" borderId="0" xfId="0"/>
    <xf numFmtId="4" fontId="7" fillId="4" borderId="0" xfId="0" applyNumberFormat="1" applyFont="1" applyFill="1" applyAlignment="1">
      <alignment horizontal="right" vertical="top" wrapText="1"/>
    </xf>
    <xf numFmtId="0" fontId="24" fillId="0" borderId="5" xfId="7" applyFont="1" applyBorder="1"/>
    <xf numFmtId="0" fontId="24" fillId="0" borderId="4" xfId="7" applyFont="1" applyBorder="1"/>
    <xf numFmtId="0" fontId="19" fillId="8" borderId="24" xfId="7" applyFont="1" applyFill="1" applyBorder="1" applyAlignment="1">
      <alignment horizontal="center"/>
    </xf>
    <xf numFmtId="0" fontId="25" fillId="8" borderId="25" xfId="8" applyFont="1" applyFill="1" applyBorder="1" applyAlignment="1">
      <alignment vertical="distributed" wrapText="1"/>
    </xf>
    <xf numFmtId="0" fontId="8" fillId="0" borderId="26" xfId="7" applyFont="1" applyBorder="1" applyAlignment="1">
      <alignment horizontal="center"/>
    </xf>
    <xf numFmtId="0" fontId="8" fillId="0" borderId="27" xfId="7" applyFont="1" applyBorder="1" applyAlignment="1">
      <alignment horizontal="justify" vertical="distributed" wrapText="1"/>
    </xf>
    <xf numFmtId="0" fontId="8" fillId="0" borderId="28" xfId="7" applyFont="1" applyBorder="1" applyAlignment="1">
      <alignment horizontal="center"/>
    </xf>
    <xf numFmtId="0" fontId="8" fillId="0" borderId="29" xfId="7" applyFont="1" applyBorder="1" applyAlignment="1">
      <alignment horizontal="justify" vertical="distributed" wrapText="1"/>
    </xf>
    <xf numFmtId="0" fontId="14" fillId="0" borderId="10" xfId="7" applyBorder="1"/>
    <xf numFmtId="0" fontId="14" fillId="0" borderId="11" xfId="7" applyBorder="1"/>
    <xf numFmtId="0" fontId="19" fillId="8" borderId="26" xfId="7" applyFont="1" applyFill="1" applyBorder="1" applyAlignment="1">
      <alignment horizontal="center"/>
    </xf>
    <xf numFmtId="0" fontId="25" fillId="8" borderId="27" xfId="8" applyFont="1" applyFill="1" applyBorder="1" applyAlignment="1">
      <alignment vertical="distributed" wrapText="1"/>
    </xf>
    <xf numFmtId="0" fontId="19" fillId="8" borderId="26" xfId="0" applyFont="1" applyFill="1" applyBorder="1" applyAlignment="1">
      <alignment horizontal="center"/>
    </xf>
    <xf numFmtId="0" fontId="25" fillId="8" borderId="27" xfId="5" applyFont="1" applyFill="1" applyBorder="1" applyAlignment="1">
      <alignment vertical="distributed" wrapText="1"/>
    </xf>
    <xf numFmtId="0" fontId="8" fillId="0" borderId="26" xfId="0" applyFont="1" applyBorder="1" applyAlignment="1">
      <alignment horizontal="center"/>
    </xf>
    <xf numFmtId="0" fontId="8" fillId="0" borderId="27" xfId="0" applyFont="1" applyBorder="1" applyAlignment="1">
      <alignment horizontal="justify" vertical="distributed" wrapText="1"/>
    </xf>
    <xf numFmtId="0" fontId="8" fillId="0" borderId="28" xfId="0" applyFont="1" applyBorder="1" applyAlignment="1">
      <alignment horizontal="center"/>
    </xf>
    <xf numFmtId="0" fontId="8" fillId="0" borderId="29" xfId="0" applyFont="1" applyBorder="1" applyAlignment="1">
      <alignment horizontal="justify" vertical="distributed" wrapText="1"/>
    </xf>
    <xf numFmtId="0" fontId="19" fillId="5" borderId="0" xfId="0" applyFont="1" applyFill="1" applyAlignment="1">
      <alignment horizontal="right" vertical="top" wrapText="1"/>
    </xf>
    <xf numFmtId="0" fontId="19" fillId="5" borderId="0" xfId="0" applyFont="1" applyFill="1" applyAlignment="1">
      <alignment horizontal="right" vertical="top"/>
    </xf>
    <xf numFmtId="43" fontId="19" fillId="5" borderId="0" xfId="1" applyFont="1" applyFill="1" applyAlignment="1">
      <alignment vertical="top" wrapText="1"/>
    </xf>
    <xf numFmtId="43" fontId="19" fillId="5" borderId="0" xfId="1" applyFont="1" applyFill="1" applyAlignment="1">
      <alignment horizontal="center" vertical="top" wrapText="1"/>
    </xf>
    <xf numFmtId="0" fontId="25" fillId="0" borderId="9" xfId="9" applyFont="1" applyBorder="1" applyAlignment="1">
      <alignment horizontal="center" vertical="center"/>
    </xf>
    <xf numFmtId="14" fontId="25" fillId="0" borderId="9" xfId="9" applyNumberFormat="1" applyFont="1" applyBorder="1" applyAlignment="1">
      <alignment horizontal="center" vertical="center"/>
    </xf>
    <xf numFmtId="0" fontId="23" fillId="5" borderId="2" xfId="0" applyFont="1" applyFill="1" applyBorder="1" applyAlignment="1">
      <alignment horizontal="center" vertical="top" wrapText="1"/>
    </xf>
    <xf numFmtId="43" fontId="0" fillId="0" borderId="0" xfId="0" applyNumberFormat="1"/>
    <xf numFmtId="0" fontId="11" fillId="0" borderId="2" xfId="0" applyNumberFormat="1" applyFont="1" applyBorder="1" applyAlignment="1">
      <alignment horizontal="center" vertical="center" wrapText="1"/>
    </xf>
    <xf numFmtId="14" fontId="25" fillId="0" borderId="7" xfId="9" applyNumberFormat="1" applyFont="1" applyBorder="1" applyAlignment="1">
      <alignment horizontal="center" vertical="center"/>
    </xf>
    <xf numFmtId="0" fontId="25" fillId="0" borderId="9" xfId="9" applyFont="1" applyBorder="1" applyAlignment="1">
      <alignment vertical="center"/>
    </xf>
    <xf numFmtId="0" fontId="31" fillId="0" borderId="2" xfId="0" applyFont="1" applyBorder="1" applyAlignment="1">
      <alignment horizontal="center" vertical="center" wrapText="1"/>
    </xf>
    <xf numFmtId="0" fontId="31" fillId="0" borderId="2" xfId="0" applyFont="1" applyBorder="1" applyAlignment="1">
      <alignment horizontal="justify" vertical="center" wrapText="1"/>
    </xf>
    <xf numFmtId="166" fontId="9" fillId="0" borderId="2" xfId="0" applyNumberFormat="1" applyFont="1" applyBorder="1" applyAlignment="1">
      <alignment horizontal="right" vertical="center" wrapText="1"/>
    </xf>
    <xf numFmtId="0" fontId="11" fillId="0" borderId="2" xfId="0" applyFont="1" applyBorder="1" applyAlignment="1">
      <alignment horizontal="center" vertical="center" wrapText="1"/>
    </xf>
    <xf numFmtId="0" fontId="11" fillId="0" borderId="2" xfId="0" applyFont="1" applyBorder="1" applyAlignment="1">
      <alignment horizontal="justify" vertical="center" wrapText="1"/>
    </xf>
    <xf numFmtId="166" fontId="11" fillId="0" borderId="2" xfId="0" applyNumberFormat="1" applyFont="1" applyBorder="1" applyAlignment="1">
      <alignment horizontal="right" vertical="center" wrapText="1"/>
    </xf>
    <xf numFmtId="4" fontId="11" fillId="0" borderId="2" xfId="0" applyNumberFormat="1" applyFont="1" applyBorder="1" applyAlignment="1">
      <alignment horizontal="right" vertical="center" wrapText="1"/>
    </xf>
    <xf numFmtId="10" fontId="32" fillId="6" borderId="32" xfId="2" applyNumberFormat="1" applyFont="1" applyFill="1" applyBorder="1" applyAlignment="1">
      <alignment horizontal="right" vertical="top" wrapText="1"/>
    </xf>
    <xf numFmtId="43" fontId="9" fillId="6" borderId="33" xfId="1" applyFont="1" applyFill="1" applyBorder="1" applyAlignment="1">
      <alignment horizontal="right" vertical="top" wrapText="1"/>
    </xf>
    <xf numFmtId="10" fontId="33" fillId="6" borderId="32" xfId="2" applyNumberFormat="1" applyFont="1" applyFill="1" applyBorder="1" applyAlignment="1">
      <alignment horizontal="right" vertical="top" wrapText="1"/>
    </xf>
    <xf numFmtId="43" fontId="31" fillId="6" borderId="33" xfId="1" applyFont="1" applyFill="1" applyBorder="1" applyAlignment="1">
      <alignment horizontal="right" vertical="top" wrapText="1"/>
    </xf>
    <xf numFmtId="10" fontId="32" fillId="0" borderId="32" xfId="2" applyNumberFormat="1" applyFont="1" applyFill="1" applyBorder="1" applyAlignment="1">
      <alignment horizontal="right" vertical="top" wrapText="1"/>
    </xf>
    <xf numFmtId="43" fontId="9" fillId="0" borderId="33" xfId="1" applyFont="1" applyFill="1" applyBorder="1" applyAlignment="1">
      <alignment horizontal="right" vertical="top" wrapText="1"/>
    </xf>
    <xf numFmtId="10" fontId="34" fillId="0" borderId="32" xfId="2" applyNumberFormat="1" applyFont="1" applyFill="1" applyBorder="1" applyAlignment="1">
      <alignment horizontal="right" vertical="top" wrapText="1"/>
    </xf>
    <xf numFmtId="43" fontId="22" fillId="0" borderId="33" xfId="1" applyFont="1" applyFill="1" applyBorder="1" applyAlignment="1">
      <alignment horizontal="right" vertical="top" wrapText="1"/>
    </xf>
    <xf numFmtId="10" fontId="33" fillId="3" borderId="32" xfId="2" applyNumberFormat="1" applyFont="1" applyFill="1" applyBorder="1" applyAlignment="1">
      <alignment horizontal="right" vertical="top" wrapText="1"/>
    </xf>
    <xf numFmtId="43" fontId="31" fillId="3" borderId="33" xfId="1" applyFont="1" applyFill="1" applyBorder="1" applyAlignment="1">
      <alignment horizontal="right" vertical="top" wrapText="1"/>
    </xf>
    <xf numFmtId="43" fontId="7" fillId="4" borderId="0" xfId="0" applyNumberFormat="1" applyFont="1" applyFill="1" applyAlignment="1">
      <alignment horizontal="left" vertical="top" wrapText="1"/>
    </xf>
    <xf numFmtId="0" fontId="9" fillId="3" borderId="16" xfId="0" applyFont="1" applyFill="1" applyBorder="1" applyAlignment="1">
      <alignment horizontal="left" vertical="top" wrapText="1"/>
    </xf>
    <xf numFmtId="0" fontId="9" fillId="3" borderId="18" xfId="0" applyFont="1" applyFill="1" applyBorder="1" applyAlignment="1">
      <alignment horizontal="right" vertical="top" wrapText="1"/>
    </xf>
    <xf numFmtId="0" fontId="15" fillId="0" borderId="5" xfId="9" applyFont="1" applyBorder="1" applyAlignment="1">
      <alignment horizontal="left" vertical="center"/>
    </xf>
    <xf numFmtId="0" fontId="15" fillId="0" borderId="3" xfId="0" applyFont="1" applyBorder="1" applyAlignment="1">
      <alignment vertical="center"/>
    </xf>
    <xf numFmtId="0" fontId="15" fillId="0" borderId="3" xfId="9" applyFont="1" applyBorder="1" applyAlignment="1">
      <alignment horizontal="left" vertical="center"/>
    </xf>
    <xf numFmtId="0" fontId="0" fillId="0" borderId="0" xfId="0" applyAlignment="1">
      <alignment vertical="center"/>
    </xf>
    <xf numFmtId="0" fontId="15" fillId="0" borderId="7" xfId="0" applyFont="1" applyBorder="1" applyAlignment="1">
      <alignment vertical="center"/>
    </xf>
    <xf numFmtId="0" fontId="25" fillId="0" borderId="7" xfId="0" applyFont="1" applyBorder="1" applyAlignment="1">
      <alignment horizontal="center" vertical="center"/>
    </xf>
    <xf numFmtId="17" fontId="15" fillId="0" borderId="5" xfId="9" applyNumberFormat="1" applyFont="1" applyBorder="1" applyAlignment="1">
      <alignment horizontal="left" vertical="center"/>
    </xf>
    <xf numFmtId="0" fontId="0" fillId="0" borderId="5" xfId="0" applyBorder="1" applyAlignment="1">
      <alignment vertical="center"/>
    </xf>
    <xf numFmtId="0" fontId="0" fillId="0" borderId="4"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1" fillId="4" borderId="10" xfId="0" applyFont="1" applyFill="1" applyBorder="1" applyAlignment="1">
      <alignment vertical="center" wrapText="1"/>
    </xf>
    <xf numFmtId="0" fontId="1" fillId="4" borderId="11" xfId="0" applyFont="1" applyFill="1" applyBorder="1" applyAlignment="1">
      <alignment vertical="center" wrapText="1"/>
    </xf>
    <xf numFmtId="0" fontId="2" fillId="4" borderId="9" xfId="0" applyFont="1" applyFill="1" applyBorder="1" applyAlignment="1">
      <alignment vertical="center" wrapText="1"/>
    </xf>
    <xf numFmtId="0" fontId="2" fillId="4" borderId="8" xfId="0" applyFont="1" applyFill="1" applyBorder="1" applyAlignment="1">
      <alignment vertical="center" wrapText="1"/>
    </xf>
    <xf numFmtId="0" fontId="15" fillId="0" borderId="30" xfId="9" applyFont="1" applyBorder="1" applyAlignment="1">
      <alignment horizontal="left" vertical="center"/>
    </xf>
    <xf numFmtId="0" fontId="15" fillId="0" borderId="6" xfId="9" applyFont="1" applyBorder="1" applyAlignment="1">
      <alignment horizontal="left" vertical="center"/>
    </xf>
    <xf numFmtId="17" fontId="15" fillId="0" borderId="6" xfId="9" applyNumberFormat="1" applyFont="1" applyBorder="1" applyAlignment="1">
      <alignment horizontal="left" vertical="center"/>
    </xf>
    <xf numFmtId="0" fontId="8" fillId="0" borderId="10" xfId="5" applyFont="1" applyBorder="1" applyAlignment="1">
      <alignment horizontal="left" vertical="center"/>
    </xf>
    <xf numFmtId="0" fontId="15" fillId="0" borderId="11" xfId="9" applyFont="1" applyBorder="1" applyAlignment="1">
      <alignment horizontal="left" vertical="center"/>
    </xf>
    <xf numFmtId="166" fontId="15" fillId="0" borderId="30" xfId="9" applyNumberFormat="1" applyFont="1" applyBorder="1" applyAlignment="1">
      <alignment horizontal="left" vertical="center"/>
    </xf>
    <xf numFmtId="4" fontId="8" fillId="0" borderId="6" xfId="0" applyNumberFormat="1" applyFont="1" applyBorder="1" applyAlignment="1">
      <alignment vertical="center"/>
    </xf>
    <xf numFmtId="0" fontId="8" fillId="0" borderId="5" xfId="5" applyFont="1" applyBorder="1" applyAlignment="1">
      <alignment horizontal="left" vertical="center"/>
    </xf>
    <xf numFmtId="0" fontId="15" fillId="0" borderId="4" xfId="9" applyFont="1" applyBorder="1" applyAlignment="1">
      <alignment horizontal="left" vertical="center"/>
    </xf>
    <xf numFmtId="0" fontId="0" fillId="0" borderId="0" xfId="0"/>
    <xf numFmtId="0" fontId="23" fillId="9" borderId="22" xfId="7" applyFont="1" applyFill="1" applyBorder="1" applyAlignment="1">
      <alignment horizontal="center"/>
    </xf>
    <xf numFmtId="0" fontId="23" fillId="9" borderId="23" xfId="7" applyFont="1" applyFill="1" applyBorder="1" applyAlignment="1">
      <alignment horizontal="center"/>
    </xf>
    <xf numFmtId="0" fontId="1" fillId="4" borderId="0" xfId="0" applyFont="1" applyFill="1" applyAlignment="1">
      <alignment horizontal="center" wrapText="1"/>
    </xf>
    <xf numFmtId="0" fontId="0" fillId="0" borderId="0" xfId="0"/>
    <xf numFmtId="0" fontId="0" fillId="0" borderId="3"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43" fontId="7" fillId="5" borderId="0" xfId="1" applyFont="1" applyFill="1" applyAlignment="1">
      <alignment vertical="top" wrapText="1"/>
    </xf>
    <xf numFmtId="0" fontId="25" fillId="0" borderId="5" xfId="5" applyFont="1" applyBorder="1" applyAlignment="1">
      <alignment horizontal="center" vertical="center"/>
    </xf>
    <xf numFmtId="0" fontId="25" fillId="0" borderId="4" xfId="5" applyFont="1" applyBorder="1" applyAlignment="1">
      <alignment horizontal="center" vertical="center"/>
    </xf>
    <xf numFmtId="17" fontId="15" fillId="0" borderId="5" xfId="9" applyNumberFormat="1" applyFont="1" applyBorder="1" applyAlignment="1">
      <alignment horizontal="justify" vertical="center"/>
    </xf>
    <xf numFmtId="17" fontId="15" fillId="0" borderId="4" xfId="9" applyNumberFormat="1" applyFont="1" applyBorder="1" applyAlignment="1">
      <alignment horizontal="justify" vertical="center"/>
    </xf>
    <xf numFmtId="0" fontId="25" fillId="0" borderId="9" xfId="5" applyFont="1" applyBorder="1" applyAlignment="1">
      <alignment horizontal="center" vertical="center"/>
    </xf>
    <xf numFmtId="0" fontId="25" fillId="0" borderId="8" xfId="5" applyFont="1" applyBorder="1" applyAlignment="1">
      <alignment horizontal="center" vertical="center"/>
    </xf>
    <xf numFmtId="0" fontId="25" fillId="0" borderId="9" xfId="9" applyFont="1" applyBorder="1" applyAlignment="1">
      <alignment horizontal="center" vertical="center"/>
    </xf>
    <xf numFmtId="0" fontId="25" fillId="0" borderId="8" xfId="9" applyFont="1" applyBorder="1" applyAlignment="1">
      <alignment horizontal="center" vertical="center"/>
    </xf>
    <xf numFmtId="0" fontId="7" fillId="5" borderId="14" xfId="0" applyFont="1" applyFill="1" applyBorder="1" applyAlignment="1">
      <alignment horizontal="center" vertical="top" wrapText="1"/>
    </xf>
    <xf numFmtId="0" fontId="7" fillId="5" borderId="15" xfId="0" applyFont="1" applyFill="1" applyBorder="1" applyAlignment="1">
      <alignment horizontal="center" vertical="top" wrapText="1"/>
    </xf>
    <xf numFmtId="9" fontId="7" fillId="5" borderId="14" xfId="2" applyFont="1" applyFill="1" applyBorder="1" applyAlignment="1">
      <alignment horizontal="center" vertical="top" wrapText="1"/>
    </xf>
    <xf numFmtId="9" fontId="7" fillId="5" borderId="15" xfId="2" applyFont="1" applyFill="1" applyBorder="1" applyAlignment="1">
      <alignment horizontal="center" vertical="top" wrapText="1"/>
    </xf>
    <xf numFmtId="0" fontId="25" fillId="0" borderId="12" xfId="9" applyFont="1" applyBorder="1" applyAlignment="1">
      <alignment horizontal="center" vertical="center"/>
    </xf>
    <xf numFmtId="14" fontId="25" fillId="0" borderId="9" xfId="5" applyNumberFormat="1" applyFont="1" applyBorder="1" applyAlignment="1">
      <alignment horizontal="center" vertical="center"/>
    </xf>
    <xf numFmtId="14" fontId="25" fillId="0" borderId="12" xfId="5" applyNumberFormat="1" applyFont="1" applyBorder="1" applyAlignment="1">
      <alignment horizontal="center" vertical="center"/>
    </xf>
    <xf numFmtId="0" fontId="25" fillId="0" borderId="10" xfId="5" applyFont="1" applyBorder="1" applyAlignment="1">
      <alignment horizontal="center" vertical="center"/>
    </xf>
    <xf numFmtId="0" fontId="25" fillId="0" borderId="11" xfId="5" applyFont="1" applyBorder="1" applyAlignment="1">
      <alignment horizontal="center" vertical="center"/>
    </xf>
    <xf numFmtId="0" fontId="25" fillId="0" borderId="31" xfId="5" applyFont="1" applyBorder="1" applyAlignment="1">
      <alignment horizontal="center" vertical="center"/>
    </xf>
    <xf numFmtId="14" fontId="25" fillId="0" borderId="9" xfId="9" applyNumberFormat="1" applyFont="1" applyBorder="1" applyAlignment="1">
      <alignment horizontal="center" vertical="center"/>
    </xf>
    <xf numFmtId="14" fontId="25" fillId="0" borderId="8" xfId="9" applyNumberFormat="1" applyFont="1" applyBorder="1" applyAlignment="1">
      <alignment horizontal="center" vertical="center"/>
    </xf>
    <xf numFmtId="0" fontId="30" fillId="4" borderId="20" xfId="0" applyFont="1" applyFill="1" applyBorder="1" applyAlignment="1">
      <alignment horizontal="center" wrapText="1"/>
    </xf>
    <xf numFmtId="0" fontId="12" fillId="0" borderId="20" xfId="0" applyFont="1" applyBorder="1" applyAlignment="1">
      <alignment horizontal="center" vertical="center" wrapText="1"/>
    </xf>
    <xf numFmtId="0" fontId="2" fillId="5" borderId="16" xfId="0" applyFont="1" applyFill="1" applyBorder="1" applyAlignment="1">
      <alignment horizontal="center" vertical="top"/>
    </xf>
    <xf numFmtId="0" fontId="2" fillId="5" borderId="18" xfId="0" applyFont="1" applyFill="1" applyBorder="1" applyAlignment="1">
      <alignment horizontal="center" vertical="top"/>
    </xf>
    <xf numFmtId="0" fontId="16" fillId="0" borderId="20" xfId="5" applyFont="1" applyBorder="1" applyAlignment="1">
      <alignment horizontal="center" vertical="center"/>
    </xf>
    <xf numFmtId="0" fontId="7" fillId="4" borderId="0" xfId="0" applyFont="1" applyFill="1" applyAlignment="1">
      <alignment horizontal="right" vertical="top" wrapText="1"/>
    </xf>
    <xf numFmtId="0" fontId="7" fillId="4" borderId="21" xfId="0" applyFont="1" applyFill="1" applyBorder="1" applyAlignment="1">
      <alignment horizontal="right" vertical="top" wrapText="1"/>
    </xf>
    <xf numFmtId="0" fontId="9" fillId="6" borderId="2" xfId="0" applyFont="1" applyFill="1" applyBorder="1" applyAlignment="1">
      <alignment horizontal="justify" vertical="top" wrapText="1"/>
    </xf>
    <xf numFmtId="0" fontId="9" fillId="6" borderId="2" xfId="0" applyFont="1" applyFill="1" applyBorder="1" applyAlignment="1">
      <alignment vertical="top" wrapText="1"/>
    </xf>
    <xf numFmtId="0" fontId="9" fillId="0" borderId="2" xfId="0" applyFont="1" applyBorder="1" applyAlignment="1">
      <alignment horizontal="justify" vertical="top" wrapText="1"/>
    </xf>
    <xf numFmtId="0" fontId="9" fillId="3" borderId="2" xfId="0" applyFont="1" applyFill="1" applyBorder="1" applyAlignment="1">
      <alignment vertical="top" wrapText="1"/>
    </xf>
    <xf numFmtId="0" fontId="9" fillId="3" borderId="2" xfId="0" applyFont="1" applyFill="1" applyBorder="1" applyAlignment="1">
      <alignment horizontal="justify" vertical="top" wrapText="1"/>
    </xf>
    <xf numFmtId="4" fontId="7" fillId="4" borderId="0" xfId="0" applyNumberFormat="1" applyFont="1" applyFill="1" applyAlignment="1">
      <alignment vertical="top" wrapText="1"/>
    </xf>
    <xf numFmtId="0" fontId="19" fillId="6" borderId="16" xfId="6" applyFont="1" applyFill="1" applyBorder="1" applyAlignment="1">
      <alignment horizontal="center" vertical="distributed" wrapText="1"/>
    </xf>
    <xf numFmtId="0" fontId="19" fillId="6" borderId="17" xfId="6" applyFont="1" applyFill="1" applyBorder="1" applyAlignment="1">
      <alignment horizontal="justify" vertical="distributed" wrapText="1"/>
    </xf>
    <xf numFmtId="10" fontId="20" fillId="6" borderId="18" xfId="2" applyNumberFormat="1" applyFont="1" applyFill="1" applyBorder="1" applyAlignment="1">
      <alignment horizontal="center" vertical="distributed" wrapText="1"/>
    </xf>
    <xf numFmtId="0" fontId="19" fillId="10" borderId="16" xfId="6" applyFont="1" applyFill="1" applyBorder="1" applyAlignment="1">
      <alignment horizontal="center" vertical="distributed" wrapText="1"/>
    </xf>
    <xf numFmtId="0" fontId="19" fillId="10" borderId="17" xfId="6" applyFont="1" applyFill="1" applyBorder="1" applyAlignment="1">
      <alignment horizontal="justify" vertical="distributed" wrapText="1"/>
    </xf>
    <xf numFmtId="10" fontId="20" fillId="10" borderId="18" xfId="2" applyNumberFormat="1" applyFont="1" applyFill="1" applyBorder="1" applyAlignment="1">
      <alignment horizontal="center" vertical="distributed" wrapText="1"/>
    </xf>
    <xf numFmtId="0" fontId="19" fillId="11" borderId="16" xfId="6" applyFont="1" applyFill="1" applyBorder="1" applyAlignment="1">
      <alignment horizontal="center" vertical="distributed" wrapText="1"/>
    </xf>
    <xf numFmtId="0" fontId="19" fillId="11" borderId="17" xfId="6" applyFont="1" applyFill="1" applyBorder="1" applyAlignment="1">
      <alignment horizontal="justify" vertical="distributed" wrapText="1"/>
    </xf>
    <xf numFmtId="10" fontId="20" fillId="11" borderId="18" xfId="2" applyNumberFormat="1" applyFont="1" applyFill="1" applyBorder="1" applyAlignment="1">
      <alignment horizontal="center" vertical="distributed" wrapText="1"/>
    </xf>
    <xf numFmtId="0" fontId="19" fillId="10" borderId="16" xfId="6" applyFont="1" applyFill="1" applyBorder="1" applyAlignment="1">
      <alignment horizontal="center" vertical="distributed" wrapText="1"/>
    </xf>
    <xf numFmtId="0" fontId="19" fillId="10" borderId="17" xfId="6" applyFont="1" applyFill="1" applyBorder="1" applyAlignment="1">
      <alignment horizontal="center" vertical="distributed" wrapText="1"/>
    </xf>
    <xf numFmtId="0" fontId="19" fillId="10" borderId="18" xfId="6" applyFont="1" applyFill="1" applyBorder="1" applyAlignment="1">
      <alignment horizontal="center" vertical="distributed" wrapText="1"/>
    </xf>
    <xf numFmtId="0" fontId="19" fillId="11" borderId="16" xfId="6" applyFont="1" applyFill="1" applyBorder="1" applyAlignment="1">
      <alignment horizontal="center" vertical="distributed" wrapText="1"/>
    </xf>
    <xf numFmtId="0" fontId="19" fillId="11" borderId="17" xfId="6" applyFont="1" applyFill="1" applyBorder="1" applyAlignment="1">
      <alignment horizontal="center" vertical="distributed" wrapText="1"/>
    </xf>
  </cellXfs>
  <cellStyles count="10">
    <cellStyle name="Normal" xfId="0" builtinId="0"/>
    <cellStyle name="Normal 2" xfId="3" xr:uid="{7828812B-FD94-484F-82EF-53826E3A91DC}"/>
    <cellStyle name="Normal_Orç 037_2009 - Ar Condicionado Salas Técnicas - PJ Sobradinho" xfId="4" xr:uid="{E5738B72-D6F0-4710-B21F-BE467D965CB7}"/>
    <cellStyle name="Normal_Orç 041_2009 Adaptação Copa PJ Ceilândia" xfId="5" xr:uid="{F60BCEF2-6DAE-4BAD-933D-824F2D8D592E}"/>
    <cellStyle name="Normal_Orç 041_2009 Adaptação Copa PJ Ceilândia_Orçamento Sintético" xfId="9" xr:uid="{286E1304-18E9-42D1-B8F5-13FC23BFB19C}"/>
    <cellStyle name="Normal_Orç 041_2009 Adaptação Copa PJ Ceilândia_Plan1" xfId="8" xr:uid="{28A879B9-FE97-40EA-A5D1-CD8C8DEF191D}"/>
    <cellStyle name="Normal_Plan1" xfId="6" xr:uid="{002FFBFF-D57C-428B-9E73-B67D253ADADB}"/>
    <cellStyle name="Normal_Plan1_1 2" xfId="7" xr:uid="{AF95A394-B1D8-4CE4-AD5E-D5DFC0899D89}"/>
    <cellStyle name="Porcentagem" xfId="2" builtinId="5"/>
    <cellStyle name="Vírgula" xfId="1" builtinId="3"/>
  </cellStyles>
  <dxfs count="112">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FFFF0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ont>
        <color rgb="FFD8ECF6"/>
      </font>
    </dxf>
    <dxf>
      <font>
        <color rgb="FFD8ECF6"/>
      </font>
    </dxf>
    <dxf>
      <font>
        <color rgb="FFD8ECF6"/>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ont>
        <color rgb="FFD8ECF6"/>
      </font>
    </dxf>
    <dxf>
      <font>
        <color rgb="FFFFFF00"/>
      </font>
    </dxf>
    <dxf>
      <font>
        <color rgb="FFFFFF00"/>
      </font>
    </dxf>
    <dxf>
      <font>
        <color rgb="FFFFFF00"/>
      </font>
    </dxf>
    <dxf>
      <font>
        <color rgb="FFFFFF00"/>
      </font>
    </dxf>
    <dxf>
      <font>
        <color rgb="FFD8ECF6"/>
      </font>
    </dxf>
    <dxf>
      <font>
        <color rgb="FFD8ECF6"/>
      </font>
    </dxf>
    <dxf>
      <font>
        <color rgb="FFD8ECF6"/>
      </font>
    </dxf>
    <dxf>
      <font>
        <color rgb="FFD8ECF6"/>
      </font>
    </dxf>
    <dxf>
      <font>
        <color rgb="FFD8ECF6"/>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ill>
        <gradientFill degree="90">
          <stop position="0">
            <color theme="6" tint="0.80001220740379042"/>
          </stop>
          <stop position="1">
            <color theme="6" tint="0.40000610370189521"/>
          </stop>
        </gradientFill>
      </fill>
    </dxf>
    <dxf>
      <font>
        <color theme="0"/>
      </font>
    </dxf>
    <dxf>
      <font>
        <color rgb="FFD8ECF6"/>
      </font>
    </dxf>
    <dxf>
      <font>
        <color rgb="FFD8ECF6"/>
      </font>
    </dxf>
    <dxf>
      <font>
        <color rgb="FFD8ECF6"/>
      </font>
    </dxf>
    <dxf>
      <font>
        <color rgb="FFD8ECF6"/>
      </font>
    </dxf>
    <dxf>
      <font>
        <color rgb="FFD8ECF6"/>
      </font>
    </dxf>
    <dxf>
      <font>
        <color rgb="FFD8ECF6"/>
      </font>
    </dxf>
    <dxf>
      <font>
        <color rgb="FFD8ECF6"/>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ont>
        <color rgb="FFFFFF00"/>
      </font>
    </dxf>
    <dxf>
      <fill>
        <gradientFill degree="90">
          <stop position="0">
            <color theme="6" tint="0.80001220740379042"/>
          </stop>
          <stop position="1">
            <color theme="6" tint="0.40000610370189521"/>
          </stop>
        </gradientFill>
      </fill>
    </dxf>
    <dxf>
      <font>
        <color theme="0"/>
      </font>
    </dxf>
    <dxf>
      <font>
        <color rgb="FFFFFF00"/>
      </font>
    </dxf>
    <dxf>
      <font>
        <color rgb="FFFFFF00"/>
      </font>
    </dxf>
    <dxf>
      <font>
        <color rgb="FFFFFF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lag\Documents\Trabalhos\MPDFT\Or&#231;%20006_2020%20PJBSI%20-%20CO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file____R__DIPRO_NOR_or_C3_A7a"/>
      <sheetName val="Planilha Sintética"/>
      <sheetName val="Composição de BDI"/>
      <sheetName val="Composição de Encargos Sociais"/>
      <sheetName val="Cronograma"/>
    </sheetNames>
    <sheetDataSet>
      <sheetData sheetId="0" refreshError="1"/>
      <sheetData sheetId="1"/>
      <sheetData sheetId="2" refreshError="1"/>
      <sheetData sheetId="3"/>
      <sheetData sheetId="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E6A62-143E-4A09-A12A-CECC099E79BF}">
  <dimension ref="A1:B33"/>
  <sheetViews>
    <sheetView showGridLines="0" tabSelected="1" workbookViewId="0">
      <selection sqref="A1:B1"/>
    </sheetView>
  </sheetViews>
  <sheetFormatPr defaultRowHeight="14.25" x14ac:dyDescent="0.2"/>
  <cols>
    <col min="1" max="1" width="6" style="75" customWidth="1"/>
    <col min="2" max="2" width="73.75" style="75" customWidth="1"/>
    <col min="3" max="256" width="9" style="75"/>
    <col min="257" max="257" width="6" style="75" customWidth="1"/>
    <col min="258" max="258" width="73.75" style="75" customWidth="1"/>
    <col min="259" max="512" width="9" style="75"/>
    <col min="513" max="513" width="6" style="75" customWidth="1"/>
    <col min="514" max="514" width="73.75" style="75" customWidth="1"/>
    <col min="515" max="768" width="9" style="75"/>
    <col min="769" max="769" width="6" style="75" customWidth="1"/>
    <col min="770" max="770" width="73.75" style="75" customWidth="1"/>
    <col min="771" max="1024" width="9" style="75"/>
    <col min="1025" max="1025" width="6" style="75" customWidth="1"/>
    <col min="1026" max="1026" width="73.75" style="75" customWidth="1"/>
    <col min="1027" max="1280" width="9" style="75"/>
    <col min="1281" max="1281" width="6" style="75" customWidth="1"/>
    <col min="1282" max="1282" width="73.75" style="75" customWidth="1"/>
    <col min="1283" max="1536" width="9" style="75"/>
    <col min="1537" max="1537" width="6" style="75" customWidth="1"/>
    <col min="1538" max="1538" width="73.75" style="75" customWidth="1"/>
    <col min="1539" max="1792" width="9" style="75"/>
    <col min="1793" max="1793" width="6" style="75" customWidth="1"/>
    <col min="1794" max="1794" width="73.75" style="75" customWidth="1"/>
    <col min="1795" max="2048" width="9" style="75"/>
    <col min="2049" max="2049" width="6" style="75" customWidth="1"/>
    <col min="2050" max="2050" width="73.75" style="75" customWidth="1"/>
    <col min="2051" max="2304" width="9" style="75"/>
    <col min="2305" max="2305" width="6" style="75" customWidth="1"/>
    <col min="2306" max="2306" width="73.75" style="75" customWidth="1"/>
    <col min="2307" max="2560" width="9" style="75"/>
    <col min="2561" max="2561" width="6" style="75" customWidth="1"/>
    <col min="2562" max="2562" width="73.75" style="75" customWidth="1"/>
    <col min="2563" max="2816" width="9" style="75"/>
    <col min="2817" max="2817" width="6" style="75" customWidth="1"/>
    <col min="2818" max="2818" width="73.75" style="75" customWidth="1"/>
    <col min="2819" max="3072" width="9" style="75"/>
    <col min="3073" max="3073" width="6" style="75" customWidth="1"/>
    <col min="3074" max="3074" width="73.75" style="75" customWidth="1"/>
    <col min="3075" max="3328" width="9" style="75"/>
    <col min="3329" max="3329" width="6" style="75" customWidth="1"/>
    <col min="3330" max="3330" width="73.75" style="75" customWidth="1"/>
    <col min="3331" max="3584" width="9" style="75"/>
    <col min="3585" max="3585" width="6" style="75" customWidth="1"/>
    <col min="3586" max="3586" width="73.75" style="75" customWidth="1"/>
    <col min="3587" max="3840" width="9" style="75"/>
    <col min="3841" max="3841" width="6" style="75" customWidth="1"/>
    <col min="3842" max="3842" width="73.75" style="75" customWidth="1"/>
    <col min="3843" max="4096" width="9" style="75"/>
    <col min="4097" max="4097" width="6" style="75" customWidth="1"/>
    <col min="4098" max="4098" width="73.75" style="75" customWidth="1"/>
    <col min="4099" max="4352" width="9" style="75"/>
    <col min="4353" max="4353" width="6" style="75" customWidth="1"/>
    <col min="4354" max="4354" width="73.75" style="75" customWidth="1"/>
    <col min="4355" max="4608" width="9" style="75"/>
    <col min="4609" max="4609" width="6" style="75" customWidth="1"/>
    <col min="4610" max="4610" width="73.75" style="75" customWidth="1"/>
    <col min="4611" max="4864" width="9" style="75"/>
    <col min="4865" max="4865" width="6" style="75" customWidth="1"/>
    <col min="4866" max="4866" width="73.75" style="75" customWidth="1"/>
    <col min="4867" max="5120" width="9" style="75"/>
    <col min="5121" max="5121" width="6" style="75" customWidth="1"/>
    <col min="5122" max="5122" width="73.75" style="75" customWidth="1"/>
    <col min="5123" max="5376" width="9" style="75"/>
    <col min="5377" max="5377" width="6" style="75" customWidth="1"/>
    <col min="5378" max="5378" width="73.75" style="75" customWidth="1"/>
    <col min="5379" max="5632" width="9" style="75"/>
    <col min="5633" max="5633" width="6" style="75" customWidth="1"/>
    <col min="5634" max="5634" width="73.75" style="75" customWidth="1"/>
    <col min="5635" max="5888" width="9" style="75"/>
    <col min="5889" max="5889" width="6" style="75" customWidth="1"/>
    <col min="5890" max="5890" width="73.75" style="75" customWidth="1"/>
    <col min="5891" max="6144" width="9" style="75"/>
    <col min="6145" max="6145" width="6" style="75" customWidth="1"/>
    <col min="6146" max="6146" width="73.75" style="75" customWidth="1"/>
    <col min="6147" max="6400" width="9" style="75"/>
    <col min="6401" max="6401" width="6" style="75" customWidth="1"/>
    <col min="6402" max="6402" width="73.75" style="75" customWidth="1"/>
    <col min="6403" max="6656" width="9" style="75"/>
    <col min="6657" max="6657" width="6" style="75" customWidth="1"/>
    <col min="6658" max="6658" width="73.75" style="75" customWidth="1"/>
    <col min="6659" max="6912" width="9" style="75"/>
    <col min="6913" max="6913" width="6" style="75" customWidth="1"/>
    <col min="6914" max="6914" width="73.75" style="75" customWidth="1"/>
    <col min="6915" max="7168" width="9" style="75"/>
    <col min="7169" max="7169" width="6" style="75" customWidth="1"/>
    <col min="7170" max="7170" width="73.75" style="75" customWidth="1"/>
    <col min="7171" max="7424" width="9" style="75"/>
    <col min="7425" max="7425" width="6" style="75" customWidth="1"/>
    <col min="7426" max="7426" width="73.75" style="75" customWidth="1"/>
    <col min="7427" max="7680" width="9" style="75"/>
    <col min="7681" max="7681" width="6" style="75" customWidth="1"/>
    <col min="7682" max="7682" width="73.75" style="75" customWidth="1"/>
    <col min="7683" max="7936" width="9" style="75"/>
    <col min="7937" max="7937" width="6" style="75" customWidth="1"/>
    <col min="7938" max="7938" width="73.75" style="75" customWidth="1"/>
    <col min="7939" max="8192" width="9" style="75"/>
    <col min="8193" max="8193" width="6" style="75" customWidth="1"/>
    <col min="8194" max="8194" width="73.75" style="75" customWidth="1"/>
    <col min="8195" max="8448" width="9" style="75"/>
    <col min="8449" max="8449" width="6" style="75" customWidth="1"/>
    <col min="8450" max="8450" width="73.75" style="75" customWidth="1"/>
    <col min="8451" max="8704" width="9" style="75"/>
    <col min="8705" max="8705" width="6" style="75" customWidth="1"/>
    <col min="8706" max="8706" width="73.75" style="75" customWidth="1"/>
    <col min="8707" max="8960" width="9" style="75"/>
    <col min="8961" max="8961" width="6" style="75" customWidth="1"/>
    <col min="8962" max="8962" width="73.75" style="75" customWidth="1"/>
    <col min="8963" max="9216" width="9" style="75"/>
    <col min="9217" max="9217" width="6" style="75" customWidth="1"/>
    <col min="9218" max="9218" width="73.75" style="75" customWidth="1"/>
    <col min="9219" max="9472" width="9" style="75"/>
    <col min="9473" max="9473" width="6" style="75" customWidth="1"/>
    <col min="9474" max="9474" width="73.75" style="75" customWidth="1"/>
    <col min="9475" max="9728" width="9" style="75"/>
    <col min="9729" max="9729" width="6" style="75" customWidth="1"/>
    <col min="9730" max="9730" width="73.75" style="75" customWidth="1"/>
    <col min="9731" max="9984" width="9" style="75"/>
    <col min="9985" max="9985" width="6" style="75" customWidth="1"/>
    <col min="9986" max="9986" width="73.75" style="75" customWidth="1"/>
    <col min="9987" max="10240" width="9" style="75"/>
    <col min="10241" max="10241" width="6" style="75" customWidth="1"/>
    <col min="10242" max="10242" width="73.75" style="75" customWidth="1"/>
    <col min="10243" max="10496" width="9" style="75"/>
    <col min="10497" max="10497" width="6" style="75" customWidth="1"/>
    <col min="10498" max="10498" width="73.75" style="75" customWidth="1"/>
    <col min="10499" max="10752" width="9" style="75"/>
    <col min="10753" max="10753" width="6" style="75" customWidth="1"/>
    <col min="10754" max="10754" width="73.75" style="75" customWidth="1"/>
    <col min="10755" max="11008" width="9" style="75"/>
    <col min="11009" max="11009" width="6" style="75" customWidth="1"/>
    <col min="11010" max="11010" width="73.75" style="75" customWidth="1"/>
    <col min="11011" max="11264" width="9" style="75"/>
    <col min="11265" max="11265" width="6" style="75" customWidth="1"/>
    <col min="11266" max="11266" width="73.75" style="75" customWidth="1"/>
    <col min="11267" max="11520" width="9" style="75"/>
    <col min="11521" max="11521" width="6" style="75" customWidth="1"/>
    <col min="11522" max="11522" width="73.75" style="75" customWidth="1"/>
    <col min="11523" max="11776" width="9" style="75"/>
    <col min="11777" max="11777" width="6" style="75" customWidth="1"/>
    <col min="11778" max="11778" width="73.75" style="75" customWidth="1"/>
    <col min="11779" max="12032" width="9" style="75"/>
    <col min="12033" max="12033" width="6" style="75" customWidth="1"/>
    <col min="12034" max="12034" width="73.75" style="75" customWidth="1"/>
    <col min="12035" max="12288" width="9" style="75"/>
    <col min="12289" max="12289" width="6" style="75" customWidth="1"/>
    <col min="12290" max="12290" width="73.75" style="75" customWidth="1"/>
    <col min="12291" max="12544" width="9" style="75"/>
    <col min="12545" max="12545" width="6" style="75" customWidth="1"/>
    <col min="12546" max="12546" width="73.75" style="75" customWidth="1"/>
    <col min="12547" max="12800" width="9" style="75"/>
    <col min="12801" max="12801" width="6" style="75" customWidth="1"/>
    <col min="12802" max="12802" width="73.75" style="75" customWidth="1"/>
    <col min="12803" max="13056" width="9" style="75"/>
    <col min="13057" max="13057" width="6" style="75" customWidth="1"/>
    <col min="13058" max="13058" width="73.75" style="75" customWidth="1"/>
    <col min="13059" max="13312" width="9" style="75"/>
    <col min="13313" max="13313" width="6" style="75" customWidth="1"/>
    <col min="13314" max="13314" width="73.75" style="75" customWidth="1"/>
    <col min="13315" max="13568" width="9" style="75"/>
    <col min="13569" max="13569" width="6" style="75" customWidth="1"/>
    <col min="13570" max="13570" width="73.75" style="75" customWidth="1"/>
    <col min="13571" max="13824" width="9" style="75"/>
    <col min="13825" max="13825" width="6" style="75" customWidth="1"/>
    <col min="13826" max="13826" width="73.75" style="75" customWidth="1"/>
    <col min="13827" max="14080" width="9" style="75"/>
    <col min="14081" max="14081" width="6" style="75" customWidth="1"/>
    <col min="14082" max="14082" width="73.75" style="75" customWidth="1"/>
    <col min="14083" max="14336" width="9" style="75"/>
    <col min="14337" max="14337" width="6" style="75" customWidth="1"/>
    <col min="14338" max="14338" width="73.75" style="75" customWidth="1"/>
    <col min="14339" max="14592" width="9" style="75"/>
    <col min="14593" max="14593" width="6" style="75" customWidth="1"/>
    <col min="14594" max="14594" width="73.75" style="75" customWidth="1"/>
    <col min="14595" max="14848" width="9" style="75"/>
    <col min="14849" max="14849" width="6" style="75" customWidth="1"/>
    <col min="14850" max="14850" width="73.75" style="75" customWidth="1"/>
    <col min="14851" max="15104" width="9" style="75"/>
    <col min="15105" max="15105" width="6" style="75" customWidth="1"/>
    <col min="15106" max="15106" width="73.75" style="75" customWidth="1"/>
    <col min="15107" max="15360" width="9" style="75"/>
    <col min="15361" max="15361" width="6" style="75" customWidth="1"/>
    <col min="15362" max="15362" width="73.75" style="75" customWidth="1"/>
    <col min="15363" max="15616" width="9" style="75"/>
    <col min="15617" max="15617" width="6" style="75" customWidth="1"/>
    <col min="15618" max="15618" width="73.75" style="75" customWidth="1"/>
    <col min="15619" max="15872" width="9" style="75"/>
    <col min="15873" max="15873" width="6" style="75" customWidth="1"/>
    <col min="15874" max="15874" width="73.75" style="75" customWidth="1"/>
    <col min="15875" max="16128" width="9" style="75"/>
    <col min="16129" max="16129" width="6" style="75" customWidth="1"/>
    <col min="16130" max="16130" width="73.75" style="75" customWidth="1"/>
    <col min="16131" max="16384" width="9" style="75"/>
  </cols>
  <sheetData>
    <row r="1" spans="1:2" x14ac:dyDescent="0.2">
      <c r="A1" s="151" t="s">
        <v>474</v>
      </c>
      <c r="B1" s="152"/>
    </row>
    <row r="2" spans="1:2" x14ac:dyDescent="0.2">
      <c r="A2" s="77"/>
      <c r="B2" s="78"/>
    </row>
    <row r="3" spans="1:2" x14ac:dyDescent="0.2">
      <c r="A3" s="79"/>
      <c r="B3" s="80" t="s">
        <v>475</v>
      </c>
    </row>
    <row r="4" spans="1:2" ht="33.75" x14ac:dyDescent="0.2">
      <c r="A4" s="81">
        <v>1</v>
      </c>
      <c r="B4" s="82" t="s">
        <v>476</v>
      </c>
    </row>
    <row r="5" spans="1:2" x14ac:dyDescent="0.2">
      <c r="A5" s="81">
        <v>2</v>
      </c>
      <c r="B5" s="82" t="s">
        <v>477</v>
      </c>
    </row>
    <row r="6" spans="1:2" ht="22.5" x14ac:dyDescent="0.2">
      <c r="A6" s="81" t="s">
        <v>478</v>
      </c>
      <c r="B6" s="82" t="s">
        <v>515</v>
      </c>
    </row>
    <row r="7" spans="1:2" x14ac:dyDescent="0.2">
      <c r="A7" s="81" t="s">
        <v>479</v>
      </c>
      <c r="B7" s="82" t="s">
        <v>480</v>
      </c>
    </row>
    <row r="8" spans="1:2" ht="22.5" x14ac:dyDescent="0.2">
      <c r="A8" s="81" t="s">
        <v>481</v>
      </c>
      <c r="B8" s="82" t="s">
        <v>482</v>
      </c>
    </row>
    <row r="9" spans="1:2" x14ac:dyDescent="0.2">
      <c r="A9" s="81" t="s">
        <v>483</v>
      </c>
      <c r="B9" s="82" t="s">
        <v>535</v>
      </c>
    </row>
    <row r="10" spans="1:2" ht="22.5" x14ac:dyDescent="0.2">
      <c r="A10" s="83" t="s">
        <v>484</v>
      </c>
      <c r="B10" s="84" t="s">
        <v>485</v>
      </c>
    </row>
    <row r="11" spans="1:2" x14ac:dyDescent="0.2">
      <c r="A11" s="85"/>
      <c r="B11" s="86"/>
    </row>
    <row r="12" spans="1:2" x14ac:dyDescent="0.2">
      <c r="A12" s="79" t="s">
        <v>410</v>
      </c>
      <c r="B12" s="80" t="s">
        <v>486</v>
      </c>
    </row>
    <row r="13" spans="1:2" ht="22.5" x14ac:dyDescent="0.2">
      <c r="A13" s="81" t="s">
        <v>371</v>
      </c>
      <c r="B13" s="82" t="s">
        <v>487</v>
      </c>
    </row>
    <row r="14" spans="1:2" ht="22.5" x14ac:dyDescent="0.2">
      <c r="A14" s="81" t="s">
        <v>394</v>
      </c>
      <c r="B14" s="82" t="s">
        <v>488</v>
      </c>
    </row>
    <row r="15" spans="1:2" x14ac:dyDescent="0.2">
      <c r="A15" s="87" t="s">
        <v>432</v>
      </c>
      <c r="B15" s="88" t="s">
        <v>489</v>
      </c>
    </row>
    <row r="16" spans="1:2" x14ac:dyDescent="0.2">
      <c r="A16" s="81" t="s">
        <v>385</v>
      </c>
      <c r="B16" s="82" t="s">
        <v>490</v>
      </c>
    </row>
    <row r="17" spans="1:2" ht="22.5" x14ac:dyDescent="0.2">
      <c r="A17" s="81" t="s">
        <v>414</v>
      </c>
      <c r="B17" s="82" t="s">
        <v>491</v>
      </c>
    </row>
    <row r="18" spans="1:2" ht="22.5" x14ac:dyDescent="0.2">
      <c r="A18" s="81" t="s">
        <v>416</v>
      </c>
      <c r="B18" s="82" t="s">
        <v>492</v>
      </c>
    </row>
    <row r="19" spans="1:2" x14ac:dyDescent="0.2">
      <c r="A19" s="87" t="s">
        <v>445</v>
      </c>
      <c r="B19" s="88" t="s">
        <v>493</v>
      </c>
    </row>
    <row r="20" spans="1:2" x14ac:dyDescent="0.2">
      <c r="A20" s="81" t="s">
        <v>435</v>
      </c>
      <c r="B20" s="82" t="s">
        <v>494</v>
      </c>
    </row>
    <row r="21" spans="1:2" ht="22.5" x14ac:dyDescent="0.2">
      <c r="A21" s="81" t="s">
        <v>437</v>
      </c>
      <c r="B21" s="82" t="s">
        <v>516</v>
      </c>
    </row>
    <row r="22" spans="1:2" ht="22.5" x14ac:dyDescent="0.2">
      <c r="A22" s="81" t="s">
        <v>439</v>
      </c>
      <c r="B22" s="82" t="s">
        <v>495</v>
      </c>
    </row>
    <row r="23" spans="1:2" ht="22.5" x14ac:dyDescent="0.2">
      <c r="A23" s="81" t="s">
        <v>441</v>
      </c>
      <c r="B23" s="82" t="s">
        <v>496</v>
      </c>
    </row>
    <row r="24" spans="1:2" x14ac:dyDescent="0.2">
      <c r="A24" s="87" t="s">
        <v>497</v>
      </c>
      <c r="B24" s="88" t="s">
        <v>498</v>
      </c>
    </row>
    <row r="25" spans="1:2" ht="33.75" x14ac:dyDescent="0.2">
      <c r="A25" s="81" t="s">
        <v>447</v>
      </c>
      <c r="B25" s="82" t="s">
        <v>499</v>
      </c>
    </row>
    <row r="26" spans="1:2" ht="22.5" x14ac:dyDescent="0.2">
      <c r="A26" s="81" t="s">
        <v>449</v>
      </c>
      <c r="B26" s="82" t="s">
        <v>500</v>
      </c>
    </row>
    <row r="27" spans="1:2" x14ac:dyDescent="0.2">
      <c r="A27" s="81" t="s">
        <v>501</v>
      </c>
      <c r="B27" s="82" t="s">
        <v>502</v>
      </c>
    </row>
    <row r="28" spans="1:2" x14ac:dyDescent="0.2">
      <c r="A28" s="87" t="s">
        <v>503</v>
      </c>
      <c r="B28" s="88" t="s">
        <v>504</v>
      </c>
    </row>
    <row r="29" spans="1:2" x14ac:dyDescent="0.2">
      <c r="A29" s="81" t="s">
        <v>505</v>
      </c>
      <c r="B29" s="82" t="s">
        <v>506</v>
      </c>
    </row>
    <row r="30" spans="1:2" x14ac:dyDescent="0.2">
      <c r="A30" s="89" t="s">
        <v>507</v>
      </c>
      <c r="B30" s="90" t="s">
        <v>508</v>
      </c>
    </row>
    <row r="31" spans="1:2" x14ac:dyDescent="0.2">
      <c r="A31" s="91" t="s">
        <v>509</v>
      </c>
      <c r="B31" s="92" t="s">
        <v>510</v>
      </c>
    </row>
    <row r="32" spans="1:2" ht="22.5" x14ac:dyDescent="0.2">
      <c r="A32" s="91" t="s">
        <v>511</v>
      </c>
      <c r="B32" s="92" t="s">
        <v>512</v>
      </c>
    </row>
    <row r="33" spans="1:2" ht="22.5" x14ac:dyDescent="0.2">
      <c r="A33" s="93" t="s">
        <v>513</v>
      </c>
      <c r="B33" s="94" t="s">
        <v>514</v>
      </c>
    </row>
  </sheetData>
  <mergeCells count="1">
    <mergeCell ref="A1:B1"/>
  </mergeCells>
  <printOptions horizontalCentered="1"/>
  <pageMargins left="0.59055118110236227" right="0.59055118110236227" top="0.59055118110236227" bottom="0.59055118110236227" header="0.19685039370078741" footer="0.19685039370078741"/>
  <pageSetup paperSize="9" orientation="portrait" r:id="rId1"/>
  <headerFooter alignWithMargins="0">
    <oddHeader>&amp;C&amp;"Arial,Negrito"&amp;20ESTA PLANILHA NÃO PRECISA SER IMPRESSA</oddHeader>
    <oddFooter>&amp;C&amp;"Arial,Negrito"&amp;20ESTA PLANILHA NÃO PRECISA SER IMPRESSA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6B000-E410-4561-B614-E7B3DA04EE8A}">
  <sheetPr>
    <pageSetUpPr fitToPage="1"/>
  </sheetPr>
  <dimension ref="A1:D19"/>
  <sheetViews>
    <sheetView showGridLines="0" showOutlineSymbols="0" showWhiteSpace="0" zoomScaleNormal="100" workbookViewId="0"/>
  </sheetViews>
  <sheetFormatPr defaultRowHeight="14.25" x14ac:dyDescent="0.2"/>
  <cols>
    <col min="1" max="1" width="10" bestFit="1" customWidth="1"/>
    <col min="2" max="2" width="60" bestFit="1" customWidth="1"/>
    <col min="3" max="3" width="10" bestFit="1" customWidth="1"/>
    <col min="4" max="4" width="18.125" bestFit="1" customWidth="1"/>
  </cols>
  <sheetData>
    <row r="1" spans="1:4" s="129" customFormat="1" ht="14.25" customHeight="1" x14ac:dyDescent="0.2">
      <c r="A1" s="126" t="str">
        <f>'Orçamento Sintético'!A1</f>
        <v>P. Execução:</v>
      </c>
      <c r="B1" s="127" t="str">
        <f>'Orçamento Sintético'!D1</f>
        <v>Objeto: Adequações Sala de Situação</v>
      </c>
      <c r="C1" s="128" t="str">
        <f>'Orçamento Sintético'!C1</f>
        <v>Licitação:</v>
      </c>
      <c r="D1" s="155"/>
    </row>
    <row r="2" spans="1:4" s="129" customFormat="1" ht="14.25" customHeight="1" x14ac:dyDescent="0.2">
      <c r="A2" s="99" t="str">
        <f>'Orçamento Sintético'!A2</f>
        <v>A</v>
      </c>
      <c r="B2" s="130" t="str">
        <f>'Orçamento Sintético'!D2</f>
        <v>Local: Praça do Buriti Bloco A, Lote 2 - Zona Cívico-Administrativa - Brasília / DF</v>
      </c>
      <c r="C2" s="131" t="str">
        <f>'Orçamento Sintético'!C2</f>
        <v>B</v>
      </c>
      <c r="D2" s="156"/>
    </row>
    <row r="3" spans="1:4" s="129" customFormat="1" x14ac:dyDescent="0.2">
      <c r="A3" s="132" t="str">
        <f>'Orçamento Sintético'!A3</f>
        <v>P. Validade:</v>
      </c>
      <c r="B3" s="132" t="str">
        <f>'Orçamento Sintético'!C3</f>
        <v>Razão Social:</v>
      </c>
      <c r="C3" s="126" t="str">
        <f>'Orçamento Sintético'!E1</f>
        <v>Data:</v>
      </c>
      <c r="D3" s="156"/>
    </row>
    <row r="4" spans="1:4" s="129" customFormat="1" x14ac:dyDescent="0.2">
      <c r="A4" s="99" t="str">
        <f>'Orçamento Sintético'!A4</f>
        <v>C</v>
      </c>
      <c r="B4" s="99" t="str">
        <f>'Orçamento Sintético'!C4</f>
        <v>D</v>
      </c>
      <c r="C4" s="100">
        <f>'Orçamento Sintético'!E2</f>
        <v>1</v>
      </c>
      <c r="D4" s="156"/>
    </row>
    <row r="5" spans="1:4" s="129" customFormat="1" x14ac:dyDescent="0.2">
      <c r="A5" s="126" t="str">
        <f>'Orçamento Sintético'!A5</f>
        <v>P. Garantia:</v>
      </c>
      <c r="B5" s="132" t="str">
        <f>'Orçamento Sintético'!C5</f>
        <v>CNPJ:</v>
      </c>
      <c r="C5" s="126" t="str">
        <f>'Orçamento Sintético'!E3</f>
        <v>Telefone:</v>
      </c>
      <c r="D5" s="156"/>
    </row>
    <row r="6" spans="1:4" s="129" customFormat="1" x14ac:dyDescent="0.2">
      <c r="A6" s="99" t="str">
        <f>'Orçamento Sintético'!A6</f>
        <v>F</v>
      </c>
      <c r="B6" s="99" t="str">
        <f>'Orçamento Sintético'!C6</f>
        <v>G</v>
      </c>
      <c r="C6" s="100" t="str">
        <f>'Orçamento Sintético'!E4</f>
        <v>E</v>
      </c>
      <c r="D6" s="157"/>
    </row>
    <row r="7" spans="1:4" ht="15" x14ac:dyDescent="0.25">
      <c r="A7" s="153" t="s">
        <v>254</v>
      </c>
      <c r="B7" s="154"/>
      <c r="C7" s="154"/>
      <c r="D7" s="154"/>
    </row>
    <row r="8" spans="1:4" ht="30" customHeight="1" x14ac:dyDescent="0.2">
      <c r="A8" s="74" t="s">
        <v>1</v>
      </c>
      <c r="B8" s="74" t="s">
        <v>4</v>
      </c>
      <c r="C8" s="3" t="s">
        <v>8</v>
      </c>
      <c r="D8" s="3" t="s">
        <v>253</v>
      </c>
    </row>
    <row r="9" spans="1:4" ht="24" customHeight="1" x14ac:dyDescent="0.2">
      <c r="A9" s="73" t="s">
        <v>9</v>
      </c>
      <c r="B9" s="73" t="str">
        <f>VLOOKUP(A9,'Orçamento Sintético'!$A:$H,4,0)</f>
        <v>SERVIÇOS TÉCNICOS-PROFISSIONAIS</v>
      </c>
      <c r="C9" s="24">
        <f>VLOOKUP(A9,'Orçamento Sintético'!$A:$H,8,0)</f>
        <v>233.94</v>
      </c>
      <c r="D9" s="25">
        <f>ROUND(C9/$D$17,4)</f>
        <v>2E-3</v>
      </c>
    </row>
    <row r="10" spans="1:4" ht="24" customHeight="1" x14ac:dyDescent="0.2">
      <c r="A10" s="73" t="s">
        <v>18</v>
      </c>
      <c r="B10" s="73" t="str">
        <f>VLOOKUP(A10,'Orçamento Sintético'!$A:$H,4,0)</f>
        <v>SERVIÇOS PRELIMINARES</v>
      </c>
      <c r="C10" s="24">
        <f>VLOOKUP(A10,'Orçamento Sintético'!$A:$H,8,0)</f>
        <v>579.99</v>
      </c>
      <c r="D10" s="25">
        <f t="shared" ref="D10:D15" si="0">ROUND(C10/$D$17,4)</f>
        <v>4.8999999999999998E-3</v>
      </c>
    </row>
    <row r="11" spans="1:4" ht="24" customHeight="1" x14ac:dyDescent="0.2">
      <c r="A11" s="73" t="s">
        <v>41</v>
      </c>
      <c r="B11" s="73" t="str">
        <f>VLOOKUP(A11,'Orçamento Sintético'!$A:$H,4,0)</f>
        <v>ARQUITETURA E ELEMENTOS DE URBANISMO</v>
      </c>
      <c r="C11" s="24">
        <f>VLOOKUP(A11,'Orçamento Sintético'!$A:$H,8,0)</f>
        <v>26526.670000000002</v>
      </c>
      <c r="D11" s="25">
        <f t="shared" si="0"/>
        <v>0.2263</v>
      </c>
    </row>
    <row r="12" spans="1:4" ht="24" customHeight="1" x14ac:dyDescent="0.2">
      <c r="A12" s="73" t="s">
        <v>90</v>
      </c>
      <c r="B12" s="73" t="str">
        <f>VLOOKUP(A12,'Orçamento Sintético'!$A:$H,4,0)</f>
        <v>INSTALAÇÕES ELÉTRICAS E ELETRÔNICAS</v>
      </c>
      <c r="C12" s="24">
        <f>VLOOKUP(A12,'Orçamento Sintético'!$A:$H,8,0)</f>
        <v>25645.72</v>
      </c>
      <c r="D12" s="25">
        <f t="shared" si="0"/>
        <v>0.21879999999999999</v>
      </c>
    </row>
    <row r="13" spans="1:4" ht="24" customHeight="1" x14ac:dyDescent="0.2">
      <c r="A13" s="73" t="s">
        <v>152</v>
      </c>
      <c r="B13" s="73" t="str">
        <f>VLOOKUP(A13,'Orçamento Sintético'!$A:$H,4,0)</f>
        <v>INSTALAÇÕES MECÂNICAS E DE UTILIDADES</v>
      </c>
      <c r="C13" s="24">
        <f>VLOOKUP(A13,'Orçamento Sintético'!$A:$H,8,0)</f>
        <v>46305.729999999996</v>
      </c>
      <c r="D13" s="25">
        <f t="shared" si="0"/>
        <v>0.39500000000000002</v>
      </c>
    </row>
    <row r="14" spans="1:4" ht="24" customHeight="1" x14ac:dyDescent="0.2">
      <c r="A14" s="73" t="s">
        <v>210</v>
      </c>
      <c r="B14" s="73" t="str">
        <f>VLOOKUP(A14,'Orçamento Sintético'!$A:$H,4,0)</f>
        <v>SERVIÇOS COMPLEMENTARES</v>
      </c>
      <c r="C14" s="24">
        <f>VLOOKUP(A14,'Orçamento Sintético'!$A:$H,8,0)</f>
        <v>3299.01</v>
      </c>
      <c r="D14" s="25">
        <f t="shared" si="0"/>
        <v>2.81E-2</v>
      </c>
    </row>
    <row r="15" spans="1:4" ht="24" customHeight="1" x14ac:dyDescent="0.2">
      <c r="A15" s="73" t="s">
        <v>238</v>
      </c>
      <c r="B15" s="73" t="str">
        <f>VLOOKUP(A15,'Orçamento Sintético'!$A:$H,4,0)</f>
        <v>SERVIÇOS AUXILIARES E ADMINISTRATIVOS</v>
      </c>
      <c r="C15" s="24">
        <f>VLOOKUP(A15,'Orçamento Sintético'!$A:$H,8,0)</f>
        <v>14641.74</v>
      </c>
      <c r="D15" s="25">
        <f t="shared" si="0"/>
        <v>0.1249</v>
      </c>
    </row>
    <row r="16" spans="1:4" x14ac:dyDescent="0.2">
      <c r="A16" s="22"/>
      <c r="B16" s="22"/>
      <c r="C16" s="22"/>
      <c r="D16" s="22"/>
    </row>
    <row r="17" spans="1:4" ht="14.25" customHeight="1" x14ac:dyDescent="0.2">
      <c r="A17" s="95"/>
      <c r="B17" s="96" t="s">
        <v>247</v>
      </c>
      <c r="C17" s="97"/>
      <c r="D17" s="97">
        <f>SUM(C9:C15)</f>
        <v>117232.8</v>
      </c>
    </row>
    <row r="18" spans="1:4" ht="14.25" customHeight="1" x14ac:dyDescent="0.2">
      <c r="A18" s="95"/>
      <c r="B18" s="96" t="s">
        <v>248</v>
      </c>
      <c r="C18" s="98" t="str">
        <f>"("&amp;'Composição de BDI'!D24*100&amp;"%)"</f>
        <v>(22,12%)</v>
      </c>
      <c r="D18" s="97">
        <f>TRUNC(D17*'Composição de BDI'!D24,2)</f>
        <v>25931.89</v>
      </c>
    </row>
    <row r="19" spans="1:4" x14ac:dyDescent="0.2">
      <c r="A19" s="95"/>
      <c r="B19" s="96" t="s">
        <v>249</v>
      </c>
      <c r="C19" s="97"/>
      <c r="D19" s="97">
        <f>SUM(D17:D18)</f>
        <v>143164.69</v>
      </c>
    </row>
  </sheetData>
  <mergeCells count="2">
    <mergeCell ref="A7:D7"/>
    <mergeCell ref="D1:D6"/>
  </mergeCells>
  <printOptions horizontalCentered="1"/>
  <pageMargins left="0.59055118110236227" right="0.59055118110236227" top="0.59055118110236227" bottom="0.59055118110236227" header="0.19685039370078741" footer="0.19685039370078741"/>
  <pageSetup paperSize="9" fitToHeight="0" orientation="landscape" r:id="rId1"/>
  <headerFooter>
    <oddHeader>&amp;L &amp;C &amp;R</oddHeader>
    <oddFooter>&amp;L &amp;C &amp;R</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9"/>
  <sheetViews>
    <sheetView showGridLines="0" showOutlineSymbols="0" showWhiteSpace="0" workbookViewId="0">
      <pane xSplit="8" ySplit="8" topLeftCell="I9" activePane="bottomRight" state="frozen"/>
      <selection sqref="A1:B1"/>
      <selection pane="topRight" sqref="A1:B1"/>
      <selection pane="bottomLeft" sqref="A1:B1"/>
      <selection pane="bottomRight" activeCell="I9" sqref="I9"/>
    </sheetView>
  </sheetViews>
  <sheetFormatPr defaultRowHeight="14.25" x14ac:dyDescent="0.2"/>
  <cols>
    <col min="1" max="1" width="10" customWidth="1"/>
    <col min="2" max="2" width="12" customWidth="1"/>
    <col min="3" max="3" width="10" customWidth="1"/>
    <col min="4" max="4" width="60" bestFit="1" customWidth="1"/>
    <col min="5" max="5" width="8" bestFit="1" customWidth="1"/>
    <col min="6" max="6" width="11.625" customWidth="1"/>
    <col min="7" max="8" width="12.625" customWidth="1"/>
    <col min="9" max="9" width="13" bestFit="1" customWidth="1"/>
  </cols>
  <sheetData>
    <row r="1" spans="1:8" s="129" customFormat="1" x14ac:dyDescent="0.2">
      <c r="A1" s="126" t="s">
        <v>517</v>
      </c>
      <c r="B1" s="141"/>
      <c r="C1" s="128" t="s">
        <v>518</v>
      </c>
      <c r="D1" s="127" t="s">
        <v>527</v>
      </c>
      <c r="E1" s="126" t="s">
        <v>250</v>
      </c>
      <c r="F1" s="147"/>
      <c r="G1" s="159"/>
      <c r="H1" s="160"/>
    </row>
    <row r="2" spans="1:8" s="129" customFormat="1" x14ac:dyDescent="0.2">
      <c r="A2" s="165" t="s">
        <v>410</v>
      </c>
      <c r="B2" s="166"/>
      <c r="C2" s="131" t="s">
        <v>432</v>
      </c>
      <c r="D2" s="130" t="s">
        <v>519</v>
      </c>
      <c r="E2" s="172">
        <v>1</v>
      </c>
      <c r="F2" s="173"/>
      <c r="G2" s="174"/>
      <c r="H2" s="175"/>
    </row>
    <row r="3" spans="1:8" s="129" customFormat="1" x14ac:dyDescent="0.2">
      <c r="A3" s="161" t="s">
        <v>520</v>
      </c>
      <c r="B3" s="162"/>
      <c r="C3" s="161" t="s">
        <v>521</v>
      </c>
      <c r="D3" s="162"/>
      <c r="E3" s="126" t="s">
        <v>522</v>
      </c>
      <c r="F3" s="142"/>
      <c r="G3" s="144"/>
      <c r="H3" s="145"/>
    </row>
    <row r="4" spans="1:8" s="129" customFormat="1" x14ac:dyDescent="0.2">
      <c r="A4" s="165" t="s">
        <v>445</v>
      </c>
      <c r="B4" s="166"/>
      <c r="C4" s="165" t="s">
        <v>497</v>
      </c>
      <c r="D4" s="166"/>
      <c r="E4" s="165" t="s">
        <v>503</v>
      </c>
      <c r="F4" s="171"/>
      <c r="G4" s="174"/>
      <c r="H4" s="175"/>
    </row>
    <row r="5" spans="1:8" s="129" customFormat="1" x14ac:dyDescent="0.2">
      <c r="A5" s="148" t="s">
        <v>523</v>
      </c>
      <c r="B5" s="149"/>
      <c r="C5" s="126" t="s">
        <v>524</v>
      </c>
      <c r="D5" s="141"/>
      <c r="E5" s="126" t="s">
        <v>525</v>
      </c>
      <c r="F5" s="142"/>
      <c r="G5" s="144"/>
      <c r="H5" s="145"/>
    </row>
    <row r="6" spans="1:8" s="129" customFormat="1" x14ac:dyDescent="0.2">
      <c r="A6" s="163" t="s">
        <v>507</v>
      </c>
      <c r="B6" s="164"/>
      <c r="C6" s="165" t="s">
        <v>526</v>
      </c>
      <c r="D6" s="166"/>
      <c r="E6" s="165" t="s">
        <v>217</v>
      </c>
      <c r="F6" s="171"/>
      <c r="G6" s="163"/>
      <c r="H6" s="164"/>
    </row>
    <row r="7" spans="1:8" s="75" customFormat="1" ht="15" x14ac:dyDescent="0.25">
      <c r="A7" s="153" t="s">
        <v>0</v>
      </c>
      <c r="B7" s="154"/>
      <c r="C7" s="154"/>
      <c r="D7" s="154"/>
      <c r="E7" s="154"/>
      <c r="F7" s="154"/>
      <c r="G7" s="154"/>
      <c r="H7" s="154"/>
    </row>
    <row r="8" spans="1:8" x14ac:dyDescent="0.2">
      <c r="A8" s="3" t="s">
        <v>1</v>
      </c>
      <c r="B8" s="3" t="s">
        <v>2</v>
      </c>
      <c r="C8" s="3" t="s">
        <v>3</v>
      </c>
      <c r="D8" s="3" t="s">
        <v>4</v>
      </c>
      <c r="E8" s="3" t="s">
        <v>5</v>
      </c>
      <c r="F8" s="4" t="s">
        <v>6</v>
      </c>
      <c r="G8" s="3" t="s">
        <v>7</v>
      </c>
      <c r="H8" s="3" t="s">
        <v>8</v>
      </c>
    </row>
    <row r="9" spans="1:8" x14ac:dyDescent="0.2">
      <c r="A9" s="5" t="s">
        <v>9</v>
      </c>
      <c r="B9" s="5"/>
      <c r="C9" s="5"/>
      <c r="D9" s="5" t="s">
        <v>10</v>
      </c>
      <c r="E9" s="5"/>
      <c r="F9" s="6"/>
      <c r="G9" s="5"/>
      <c r="H9" s="6">
        <f>H10</f>
        <v>233.94</v>
      </c>
    </row>
    <row r="10" spans="1:8" x14ac:dyDescent="0.2">
      <c r="A10" s="7" t="s">
        <v>11</v>
      </c>
      <c r="B10" s="7"/>
      <c r="C10" s="7"/>
      <c r="D10" s="7" t="s">
        <v>12</v>
      </c>
      <c r="E10" s="7"/>
      <c r="F10" s="8"/>
      <c r="G10" s="7"/>
      <c r="H10" s="9">
        <f>H11</f>
        <v>233.94</v>
      </c>
    </row>
    <row r="11" spans="1:8" x14ac:dyDescent="0.2">
      <c r="A11" s="10" t="s">
        <v>13</v>
      </c>
      <c r="B11" s="11" t="s">
        <v>14</v>
      </c>
      <c r="C11" s="11" t="s">
        <v>15</v>
      </c>
      <c r="D11" s="10" t="s">
        <v>16</v>
      </c>
      <c r="E11" s="11" t="s">
        <v>17</v>
      </c>
      <c r="F11" s="12">
        <v>1</v>
      </c>
      <c r="G11" s="13">
        <f>VLOOKUP(A11,'Orçamento Analítico'!$A:$H,8,0)</f>
        <v>233.94</v>
      </c>
      <c r="H11" s="13">
        <f>TRUNC(F11 * G11, 2)</f>
        <v>233.94</v>
      </c>
    </row>
    <row r="12" spans="1:8" x14ac:dyDescent="0.2">
      <c r="A12" s="5" t="s">
        <v>18</v>
      </c>
      <c r="B12" s="5"/>
      <c r="C12" s="5"/>
      <c r="D12" s="5" t="s">
        <v>19</v>
      </c>
      <c r="E12" s="5"/>
      <c r="F12" s="6"/>
      <c r="G12" s="5"/>
      <c r="H12" s="6">
        <f>H13</f>
        <v>579.99</v>
      </c>
    </row>
    <row r="13" spans="1:8" x14ac:dyDescent="0.2">
      <c r="A13" s="7" t="s">
        <v>20</v>
      </c>
      <c r="B13" s="7"/>
      <c r="C13" s="7"/>
      <c r="D13" s="7" t="s">
        <v>21</v>
      </c>
      <c r="E13" s="7"/>
      <c r="F13" s="8"/>
      <c r="G13" s="7"/>
      <c r="H13" s="9">
        <f>H14</f>
        <v>579.99</v>
      </c>
    </row>
    <row r="14" spans="1:8" x14ac:dyDescent="0.2">
      <c r="A14" s="14" t="s">
        <v>22</v>
      </c>
      <c r="B14" s="14"/>
      <c r="C14" s="14"/>
      <c r="D14" s="14" t="s">
        <v>23</v>
      </c>
      <c r="E14" s="14"/>
      <c r="F14" s="15"/>
      <c r="G14" s="14"/>
      <c r="H14" s="16">
        <f>SUM(H15:H18)</f>
        <v>579.99</v>
      </c>
    </row>
    <row r="15" spans="1:8" ht="22.5" x14ac:dyDescent="0.2">
      <c r="A15" s="10" t="s">
        <v>24</v>
      </c>
      <c r="B15" s="11" t="s">
        <v>25</v>
      </c>
      <c r="C15" s="11" t="str">
        <f>VLOOKUP(B15,'Insumos e Serviços'!$A:$F,2,0)</f>
        <v>SINAPI</v>
      </c>
      <c r="D15" s="10" t="str">
        <f>VLOOKUP(B15,'Insumos e Serviços'!$A:$F,4,0)</f>
        <v>REMOÇÃO DE FORRO DE GESSO, DE FORMA MANUAL, SEM REAPROVEITAMENTO. AF_12/2017</v>
      </c>
      <c r="E15" s="11" t="str">
        <f>VLOOKUP(B15,'Insumos e Serviços'!$A:$F,5,0)</f>
        <v>m²</v>
      </c>
      <c r="F15" s="12">
        <v>81</v>
      </c>
      <c r="G15" s="13">
        <f>VLOOKUP(B15,'Insumos e Serviços'!$A:$F,6,0)</f>
        <v>4.04</v>
      </c>
      <c r="H15" s="13">
        <f>TRUNC(F15 * G15, 2)</f>
        <v>327.24</v>
      </c>
    </row>
    <row r="16" spans="1:8" x14ac:dyDescent="0.2">
      <c r="A16" s="10" t="s">
        <v>29</v>
      </c>
      <c r="B16" s="11" t="s">
        <v>30</v>
      </c>
      <c r="C16" s="11" t="str">
        <f>VLOOKUP(B16,'Insumos e Serviços'!$A:$F,2,0)</f>
        <v>SINAPI</v>
      </c>
      <c r="D16" s="10" t="str">
        <f>VLOOKUP(B16,'Insumos e Serviços'!$A:$F,4,0)</f>
        <v>REMOÇÃO DE LUMINÁRIAS, DE FORMA MANUAL, SEM REAPROVEITAMENTO. AF_12/2017</v>
      </c>
      <c r="E16" s="11" t="str">
        <f>VLOOKUP(B16,'Insumos e Serviços'!$A:$F,5,0)</f>
        <v>UN</v>
      </c>
      <c r="F16" s="12">
        <v>15</v>
      </c>
      <c r="G16" s="13">
        <f>VLOOKUP(B16,'Insumos e Serviços'!$A:$F,6,0)</f>
        <v>1.03</v>
      </c>
      <c r="H16" s="13">
        <f>TRUNC(F16 * G16, 2)</f>
        <v>15.45</v>
      </c>
    </row>
    <row r="17" spans="1:8" x14ac:dyDescent="0.2">
      <c r="A17" s="10" t="s">
        <v>33</v>
      </c>
      <c r="B17" s="11" t="s">
        <v>34</v>
      </c>
      <c r="C17" s="11" t="s">
        <v>15</v>
      </c>
      <c r="D17" s="10" t="s">
        <v>35</v>
      </c>
      <c r="E17" s="11" t="s">
        <v>36</v>
      </c>
      <c r="F17" s="12">
        <v>14</v>
      </c>
      <c r="G17" s="13">
        <f>VLOOKUP(A17,'Orçamento Analítico'!$A:$H,8,0)</f>
        <v>12.48</v>
      </c>
      <c r="H17" s="13">
        <f t="shared" ref="H17:H18" si="0">TRUNC(F17 * G17, 2)</f>
        <v>174.72</v>
      </c>
    </row>
    <row r="18" spans="1:8" x14ac:dyDescent="0.2">
      <c r="A18" s="10" t="s">
        <v>37</v>
      </c>
      <c r="B18" s="11" t="s">
        <v>38</v>
      </c>
      <c r="C18" s="11" t="s">
        <v>15</v>
      </c>
      <c r="D18" s="10" t="s">
        <v>39</v>
      </c>
      <c r="E18" s="11" t="s">
        <v>40</v>
      </c>
      <c r="F18" s="12">
        <v>6</v>
      </c>
      <c r="G18" s="13">
        <f>VLOOKUP(A18,'Orçamento Analítico'!$A:$H,8,0)</f>
        <v>10.43</v>
      </c>
      <c r="H18" s="13">
        <f t="shared" si="0"/>
        <v>62.58</v>
      </c>
    </row>
    <row r="19" spans="1:8" x14ac:dyDescent="0.2">
      <c r="A19" s="5" t="s">
        <v>41</v>
      </c>
      <c r="B19" s="5"/>
      <c r="C19" s="5"/>
      <c r="D19" s="5" t="s">
        <v>42</v>
      </c>
      <c r="E19" s="5"/>
      <c r="F19" s="6"/>
      <c r="G19" s="5"/>
      <c r="H19" s="6">
        <f>H20</f>
        <v>26526.670000000002</v>
      </c>
    </row>
    <row r="20" spans="1:8" x14ac:dyDescent="0.2">
      <c r="A20" s="14" t="s">
        <v>43</v>
      </c>
      <c r="B20" s="14"/>
      <c r="C20" s="14"/>
      <c r="D20" s="14" t="s">
        <v>44</v>
      </c>
      <c r="E20" s="14"/>
      <c r="F20" s="15"/>
      <c r="G20" s="14"/>
      <c r="H20" s="16">
        <f>H21+H23+H27+H33</f>
        <v>26526.670000000002</v>
      </c>
    </row>
    <row r="21" spans="1:8" x14ac:dyDescent="0.2">
      <c r="A21" s="7" t="s">
        <v>45</v>
      </c>
      <c r="B21" s="7"/>
      <c r="C21" s="7"/>
      <c r="D21" s="7" t="s">
        <v>46</v>
      </c>
      <c r="E21" s="7"/>
      <c r="F21" s="8"/>
      <c r="G21" s="7"/>
      <c r="H21" s="9">
        <f>SUM(H22)</f>
        <v>7000</v>
      </c>
    </row>
    <row r="22" spans="1:8" ht="33.75" x14ac:dyDescent="0.2">
      <c r="A22" s="10" t="s">
        <v>47</v>
      </c>
      <c r="B22" s="11" t="s">
        <v>48</v>
      </c>
      <c r="C22" s="11" t="s">
        <v>15</v>
      </c>
      <c r="D22" s="10" t="s">
        <v>49</v>
      </c>
      <c r="E22" s="11" t="s">
        <v>28</v>
      </c>
      <c r="F22" s="12">
        <v>20</v>
      </c>
      <c r="G22" s="13">
        <f>VLOOKUP(A22,'Orçamento Analítico'!$A:$H,8,0)</f>
        <v>350</v>
      </c>
      <c r="H22" s="13">
        <f>TRUNC(F22 * G22, 2)</f>
        <v>7000</v>
      </c>
    </row>
    <row r="23" spans="1:8" x14ac:dyDescent="0.2">
      <c r="A23" s="7" t="s">
        <v>50</v>
      </c>
      <c r="B23" s="7"/>
      <c r="C23" s="7"/>
      <c r="D23" s="7" t="s">
        <v>51</v>
      </c>
      <c r="E23" s="7"/>
      <c r="F23" s="8"/>
      <c r="G23" s="7"/>
      <c r="H23" s="9">
        <f>SUM(H24:H26)</f>
        <v>6483.72</v>
      </c>
    </row>
    <row r="24" spans="1:8" ht="22.5" x14ac:dyDescent="0.2">
      <c r="A24" s="10" t="s">
        <v>52</v>
      </c>
      <c r="B24" s="11" t="s">
        <v>53</v>
      </c>
      <c r="C24" s="11" t="str">
        <f>VLOOKUP(B24,'Insumos e Serviços'!$A:$F,2,0)</f>
        <v>SINAPI</v>
      </c>
      <c r="D24" s="10" t="str">
        <f>VLOOKUP(B24,'Insumos e Serviços'!$A:$F,4,0)</f>
        <v>FORRO EM DRYWALL, PARA AMBIENTES COMERCIAIS, INCLUSIVE ESTRUTURA DE FIXAÇÃO. AF_05/2017_P</v>
      </c>
      <c r="E24" s="11" t="str">
        <f>VLOOKUP(B24,'Insumos e Serviços'!$A:$F,5,0)</f>
        <v>m²</v>
      </c>
      <c r="F24" s="12">
        <v>94</v>
      </c>
      <c r="G24" s="13">
        <f>VLOOKUP(B24,'Insumos e Serviços'!$A:$F,6,0)</f>
        <v>57.22</v>
      </c>
      <c r="H24" s="13">
        <f>TRUNC(F24 * G24, 2)</f>
        <v>5378.68</v>
      </c>
    </row>
    <row r="25" spans="1:8" x14ac:dyDescent="0.2">
      <c r="A25" s="10" t="s">
        <v>55</v>
      </c>
      <c r="B25" s="11" t="s">
        <v>56</v>
      </c>
      <c r="C25" s="11" t="s">
        <v>15</v>
      </c>
      <c r="D25" s="10" t="s">
        <v>57</v>
      </c>
      <c r="E25" s="11" t="s">
        <v>36</v>
      </c>
      <c r="F25" s="12">
        <v>55</v>
      </c>
      <c r="G25" s="13">
        <f>VLOOKUP(A25,'Orçamento Analítico'!$A:$H,8,0)</f>
        <v>11.99</v>
      </c>
      <c r="H25" s="13">
        <f t="shared" ref="H25:H26" si="1">TRUNC(F25 * G25, 2)</f>
        <v>659.45</v>
      </c>
    </row>
    <row r="26" spans="1:8" ht="22.5" x14ac:dyDescent="0.2">
      <c r="A26" s="10" t="s">
        <v>58</v>
      </c>
      <c r="B26" s="11" t="s">
        <v>59</v>
      </c>
      <c r="C26" s="11" t="s">
        <v>15</v>
      </c>
      <c r="D26" s="10" t="s">
        <v>60</v>
      </c>
      <c r="E26" s="11" t="s">
        <v>40</v>
      </c>
      <c r="F26" s="12">
        <v>3</v>
      </c>
      <c r="G26" s="13">
        <f>VLOOKUP(A26,'Orçamento Analítico'!$A:$H,8,0)</f>
        <v>148.53</v>
      </c>
      <c r="H26" s="13">
        <f t="shared" si="1"/>
        <v>445.59</v>
      </c>
    </row>
    <row r="27" spans="1:8" x14ac:dyDescent="0.2">
      <c r="A27" s="7" t="s">
        <v>61</v>
      </c>
      <c r="B27" s="7"/>
      <c r="C27" s="7"/>
      <c r="D27" s="7" t="s">
        <v>62</v>
      </c>
      <c r="E27" s="7"/>
      <c r="F27" s="8"/>
      <c r="G27" s="7"/>
      <c r="H27" s="9">
        <f>SUM(H28:H32)</f>
        <v>5031.5600000000004</v>
      </c>
    </row>
    <row r="28" spans="1:8" x14ac:dyDescent="0.2">
      <c r="A28" s="10" t="s">
        <v>63</v>
      </c>
      <c r="B28" s="11" t="s">
        <v>64</v>
      </c>
      <c r="C28" s="11" t="str">
        <f>VLOOKUP(B28,'Insumos e Serviços'!$A:$F,2,0)</f>
        <v>SINAPI</v>
      </c>
      <c r="D28" s="10" t="str">
        <f>VLOOKUP(B28,'Insumos e Serviços'!$A:$F,4,0)</f>
        <v>APLICAÇÃO E LIXAMENTO DE MASSA LÁTEX EM TETO, DUAS DEMÃOS. AF_06/2014</v>
      </c>
      <c r="E28" s="11" t="str">
        <f>VLOOKUP(B28,'Insumos e Serviços'!$A:$F,5,0)</f>
        <v>m²</v>
      </c>
      <c r="F28" s="12">
        <v>81</v>
      </c>
      <c r="G28" s="13">
        <f>VLOOKUP(B28,'Insumos e Serviços'!$A:$F,6,0)</f>
        <v>24.24</v>
      </c>
      <c r="H28" s="13">
        <f>TRUNC(F28 * G28, 2)</f>
        <v>1963.44</v>
      </c>
    </row>
    <row r="29" spans="1:8" x14ac:dyDescent="0.2">
      <c r="A29" s="10" t="s">
        <v>66</v>
      </c>
      <c r="B29" s="11" t="s">
        <v>465</v>
      </c>
      <c r="C29" s="11" t="str">
        <f>VLOOKUP(B29,'Insumos e Serviços'!$A:$F,2,0)</f>
        <v>SINAPI</v>
      </c>
      <c r="D29" s="10" t="str">
        <f>VLOOKUP(B29,'Insumos e Serviços'!$A:$F,4,0)</f>
        <v>APLICAÇÃO DE FUNDO SELADOR ACRÍLICO EM TETO, UMA DEMÃO. AF_06/2014</v>
      </c>
      <c r="E29" s="11" t="str">
        <f>VLOOKUP(B29,'Insumos e Serviços'!$A:$F,5,0)</f>
        <v>m²</v>
      </c>
      <c r="F29" s="12">
        <v>81</v>
      </c>
      <c r="G29" s="13">
        <f>VLOOKUP(B29,'Insumos e Serviços'!$A:$F,6,0)</f>
        <v>2.88</v>
      </c>
      <c r="H29" s="13">
        <f>TRUNC(F29 * G29, 2)</f>
        <v>233.28</v>
      </c>
    </row>
    <row r="30" spans="1:8" ht="22.5" x14ac:dyDescent="0.2">
      <c r="A30" s="10" t="s">
        <v>67</v>
      </c>
      <c r="B30" s="11" t="s">
        <v>467</v>
      </c>
      <c r="C30" s="11" t="str">
        <f>VLOOKUP(B30,'Insumos e Serviços'!$A:$F,2,0)</f>
        <v>SINAPI</v>
      </c>
      <c r="D30" s="10" t="str">
        <f>VLOOKUP(B30,'Insumos e Serviços'!$A:$F,4,0)</f>
        <v>APLICAÇÃO MANUAL DE PINTURA COM TINTA LÁTEX ACRÍLICA EM TETO, DUAS DEMÃOS. AF_06/2014</v>
      </c>
      <c r="E30" s="11" t="str">
        <f>VLOOKUP(B30,'Insumos e Serviços'!$A:$F,5,0)</f>
        <v>m²</v>
      </c>
      <c r="F30" s="12">
        <v>81</v>
      </c>
      <c r="G30" s="13">
        <f>VLOOKUP(B30,'Insumos e Serviços'!$A:$F,6,0)</f>
        <v>14.1</v>
      </c>
      <c r="H30" s="13">
        <f>TRUNC(F30 * G30, 2)</f>
        <v>1142.0999999999999</v>
      </c>
    </row>
    <row r="31" spans="1:8" ht="22.5" x14ac:dyDescent="0.2">
      <c r="A31" s="10" t="s">
        <v>68</v>
      </c>
      <c r="B31" s="11" t="s">
        <v>69</v>
      </c>
      <c r="C31" s="11" t="str">
        <f>VLOOKUP(B31,'Insumos e Serviços'!$A:$F,2,0)</f>
        <v>SINAPI</v>
      </c>
      <c r="D31" s="10" t="str">
        <f>VLOOKUP(B31,'Insumos e Serviços'!$A:$F,4,0)</f>
        <v>PINTURA TINTA DE ACABAMENTO (PIGMENTADA) ESMALTE SINTÉTICO ACETINADO EM MADEIRA, 2 DEMÃOS. AF_01/2021</v>
      </c>
      <c r="E31" s="11" t="str">
        <f>VLOOKUP(B31,'Insumos e Serviços'!$A:$F,5,0)</f>
        <v>m²</v>
      </c>
      <c r="F31" s="12">
        <v>16</v>
      </c>
      <c r="G31" s="13">
        <f>VLOOKUP(B31,'Insumos e Serviços'!$A:$F,6,0)</f>
        <v>13.72</v>
      </c>
      <c r="H31" s="13">
        <f>TRUNC(F31 * G31, 2)</f>
        <v>219.52</v>
      </c>
    </row>
    <row r="32" spans="1:8" ht="22.5" x14ac:dyDescent="0.2">
      <c r="A32" s="10" t="s">
        <v>71</v>
      </c>
      <c r="B32" s="11" t="s">
        <v>72</v>
      </c>
      <c r="C32" s="11" t="str">
        <f>VLOOKUP(B32,'Insumos e Serviços'!$A:$F,2,0)</f>
        <v>SINAPI</v>
      </c>
      <c r="D32" s="10" t="str">
        <f>VLOOKUP(B32,'Insumos e Serviços'!$A:$F,4,0)</f>
        <v>APLICAÇÃO MANUAL DE PINTURA COM TINTA LÁTEX ACRÍLICA EM PAREDES, DUAS DEMÃOS. AF_06/2014</v>
      </c>
      <c r="E32" s="11" t="str">
        <f>VLOOKUP(B32,'Insumos e Serviços'!$A:$F,5,0)</f>
        <v>m²</v>
      </c>
      <c r="F32" s="12">
        <v>119</v>
      </c>
      <c r="G32" s="13">
        <f>VLOOKUP(B32,'Insumos e Serviços'!$A:$F,6,0)</f>
        <v>12.38</v>
      </c>
      <c r="H32" s="13">
        <f>TRUNC(F32 * G32, 2)</f>
        <v>1473.22</v>
      </c>
    </row>
    <row r="33" spans="1:8" x14ac:dyDescent="0.2">
      <c r="A33" s="7" t="s">
        <v>74</v>
      </c>
      <c r="B33" s="7"/>
      <c r="C33" s="7"/>
      <c r="D33" s="7" t="s">
        <v>75</v>
      </c>
      <c r="E33" s="7"/>
      <c r="F33" s="8"/>
      <c r="G33" s="7"/>
      <c r="H33" s="9">
        <f>SUM(H34:H38)</f>
        <v>8011.3899999999994</v>
      </c>
    </row>
    <row r="34" spans="1:8" ht="22.5" x14ac:dyDescent="0.2">
      <c r="A34" s="10" t="s">
        <v>76</v>
      </c>
      <c r="B34" s="11" t="s">
        <v>77</v>
      </c>
      <c r="C34" s="11" t="s">
        <v>15</v>
      </c>
      <c r="D34" s="10" t="s">
        <v>78</v>
      </c>
      <c r="E34" s="11" t="s">
        <v>28</v>
      </c>
      <c r="F34" s="12">
        <v>122</v>
      </c>
      <c r="G34" s="13">
        <f>VLOOKUP(A34,'Orçamento Analítico'!$A:$H,8,0)</f>
        <v>10.129999999999999</v>
      </c>
      <c r="H34" s="13">
        <f>TRUNC(F34 * G34, 2)</f>
        <v>1235.8599999999999</v>
      </c>
    </row>
    <row r="35" spans="1:8" x14ac:dyDescent="0.2">
      <c r="A35" s="10" t="s">
        <v>79</v>
      </c>
      <c r="B35" s="11" t="s">
        <v>80</v>
      </c>
      <c r="C35" s="11" t="str">
        <f>VLOOKUP(B35,'Insumos e Serviços'!$A:$F,2,0)</f>
        <v>SINAPI</v>
      </c>
      <c r="D35" s="10" t="str">
        <f>VLOOKUP(B35,'Insumos e Serviços'!$A:$F,4,0)</f>
        <v>FURO EM CONCRETO PARA DIÂMETROS MENORES OU IGUAIS A 40 MM. AF_05/2015</v>
      </c>
      <c r="E35" s="11" t="str">
        <f>VLOOKUP(B35,'Insumos e Serviços'!$A:$F,5,0)</f>
        <v>UN</v>
      </c>
      <c r="F35" s="12">
        <v>1</v>
      </c>
      <c r="G35" s="13">
        <f>VLOOKUP(B35,'Insumos e Serviços'!$A:$F,6,0)</f>
        <v>53.69</v>
      </c>
      <c r="H35" s="13">
        <f>TRUNC(F35 * G35, 2)</f>
        <v>53.69</v>
      </c>
    </row>
    <row r="36" spans="1:8" x14ac:dyDescent="0.2">
      <c r="A36" s="10" t="s">
        <v>82</v>
      </c>
      <c r="B36" s="11" t="s">
        <v>83</v>
      </c>
      <c r="C36" s="11" t="s">
        <v>15</v>
      </c>
      <c r="D36" s="10" t="s">
        <v>84</v>
      </c>
      <c r="E36" s="11" t="s">
        <v>28</v>
      </c>
      <c r="F36" s="12">
        <v>18</v>
      </c>
      <c r="G36" s="13">
        <f>VLOOKUP(A36,'Orçamento Analítico'!$A:$H,8,0)</f>
        <v>44.26</v>
      </c>
      <c r="H36" s="13">
        <f t="shared" ref="H36:H38" si="2">TRUNC(F36 * G36, 2)</f>
        <v>796.68</v>
      </c>
    </row>
    <row r="37" spans="1:8" ht="22.5" x14ac:dyDescent="0.2">
      <c r="A37" s="10" t="s">
        <v>85</v>
      </c>
      <c r="B37" s="11" t="s">
        <v>86</v>
      </c>
      <c r="C37" s="11" t="s">
        <v>15</v>
      </c>
      <c r="D37" s="10" t="s">
        <v>87</v>
      </c>
      <c r="E37" s="11" t="s">
        <v>36</v>
      </c>
      <c r="F37" s="12">
        <v>5</v>
      </c>
      <c r="G37" s="13">
        <f>VLOOKUP(A37,'Orçamento Analítico'!$A:$H,8,0)</f>
        <v>1160</v>
      </c>
      <c r="H37" s="13">
        <f t="shared" si="2"/>
        <v>5800</v>
      </c>
    </row>
    <row r="38" spans="1:8" x14ac:dyDescent="0.2">
      <c r="A38" s="10" t="s">
        <v>469</v>
      </c>
      <c r="B38" s="11" t="s">
        <v>88</v>
      </c>
      <c r="C38" s="11" t="s">
        <v>15</v>
      </c>
      <c r="D38" s="10" t="s">
        <v>89</v>
      </c>
      <c r="E38" s="11" t="s">
        <v>40</v>
      </c>
      <c r="F38" s="12">
        <v>6</v>
      </c>
      <c r="G38" s="13">
        <f>VLOOKUP(A38,'Orçamento Analítico'!$A:$H,8,0)</f>
        <v>20.86</v>
      </c>
      <c r="H38" s="13">
        <f t="shared" si="2"/>
        <v>125.16</v>
      </c>
    </row>
    <row r="39" spans="1:8" x14ac:dyDescent="0.2">
      <c r="A39" s="5" t="s">
        <v>90</v>
      </c>
      <c r="B39" s="5"/>
      <c r="C39" s="5"/>
      <c r="D39" s="5" t="s">
        <v>91</v>
      </c>
      <c r="E39" s="5"/>
      <c r="F39" s="6"/>
      <c r="G39" s="5"/>
      <c r="H39" s="6">
        <f>H40</f>
        <v>25645.72</v>
      </c>
    </row>
    <row r="40" spans="1:8" x14ac:dyDescent="0.2">
      <c r="A40" s="7" t="s">
        <v>92</v>
      </c>
      <c r="B40" s="7"/>
      <c r="C40" s="7"/>
      <c r="D40" s="7" t="s">
        <v>93</v>
      </c>
      <c r="E40" s="7"/>
      <c r="F40" s="8"/>
      <c r="G40" s="7"/>
      <c r="H40" s="9">
        <f>H41+H44+H48</f>
        <v>25645.72</v>
      </c>
    </row>
    <row r="41" spans="1:8" x14ac:dyDescent="0.2">
      <c r="A41" s="14" t="s">
        <v>94</v>
      </c>
      <c r="B41" s="14"/>
      <c r="C41" s="14"/>
      <c r="D41" s="14" t="s">
        <v>95</v>
      </c>
      <c r="E41" s="14"/>
      <c r="F41" s="15"/>
      <c r="G41" s="14"/>
      <c r="H41" s="16">
        <f>SUM(H42:H43)</f>
        <v>5090.05</v>
      </c>
    </row>
    <row r="42" spans="1:8" x14ac:dyDescent="0.2">
      <c r="A42" s="10" t="s">
        <v>96</v>
      </c>
      <c r="B42" s="11" t="s">
        <v>97</v>
      </c>
      <c r="C42" s="11" t="s">
        <v>15</v>
      </c>
      <c r="D42" s="10" t="s">
        <v>98</v>
      </c>
      <c r="E42" s="11" t="s">
        <v>40</v>
      </c>
      <c r="F42" s="12">
        <v>1</v>
      </c>
      <c r="G42" s="13">
        <f>VLOOKUP(A42,'Orçamento Analítico'!$A:$H,8,0)</f>
        <v>3357.0499999999997</v>
      </c>
      <c r="H42" s="13">
        <f t="shared" ref="H42:H43" si="3">TRUNC(F42 * G42, 2)</f>
        <v>3357.05</v>
      </c>
    </row>
    <row r="43" spans="1:8" ht="22.5" x14ac:dyDescent="0.2">
      <c r="A43" s="10" t="s">
        <v>99</v>
      </c>
      <c r="B43" s="11" t="s">
        <v>100</v>
      </c>
      <c r="C43" s="11" t="s">
        <v>15</v>
      </c>
      <c r="D43" s="10" t="s">
        <v>101</v>
      </c>
      <c r="E43" s="11" t="s">
        <v>40</v>
      </c>
      <c r="F43" s="12">
        <v>1</v>
      </c>
      <c r="G43" s="13">
        <f>VLOOKUP(A43,'Orçamento Analítico'!$A:$H,8,0)</f>
        <v>1733</v>
      </c>
      <c r="H43" s="13">
        <f t="shared" si="3"/>
        <v>1733</v>
      </c>
    </row>
    <row r="44" spans="1:8" x14ac:dyDescent="0.2">
      <c r="A44" s="14" t="s">
        <v>102</v>
      </c>
      <c r="B44" s="14"/>
      <c r="C44" s="14"/>
      <c r="D44" s="14" t="s">
        <v>103</v>
      </c>
      <c r="E44" s="14"/>
      <c r="F44" s="15"/>
      <c r="G44" s="14"/>
      <c r="H44" s="16">
        <f>SUM(H45:H47)</f>
        <v>14469.61</v>
      </c>
    </row>
    <row r="45" spans="1:8" ht="22.5" x14ac:dyDescent="0.2">
      <c r="A45" s="10" t="s">
        <v>104</v>
      </c>
      <c r="B45" s="11" t="s">
        <v>105</v>
      </c>
      <c r="C45" s="11" t="s">
        <v>15</v>
      </c>
      <c r="D45" s="10" t="s">
        <v>106</v>
      </c>
      <c r="E45" s="11" t="s">
        <v>32</v>
      </c>
      <c r="F45" s="12">
        <v>7</v>
      </c>
      <c r="G45" s="13">
        <f>VLOOKUP(A45,'Orçamento Analítico'!$A:$H,8,0)</f>
        <v>36.79</v>
      </c>
      <c r="H45" s="13">
        <f t="shared" ref="H45:H46" si="4">TRUNC(F45 * G45, 2)</f>
        <v>257.52999999999997</v>
      </c>
    </row>
    <row r="46" spans="1:8" ht="33.75" x14ac:dyDescent="0.2">
      <c r="A46" s="10" t="s">
        <v>107</v>
      </c>
      <c r="B46" s="11" t="s">
        <v>108</v>
      </c>
      <c r="C46" s="11" t="s">
        <v>15</v>
      </c>
      <c r="D46" s="10" t="s">
        <v>109</v>
      </c>
      <c r="E46" s="11" t="s">
        <v>110</v>
      </c>
      <c r="F46" s="12">
        <v>72</v>
      </c>
      <c r="G46" s="13">
        <f>VLOOKUP(A46,'Orçamento Analítico'!$A:$H,8,0)</f>
        <v>59.36</v>
      </c>
      <c r="H46" s="13">
        <f t="shared" si="4"/>
        <v>4273.92</v>
      </c>
    </row>
    <row r="47" spans="1:8" ht="22.5" x14ac:dyDescent="0.2">
      <c r="A47" s="10" t="s">
        <v>111</v>
      </c>
      <c r="B47" s="11" t="s">
        <v>112</v>
      </c>
      <c r="C47" s="11" t="str">
        <f>VLOOKUP(B47,'Insumos e Serviços'!$A:$F,2,0)</f>
        <v>SINAPI</v>
      </c>
      <c r="D47" s="10" t="str">
        <f>VLOOKUP(B47,'Insumos e Serviços'!$A:$F,4,0)</f>
        <v>CABO DE COBRE FLEXÍVEL ISOLADO, 16 MM², ANTI-CHAMA 0,6/1,0 KV, PARA CIRCUITOS TERMINAIS - FORNECIMENTO E INSTALAÇÃO. AF_12/2015</v>
      </c>
      <c r="E47" s="11" t="str">
        <f>VLOOKUP(B47,'Insumos e Serviços'!$A:$F,5,0)</f>
        <v>M</v>
      </c>
      <c r="F47" s="12">
        <v>428</v>
      </c>
      <c r="G47" s="13">
        <f>VLOOKUP(B47,'Insumos e Serviços'!$A:$F,6,0)</f>
        <v>23.22</v>
      </c>
      <c r="H47" s="13">
        <f>TRUNC(F47 * G47, 2)</f>
        <v>9938.16</v>
      </c>
    </row>
    <row r="48" spans="1:8" x14ac:dyDescent="0.2">
      <c r="A48" s="14" t="s">
        <v>114</v>
      </c>
      <c r="B48" s="14"/>
      <c r="C48" s="14"/>
      <c r="D48" s="14" t="s">
        <v>115</v>
      </c>
      <c r="E48" s="14"/>
      <c r="F48" s="15"/>
      <c r="G48" s="14"/>
      <c r="H48" s="16">
        <f>SUM(H49:H60)</f>
        <v>6086.0599999999995</v>
      </c>
    </row>
    <row r="49" spans="1:8" ht="45" x14ac:dyDescent="0.2">
      <c r="A49" s="10" t="s">
        <v>116</v>
      </c>
      <c r="B49" s="11" t="s">
        <v>117</v>
      </c>
      <c r="C49" s="11" t="s">
        <v>15</v>
      </c>
      <c r="D49" s="10" t="s">
        <v>118</v>
      </c>
      <c r="E49" s="11" t="s">
        <v>40</v>
      </c>
      <c r="F49" s="12">
        <v>2</v>
      </c>
      <c r="G49" s="13">
        <f>VLOOKUP(A49,'Orçamento Analítico'!$A:$H,8,0)</f>
        <v>262.56</v>
      </c>
      <c r="H49" s="13">
        <f>TRUNC(F49 * G49, 2)</f>
        <v>525.12</v>
      </c>
    </row>
    <row r="50" spans="1:8" ht="22.5" x14ac:dyDescent="0.2">
      <c r="A50" s="10" t="s">
        <v>119</v>
      </c>
      <c r="B50" s="11" t="s">
        <v>120</v>
      </c>
      <c r="C50" s="11" t="str">
        <f>VLOOKUP(B50,'Insumos e Serviços'!$A:$F,2,0)</f>
        <v>SINAPI</v>
      </c>
      <c r="D50" s="10" t="str">
        <f>VLOOKUP(B50,'Insumos e Serviços'!$A:$F,4,0)</f>
        <v>LÂMPADA TUBULAR LED DE 18/20 W, BASE G13 - FORNECIMENTO E INSTALAÇÃO. AF_02/2020_P</v>
      </c>
      <c r="E50" s="11" t="str">
        <f>VLOOKUP(B50,'Insumos e Serviços'!$A:$F,5,0)</f>
        <v>UN</v>
      </c>
      <c r="F50" s="12">
        <v>30</v>
      </c>
      <c r="G50" s="13">
        <f>VLOOKUP(B50,'Insumos e Serviços'!$A:$F,6,0)</f>
        <v>32.33</v>
      </c>
      <c r="H50" s="13">
        <f t="shared" ref="H50:H58" si="5">TRUNC(F50 * G50, 2)</f>
        <v>969.9</v>
      </c>
    </row>
    <row r="51" spans="1:8" x14ac:dyDescent="0.2">
      <c r="A51" s="10" t="s">
        <v>122</v>
      </c>
      <c r="B51" s="11" t="s">
        <v>123</v>
      </c>
      <c r="C51" s="11" t="str">
        <f>VLOOKUP(B51,'Insumos e Serviços'!$A:$F,2,0)</f>
        <v>SINAPI</v>
      </c>
      <c r="D51" s="10" t="str">
        <f>VLOOKUP(B51,'Insumos e Serviços'!$A:$F,4,0)</f>
        <v>CONDULETE DE PVC, TIPO LB, PARA ELETRODUTO DE PVC SOLDÁVEL DN 25 MM (3/4</v>
      </c>
      <c r="E51" s="11" t="str">
        <f>VLOOKUP(B51,'Insumos e Serviços'!$A:$F,5,0)</f>
        <v>UN</v>
      </c>
      <c r="F51" s="12">
        <v>8</v>
      </c>
      <c r="G51" s="13">
        <f>VLOOKUP(B51,'Insumos e Serviços'!$A:$F,6,0)</f>
        <v>13.52</v>
      </c>
      <c r="H51" s="13">
        <f t="shared" si="5"/>
        <v>108.16</v>
      </c>
    </row>
    <row r="52" spans="1:8" ht="22.5" x14ac:dyDescent="0.2">
      <c r="A52" s="10" t="s">
        <v>125</v>
      </c>
      <c r="B52" s="11" t="s">
        <v>126</v>
      </c>
      <c r="C52" s="11" t="str">
        <f>VLOOKUP(B52,'Insumos e Serviços'!$A:$F,2,0)</f>
        <v>SINAPI</v>
      </c>
      <c r="D52" s="10" t="str">
        <f>VLOOKUP(B52,'Insumos e Serviços'!$A:$F,4,0)</f>
        <v>ELETRODUTO FLEXÍVEL CORRUGADO REFORÇADO, PVC, DN 25 MM (3/4"), PARA CIRCUITOS TERMINAIS, INSTALADO EM FORRO - FORNECIMENTO E INSTALAÇÃO. AF_12/2015</v>
      </c>
      <c r="E52" s="11" t="str">
        <f>VLOOKUP(B52,'Insumos e Serviços'!$A:$F,5,0)</f>
        <v>M</v>
      </c>
      <c r="F52" s="12">
        <v>3</v>
      </c>
      <c r="G52" s="13">
        <f>VLOOKUP(B52,'Insumos e Serviços'!$A:$F,6,0)</f>
        <v>8.7799999999999994</v>
      </c>
      <c r="H52" s="13">
        <f t="shared" si="5"/>
        <v>26.34</v>
      </c>
    </row>
    <row r="53" spans="1:8" ht="22.5" x14ac:dyDescent="0.2">
      <c r="A53" s="10" t="s">
        <v>128</v>
      </c>
      <c r="B53" s="11" t="s">
        <v>129</v>
      </c>
      <c r="C53" s="11" t="str">
        <f>VLOOKUP(B53,'Insumos e Serviços'!$A:$F,2,0)</f>
        <v>SINAPI</v>
      </c>
      <c r="D53" s="10" t="str">
        <f>VLOOKUP(B53,'Insumos e Serviços'!$A:$F,4,0)</f>
        <v>ELETRODUTO RÍGIDO ROSCÁVEL, PVC, DN 25 MM (3/4"), PARA CIRCUITOS TERMINAIS, INSTALADO EM FORRO - FORNECIMENTO E INSTALAÇÃO. AF_12/2015</v>
      </c>
      <c r="E53" s="11" t="str">
        <f>VLOOKUP(B53,'Insumos e Serviços'!$A:$F,5,0)</f>
        <v>M</v>
      </c>
      <c r="F53" s="12">
        <v>21</v>
      </c>
      <c r="G53" s="13">
        <f>VLOOKUP(B53,'Insumos e Serviços'!$A:$F,6,0)</f>
        <v>9.8000000000000007</v>
      </c>
      <c r="H53" s="13">
        <f t="shared" si="5"/>
        <v>205.8</v>
      </c>
    </row>
    <row r="54" spans="1:8" ht="22.5" x14ac:dyDescent="0.2">
      <c r="A54" s="10" t="s">
        <v>131</v>
      </c>
      <c r="B54" s="11" t="s">
        <v>132</v>
      </c>
      <c r="C54" s="11" t="str">
        <f>VLOOKUP(B54,'Insumos e Serviços'!$A:$F,2,0)</f>
        <v>SINAPI</v>
      </c>
      <c r="D54" s="10" t="str">
        <f>VLOOKUP(B54,'Insumos e Serviços'!$A:$F,4,0)</f>
        <v>CABO DE COBRE FLEXÍVEL ISOLADO, 1,5 MM², ANTI-CHAMA 450/750 V, PARA CIRCUITOS TERMINAIS - FORNECIMENTO E INSTALAÇÃO. AF_12/2015</v>
      </c>
      <c r="E54" s="11" t="str">
        <f>VLOOKUP(B54,'Insumos e Serviços'!$A:$F,5,0)</f>
        <v>M</v>
      </c>
      <c r="F54" s="12">
        <v>292</v>
      </c>
      <c r="G54" s="13">
        <f>VLOOKUP(B54,'Insumos e Serviços'!$A:$F,6,0)</f>
        <v>2.63</v>
      </c>
      <c r="H54" s="13">
        <f t="shared" si="5"/>
        <v>767.96</v>
      </c>
    </row>
    <row r="55" spans="1:8" ht="22.5" x14ac:dyDescent="0.2">
      <c r="A55" s="10" t="s">
        <v>134</v>
      </c>
      <c r="B55" s="11" t="s">
        <v>135</v>
      </c>
      <c r="C55" s="11" t="str">
        <f>VLOOKUP(B55,'Insumos e Serviços'!$A:$F,2,0)</f>
        <v>SINAPI</v>
      </c>
      <c r="D55" s="10" t="str">
        <f>VLOOKUP(B55,'Insumos e Serviços'!$A:$F,4,0)</f>
        <v>CONDULETE DE ALUMÍNIO, TIPO LR, PARA ELETRODUTO DE AÇO GALVANIZADO DN 25 MM (1</v>
      </c>
      <c r="E55" s="11" t="str">
        <f>VLOOKUP(B55,'Insumos e Serviços'!$A:$F,5,0)</f>
        <v>UN</v>
      </c>
      <c r="F55" s="12">
        <v>11</v>
      </c>
      <c r="G55" s="13">
        <f>VLOOKUP(B55,'Insumos e Serviços'!$A:$F,6,0)</f>
        <v>26.58</v>
      </c>
      <c r="H55" s="13">
        <f t="shared" si="5"/>
        <v>292.38</v>
      </c>
    </row>
    <row r="56" spans="1:8" ht="22.5" x14ac:dyDescent="0.2">
      <c r="A56" s="10" t="s">
        <v>137</v>
      </c>
      <c r="B56" s="11" t="s">
        <v>138</v>
      </c>
      <c r="C56" s="11" t="str">
        <f>VLOOKUP(B56,'Insumos e Serviços'!$A:$F,2,0)</f>
        <v>SINAPI</v>
      </c>
      <c r="D56" s="10" t="str">
        <f>VLOOKUP(B56,'Insumos e Serviços'!$A:$F,4,0)</f>
        <v>CONDULETE DE ALUMÍNIO, TIPO LR, PARA ELETRODUTO DE AÇO GALVANIZADO DN 32 MM (1 1/4</v>
      </c>
      <c r="E56" s="11" t="str">
        <f>VLOOKUP(B56,'Insumos e Serviços'!$A:$F,5,0)</f>
        <v>UN</v>
      </c>
      <c r="F56" s="12">
        <v>2</v>
      </c>
      <c r="G56" s="13">
        <f>VLOOKUP(B56,'Insumos e Serviços'!$A:$F,6,0)</f>
        <v>32.99</v>
      </c>
      <c r="H56" s="13">
        <f t="shared" si="5"/>
        <v>65.98</v>
      </c>
    </row>
    <row r="57" spans="1:8" ht="33.75" x14ac:dyDescent="0.2">
      <c r="A57" s="10" t="s">
        <v>140</v>
      </c>
      <c r="B57" s="11" t="s">
        <v>141</v>
      </c>
      <c r="C57" s="11" t="s">
        <v>15</v>
      </c>
      <c r="D57" s="10" t="s">
        <v>142</v>
      </c>
      <c r="E57" s="11" t="s">
        <v>110</v>
      </c>
      <c r="F57" s="12">
        <v>36</v>
      </c>
      <c r="G57" s="13">
        <f>VLOOKUP(A57,'Orçamento Analítico'!$A:$H,8,0)</f>
        <v>29.619999999999997</v>
      </c>
      <c r="H57" s="13">
        <f t="shared" si="5"/>
        <v>1066.32</v>
      </c>
    </row>
    <row r="58" spans="1:8" ht="33.75" x14ac:dyDescent="0.2">
      <c r="A58" s="10" t="s">
        <v>143</v>
      </c>
      <c r="B58" s="11" t="s">
        <v>144</v>
      </c>
      <c r="C58" s="11" t="s">
        <v>15</v>
      </c>
      <c r="D58" s="10" t="s">
        <v>145</v>
      </c>
      <c r="E58" s="11" t="s">
        <v>110</v>
      </c>
      <c r="F58" s="12">
        <v>9</v>
      </c>
      <c r="G58" s="13">
        <f>VLOOKUP(A58,'Orçamento Analítico'!$A:$H,8,0)</f>
        <v>32.35</v>
      </c>
      <c r="H58" s="13">
        <f t="shared" si="5"/>
        <v>291.14999999999998</v>
      </c>
    </row>
    <row r="59" spans="1:8" ht="22.5" x14ac:dyDescent="0.2">
      <c r="A59" s="10" t="s">
        <v>146</v>
      </c>
      <c r="B59" s="11" t="s">
        <v>147</v>
      </c>
      <c r="C59" s="11" t="str">
        <f>VLOOKUP(B59,'Insumos e Serviços'!$A:$F,2,0)</f>
        <v>SINAPI</v>
      </c>
      <c r="D59" s="10" t="str">
        <f>VLOOKUP(B59,'Insumos e Serviços'!$A:$F,4,0)</f>
        <v>CABO DE COBRE FLEXÍVEL ISOLADO, 10 MM², ANTI-CHAMA 0,6/1,0 KV, PARA CIRCUITOS TERMINAIS - FORNECIMENTO E INSTALAÇÃO. AF_12/2015</v>
      </c>
      <c r="E59" s="11" t="str">
        <f>VLOOKUP(B59,'Insumos e Serviços'!$A:$F,5,0)</f>
        <v>M</v>
      </c>
      <c r="F59" s="12">
        <v>89</v>
      </c>
      <c r="G59" s="13">
        <f>VLOOKUP(B59,'Insumos e Serviços'!$A:$F,6,0)</f>
        <v>15.23</v>
      </c>
      <c r="H59" s="13">
        <f t="shared" ref="H59:H60" si="6">TRUNC(F59 * G59, 2)</f>
        <v>1355.47</v>
      </c>
    </row>
    <row r="60" spans="1:8" ht="22.5" x14ac:dyDescent="0.2">
      <c r="A60" s="10" t="s">
        <v>149</v>
      </c>
      <c r="B60" s="11" t="s">
        <v>150</v>
      </c>
      <c r="C60" s="11" t="str">
        <f>VLOOKUP(B60,'Insumos e Serviços'!$A:$F,2,0)</f>
        <v>SINAPI</v>
      </c>
      <c r="D60" s="10" t="str">
        <f>VLOOKUP(B60,'Insumos e Serviços'!$A:$F,4,0)</f>
        <v>CABO DE COBRE FLEXÍVEL ISOLADO, 2,5 MM², ANTI-CHAMA 0,6/1,0 KV, PARA CIRCUITOS TERMINAIS - FORNECIMENTO E INSTALAÇÃO. AF_12/2015</v>
      </c>
      <c r="E60" s="11" t="str">
        <f>VLOOKUP(B60,'Insumos e Serviços'!$A:$F,5,0)</f>
        <v>M</v>
      </c>
      <c r="F60" s="12">
        <v>81</v>
      </c>
      <c r="G60" s="13">
        <f>VLOOKUP(B60,'Insumos e Serviços'!$A:$F,6,0)</f>
        <v>5.08</v>
      </c>
      <c r="H60" s="13">
        <f t="shared" si="6"/>
        <v>411.48</v>
      </c>
    </row>
    <row r="61" spans="1:8" x14ac:dyDescent="0.2">
      <c r="A61" s="5" t="s">
        <v>152</v>
      </c>
      <c r="B61" s="5"/>
      <c r="C61" s="5"/>
      <c r="D61" s="5" t="s">
        <v>153</v>
      </c>
      <c r="E61" s="5"/>
      <c r="F61" s="6"/>
      <c r="G61" s="5"/>
      <c r="H61" s="6">
        <f>H62</f>
        <v>46305.729999999996</v>
      </c>
    </row>
    <row r="62" spans="1:8" x14ac:dyDescent="0.2">
      <c r="A62" s="7" t="s">
        <v>154</v>
      </c>
      <c r="B62" s="7"/>
      <c r="C62" s="7"/>
      <c r="D62" s="7" t="s">
        <v>155</v>
      </c>
      <c r="E62" s="7"/>
      <c r="F62" s="8"/>
      <c r="G62" s="7"/>
      <c r="H62" s="9">
        <f>H63+H66+H70+H72+H77+H80</f>
        <v>46305.729999999996</v>
      </c>
    </row>
    <row r="63" spans="1:8" x14ac:dyDescent="0.2">
      <c r="A63" s="14" t="s">
        <v>156</v>
      </c>
      <c r="B63" s="14"/>
      <c r="C63" s="14"/>
      <c r="D63" s="14" t="s">
        <v>157</v>
      </c>
      <c r="E63" s="14"/>
      <c r="F63" s="15"/>
      <c r="G63" s="14"/>
      <c r="H63" s="16">
        <f>SUM(H64:H65)</f>
        <v>31583.25</v>
      </c>
    </row>
    <row r="64" spans="1:8" ht="56.25" x14ac:dyDescent="0.2">
      <c r="A64" s="10" t="s">
        <v>158</v>
      </c>
      <c r="B64" s="11" t="s">
        <v>159</v>
      </c>
      <c r="C64" s="11" t="s">
        <v>15</v>
      </c>
      <c r="D64" s="10" t="s">
        <v>160</v>
      </c>
      <c r="E64" s="11" t="s">
        <v>40</v>
      </c>
      <c r="F64" s="12">
        <v>1</v>
      </c>
      <c r="G64" s="13">
        <f>VLOOKUP(A64,'Orçamento Analítico'!$A:$H,8,0)</f>
        <v>19151.11</v>
      </c>
      <c r="H64" s="13">
        <f t="shared" ref="H64:H65" si="7">TRUNC(F64 * G64, 2)</f>
        <v>19151.11</v>
      </c>
    </row>
    <row r="65" spans="1:8" ht="45" x14ac:dyDescent="0.2">
      <c r="A65" s="10" t="s">
        <v>161</v>
      </c>
      <c r="B65" s="11" t="s">
        <v>162</v>
      </c>
      <c r="C65" s="11" t="s">
        <v>15</v>
      </c>
      <c r="D65" s="10" t="s">
        <v>163</v>
      </c>
      <c r="E65" s="11" t="s">
        <v>40</v>
      </c>
      <c r="F65" s="12">
        <v>2</v>
      </c>
      <c r="G65" s="13">
        <f>VLOOKUP(A65,'Orçamento Analítico'!$A:$H,8,0)</f>
        <v>6216.0700000000006</v>
      </c>
      <c r="H65" s="13">
        <f t="shared" si="7"/>
        <v>12432.14</v>
      </c>
    </row>
    <row r="66" spans="1:8" x14ac:dyDescent="0.2">
      <c r="A66" s="14" t="s">
        <v>164</v>
      </c>
      <c r="B66" s="14"/>
      <c r="C66" s="14"/>
      <c r="D66" s="14" t="s">
        <v>165</v>
      </c>
      <c r="E66" s="14"/>
      <c r="F66" s="15"/>
      <c r="G66" s="14"/>
      <c r="H66" s="16">
        <f>SUM(H67:H69)</f>
        <v>3571.36</v>
      </c>
    </row>
    <row r="67" spans="1:8" ht="33.75" x14ac:dyDescent="0.2">
      <c r="A67" s="10" t="s">
        <v>166</v>
      </c>
      <c r="B67" s="11" t="s">
        <v>167</v>
      </c>
      <c r="C67" s="11" t="s">
        <v>15</v>
      </c>
      <c r="D67" s="10" t="s">
        <v>168</v>
      </c>
      <c r="E67" s="11" t="s">
        <v>28</v>
      </c>
      <c r="F67" s="12">
        <v>14</v>
      </c>
      <c r="G67" s="13">
        <f>VLOOKUP(A67,'Orçamento Analítico'!$A:$H,8,0)</f>
        <v>142.01</v>
      </c>
      <c r="H67" s="13">
        <f t="shared" ref="H67:H69" si="8">TRUNC(F67 * G67, 2)</f>
        <v>1988.14</v>
      </c>
    </row>
    <row r="68" spans="1:8" ht="33.75" x14ac:dyDescent="0.2">
      <c r="A68" s="10" t="s">
        <v>169</v>
      </c>
      <c r="B68" s="11" t="s">
        <v>170</v>
      </c>
      <c r="C68" s="11" t="s">
        <v>15</v>
      </c>
      <c r="D68" s="10" t="s">
        <v>171</v>
      </c>
      <c r="E68" s="11" t="s">
        <v>40</v>
      </c>
      <c r="F68" s="12">
        <v>10</v>
      </c>
      <c r="G68" s="13">
        <f>VLOOKUP(A68,'Orçamento Analítico'!$A:$H,8,0)</f>
        <v>21.92</v>
      </c>
      <c r="H68" s="13">
        <f t="shared" si="8"/>
        <v>219.2</v>
      </c>
    </row>
    <row r="69" spans="1:8" ht="56.25" x14ac:dyDescent="0.2">
      <c r="A69" s="10" t="s">
        <v>172</v>
      </c>
      <c r="B69" s="11" t="s">
        <v>173</v>
      </c>
      <c r="C69" s="11" t="s">
        <v>15</v>
      </c>
      <c r="D69" s="10" t="s">
        <v>174</v>
      </c>
      <c r="E69" s="11" t="s">
        <v>40</v>
      </c>
      <c r="F69" s="12">
        <v>1</v>
      </c>
      <c r="G69" s="13">
        <f>VLOOKUP(A69,'Orçamento Analítico'!$A:$H,8,0)</f>
        <v>1364.02</v>
      </c>
      <c r="H69" s="13">
        <f t="shared" si="8"/>
        <v>1364.02</v>
      </c>
    </row>
    <row r="70" spans="1:8" x14ac:dyDescent="0.2">
      <c r="A70" s="14" t="s">
        <v>175</v>
      </c>
      <c r="B70" s="14"/>
      <c r="C70" s="14"/>
      <c r="D70" s="14" t="s">
        <v>176</v>
      </c>
      <c r="E70" s="14"/>
      <c r="F70" s="15"/>
      <c r="G70" s="14"/>
      <c r="H70" s="16">
        <f>H71</f>
        <v>120.6</v>
      </c>
    </row>
    <row r="71" spans="1:8" ht="22.5" x14ac:dyDescent="0.2">
      <c r="A71" s="10" t="s">
        <v>177</v>
      </c>
      <c r="B71" s="11" t="s">
        <v>178</v>
      </c>
      <c r="C71" s="11" t="str">
        <f>VLOOKUP(B71,'Insumos e Serviços'!$A:$F,2,0)</f>
        <v>SINAPI</v>
      </c>
      <c r="D71" s="10" t="str">
        <f>VLOOKUP(B71,'Insumos e Serviços'!$A:$F,4,0)</f>
        <v>TUBO, PVC, SOLDÁVEL, DN 25MM, INSTALADO EM DRENO DE AR-CONDICIONADO - FORNECIMENTO E INSTALAÇÃO. AF_12/2014</v>
      </c>
      <c r="E71" s="11" t="str">
        <f>VLOOKUP(B71,'Insumos e Serviços'!$A:$F,5,0)</f>
        <v>M</v>
      </c>
      <c r="F71" s="12">
        <v>10</v>
      </c>
      <c r="G71" s="13">
        <f>VLOOKUP(B71,'Insumos e Serviços'!$A:$F,6,0)</f>
        <v>12.06</v>
      </c>
      <c r="H71" s="13">
        <f>TRUNC(F71 * G71, 2)</f>
        <v>120.6</v>
      </c>
    </row>
    <row r="72" spans="1:8" x14ac:dyDescent="0.2">
      <c r="A72" s="14" t="s">
        <v>180</v>
      </c>
      <c r="B72" s="14"/>
      <c r="C72" s="14"/>
      <c r="D72" s="14" t="s">
        <v>181</v>
      </c>
      <c r="E72" s="14"/>
      <c r="F72" s="15"/>
      <c r="G72" s="14"/>
      <c r="H72" s="16">
        <f>SUM(H73:H76)</f>
        <v>3148.75</v>
      </c>
    </row>
    <row r="73" spans="1:8" ht="33.75" x14ac:dyDescent="0.2">
      <c r="A73" s="10" t="s">
        <v>182</v>
      </c>
      <c r="B73" s="11" t="s">
        <v>183</v>
      </c>
      <c r="C73" s="11" t="s">
        <v>15</v>
      </c>
      <c r="D73" s="10" t="s">
        <v>184</v>
      </c>
      <c r="E73" s="11" t="s">
        <v>40</v>
      </c>
      <c r="F73" s="12">
        <v>1</v>
      </c>
      <c r="G73" s="13">
        <f>VLOOKUP(A73,'Orçamento Analítico'!$A:$H,8,0)</f>
        <v>192.45000000000002</v>
      </c>
      <c r="H73" s="13">
        <f t="shared" ref="H73:H75" si="9">TRUNC(F73 * G73, 2)</f>
        <v>192.45</v>
      </c>
    </row>
    <row r="74" spans="1:8" ht="45" x14ac:dyDescent="0.2">
      <c r="A74" s="10" t="s">
        <v>185</v>
      </c>
      <c r="B74" s="11" t="s">
        <v>186</v>
      </c>
      <c r="C74" s="11" t="s">
        <v>15</v>
      </c>
      <c r="D74" s="10" t="s">
        <v>187</v>
      </c>
      <c r="E74" s="11" t="s">
        <v>110</v>
      </c>
      <c r="F74" s="12">
        <v>30</v>
      </c>
      <c r="G74" s="13">
        <f>VLOOKUP(A74,'Orçamento Analítico'!$A:$H,8,0)</f>
        <v>40.620000000000005</v>
      </c>
      <c r="H74" s="13">
        <f t="shared" si="9"/>
        <v>1218.5999999999999</v>
      </c>
    </row>
    <row r="75" spans="1:8" ht="45" x14ac:dyDescent="0.2">
      <c r="A75" s="10" t="s">
        <v>188</v>
      </c>
      <c r="B75" s="11" t="s">
        <v>189</v>
      </c>
      <c r="C75" s="11" t="s">
        <v>15</v>
      </c>
      <c r="D75" s="10" t="s">
        <v>190</v>
      </c>
      <c r="E75" s="11" t="s">
        <v>36</v>
      </c>
      <c r="F75" s="12">
        <v>30</v>
      </c>
      <c r="G75" s="13">
        <f>VLOOKUP(A75,'Orçamento Analítico'!$A:$H,8,0)</f>
        <v>52.459999999999994</v>
      </c>
      <c r="H75" s="13">
        <f t="shared" si="9"/>
        <v>1573.8</v>
      </c>
    </row>
    <row r="76" spans="1:8" ht="33.75" x14ac:dyDescent="0.2">
      <c r="A76" s="10" t="s">
        <v>191</v>
      </c>
      <c r="B76" s="11" t="s">
        <v>192</v>
      </c>
      <c r="C76" s="11" t="str">
        <f>VLOOKUP(B76,'Insumos e Serviços'!$A:$F,2,0)</f>
        <v>SINAPI</v>
      </c>
      <c r="D76" s="10" t="str">
        <f>VLOOKUP(B76,'Insumos e Serviços'!$A:$F,4,0)</f>
        <v>VÁLVULA DE ESFERA BRUTA, BRONZE, ROSCÁVEL, 3/4'', INSTALADO EM RESERVAÇÃO DE ÁGUA DE EDIFICAÇÃO QUE POSSUA RESERVATÓRIO DE FIBRA/FIBROCIMENTO - FORNECIMENTO E INSTALAÇÃO. AF_06/2016</v>
      </c>
      <c r="E76" s="11" t="str">
        <f>VLOOKUP(B76,'Insumos e Serviços'!$A:$F,5,0)</f>
        <v>UN</v>
      </c>
      <c r="F76" s="12">
        <v>2</v>
      </c>
      <c r="G76" s="13">
        <f>VLOOKUP(B76,'Insumos e Serviços'!$A:$F,6,0)</f>
        <v>81.95</v>
      </c>
      <c r="H76" s="13">
        <f>TRUNC(F76 * G76, 2)</f>
        <v>163.9</v>
      </c>
    </row>
    <row r="77" spans="1:8" x14ac:dyDescent="0.2">
      <c r="A77" s="14" t="s">
        <v>194</v>
      </c>
      <c r="B77" s="14"/>
      <c r="C77" s="14"/>
      <c r="D77" s="14" t="s">
        <v>195</v>
      </c>
      <c r="E77" s="14"/>
      <c r="F77" s="15"/>
      <c r="G77" s="14"/>
      <c r="H77" s="16">
        <f>SUM(H78:H79)</f>
        <v>4683.2699999999995</v>
      </c>
    </row>
    <row r="78" spans="1:8" ht="22.5" x14ac:dyDescent="0.2">
      <c r="A78" s="10" t="s">
        <v>196</v>
      </c>
      <c r="B78" s="11" t="s">
        <v>197</v>
      </c>
      <c r="C78" s="11" t="s">
        <v>15</v>
      </c>
      <c r="D78" s="10" t="s">
        <v>198</v>
      </c>
      <c r="E78" s="11" t="s">
        <v>40</v>
      </c>
      <c r="F78" s="12">
        <v>1</v>
      </c>
      <c r="G78" s="13">
        <f>VLOOKUP(A78,'Orçamento Analítico'!$A:$H,8,0)</f>
        <v>788.58999999999992</v>
      </c>
      <c r="H78" s="13">
        <f>TRUNC(F78 * G78, 2)</f>
        <v>788.59</v>
      </c>
    </row>
    <row r="79" spans="1:8" ht="101.25" x14ac:dyDescent="0.2">
      <c r="A79" s="10" t="s">
        <v>199</v>
      </c>
      <c r="B79" s="11" t="s">
        <v>200</v>
      </c>
      <c r="C79" s="11" t="s">
        <v>15</v>
      </c>
      <c r="D79" s="10" t="s">
        <v>201</v>
      </c>
      <c r="E79" s="11" t="s">
        <v>40</v>
      </c>
      <c r="F79" s="12">
        <v>1</v>
      </c>
      <c r="G79" s="13">
        <f>VLOOKUP(A79,'Orçamento Analítico'!$A:$H,8,0)</f>
        <v>3894.6800000000003</v>
      </c>
      <c r="H79" s="13">
        <f>TRUNC(F79 * G79, 2)</f>
        <v>3894.68</v>
      </c>
    </row>
    <row r="80" spans="1:8" x14ac:dyDescent="0.2">
      <c r="A80" s="14" t="s">
        <v>202</v>
      </c>
      <c r="B80" s="14"/>
      <c r="C80" s="14"/>
      <c r="D80" s="14" t="s">
        <v>203</v>
      </c>
      <c r="E80" s="14"/>
      <c r="F80" s="15"/>
      <c r="G80" s="14"/>
      <c r="H80" s="16">
        <f>SUM(H81:H82)</f>
        <v>3198.5</v>
      </c>
    </row>
    <row r="81" spans="1:8" ht="45" x14ac:dyDescent="0.2">
      <c r="A81" s="10" t="s">
        <v>204</v>
      </c>
      <c r="B81" s="11" t="s">
        <v>205</v>
      </c>
      <c r="C81" s="11" t="s">
        <v>15</v>
      </c>
      <c r="D81" s="10" t="s">
        <v>206</v>
      </c>
      <c r="E81" s="11" t="s">
        <v>36</v>
      </c>
      <c r="F81" s="12">
        <v>110</v>
      </c>
      <c r="G81" s="13">
        <f>VLOOKUP(A81,'Orçamento Analítico'!$A:$H,8,0)</f>
        <v>20.560000000000002</v>
      </c>
      <c r="H81" s="13">
        <f>TRUNC(F81 * G81, 2)</f>
        <v>2261.6</v>
      </c>
    </row>
    <row r="82" spans="1:8" x14ac:dyDescent="0.2">
      <c r="A82" s="10" t="s">
        <v>207</v>
      </c>
      <c r="B82" s="11" t="s">
        <v>208</v>
      </c>
      <c r="C82" s="11" t="str">
        <f>VLOOKUP(B82,'Insumos e Serviços'!$A:$F,2,0)</f>
        <v>SINAPI</v>
      </c>
      <c r="D82" s="10" t="str">
        <f>VLOOKUP(B82,'Insumos e Serviços'!$A:$F,4,0)</f>
        <v>CONDULETE DE ALUMÍNIO, TIPO T, PARA ELETRODUTO DE AÇO GALVANIZADO DN 25 MM (1</v>
      </c>
      <c r="E82" s="11" t="str">
        <f>VLOOKUP(B82,'Insumos e Serviços'!$A:$F,5,0)</f>
        <v>UN</v>
      </c>
      <c r="F82" s="12">
        <v>30</v>
      </c>
      <c r="G82" s="13">
        <f>VLOOKUP(B82,'Insumos e Serviços'!$A:$F,6,0)</f>
        <v>31.23</v>
      </c>
      <c r="H82" s="13">
        <f>TRUNC(F82 * G82, 2)</f>
        <v>936.9</v>
      </c>
    </row>
    <row r="83" spans="1:8" x14ac:dyDescent="0.2">
      <c r="A83" s="5" t="s">
        <v>210</v>
      </c>
      <c r="B83" s="5"/>
      <c r="C83" s="5"/>
      <c r="D83" s="5" t="s">
        <v>211</v>
      </c>
      <c r="E83" s="5"/>
      <c r="F83" s="6"/>
      <c r="G83" s="5"/>
      <c r="H83" s="6">
        <f>H84+H86</f>
        <v>3299.01</v>
      </c>
    </row>
    <row r="84" spans="1:8" x14ac:dyDescent="0.2">
      <c r="A84" s="7" t="s">
        <v>212</v>
      </c>
      <c r="B84" s="7"/>
      <c r="C84" s="7"/>
      <c r="D84" s="7" t="s">
        <v>213</v>
      </c>
      <c r="E84" s="7"/>
      <c r="F84" s="8"/>
      <c r="G84" s="7"/>
      <c r="H84" s="9">
        <f>H85</f>
        <v>1764.96</v>
      </c>
    </row>
    <row r="85" spans="1:8" x14ac:dyDescent="0.2">
      <c r="A85" s="10" t="s">
        <v>214</v>
      </c>
      <c r="B85" s="11" t="s">
        <v>215</v>
      </c>
      <c r="C85" s="11" t="str">
        <f>VLOOKUP(B85,'Insumos e Serviços'!$A:$F,2,0)</f>
        <v>SINAPI</v>
      </c>
      <c r="D85" s="10" t="str">
        <f>VLOOKUP(B85,'Insumos e Serviços'!$A:$F,4,0)</f>
        <v>ENGENHEIRO ELETRICISTA COM ENCARGOS COMPLEMENTARES</v>
      </c>
      <c r="E85" s="11" t="str">
        <f>VLOOKUP(B85,'Insumos e Serviços'!$A:$F,5,0)</f>
        <v>H</v>
      </c>
      <c r="F85" s="12">
        <v>16</v>
      </c>
      <c r="G85" s="13">
        <f>VLOOKUP(B85,'Insumos e Serviços'!$A:$F,6,0)</f>
        <v>110.31</v>
      </c>
      <c r="H85" s="13">
        <f>TRUNC(F85 * G85, 2)</f>
        <v>1764.96</v>
      </c>
    </row>
    <row r="86" spans="1:8" x14ac:dyDescent="0.2">
      <c r="A86" s="7" t="s">
        <v>218</v>
      </c>
      <c r="B86" s="7"/>
      <c r="C86" s="7"/>
      <c r="D86" s="7" t="s">
        <v>219</v>
      </c>
      <c r="E86" s="7"/>
      <c r="F86" s="8"/>
      <c r="G86" s="7"/>
      <c r="H86" s="9">
        <f>SUM(H87:H91)</f>
        <v>1534.05</v>
      </c>
    </row>
    <row r="87" spans="1:8" x14ac:dyDescent="0.2">
      <c r="A87" s="10" t="s">
        <v>220</v>
      </c>
      <c r="B87" s="11" t="s">
        <v>221</v>
      </c>
      <c r="C87" s="11" t="str">
        <f>VLOOKUP(B87,'Insumos e Serviços'!$A:$F,2,0)</f>
        <v>SINAPI</v>
      </c>
      <c r="D87" s="10" t="str">
        <f>VLOOKUP(B87,'Insumos e Serviços'!$A:$F,4,0)</f>
        <v>LIMPEZA DE PISO CERÂMICO OU PORCELANATO COM PANO ÚMIDO. AF_04/2019</v>
      </c>
      <c r="E87" s="11" t="str">
        <f>VLOOKUP(B87,'Insumos e Serviços'!$A:$F,5,0)</f>
        <v>m²</v>
      </c>
      <c r="F87" s="12">
        <v>106</v>
      </c>
      <c r="G87" s="13">
        <f>VLOOKUP(B87,'Insumos e Serviços'!$A:$F,6,0)</f>
        <v>1.66</v>
      </c>
      <c r="H87" s="13">
        <f>TRUNC(F87 * G87, 2)</f>
        <v>175.96</v>
      </c>
    </row>
    <row r="88" spans="1:8" x14ac:dyDescent="0.2">
      <c r="A88" s="10" t="s">
        <v>223</v>
      </c>
      <c r="B88" s="11" t="s">
        <v>224</v>
      </c>
      <c r="C88" s="11" t="str">
        <f>VLOOKUP(B88,'Insumos e Serviços'!$A:$F,2,0)</f>
        <v>SINAPI</v>
      </c>
      <c r="D88" s="10" t="str">
        <f>VLOOKUP(B88,'Insumos e Serviços'!$A:$F,4,0)</f>
        <v>LIMPEZA DE PISO CERÂMICO OU PORCELANATO COM VASSOURA A SECO. AF_04/2019</v>
      </c>
      <c r="E88" s="11" t="str">
        <f>VLOOKUP(B88,'Insumos e Serviços'!$A:$F,5,0)</f>
        <v>m²</v>
      </c>
      <c r="F88" s="12">
        <v>106</v>
      </c>
      <c r="G88" s="13">
        <f>VLOOKUP(B88,'Insumos e Serviços'!$A:$F,6,0)</f>
        <v>0.42</v>
      </c>
      <c r="H88" s="13">
        <f>TRUNC(F88 * G88, 2)</f>
        <v>44.52</v>
      </c>
    </row>
    <row r="89" spans="1:8" x14ac:dyDescent="0.2">
      <c r="A89" s="10" t="s">
        <v>226</v>
      </c>
      <c r="B89" s="11" t="s">
        <v>227</v>
      </c>
      <c r="C89" s="11" t="s">
        <v>15</v>
      </c>
      <c r="D89" s="10" t="s">
        <v>228</v>
      </c>
      <c r="E89" s="11" t="s">
        <v>229</v>
      </c>
      <c r="F89" s="12">
        <v>6</v>
      </c>
      <c r="G89" s="13">
        <f>VLOOKUP(A89,'Orçamento Analítico'!$A:$H,8,0)</f>
        <v>48.47</v>
      </c>
      <c r="H89" s="13">
        <f>TRUNC(F89 * G89, 2)</f>
        <v>290.82</v>
      </c>
    </row>
    <row r="90" spans="1:8" ht="22.5" x14ac:dyDescent="0.2">
      <c r="A90" s="10" t="s">
        <v>230</v>
      </c>
      <c r="B90" s="11" t="s">
        <v>231</v>
      </c>
      <c r="C90" s="11" t="str">
        <f>VLOOKUP(B90,'Insumos e Serviços'!$A:$F,2,0)</f>
        <v>SINAPI</v>
      </c>
      <c r="D90" s="10" t="str">
        <f>VLOOKUP(B90,'Insumos e Serviços'!$A:$F,4,0)</f>
        <v>TRANSPORTE HORIZONTAL COM JERICA DE 90 L, DE MASSA/ GRANEL (UNIDADE: M3XKM). AF_07/2019</v>
      </c>
      <c r="E90" s="11" t="str">
        <f>VLOOKUP(B90,'Insumos e Serviços'!$A:$F,5,0)</f>
        <v>M3XKM</v>
      </c>
      <c r="F90" s="12">
        <v>1</v>
      </c>
      <c r="G90" s="13">
        <f>VLOOKUP(B90,'Insumos e Serviços'!$A:$F,6,0)</f>
        <v>847.75</v>
      </c>
      <c r="H90" s="13">
        <f>TRUNC(F90 * G90, 2)</f>
        <v>847.75</v>
      </c>
    </row>
    <row r="91" spans="1:8" x14ac:dyDescent="0.2">
      <c r="A91" s="10" t="s">
        <v>234</v>
      </c>
      <c r="B91" s="11" t="s">
        <v>235</v>
      </c>
      <c r="C91" s="11" t="str">
        <f>VLOOKUP(B91,'Insumos e Serviços'!$A:$F,2,0)</f>
        <v>SINAPI</v>
      </c>
      <c r="D91" s="10" t="str">
        <f>VLOOKUP(B91,'Insumos e Serviços'!$A:$F,4,0)</f>
        <v>TRANSPORTE HORIZONTAL MANUAL, DE LATA DE 18 LITROS (UNIDADE: LXKM). AF_07/2019</v>
      </c>
      <c r="E91" s="11" t="str">
        <f>VLOOKUP(B91,'Insumos e Serviços'!$A:$F,5,0)</f>
        <v>LXKM</v>
      </c>
      <c r="F91" s="12">
        <v>100</v>
      </c>
      <c r="G91" s="13">
        <f>VLOOKUP(B91,'Insumos e Serviços'!$A:$F,6,0)</f>
        <v>1.75</v>
      </c>
      <c r="H91" s="13">
        <f>TRUNC(F91 * G91, 2)</f>
        <v>175</v>
      </c>
    </row>
    <row r="92" spans="1:8" x14ac:dyDescent="0.2">
      <c r="A92" s="5" t="s">
        <v>238</v>
      </c>
      <c r="B92" s="5"/>
      <c r="C92" s="5"/>
      <c r="D92" s="5" t="s">
        <v>239</v>
      </c>
      <c r="E92" s="5"/>
      <c r="F92" s="6"/>
      <c r="G92" s="5"/>
      <c r="H92" s="6">
        <f>H93</f>
        <v>14641.74</v>
      </c>
    </row>
    <row r="93" spans="1:8" x14ac:dyDescent="0.2">
      <c r="A93" s="7" t="s">
        <v>240</v>
      </c>
      <c r="B93" s="7"/>
      <c r="C93" s="7"/>
      <c r="D93" s="7" t="s">
        <v>241</v>
      </c>
      <c r="E93" s="7"/>
      <c r="F93" s="8"/>
      <c r="G93" s="7"/>
      <c r="H93" s="9">
        <f>SUM(H94:H95)</f>
        <v>14641.74</v>
      </c>
    </row>
    <row r="94" spans="1:8" x14ac:dyDescent="0.2">
      <c r="A94" s="10" t="s">
        <v>242</v>
      </c>
      <c r="B94" s="11" t="s">
        <v>243</v>
      </c>
      <c r="C94" s="11" t="str">
        <f>VLOOKUP(B94,'Insumos e Serviços'!$A:$F,2,0)</f>
        <v>SINAPI</v>
      </c>
      <c r="D94" s="10" t="str">
        <f>VLOOKUP(B94,'Insumos e Serviços'!$A:$F,4,0)</f>
        <v>ENCARREGADO GERAL DE OBRAS COM ENCARGOS COMPLEMENTARES</v>
      </c>
      <c r="E94" s="11" t="str">
        <f>VLOOKUP(B94,'Insumos e Serviços'!$A:$F,5,0)</f>
        <v>MES</v>
      </c>
      <c r="F94" s="12">
        <v>2</v>
      </c>
      <c r="G94" s="13">
        <f>VLOOKUP(B94,'Insumos e Serviços'!$A:$F,6,0)</f>
        <v>3349.71</v>
      </c>
      <c r="H94" s="13">
        <f>TRUNC(F94 * G94, 2)</f>
        <v>6699.42</v>
      </c>
    </row>
    <row r="95" spans="1:8" x14ac:dyDescent="0.2">
      <c r="A95" s="10" t="s">
        <v>246</v>
      </c>
      <c r="B95" s="11" t="s">
        <v>215</v>
      </c>
      <c r="C95" s="11" t="str">
        <f>VLOOKUP(B95,'Insumos e Serviços'!$A:$F,2,0)</f>
        <v>SINAPI</v>
      </c>
      <c r="D95" s="10" t="str">
        <f>VLOOKUP(B95,'Insumos e Serviços'!$A:$F,4,0)</f>
        <v>ENGENHEIRO ELETRICISTA COM ENCARGOS COMPLEMENTARES</v>
      </c>
      <c r="E95" s="11" t="str">
        <f>VLOOKUP(B95,'Insumos e Serviços'!$A:$F,5,0)</f>
        <v>H</v>
      </c>
      <c r="F95" s="12">
        <v>72</v>
      </c>
      <c r="G95" s="13">
        <f>VLOOKUP(B95,'Insumos e Serviços'!$A:$F,6,0)</f>
        <v>110.31</v>
      </c>
      <c r="H95" s="13">
        <f>TRUNC(F95 * G95, 2)</f>
        <v>7942.32</v>
      </c>
    </row>
    <row r="96" spans="1:8" x14ac:dyDescent="0.2">
      <c r="A96" s="1"/>
      <c r="B96" s="1"/>
      <c r="C96" s="1"/>
      <c r="D96" s="1"/>
      <c r="E96" s="1"/>
      <c r="F96" s="1"/>
      <c r="G96" s="1"/>
      <c r="H96" s="1"/>
    </row>
    <row r="97" spans="1:8" x14ac:dyDescent="0.2">
      <c r="A97" s="17" t="s">
        <v>251</v>
      </c>
      <c r="B97" s="18">
        <f>1-B98</f>
        <v>0.5</v>
      </c>
      <c r="C97" s="19"/>
      <c r="D97" s="20" t="s">
        <v>247</v>
      </c>
      <c r="E97" s="20"/>
      <c r="F97" s="21"/>
      <c r="G97" s="158">
        <f>H9+H12+H19+H39+H61+H83+H92</f>
        <v>117232.8</v>
      </c>
      <c r="H97" s="158"/>
    </row>
    <row r="98" spans="1:8" x14ac:dyDescent="0.2">
      <c r="A98" s="167" t="s">
        <v>252</v>
      </c>
      <c r="B98" s="169">
        <v>0.5</v>
      </c>
      <c r="C98" s="19"/>
      <c r="D98" s="19" t="s">
        <v>248</v>
      </c>
      <c r="E98" s="19" t="str">
        <f>CONCATENATE("(",'Composição de BDI'!D24*100,"%)")</f>
        <v>(22,12%)</v>
      </c>
      <c r="F98" s="21"/>
      <c r="G98" s="158">
        <f>TRUNC(G97*'Composição de BDI'!D24,2)</f>
        <v>25931.89</v>
      </c>
      <c r="H98" s="158"/>
    </row>
    <row r="99" spans="1:8" x14ac:dyDescent="0.2">
      <c r="A99" s="168"/>
      <c r="B99" s="170"/>
      <c r="C99" s="19"/>
      <c r="D99" s="20" t="s">
        <v>249</v>
      </c>
      <c r="E99" s="20"/>
      <c r="F99" s="21"/>
      <c r="G99" s="158">
        <f>G97+G98</f>
        <v>143164.69</v>
      </c>
      <c r="H99" s="158"/>
    </row>
  </sheetData>
  <mergeCells count="20">
    <mergeCell ref="C4:D4"/>
    <mergeCell ref="E4:F4"/>
    <mergeCell ref="G4:H4"/>
    <mergeCell ref="G6:H6"/>
    <mergeCell ref="A7:H7"/>
    <mergeCell ref="G99:H99"/>
    <mergeCell ref="G1:H1"/>
    <mergeCell ref="A3:B3"/>
    <mergeCell ref="C3:D3"/>
    <mergeCell ref="A6:B6"/>
    <mergeCell ref="C6:D6"/>
    <mergeCell ref="G97:H97"/>
    <mergeCell ref="A98:A99"/>
    <mergeCell ref="B98:B99"/>
    <mergeCell ref="G98:H98"/>
    <mergeCell ref="E6:F6"/>
    <mergeCell ref="A2:B2"/>
    <mergeCell ref="E2:F2"/>
    <mergeCell ref="G2:H2"/>
    <mergeCell ref="A4:B4"/>
  </mergeCells>
  <printOptions horizontalCentered="1"/>
  <pageMargins left="0.59055118110236227" right="0.59055118110236227" top="0.59055118110236227" bottom="0.59055118110236227" header="0.19685039370078741" footer="0.19685039370078741"/>
  <pageSetup paperSize="9" scale="60" fitToHeight="0" orientation="portrait" r:id="rId1"/>
  <headerFooter>
    <oddHeader>&amp;L &amp;C &amp;R</oddHeader>
    <oddFooter>&amp;L &amp;C &amp;R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DC9BB-B3A3-4CDF-9C1A-87760C34A8F8}">
  <sheetPr>
    <pageSetUpPr fitToPage="1"/>
  </sheetPr>
  <dimension ref="A1:H182"/>
  <sheetViews>
    <sheetView showGridLines="0" showOutlineSymbols="0" showWhiteSpace="0" zoomScaleNormal="100" workbookViewId="0">
      <pane xSplit="8" ySplit="8" topLeftCell="I9" activePane="bottomRight" state="frozen"/>
      <selection pane="topRight" activeCell="I1" sqref="I1"/>
      <selection pane="bottomLeft" activeCell="A9" sqref="A9"/>
      <selection pane="bottomRight" activeCell="I9" sqref="I9"/>
    </sheetView>
  </sheetViews>
  <sheetFormatPr defaultRowHeight="14.25" x14ac:dyDescent="0.2"/>
  <cols>
    <col min="1" max="1" width="10" bestFit="1" customWidth="1"/>
    <col min="2" max="2" width="12" bestFit="1" customWidth="1"/>
    <col min="3" max="3" width="10" bestFit="1" customWidth="1"/>
    <col min="4" max="4" width="60" bestFit="1" customWidth="1"/>
    <col min="5" max="5" width="8" customWidth="1"/>
    <col min="6" max="6" width="11.625" customWidth="1"/>
    <col min="7" max="8" width="12.625" customWidth="1"/>
  </cols>
  <sheetData>
    <row r="1" spans="1:8" s="129" customFormat="1" x14ac:dyDescent="0.2">
      <c r="A1" s="126" t="str">
        <f>'Orçamento Sintético'!A1</f>
        <v>P. Execução:</v>
      </c>
      <c r="B1" s="141"/>
      <c r="C1" s="126" t="str">
        <f>'Orçamento Sintético'!C1</f>
        <v>Licitação:</v>
      </c>
      <c r="D1" s="127" t="str">
        <f>'Orçamento Sintético'!D1</f>
        <v>Objeto: Adequações Sala de Situação</v>
      </c>
      <c r="E1" s="126" t="str">
        <f>'Orçamento Sintético'!E1</f>
        <v>Data:</v>
      </c>
      <c r="F1" s="146"/>
      <c r="G1" s="176"/>
      <c r="H1" s="160"/>
    </row>
    <row r="2" spans="1:8" s="129" customFormat="1" x14ac:dyDescent="0.2">
      <c r="A2" s="165" t="str">
        <f>'Orçamento Sintético'!A2:B2</f>
        <v>A</v>
      </c>
      <c r="B2" s="166"/>
      <c r="C2" s="131" t="str">
        <f>'Orçamento Sintético'!C2</f>
        <v>B</v>
      </c>
      <c r="D2" s="130" t="str">
        <f>'Orçamento Sintético'!D2</f>
        <v>Local: Praça do Buriti Bloco A, Lote 2 - Zona Cívico-Administrativa - Brasília / DF</v>
      </c>
      <c r="E2" s="177">
        <f>'Orçamento Sintético'!E2:F2</f>
        <v>1</v>
      </c>
      <c r="F2" s="178"/>
      <c r="G2" s="174"/>
      <c r="H2" s="175"/>
    </row>
    <row r="3" spans="1:8" s="129" customFormat="1" x14ac:dyDescent="0.2">
      <c r="A3" s="132" t="str">
        <f>'Orçamento Sintético'!A3</f>
        <v>P. Validade:</v>
      </c>
      <c r="B3" s="141"/>
      <c r="C3" s="132" t="str">
        <f>'Orçamento Sintético'!C3</f>
        <v>Razão Social:</v>
      </c>
      <c r="D3" s="141"/>
      <c r="E3" s="126" t="str">
        <f>'Orçamento Sintético'!E3</f>
        <v>Telefone:</v>
      </c>
      <c r="F3" s="146"/>
      <c r="G3" s="144"/>
      <c r="H3" s="145"/>
    </row>
    <row r="4" spans="1:8" s="129" customFormat="1" x14ac:dyDescent="0.2">
      <c r="A4" s="165" t="str">
        <f>'Orçamento Sintético'!A4:B4</f>
        <v>C</v>
      </c>
      <c r="B4" s="166"/>
      <c r="C4" s="165" t="str">
        <f>'Orçamento Sintético'!C4:D4</f>
        <v>D</v>
      </c>
      <c r="D4" s="166"/>
      <c r="E4" s="165" t="str">
        <f>'Orçamento Sintético'!E4:F4</f>
        <v>E</v>
      </c>
      <c r="F4" s="166"/>
      <c r="G4" s="174"/>
      <c r="H4" s="175"/>
    </row>
    <row r="5" spans="1:8" s="129" customFormat="1" x14ac:dyDescent="0.2">
      <c r="A5" s="126" t="str">
        <f>'Orçamento Sintético'!A5</f>
        <v>P. Garantia:</v>
      </c>
      <c r="B5" s="141"/>
      <c r="C5" s="126" t="str">
        <f>'Orçamento Sintético'!C5</f>
        <v>CNPJ:</v>
      </c>
      <c r="D5" s="141"/>
      <c r="E5" s="126" t="str">
        <f>'Orçamento Sintético'!E5</f>
        <v>E-mail:</v>
      </c>
      <c r="F5" s="146"/>
      <c r="G5" s="144"/>
      <c r="H5" s="145"/>
    </row>
    <row r="6" spans="1:8" s="129" customFormat="1" x14ac:dyDescent="0.2">
      <c r="A6" s="165" t="str">
        <f>'Orçamento Sintético'!A6:B6</f>
        <v>F</v>
      </c>
      <c r="B6" s="166"/>
      <c r="C6" s="165" t="str">
        <f>'Orçamento Sintético'!C6:D6</f>
        <v>G</v>
      </c>
      <c r="D6" s="166"/>
      <c r="E6" s="165" t="str">
        <f>'Orçamento Sintético'!E6:F6</f>
        <v>H</v>
      </c>
      <c r="F6" s="166"/>
      <c r="G6" s="163"/>
      <c r="H6" s="164"/>
    </row>
    <row r="7" spans="1:8" ht="15" x14ac:dyDescent="0.25">
      <c r="A7" s="153" t="s">
        <v>366</v>
      </c>
      <c r="B7" s="154"/>
      <c r="C7" s="154"/>
      <c r="D7" s="154"/>
      <c r="E7" s="154"/>
      <c r="F7" s="154"/>
      <c r="G7" s="154"/>
      <c r="H7" s="154"/>
    </row>
    <row r="8" spans="1:8" s="150" customFormat="1" x14ac:dyDescent="0.2">
      <c r="A8" s="74" t="s">
        <v>1</v>
      </c>
      <c r="B8" s="74" t="s">
        <v>2</v>
      </c>
      <c r="C8" s="74" t="s">
        <v>3</v>
      </c>
      <c r="D8" s="74" t="s">
        <v>4</v>
      </c>
      <c r="E8" s="74" t="s">
        <v>5</v>
      </c>
      <c r="F8" s="4" t="s">
        <v>6</v>
      </c>
      <c r="G8" s="74" t="s">
        <v>7</v>
      </c>
      <c r="H8" s="74" t="s">
        <v>8</v>
      </c>
    </row>
    <row r="9" spans="1:8" x14ac:dyDescent="0.2">
      <c r="A9" s="26" t="s">
        <v>9</v>
      </c>
      <c r="B9" s="26"/>
      <c r="C9" s="26"/>
      <c r="D9" s="26" t="s">
        <v>10</v>
      </c>
      <c r="E9" s="27"/>
      <c r="F9" s="28"/>
      <c r="G9" s="26"/>
      <c r="H9" s="24"/>
    </row>
    <row r="10" spans="1:8" x14ac:dyDescent="0.2">
      <c r="A10" s="29" t="s">
        <v>11</v>
      </c>
      <c r="B10" s="29"/>
      <c r="C10" s="29"/>
      <c r="D10" s="29" t="s">
        <v>12</v>
      </c>
      <c r="E10" s="30"/>
      <c r="F10" s="31"/>
      <c r="G10" s="29"/>
      <c r="H10" s="32"/>
    </row>
    <row r="11" spans="1:8" x14ac:dyDescent="0.2">
      <c r="A11" s="35" t="s">
        <v>13</v>
      </c>
      <c r="B11" s="106" t="str">
        <f>VLOOKUP(A11,'Orçamento Sintético'!$A:$H,2,0)</f>
        <v xml:space="preserve"> MPDFT0009 </v>
      </c>
      <c r="C11" s="106" t="str">
        <f>VLOOKUP(A11,'Orçamento Sintético'!$A:$H,3,0)</f>
        <v>Próprio</v>
      </c>
      <c r="D11" s="107" t="str">
        <f>VLOOKUP(A11,'Orçamento Sintético'!$A:$H,4,0)</f>
        <v>Registro do contrato junto ao conselho de classe (ART)</v>
      </c>
      <c r="E11" s="106" t="str">
        <f>VLOOKUP(A11,'Orçamento Sintético'!$A:$H,5,0)</f>
        <v>vb</v>
      </c>
      <c r="F11" s="108"/>
      <c r="G11" s="38"/>
      <c r="H11" s="38">
        <f>H12</f>
        <v>233.94</v>
      </c>
    </row>
    <row r="12" spans="1:8" ht="15" thickBot="1" x14ac:dyDescent="0.25">
      <c r="A12" s="109" t="str">
        <f>VLOOKUP(B12,'Insumos e Serviços'!$A:$F,3,0)</f>
        <v>Insumo</v>
      </c>
      <c r="B12" s="109" t="s">
        <v>365</v>
      </c>
      <c r="C12" s="11" t="str">
        <f>VLOOKUP(B12,'Insumos e Serviços'!$A:$F,2,0)</f>
        <v>Próprio</v>
      </c>
      <c r="D12" s="110" t="str">
        <f>VLOOKUP(B12,'Insumos e Serviços'!$A:$F,4,0)</f>
        <v>Anotação de Resposanbilidade Técnica (Faixa 3 - Tabela A - CONFEA)</v>
      </c>
      <c r="E12" s="109" t="str">
        <f>VLOOKUP(B12,'Insumos e Serviços'!$A:$F,5,0)</f>
        <v>vb</v>
      </c>
      <c r="F12" s="111">
        <v>1</v>
      </c>
      <c r="G12" s="112">
        <f>VLOOKUP(B12,'Insumos e Serviços'!$A:$F,6,0)</f>
        <v>233.94</v>
      </c>
      <c r="H12" s="112">
        <f>TRUNC(F12*G12,2)</f>
        <v>233.94</v>
      </c>
    </row>
    <row r="13" spans="1:8" ht="15" thickTop="1" x14ac:dyDescent="0.2">
      <c r="A13" s="34"/>
      <c r="B13" s="34"/>
      <c r="C13" s="34"/>
      <c r="D13" s="34"/>
      <c r="E13" s="34"/>
      <c r="F13" s="34"/>
      <c r="G13" s="34"/>
      <c r="H13" s="34"/>
    </row>
    <row r="14" spans="1:8" x14ac:dyDescent="0.2">
      <c r="A14" s="26" t="s">
        <v>18</v>
      </c>
      <c r="B14" s="26"/>
      <c r="C14" s="26"/>
      <c r="D14" s="26" t="s">
        <v>19</v>
      </c>
      <c r="E14" s="27"/>
      <c r="F14" s="28"/>
      <c r="G14" s="26"/>
      <c r="H14" s="24"/>
    </row>
    <row r="15" spans="1:8" x14ac:dyDescent="0.2">
      <c r="A15" s="29" t="s">
        <v>20</v>
      </c>
      <c r="B15" s="29"/>
      <c r="C15" s="29"/>
      <c r="D15" s="29" t="s">
        <v>21</v>
      </c>
      <c r="E15" s="30"/>
      <c r="F15" s="31"/>
      <c r="G15" s="29"/>
      <c r="H15" s="32"/>
    </row>
    <row r="16" spans="1:8" x14ac:dyDescent="0.2">
      <c r="A16" s="35" t="s">
        <v>22</v>
      </c>
      <c r="B16" s="35"/>
      <c r="C16" s="35"/>
      <c r="D16" s="35" t="s">
        <v>23</v>
      </c>
      <c r="E16" s="36"/>
      <c r="F16" s="37"/>
      <c r="G16" s="35"/>
      <c r="H16" s="38"/>
    </row>
    <row r="17" spans="1:8" x14ac:dyDescent="0.2">
      <c r="A17" s="33" t="s">
        <v>33</v>
      </c>
      <c r="B17" s="106" t="str">
        <f>VLOOKUP(A17,'Orçamento Sintético'!$A:$H,2,0)</f>
        <v xml:space="preserve"> MPDFT0611 </v>
      </c>
      <c r="C17" s="106" t="str">
        <f>VLOOKUP(A17,'Orçamento Sintético'!$A:$H,3,0)</f>
        <v>Próprio</v>
      </c>
      <c r="D17" s="107" t="str">
        <f>VLOOKUP(A17,'Orçamento Sintético'!$A:$H,4,0)</f>
        <v>Copia da SBC (022358) - RETIRADA DE GRELHA</v>
      </c>
      <c r="E17" s="106" t="str">
        <f>VLOOKUP(A17,'Orçamento Sintético'!$A:$H,5,0)</f>
        <v>m</v>
      </c>
      <c r="F17" s="108"/>
      <c r="G17" s="38"/>
      <c r="H17" s="38">
        <f>SUM(H18:H19)</f>
        <v>12.48</v>
      </c>
    </row>
    <row r="18" spans="1:8" x14ac:dyDescent="0.2">
      <c r="A18" s="109" t="str">
        <f>VLOOKUP(B18,'Insumos e Serviços'!$A:$F,3,0)</f>
        <v>Composição</v>
      </c>
      <c r="B18" s="109" t="s">
        <v>363</v>
      </c>
      <c r="C18" s="11" t="str">
        <f>VLOOKUP(B18,'Insumos e Serviços'!$A:$F,2,0)</f>
        <v>SINAPI</v>
      </c>
      <c r="D18" s="110" t="str">
        <f>VLOOKUP(B18,'Insumos e Serviços'!$A:$F,4,0)</f>
        <v>PEDREIRO COM ENCARGOS COMPLEMENTARES</v>
      </c>
      <c r="E18" s="109" t="str">
        <f>VLOOKUP(B18,'Insumos e Serviços'!$A:$F,5,0)</f>
        <v>H</v>
      </c>
      <c r="F18" s="111">
        <v>0.309</v>
      </c>
      <c r="G18" s="112">
        <f>VLOOKUP(B18,'Insumos e Serviços'!$A:$F,6,0)</f>
        <v>23.25</v>
      </c>
      <c r="H18" s="112">
        <f t="shared" ref="H18:H19" si="0">TRUNC(F18*G18,2)</f>
        <v>7.18</v>
      </c>
    </row>
    <row r="19" spans="1:8" ht="15" thickBot="1" x14ac:dyDescent="0.25">
      <c r="A19" s="109" t="str">
        <f>VLOOKUP(B19,'Insumos e Serviços'!$A:$F,3,0)</f>
        <v>Composição</v>
      </c>
      <c r="B19" s="109" t="s">
        <v>258</v>
      </c>
      <c r="C19" s="11" t="str">
        <f>VLOOKUP(B19,'Insumos e Serviços'!$A:$F,2,0)</f>
        <v>SINAPI</v>
      </c>
      <c r="D19" s="110" t="str">
        <f>VLOOKUP(B19,'Insumos e Serviços'!$A:$F,4,0)</f>
        <v>SERVENTE COM ENCARGOS COMPLEMENTARES</v>
      </c>
      <c r="E19" s="109" t="str">
        <f>VLOOKUP(B19,'Insumos e Serviços'!$A:$F,5,0)</f>
        <v>H</v>
      </c>
      <c r="F19" s="111">
        <v>0.309</v>
      </c>
      <c r="G19" s="112">
        <f>VLOOKUP(B19,'Insumos e Serviços'!$A:$F,6,0)</f>
        <v>17.170000000000002</v>
      </c>
      <c r="H19" s="112">
        <f t="shared" si="0"/>
        <v>5.3</v>
      </c>
    </row>
    <row r="20" spans="1:8" ht="15" thickTop="1" x14ac:dyDescent="0.2">
      <c r="A20" s="34"/>
      <c r="B20" s="34"/>
      <c r="C20" s="34"/>
      <c r="D20" s="34"/>
      <c r="E20" s="34"/>
      <c r="F20" s="34"/>
      <c r="G20" s="34"/>
      <c r="H20" s="34"/>
    </row>
    <row r="21" spans="1:8" x14ac:dyDescent="0.2">
      <c r="A21" s="33" t="s">
        <v>37</v>
      </c>
      <c r="B21" s="106" t="str">
        <f>VLOOKUP(A21,'Orçamento Sintético'!$A:$H,2,0)</f>
        <v xml:space="preserve"> MPDFT1008 </v>
      </c>
      <c r="C21" s="106" t="str">
        <f>VLOOKUP(A21,'Orçamento Sintético'!$A:$H,3,0)</f>
        <v>Próprio</v>
      </c>
      <c r="D21" s="107" t="str">
        <f>VLOOKUP(A21,'Orçamento Sintético'!$A:$H,4,0)</f>
        <v>Remoção de detector de fumaça</v>
      </c>
      <c r="E21" s="106" t="str">
        <f>VLOOKUP(A21,'Orçamento Sintético'!$A:$H,5,0)</f>
        <v>un</v>
      </c>
      <c r="F21" s="108"/>
      <c r="G21" s="38"/>
      <c r="H21" s="38">
        <f>SUM(H22:H23)</f>
        <v>10.43</v>
      </c>
    </row>
    <row r="22" spans="1:8" x14ac:dyDescent="0.2">
      <c r="A22" s="109" t="str">
        <f>VLOOKUP(B22,'Insumos e Serviços'!$A:$F,3,0)</f>
        <v>Composição</v>
      </c>
      <c r="B22" s="109" t="s">
        <v>266</v>
      </c>
      <c r="C22" s="11" t="str">
        <f>VLOOKUP(B22,'Insumos e Serviços'!$A:$F,2,0)</f>
        <v>SINAPI</v>
      </c>
      <c r="D22" s="110" t="str">
        <f>VLOOKUP(B22,'Insumos e Serviços'!$A:$F,4,0)</f>
        <v>ELETRICISTA COM ENCARGOS COMPLEMENTARES</v>
      </c>
      <c r="E22" s="109" t="str">
        <f>VLOOKUP(B22,'Insumos e Serviços'!$A:$F,5,0)</f>
        <v>H</v>
      </c>
      <c r="F22" s="111">
        <v>0.25</v>
      </c>
      <c r="G22" s="112">
        <f>VLOOKUP(B22,'Insumos e Serviços'!$A:$F,6,0)</f>
        <v>23.44</v>
      </c>
      <c r="H22" s="112">
        <f t="shared" ref="H22:H23" si="1">TRUNC(F22*G22,2)</f>
        <v>5.86</v>
      </c>
    </row>
    <row r="23" spans="1:8" ht="15" thickBot="1" x14ac:dyDescent="0.25">
      <c r="A23" s="109" t="str">
        <f>VLOOKUP(B23,'Insumos e Serviços'!$A:$F,3,0)</f>
        <v>Composição</v>
      </c>
      <c r="B23" s="109" t="s">
        <v>268</v>
      </c>
      <c r="C23" s="11" t="str">
        <f>VLOOKUP(B23,'Insumos e Serviços'!$A:$F,2,0)</f>
        <v>SINAPI</v>
      </c>
      <c r="D23" s="110" t="str">
        <f>VLOOKUP(B23,'Insumos e Serviços'!$A:$F,4,0)</f>
        <v>AUXILIAR DE ELETRICISTA COM ENCARGOS COMPLEMENTARES</v>
      </c>
      <c r="E23" s="109" t="str">
        <f>VLOOKUP(B23,'Insumos e Serviços'!$A:$F,5,0)</f>
        <v>H</v>
      </c>
      <c r="F23" s="111">
        <v>0.25</v>
      </c>
      <c r="G23" s="112">
        <f>VLOOKUP(B23,'Insumos e Serviços'!$A:$F,6,0)</f>
        <v>18.28</v>
      </c>
      <c r="H23" s="112">
        <f t="shared" si="1"/>
        <v>4.57</v>
      </c>
    </row>
    <row r="24" spans="1:8" ht="15" thickTop="1" x14ac:dyDescent="0.2">
      <c r="A24" s="34"/>
      <c r="B24" s="34"/>
      <c r="C24" s="34"/>
      <c r="D24" s="34"/>
      <c r="E24" s="34"/>
      <c r="F24" s="34"/>
      <c r="G24" s="34"/>
      <c r="H24" s="34"/>
    </row>
    <row r="25" spans="1:8" x14ac:dyDescent="0.2">
      <c r="A25" s="26" t="s">
        <v>41</v>
      </c>
      <c r="B25" s="26"/>
      <c r="C25" s="26"/>
      <c r="D25" s="26" t="s">
        <v>42</v>
      </c>
      <c r="E25" s="27"/>
      <c r="F25" s="28"/>
      <c r="G25" s="26"/>
      <c r="H25" s="24"/>
    </row>
    <row r="26" spans="1:8" x14ac:dyDescent="0.2">
      <c r="A26" s="35" t="s">
        <v>43</v>
      </c>
      <c r="B26" s="35"/>
      <c r="C26" s="35"/>
      <c r="D26" s="35" t="s">
        <v>44</v>
      </c>
      <c r="E26" s="36"/>
      <c r="F26" s="37"/>
      <c r="G26" s="35"/>
      <c r="H26" s="38"/>
    </row>
    <row r="27" spans="1:8" x14ac:dyDescent="0.2">
      <c r="A27" s="29" t="s">
        <v>45</v>
      </c>
      <c r="B27" s="29"/>
      <c r="C27" s="29"/>
      <c r="D27" s="29" t="s">
        <v>46</v>
      </c>
      <c r="E27" s="30"/>
      <c r="F27" s="31"/>
      <c r="G27" s="29"/>
      <c r="H27" s="32"/>
    </row>
    <row r="28" spans="1:8" ht="33.75" x14ac:dyDescent="0.2">
      <c r="A28" s="33" t="s">
        <v>47</v>
      </c>
      <c r="B28" s="106" t="str">
        <f>VLOOKUP(A28,'Orçamento Sintético'!$A:$H,2,0)</f>
        <v xml:space="preserve"> MPDFT0994 </v>
      </c>
      <c r="C28" s="106" t="str">
        <f>VLOOKUP(A28,'Orçamento Sintético'!$A:$H,3,0)</f>
        <v>Próprio</v>
      </c>
      <c r="D28" s="107" t="str">
        <f>VLOOKUP(A28,'Orçamento Sintético'!$A:$H,4,0)</f>
        <v>Painel por módulos em parede, sistema de vídeowall, com ajuste de profundidade, alinhamento e altura, em MDF de e=25mm, acabamento em laminado melamínico BP padrão madeirado - ref. Duratex, raízes, imbuia terra</v>
      </c>
      <c r="E28" s="106" t="str">
        <f>VLOOKUP(A28,'Orçamento Sintético'!$A:$H,5,0)</f>
        <v>m²</v>
      </c>
      <c r="F28" s="108"/>
      <c r="G28" s="38"/>
      <c r="H28" s="38">
        <f>SUM(H29)</f>
        <v>350</v>
      </c>
    </row>
    <row r="29" spans="1:8" ht="34.5" thickBot="1" x14ac:dyDescent="0.25">
      <c r="A29" s="109" t="str">
        <f>VLOOKUP(B29,'Insumos e Serviços'!$A:$F,3,0)</f>
        <v>Insumo</v>
      </c>
      <c r="B29" s="109" t="s">
        <v>361</v>
      </c>
      <c r="C29" s="11" t="str">
        <f>VLOOKUP(B29,'Insumos e Serviços'!$A:$F,2,0)</f>
        <v>Próprio</v>
      </c>
      <c r="D29" s="110" t="str">
        <f>VLOOKUP(B29,'Insumos e Serviços'!$A:$F,4,0)</f>
        <v>Painel por módulos em parede, sistema de vídeowall, com ajuste de profundidade, alinhamento e altura, fixado por meio do sistema “mão amiga”, sem parafusos aparentes, em MDF de 25 mm de espessura, acabamento em laminado melamínico BP padrão madeirado</v>
      </c>
      <c r="E29" s="109" t="str">
        <f>VLOOKUP(B29,'Insumos e Serviços'!$A:$F,5,0)</f>
        <v>m²</v>
      </c>
      <c r="F29" s="111">
        <v>1</v>
      </c>
      <c r="G29" s="112">
        <f>VLOOKUP(B29,'Insumos e Serviços'!$A:$F,6,0)</f>
        <v>350</v>
      </c>
      <c r="H29" s="112">
        <f>TRUNC(F29*G29,2)</f>
        <v>350</v>
      </c>
    </row>
    <row r="30" spans="1:8" ht="15" thickTop="1" x14ac:dyDescent="0.2">
      <c r="A30" s="34"/>
      <c r="B30" s="34"/>
      <c r="C30" s="34"/>
      <c r="D30" s="34"/>
      <c r="E30" s="34"/>
      <c r="F30" s="34"/>
      <c r="G30" s="34"/>
      <c r="H30" s="34"/>
    </row>
    <row r="31" spans="1:8" x14ac:dyDescent="0.2">
      <c r="A31" s="29" t="s">
        <v>50</v>
      </c>
      <c r="B31" s="29"/>
      <c r="C31" s="29"/>
      <c r="D31" s="29" t="s">
        <v>51</v>
      </c>
      <c r="E31" s="30"/>
      <c r="F31" s="31"/>
      <c r="G31" s="29"/>
      <c r="H31" s="32"/>
    </row>
    <row r="32" spans="1:8" x14ac:dyDescent="0.2">
      <c r="A32" s="33" t="s">
        <v>55</v>
      </c>
      <c r="B32" s="106" t="str">
        <f>VLOOKUP(A32,'Orçamento Sintético'!$A:$H,2,0)</f>
        <v xml:space="preserve"> MPDFT1052 </v>
      </c>
      <c r="C32" s="106" t="str">
        <f>VLOOKUP(A32,'Orçamento Sintético'!$A:$H,3,0)</f>
        <v>Próprio</v>
      </c>
      <c r="D32" s="107" t="str">
        <f>VLOOKUP(A32,'Orçamento Sintético'!$A:$H,4,0)</f>
        <v>Tabica metálica pré pintada, para forro em gesso acartonado</v>
      </c>
      <c r="E32" s="106" t="str">
        <f>VLOOKUP(A32,'Orçamento Sintético'!$A:$H,5,0)</f>
        <v>m</v>
      </c>
      <c r="F32" s="108"/>
      <c r="G32" s="38"/>
      <c r="H32" s="38">
        <f>H33</f>
        <v>11.99</v>
      </c>
    </row>
    <row r="33" spans="1:8" ht="15" thickBot="1" x14ac:dyDescent="0.25">
      <c r="A33" s="109" t="str">
        <f>VLOOKUP(B33,'Insumos e Serviços'!$A:$F,3,0)</f>
        <v>Insumo</v>
      </c>
      <c r="B33" s="109" t="s">
        <v>360</v>
      </c>
      <c r="C33" s="11" t="str">
        <f>VLOOKUP(B33,'Insumos e Serviços'!$A:$F,2,0)</f>
        <v>Próprio</v>
      </c>
      <c r="D33" s="110" t="str">
        <f>VLOOKUP(B33,'Insumos e Serviços'!$A:$F,4,0)</f>
        <v>Fornecimento e instalação de tabica metálica pré pintada, para forro em gesso acartonado</v>
      </c>
      <c r="E33" s="109" t="str">
        <f>VLOOKUP(B33,'Insumos e Serviços'!$A:$F,5,0)</f>
        <v>m</v>
      </c>
      <c r="F33" s="111">
        <v>1</v>
      </c>
      <c r="G33" s="112">
        <f>VLOOKUP(B33,'Insumos e Serviços'!$A:$F,6,0)</f>
        <v>11.99</v>
      </c>
      <c r="H33" s="112">
        <f>TRUNC(F33*G33,2)</f>
        <v>11.99</v>
      </c>
    </row>
    <row r="34" spans="1:8" ht="15" thickTop="1" x14ac:dyDescent="0.2">
      <c r="A34" s="34"/>
      <c r="B34" s="34"/>
      <c r="C34" s="34"/>
      <c r="D34" s="34"/>
      <c r="E34" s="34"/>
      <c r="F34" s="34"/>
      <c r="G34" s="34"/>
      <c r="H34" s="34"/>
    </row>
    <row r="35" spans="1:8" ht="22.5" x14ac:dyDescent="0.2">
      <c r="A35" s="33" t="s">
        <v>58</v>
      </c>
      <c r="B35" s="106" t="str">
        <f>VLOOKUP(A35,'Orçamento Sintético'!$A:$H,2,0)</f>
        <v xml:space="preserve"> MPDFT1051 </v>
      </c>
      <c r="C35" s="106" t="str">
        <f>VLOOKUP(A35,'Orçamento Sintético'!$A:$H,3,0)</f>
        <v>Próprio</v>
      </c>
      <c r="D35" s="107" t="str">
        <f>VLOOKUP(A35,'Orçamento Sintético'!$A:$H,4,0)</f>
        <v>Copia da SBC (023361) - Execução de visita em forro de gesso, DM 60 x 60cm, inclusive acabamento em perfis de alumínio na cor branca</v>
      </c>
      <c r="E35" s="106" t="str">
        <f>VLOOKUP(A35,'Orçamento Sintético'!$A:$H,5,0)</f>
        <v>un</v>
      </c>
      <c r="F35" s="108"/>
      <c r="G35" s="38"/>
      <c r="H35" s="38">
        <f>SUM(H36:H39)</f>
        <v>148.53</v>
      </c>
    </row>
    <row r="36" spans="1:8" x14ac:dyDescent="0.2">
      <c r="A36" s="109" t="str">
        <f>VLOOKUP(B36,'Insumos e Serviços'!$A:$F,3,0)</f>
        <v>Composição</v>
      </c>
      <c r="B36" s="109" t="s">
        <v>358</v>
      </c>
      <c r="C36" s="11" t="str">
        <f>VLOOKUP(B36,'Insumos e Serviços'!$A:$F,2,0)</f>
        <v>SINAPI</v>
      </c>
      <c r="D36" s="110" t="str">
        <f>VLOOKUP(B36,'Insumos e Serviços'!$A:$F,4,0)</f>
        <v>GESSEIRO COM ENCARGOS COMPLEMENTARES</v>
      </c>
      <c r="E36" s="109" t="str">
        <f>VLOOKUP(B36,'Insumos e Serviços'!$A:$F,5,0)</f>
        <v>H</v>
      </c>
      <c r="F36" s="111">
        <v>0.65700000000000003</v>
      </c>
      <c r="G36" s="112">
        <f>VLOOKUP(B36,'Insumos e Serviços'!$A:$F,6,0)</f>
        <v>23.13</v>
      </c>
      <c r="H36" s="112">
        <f t="shared" ref="H36:H39" si="2">TRUNC(F36*G36,2)</f>
        <v>15.19</v>
      </c>
    </row>
    <row r="37" spans="1:8" x14ac:dyDescent="0.2">
      <c r="A37" s="109" t="str">
        <f>VLOOKUP(B37,'Insumos e Serviços'!$A:$F,3,0)</f>
        <v>Composição</v>
      </c>
      <c r="B37" s="109" t="s">
        <v>275</v>
      </c>
      <c r="C37" s="11" t="str">
        <f>VLOOKUP(B37,'Insumos e Serviços'!$A:$F,2,0)</f>
        <v>SINAPI</v>
      </c>
      <c r="D37" s="110" t="str">
        <f>VLOOKUP(B37,'Insumos e Serviços'!$A:$F,4,0)</f>
        <v>AJUDANTE ESPECIALIZADO COM ENCARGOS COMPLEMENTARES</v>
      </c>
      <c r="E37" s="109" t="str">
        <f>VLOOKUP(B37,'Insumos e Serviços'!$A:$F,5,0)</f>
        <v>H</v>
      </c>
      <c r="F37" s="111">
        <v>0.65700000000000003</v>
      </c>
      <c r="G37" s="112">
        <f>VLOOKUP(B37,'Insumos e Serviços'!$A:$F,6,0)</f>
        <v>20.39</v>
      </c>
      <c r="H37" s="112">
        <f t="shared" si="2"/>
        <v>13.39</v>
      </c>
    </row>
    <row r="38" spans="1:8" x14ac:dyDescent="0.2">
      <c r="A38" s="109" t="str">
        <f>VLOOKUP(B38,'Insumos e Serviços'!$A:$F,3,0)</f>
        <v>Insumo</v>
      </c>
      <c r="B38" s="109" t="s">
        <v>356</v>
      </c>
      <c r="C38" s="11" t="str">
        <f>VLOOKUP(B38,'Insumos e Serviços'!$A:$F,2,0)</f>
        <v>SINAPI</v>
      </c>
      <c r="D38" s="110" t="str">
        <f>VLOOKUP(B38,'Insumos e Serviços'!$A:$F,4,0)</f>
        <v>CANTONEIRA ALUMINIO ABAS IGUAIS 1 ", E = 3 /16 "</v>
      </c>
      <c r="E38" s="109" t="str">
        <f>VLOOKUP(B38,'Insumos e Serviços'!$A:$F,5,0)</f>
        <v>M</v>
      </c>
      <c r="F38" s="111">
        <v>6</v>
      </c>
      <c r="G38" s="112">
        <f>VLOOKUP(B38,'Insumos e Serviços'!$A:$F,6,0)</f>
        <v>19.16</v>
      </c>
      <c r="H38" s="112">
        <f t="shared" si="2"/>
        <v>114.96</v>
      </c>
    </row>
    <row r="39" spans="1:8" ht="23.25" thickBot="1" x14ac:dyDescent="0.25">
      <c r="A39" s="109" t="str">
        <f>VLOOKUP(B39,'Insumos e Serviços'!$A:$F,3,0)</f>
        <v>Insumo</v>
      </c>
      <c r="B39" s="109" t="s">
        <v>354</v>
      </c>
      <c r="C39" s="11" t="str">
        <f>VLOOKUP(B39,'Insumos e Serviços'!$A:$F,2,0)</f>
        <v>SINAPI</v>
      </c>
      <c r="D39" s="110" t="str">
        <f>VLOOKUP(B39,'Insumos e Serviços'!$A:$F,4,0)</f>
        <v>PLACA / CHAPA DE GESSO ACARTONADO, STANDARD (ST), COR BRANCA, E = 12,5 MM, 1200 X 1800 MM (L X C)</v>
      </c>
      <c r="E39" s="109" t="str">
        <f>VLOOKUP(B39,'Insumos e Serviços'!$A:$F,5,0)</f>
        <v>m²</v>
      </c>
      <c r="F39" s="111">
        <v>0.39600000000000002</v>
      </c>
      <c r="G39" s="112">
        <f>VLOOKUP(B39,'Insumos e Serviços'!$A:$F,6,0)</f>
        <v>12.62</v>
      </c>
      <c r="H39" s="112">
        <f t="shared" si="2"/>
        <v>4.99</v>
      </c>
    </row>
    <row r="40" spans="1:8" ht="15" thickTop="1" x14ac:dyDescent="0.2">
      <c r="A40" s="34"/>
      <c r="B40" s="34"/>
      <c r="C40" s="34"/>
      <c r="D40" s="34"/>
      <c r="E40" s="34"/>
      <c r="F40" s="34"/>
      <c r="G40" s="34"/>
      <c r="H40" s="34"/>
    </row>
    <row r="41" spans="1:8" x14ac:dyDescent="0.2">
      <c r="A41" s="29" t="s">
        <v>74</v>
      </c>
      <c r="B41" s="29"/>
      <c r="C41" s="29"/>
      <c r="D41" s="29" t="s">
        <v>75</v>
      </c>
      <c r="E41" s="30"/>
      <c r="F41" s="31"/>
      <c r="G41" s="29"/>
      <c r="H41" s="32"/>
    </row>
    <row r="42" spans="1:8" ht="22.5" x14ac:dyDescent="0.2">
      <c r="A42" s="33" t="s">
        <v>76</v>
      </c>
      <c r="B42" s="106" t="str">
        <f>VLOOKUP(A42,'Orçamento Sintético'!$A:$H,2,0)</f>
        <v xml:space="preserve"> MPDFT0992 </v>
      </c>
      <c r="C42" s="106" t="str">
        <f>VLOOKUP(A42,'Orçamento Sintético'!$A:$H,3,0)</f>
        <v>Próprio</v>
      </c>
      <c r="D42" s="107" t="str">
        <f>VLOOKUP(A42,'Orçamento Sintético'!$A:$H,4,0)</f>
        <v>Cópia da CPOS (02.03.030) - Proteção de superfícies com manta de papel kraft com plástico bolha alta resistência</v>
      </c>
      <c r="E42" s="106" t="str">
        <f>VLOOKUP(A42,'Orçamento Sintético'!$A:$H,5,0)</f>
        <v>m²</v>
      </c>
      <c r="F42" s="108"/>
      <c r="G42" s="38"/>
      <c r="H42" s="38">
        <f>SUM(H43:H44)</f>
        <v>10.129999999999999</v>
      </c>
    </row>
    <row r="43" spans="1:8" x14ac:dyDescent="0.2">
      <c r="A43" s="109" t="str">
        <f>VLOOKUP(B43,'Insumos e Serviços'!$A:$F,3,0)</f>
        <v>Composição</v>
      </c>
      <c r="B43" s="109" t="s">
        <v>258</v>
      </c>
      <c r="C43" s="11" t="str">
        <f>VLOOKUP(B43,'Insumos e Serviços'!$A:$F,2,0)</f>
        <v>SINAPI</v>
      </c>
      <c r="D43" s="110" t="str">
        <f>VLOOKUP(B43,'Insumos e Serviços'!$A:$F,4,0)</f>
        <v>SERVENTE COM ENCARGOS COMPLEMENTARES</v>
      </c>
      <c r="E43" s="109" t="str">
        <f>VLOOKUP(B43,'Insumos e Serviços'!$A:$F,5,0)</f>
        <v>H</v>
      </c>
      <c r="F43" s="111">
        <v>0.1</v>
      </c>
      <c r="G43" s="112">
        <f>VLOOKUP(B43,'Insumos e Serviços'!$A:$F,6,0)</f>
        <v>17.170000000000002</v>
      </c>
      <c r="H43" s="112">
        <f t="shared" ref="H43:H44" si="3">TRUNC(F43*G43,2)</f>
        <v>1.71</v>
      </c>
    </row>
    <row r="44" spans="1:8" ht="15" thickBot="1" x14ac:dyDescent="0.25">
      <c r="A44" s="109" t="str">
        <f>VLOOKUP(B44,'Insumos e Serviços'!$A:$F,3,0)</f>
        <v>Insumo</v>
      </c>
      <c r="B44" s="109" t="s">
        <v>352</v>
      </c>
      <c r="C44" s="11" t="str">
        <f>VLOOKUP(B44,'Insumos e Serviços'!$A:$F,2,0)</f>
        <v>Próprio</v>
      </c>
      <c r="D44" s="110" t="str">
        <f>VLOOKUP(B44,'Insumos e Serviços'!$A:$F,4,0)</f>
        <v>Manta de papel kraft com plástico bolha alta resistência</v>
      </c>
      <c r="E44" s="109" t="str">
        <f>VLOOKUP(B44,'Insumos e Serviços'!$A:$F,5,0)</f>
        <v>m²</v>
      </c>
      <c r="F44" s="111">
        <v>1.1000000000000001</v>
      </c>
      <c r="G44" s="112">
        <f>VLOOKUP(B44,'Insumos e Serviços'!$A:$F,6,0)</f>
        <v>7.66</v>
      </c>
      <c r="H44" s="112">
        <f t="shared" si="3"/>
        <v>8.42</v>
      </c>
    </row>
    <row r="45" spans="1:8" ht="15" thickTop="1" x14ac:dyDescent="0.2">
      <c r="A45" s="34"/>
      <c r="B45" s="34"/>
      <c r="C45" s="34"/>
      <c r="D45" s="34"/>
      <c r="E45" s="34"/>
      <c r="F45" s="34"/>
      <c r="G45" s="34"/>
      <c r="H45" s="34"/>
    </row>
    <row r="46" spans="1:8" ht="22.5" x14ac:dyDescent="0.2">
      <c r="A46" s="33" t="s">
        <v>82</v>
      </c>
      <c r="B46" s="106" t="str">
        <f>VLOOKUP(A46,'Orçamento Sintético'!$A:$H,2,0)</f>
        <v xml:space="preserve"> MPDFT0993 </v>
      </c>
      <c r="C46" s="106" t="str">
        <f>VLOOKUP(A46,'Orçamento Sintético'!$A:$H,3,0)</f>
        <v>Próprio</v>
      </c>
      <c r="D46" s="107" t="str">
        <f>VLOOKUP(A46,'Orçamento Sintético'!$A:$H,4,0)</f>
        <v>Cópia da SBC (023000) - Retirada, guarda e recolocação de cortina, persiana ou semelhante</v>
      </c>
      <c r="E46" s="106" t="str">
        <f>VLOOKUP(A46,'Orçamento Sintético'!$A:$H,5,0)</f>
        <v>m²</v>
      </c>
      <c r="F46" s="108"/>
      <c r="G46" s="38"/>
      <c r="H46" s="38">
        <f>SUM(H47)</f>
        <v>44.26</v>
      </c>
    </row>
    <row r="47" spans="1:8" ht="15" thickBot="1" x14ac:dyDescent="0.25">
      <c r="A47" s="109" t="str">
        <f>VLOOKUP(B47,'Insumos e Serviços'!$A:$F,3,0)</f>
        <v>Composição</v>
      </c>
      <c r="B47" s="109" t="s">
        <v>258</v>
      </c>
      <c r="C47" s="11" t="str">
        <f>VLOOKUP(B47,'Insumos e Serviços'!$A:$F,2,0)</f>
        <v>SINAPI</v>
      </c>
      <c r="D47" s="110" t="str">
        <f>VLOOKUP(B47,'Insumos e Serviços'!$A:$F,4,0)</f>
        <v>SERVENTE COM ENCARGOS COMPLEMENTARES</v>
      </c>
      <c r="E47" s="109" t="str">
        <f>VLOOKUP(B47,'Insumos e Serviços'!$A:$F,5,0)</f>
        <v>H</v>
      </c>
      <c r="F47" s="111">
        <v>2.5779999999999998</v>
      </c>
      <c r="G47" s="112">
        <f>VLOOKUP(B47,'Insumos e Serviços'!$A:$F,6,0)</f>
        <v>17.170000000000002</v>
      </c>
      <c r="H47" s="112">
        <f>TRUNC(F47*G47,2)</f>
        <v>44.26</v>
      </c>
    </row>
    <row r="48" spans="1:8" ht="15" thickTop="1" x14ac:dyDescent="0.2">
      <c r="A48" s="34"/>
      <c r="B48" s="34"/>
      <c r="C48" s="34"/>
      <c r="D48" s="34"/>
      <c r="E48" s="34"/>
      <c r="F48" s="34"/>
      <c r="G48" s="34"/>
      <c r="H48" s="34"/>
    </row>
    <row r="49" spans="1:8" ht="22.5" x14ac:dyDescent="0.2">
      <c r="A49" s="33" t="s">
        <v>85</v>
      </c>
      <c r="B49" s="106" t="str">
        <f>VLOOKUP(A49,'Orçamento Sintético'!$A:$H,2,0)</f>
        <v xml:space="preserve"> MPDFT0995 </v>
      </c>
      <c r="C49" s="106" t="str">
        <f>VLOOKUP(A49,'Orçamento Sintético'!$A:$H,3,0)</f>
        <v>Próprio</v>
      </c>
      <c r="D49" s="107" t="str">
        <f>VLOOKUP(A49,'Orçamento Sintético'!$A:$H,4,0)</f>
        <v>Jardineira em módulos,  0,58x0,50 (AxP), MDF e=25mm de espessura, acabamento em laminado melamínico BP padrão madeirado (ref. Duratex, raízes, imbuia terra)</v>
      </c>
      <c r="E49" s="106" t="str">
        <f>VLOOKUP(A49,'Orçamento Sintético'!$A:$H,5,0)</f>
        <v>m</v>
      </c>
      <c r="F49" s="108"/>
      <c r="G49" s="38"/>
      <c r="H49" s="38">
        <f>SUM(H50)</f>
        <v>1160</v>
      </c>
    </row>
    <row r="50" spans="1:8" ht="23.25" thickBot="1" x14ac:dyDescent="0.25">
      <c r="A50" s="109" t="str">
        <f>VLOOKUP(B50,'Insumos e Serviços'!$A:$F,3,0)</f>
        <v>Insumo</v>
      </c>
      <c r="B50" s="109" t="s">
        <v>350</v>
      </c>
      <c r="C50" s="11" t="str">
        <f>VLOOKUP(B50,'Insumos e Serviços'!$A:$F,2,0)</f>
        <v>Próprio</v>
      </c>
      <c r="D50" s="110" t="str">
        <f>VLOOKUP(B50,'Insumos e Serviços'!$A:$F,4,0)</f>
        <v>Jardineira em módulos, 0,58x0,50 (AxP), MDF e=25mm de espessura, acabamento em laminado melamínico BP padrão madeirado (ref. Duratex, raízes, imbuia terra)</v>
      </c>
      <c r="E50" s="109" t="str">
        <f>VLOOKUP(B50,'Insumos e Serviços'!$A:$F,5,0)</f>
        <v>m</v>
      </c>
      <c r="F50" s="111">
        <v>1</v>
      </c>
      <c r="G50" s="112">
        <f>VLOOKUP(B50,'Insumos e Serviços'!$A:$F,6,0)</f>
        <v>1160</v>
      </c>
      <c r="H50" s="112">
        <f t="shared" ref="H50" si="4">TRUNC(F50*G50,2)</f>
        <v>1160</v>
      </c>
    </row>
    <row r="51" spans="1:8" ht="15" thickTop="1" x14ac:dyDescent="0.2">
      <c r="A51" s="34"/>
      <c r="B51" s="34"/>
      <c r="C51" s="34"/>
      <c r="D51" s="34"/>
      <c r="E51" s="34"/>
      <c r="F51" s="34"/>
      <c r="G51" s="34"/>
      <c r="H51" s="34"/>
    </row>
    <row r="52" spans="1:8" x14ac:dyDescent="0.2">
      <c r="A52" s="33" t="s">
        <v>469</v>
      </c>
      <c r="B52" s="106" t="str">
        <f>VLOOKUP(A52,'Orçamento Sintético'!$A:$H,2,0)</f>
        <v xml:space="preserve"> MPDFT1007 </v>
      </c>
      <c r="C52" s="106" t="str">
        <f>VLOOKUP(A52,'Orçamento Sintético'!$A:$H,3,0)</f>
        <v>Próprio</v>
      </c>
      <c r="D52" s="107" t="str">
        <f>VLOOKUP(A52,'Orçamento Sintético'!$A:$H,4,0)</f>
        <v>Copia da ORSE (12018) - Instalação de detector de fumaça</v>
      </c>
      <c r="E52" s="106" t="str">
        <f>VLOOKUP(A52,'Orçamento Sintético'!$A:$H,5,0)</f>
        <v>un</v>
      </c>
      <c r="F52" s="108"/>
      <c r="G52" s="38"/>
      <c r="H52" s="38">
        <f>SUM(H53:H54)</f>
        <v>20.86</v>
      </c>
    </row>
    <row r="53" spans="1:8" x14ac:dyDescent="0.2">
      <c r="A53" s="109" t="str">
        <f>VLOOKUP(B53,'Insumos e Serviços'!$A:$F,3,0)</f>
        <v>Composição</v>
      </c>
      <c r="B53" s="109" t="s">
        <v>266</v>
      </c>
      <c r="C53" s="11" t="str">
        <f>VLOOKUP(B53,'Insumos e Serviços'!$A:$F,2,0)</f>
        <v>SINAPI</v>
      </c>
      <c r="D53" s="110" t="str">
        <f>VLOOKUP(B53,'Insumos e Serviços'!$A:$F,4,0)</f>
        <v>ELETRICISTA COM ENCARGOS COMPLEMENTARES</v>
      </c>
      <c r="E53" s="109" t="str">
        <f>VLOOKUP(B53,'Insumos e Serviços'!$A:$F,5,0)</f>
        <v>H</v>
      </c>
      <c r="F53" s="111">
        <v>0.5</v>
      </c>
      <c r="G53" s="112">
        <f>VLOOKUP(B53,'Insumos e Serviços'!$A:$F,6,0)</f>
        <v>23.44</v>
      </c>
      <c r="H53" s="112">
        <f t="shared" ref="H53:H54" si="5">TRUNC(F53*G53,2)</f>
        <v>11.72</v>
      </c>
    </row>
    <row r="54" spans="1:8" ht="15" thickBot="1" x14ac:dyDescent="0.25">
      <c r="A54" s="109" t="str">
        <f>VLOOKUP(B54,'Insumos e Serviços'!$A:$F,3,0)</f>
        <v>Composição</v>
      </c>
      <c r="B54" s="109" t="s">
        <v>268</v>
      </c>
      <c r="C54" s="11" t="str">
        <f>VLOOKUP(B54,'Insumos e Serviços'!$A:$F,2,0)</f>
        <v>SINAPI</v>
      </c>
      <c r="D54" s="110" t="str">
        <f>VLOOKUP(B54,'Insumos e Serviços'!$A:$F,4,0)</f>
        <v>AUXILIAR DE ELETRICISTA COM ENCARGOS COMPLEMENTARES</v>
      </c>
      <c r="E54" s="109" t="str">
        <f>VLOOKUP(B54,'Insumos e Serviços'!$A:$F,5,0)</f>
        <v>H</v>
      </c>
      <c r="F54" s="111">
        <v>0.5</v>
      </c>
      <c r="G54" s="112">
        <f>VLOOKUP(B54,'Insumos e Serviços'!$A:$F,6,0)</f>
        <v>18.28</v>
      </c>
      <c r="H54" s="112">
        <f t="shared" si="5"/>
        <v>9.14</v>
      </c>
    </row>
    <row r="55" spans="1:8" ht="15" thickTop="1" x14ac:dyDescent="0.2">
      <c r="A55" s="34"/>
      <c r="B55" s="34"/>
      <c r="C55" s="34"/>
      <c r="D55" s="34"/>
      <c r="E55" s="34"/>
      <c r="F55" s="34"/>
      <c r="G55" s="34"/>
      <c r="H55" s="34"/>
    </row>
    <row r="56" spans="1:8" x14ac:dyDescent="0.2">
      <c r="A56" s="26" t="s">
        <v>90</v>
      </c>
      <c r="B56" s="26"/>
      <c r="C56" s="26"/>
      <c r="D56" s="26" t="s">
        <v>91</v>
      </c>
      <c r="E56" s="27"/>
      <c r="F56" s="28"/>
      <c r="G56" s="26"/>
      <c r="H56" s="24"/>
    </row>
    <row r="57" spans="1:8" x14ac:dyDescent="0.2">
      <c r="A57" s="29" t="s">
        <v>92</v>
      </c>
      <c r="B57" s="29"/>
      <c r="C57" s="29"/>
      <c r="D57" s="29" t="s">
        <v>93</v>
      </c>
      <c r="E57" s="30"/>
      <c r="F57" s="31"/>
      <c r="G57" s="29"/>
      <c r="H57" s="32"/>
    </row>
    <row r="58" spans="1:8" x14ac:dyDescent="0.2">
      <c r="A58" s="35" t="s">
        <v>94</v>
      </c>
      <c r="B58" s="35"/>
      <c r="C58" s="35"/>
      <c r="D58" s="35" t="s">
        <v>95</v>
      </c>
      <c r="E58" s="36"/>
      <c r="F58" s="37"/>
      <c r="G58" s="35"/>
      <c r="H58" s="38"/>
    </row>
    <row r="59" spans="1:8" x14ac:dyDescent="0.2">
      <c r="A59" s="33" t="s">
        <v>96</v>
      </c>
      <c r="B59" s="106" t="str">
        <f>VLOOKUP(A59,'Orçamento Sintético'!$A:$H,2,0)</f>
        <v xml:space="preserve"> MPDFT0989 </v>
      </c>
      <c r="C59" s="106" t="str">
        <f>VLOOKUP(A59,'Orçamento Sintético'!$A:$H,3,0)</f>
        <v>Próprio</v>
      </c>
      <c r="D59" s="107" t="str">
        <f>VLOOKUP(A59,'Orçamento Sintético'!$A:$H,4,0)</f>
        <v>Quadro elétrico para sala-situação - QTE-ACSS (PJBSI)</v>
      </c>
      <c r="E59" s="106" t="str">
        <f>VLOOKUP(A59,'Orçamento Sintético'!$A:$H,5,0)</f>
        <v>un</v>
      </c>
      <c r="F59" s="108"/>
      <c r="G59" s="38"/>
      <c r="H59" s="38">
        <f>SUM(H60:H62)</f>
        <v>3357.0499999999997</v>
      </c>
    </row>
    <row r="60" spans="1:8" x14ac:dyDescent="0.2">
      <c r="A60" s="109" t="str">
        <f>VLOOKUP(B60,'Insumos e Serviços'!$A:$F,3,0)</f>
        <v>Composição</v>
      </c>
      <c r="B60" s="109" t="s">
        <v>266</v>
      </c>
      <c r="C60" s="11" t="str">
        <f>VLOOKUP(B60,'Insumos e Serviços'!$A:$F,2,0)</f>
        <v>SINAPI</v>
      </c>
      <c r="D60" s="110" t="str">
        <f>VLOOKUP(B60,'Insumos e Serviços'!$A:$F,4,0)</f>
        <v>ELETRICISTA COM ENCARGOS COMPLEMENTARES</v>
      </c>
      <c r="E60" s="109" t="str">
        <f>VLOOKUP(B60,'Insumos e Serviços'!$A:$F,5,0)</f>
        <v>H</v>
      </c>
      <c r="F60" s="111">
        <v>3.8317000000000001</v>
      </c>
      <c r="G60" s="112">
        <f>VLOOKUP(B60,'Insumos e Serviços'!$A:$F,6,0)</f>
        <v>23.44</v>
      </c>
      <c r="H60" s="112">
        <f t="shared" ref="H60:H62" si="6">TRUNC(F60*G60,2)</f>
        <v>89.81</v>
      </c>
    </row>
    <row r="61" spans="1:8" x14ac:dyDescent="0.2">
      <c r="A61" s="109" t="str">
        <f>VLOOKUP(B61,'Insumos e Serviços'!$A:$F,3,0)</f>
        <v>Composição</v>
      </c>
      <c r="B61" s="109" t="s">
        <v>268</v>
      </c>
      <c r="C61" s="11" t="str">
        <f>VLOOKUP(B61,'Insumos e Serviços'!$A:$F,2,0)</f>
        <v>SINAPI</v>
      </c>
      <c r="D61" s="110" t="str">
        <f>VLOOKUP(B61,'Insumos e Serviços'!$A:$F,4,0)</f>
        <v>AUXILIAR DE ELETRICISTA COM ENCARGOS COMPLEMENTARES</v>
      </c>
      <c r="E61" s="109" t="str">
        <f>VLOOKUP(B61,'Insumos e Serviços'!$A:$F,5,0)</f>
        <v>H</v>
      </c>
      <c r="F61" s="111">
        <v>3.8317000000000001</v>
      </c>
      <c r="G61" s="112">
        <f>VLOOKUP(B61,'Insumos e Serviços'!$A:$F,6,0)</f>
        <v>18.28</v>
      </c>
      <c r="H61" s="112">
        <f t="shared" si="6"/>
        <v>70.040000000000006</v>
      </c>
    </row>
    <row r="62" spans="1:8" ht="15" thickBot="1" x14ac:dyDescent="0.25">
      <c r="A62" s="109" t="str">
        <f>VLOOKUP(B62,'Insumos e Serviços'!$A:$F,3,0)</f>
        <v>Insumo</v>
      </c>
      <c r="B62" s="109" t="s">
        <v>348</v>
      </c>
      <c r="C62" s="11" t="str">
        <f>VLOOKUP(B62,'Insumos e Serviços'!$A:$F,2,0)</f>
        <v>Próprio</v>
      </c>
      <c r="D62" s="110" t="str">
        <f>VLOOKUP(B62,'Insumos e Serviços'!$A:$F,4,0)</f>
        <v>Quadro elétrico - QTE-ACSS (PJBSI)</v>
      </c>
      <c r="E62" s="109" t="str">
        <f>VLOOKUP(B62,'Insumos e Serviços'!$A:$F,5,0)</f>
        <v>un</v>
      </c>
      <c r="F62" s="111">
        <v>1</v>
      </c>
      <c r="G62" s="112">
        <f>VLOOKUP(B62,'Insumos e Serviços'!$A:$F,6,0)</f>
        <v>3197.2</v>
      </c>
      <c r="H62" s="112">
        <f t="shared" si="6"/>
        <v>3197.2</v>
      </c>
    </row>
    <row r="63" spans="1:8" ht="15" thickTop="1" x14ac:dyDescent="0.2">
      <c r="A63" s="34"/>
      <c r="B63" s="34"/>
      <c r="C63" s="34"/>
      <c r="D63" s="34"/>
      <c r="E63" s="34"/>
      <c r="F63" s="34"/>
      <c r="G63" s="34"/>
      <c r="H63" s="34"/>
    </row>
    <row r="64" spans="1:8" ht="22.5" x14ac:dyDescent="0.2">
      <c r="A64" s="33" t="s">
        <v>99</v>
      </c>
      <c r="B64" s="106" t="str">
        <f>VLOOKUP(A64,'Orçamento Sintético'!$A:$H,2,0)</f>
        <v xml:space="preserve"> MPDFT0990 </v>
      </c>
      <c r="C64" s="106" t="str">
        <f>VLOOKUP(A64,'Orçamento Sintético'!$A:$H,3,0)</f>
        <v>Próprio</v>
      </c>
      <c r="D64" s="107" t="str">
        <f>VLOOKUP(A64,'Orçamento Sintético'!$A:$H,4,0)</f>
        <v>Cópia da CPOS (37.25.090) - Disjuntor trifásico caixa moldada 380V 35kA 60A, Fabricação Schneider LV429003+LV429032</v>
      </c>
      <c r="E64" s="106" t="str">
        <f>VLOOKUP(A64,'Orçamento Sintético'!$A:$H,5,0)</f>
        <v>un</v>
      </c>
      <c r="F64" s="108"/>
      <c r="G64" s="38"/>
      <c r="H64" s="38">
        <f>SUM(H65:H68)</f>
        <v>1733</v>
      </c>
    </row>
    <row r="65" spans="1:8" x14ac:dyDescent="0.2">
      <c r="A65" s="109" t="str">
        <f>VLOOKUP(B65,'Insumos e Serviços'!$A:$F,3,0)</f>
        <v>Composição</v>
      </c>
      <c r="B65" s="109" t="s">
        <v>313</v>
      </c>
      <c r="C65" s="11" t="str">
        <f>VLOOKUP(B65,'Insumos e Serviços'!$A:$F,2,0)</f>
        <v>SINAPI</v>
      </c>
      <c r="D65" s="110" t="str">
        <f>VLOOKUP(B65,'Insumos e Serviços'!$A:$F,4,0)</f>
        <v>MONTADOR DE ELETROELETRÔNICOS COM ENCARGOS COMPLEMENTARES</v>
      </c>
      <c r="E65" s="109" t="str">
        <f>VLOOKUP(B65,'Insumos e Serviços'!$A:$F,5,0)</f>
        <v>H</v>
      </c>
      <c r="F65" s="111">
        <v>1</v>
      </c>
      <c r="G65" s="112">
        <f>VLOOKUP(B65,'Insumos e Serviços'!$A:$F,6,0)</f>
        <v>22.43</v>
      </c>
      <c r="H65" s="112">
        <f t="shared" ref="H65:H68" si="7">TRUNC(F65*G65,2)</f>
        <v>22.43</v>
      </c>
    </row>
    <row r="66" spans="1:8" x14ac:dyDescent="0.2">
      <c r="A66" s="109" t="str">
        <f>VLOOKUP(B66,'Insumos e Serviços'!$A:$F,3,0)</f>
        <v>Composição</v>
      </c>
      <c r="B66" s="109" t="s">
        <v>266</v>
      </c>
      <c r="C66" s="11" t="str">
        <f>VLOOKUP(B66,'Insumos e Serviços'!$A:$F,2,0)</f>
        <v>SINAPI</v>
      </c>
      <c r="D66" s="110" t="str">
        <f>VLOOKUP(B66,'Insumos e Serviços'!$A:$F,4,0)</f>
        <v>ELETRICISTA COM ENCARGOS COMPLEMENTARES</v>
      </c>
      <c r="E66" s="109" t="str">
        <f>VLOOKUP(B66,'Insumos e Serviços'!$A:$F,5,0)</f>
        <v>H</v>
      </c>
      <c r="F66" s="111">
        <v>2</v>
      </c>
      <c r="G66" s="112">
        <f>VLOOKUP(B66,'Insumos e Serviços'!$A:$F,6,0)</f>
        <v>23.44</v>
      </c>
      <c r="H66" s="112">
        <f t="shared" si="7"/>
        <v>46.88</v>
      </c>
    </row>
    <row r="67" spans="1:8" x14ac:dyDescent="0.2">
      <c r="A67" s="109" t="str">
        <f>VLOOKUP(B67,'Insumos e Serviços'!$A:$F,3,0)</f>
        <v>Composição</v>
      </c>
      <c r="B67" s="109" t="s">
        <v>268</v>
      </c>
      <c r="C67" s="11" t="str">
        <f>VLOOKUP(B67,'Insumos e Serviços'!$A:$F,2,0)</f>
        <v>SINAPI</v>
      </c>
      <c r="D67" s="110" t="str">
        <f>VLOOKUP(B67,'Insumos e Serviços'!$A:$F,4,0)</f>
        <v>AUXILIAR DE ELETRICISTA COM ENCARGOS COMPLEMENTARES</v>
      </c>
      <c r="E67" s="109" t="str">
        <f>VLOOKUP(B67,'Insumos e Serviços'!$A:$F,5,0)</f>
        <v>H</v>
      </c>
      <c r="F67" s="111">
        <v>2</v>
      </c>
      <c r="G67" s="112">
        <f>VLOOKUP(B67,'Insumos e Serviços'!$A:$F,6,0)</f>
        <v>18.28</v>
      </c>
      <c r="H67" s="112">
        <f t="shared" si="7"/>
        <v>36.56</v>
      </c>
    </row>
    <row r="68" spans="1:8" ht="15" thickBot="1" x14ac:dyDescent="0.25">
      <c r="A68" s="109" t="str">
        <f>VLOOKUP(B68,'Insumos e Serviços'!$A:$F,3,0)</f>
        <v>Insumo</v>
      </c>
      <c r="B68" s="109" t="s">
        <v>346</v>
      </c>
      <c r="C68" s="11" t="str">
        <f>VLOOKUP(B68,'Insumos e Serviços'!$A:$F,2,0)</f>
        <v>Próprio</v>
      </c>
      <c r="D68" s="110" t="str">
        <f>VLOOKUP(B68,'Insumos e Serviços'!$A:$F,4,0)</f>
        <v>Disjuntor trifásico caixa moldada 380V 35kA 60A, Fabricação Schneider LV429003+LV429032</v>
      </c>
      <c r="E68" s="109" t="str">
        <f>VLOOKUP(B68,'Insumos e Serviços'!$A:$F,5,0)</f>
        <v>un</v>
      </c>
      <c r="F68" s="111">
        <v>1</v>
      </c>
      <c r="G68" s="112">
        <f>VLOOKUP(B68,'Insumos e Serviços'!$A:$F,6,0)</f>
        <v>1627.13</v>
      </c>
      <c r="H68" s="112">
        <f t="shared" si="7"/>
        <v>1627.13</v>
      </c>
    </row>
    <row r="69" spans="1:8" ht="15" thickTop="1" x14ac:dyDescent="0.2">
      <c r="A69" s="34"/>
      <c r="B69" s="34"/>
      <c r="C69" s="34"/>
      <c r="D69" s="34"/>
      <c r="E69" s="34"/>
      <c r="F69" s="34"/>
      <c r="G69" s="34"/>
      <c r="H69" s="34"/>
    </row>
    <row r="70" spans="1:8" x14ac:dyDescent="0.2">
      <c r="A70" s="35" t="s">
        <v>102</v>
      </c>
      <c r="B70" s="35"/>
      <c r="C70" s="35"/>
      <c r="D70" s="35" t="s">
        <v>103</v>
      </c>
      <c r="E70" s="36"/>
      <c r="F70" s="37"/>
      <c r="G70" s="35"/>
      <c r="H70" s="38"/>
    </row>
    <row r="71" spans="1:8" ht="22.5" x14ac:dyDescent="0.2">
      <c r="A71" s="33" t="s">
        <v>104</v>
      </c>
      <c r="B71" s="106" t="str">
        <f>VLOOKUP(A71,'Orçamento Sintético'!$A:$H,2,0)</f>
        <v xml:space="preserve"> MPDFT0151 </v>
      </c>
      <c r="C71" s="106" t="str">
        <f>VLOOKUP(A71,'Orçamento Sintético'!$A:$H,3,0)</f>
        <v>Próprio</v>
      </c>
      <c r="D71" s="107" t="str">
        <f>VLOOKUP(A71,'Orçamento Sintético'!$A:$H,4,0)</f>
        <v>Copia da SINAPI (95791) - Condulete de alumínio, tipo LR, para eletroduto de aço galvanizado dn 40 mm (1 1/2''), aparente - fornecimento e instalação</v>
      </c>
      <c r="E71" s="106" t="str">
        <f>VLOOKUP(A71,'Orçamento Sintético'!$A:$H,5,0)</f>
        <v>UN</v>
      </c>
      <c r="F71" s="108"/>
      <c r="G71" s="38"/>
      <c r="H71" s="38">
        <f>SUM(H72:H75)</f>
        <v>36.79</v>
      </c>
    </row>
    <row r="72" spans="1:8" x14ac:dyDescent="0.2">
      <c r="A72" s="109" t="str">
        <f>VLOOKUP(B72,'Insumos e Serviços'!$A:$F,3,0)</f>
        <v>Composição</v>
      </c>
      <c r="B72" s="109" t="s">
        <v>268</v>
      </c>
      <c r="C72" s="11" t="str">
        <f>VLOOKUP(B72,'Insumos e Serviços'!$A:$F,2,0)</f>
        <v>SINAPI</v>
      </c>
      <c r="D72" s="110" t="str">
        <f>VLOOKUP(B72,'Insumos e Serviços'!$A:$F,4,0)</f>
        <v>AUXILIAR DE ELETRICISTA COM ENCARGOS COMPLEMENTARES</v>
      </c>
      <c r="E72" s="109" t="str">
        <f>VLOOKUP(B72,'Insumos e Serviços'!$A:$F,5,0)</f>
        <v>H</v>
      </c>
      <c r="F72" s="111">
        <v>0.42709999999999998</v>
      </c>
      <c r="G72" s="112">
        <f>VLOOKUP(B72,'Insumos e Serviços'!$A:$F,6,0)</f>
        <v>18.28</v>
      </c>
      <c r="H72" s="112">
        <f t="shared" ref="H72:H75" si="8">TRUNC(F72*G72,2)</f>
        <v>7.8</v>
      </c>
    </row>
    <row r="73" spans="1:8" x14ac:dyDescent="0.2">
      <c r="A73" s="109" t="str">
        <f>VLOOKUP(B73,'Insumos e Serviços'!$A:$F,3,0)</f>
        <v>Composição</v>
      </c>
      <c r="B73" s="109" t="s">
        <v>266</v>
      </c>
      <c r="C73" s="11" t="str">
        <f>VLOOKUP(B73,'Insumos e Serviços'!$A:$F,2,0)</f>
        <v>SINAPI</v>
      </c>
      <c r="D73" s="110" t="str">
        <f>VLOOKUP(B73,'Insumos e Serviços'!$A:$F,4,0)</f>
        <v>ELETRICISTA COM ENCARGOS COMPLEMENTARES</v>
      </c>
      <c r="E73" s="109" t="str">
        <f>VLOOKUP(B73,'Insumos e Serviços'!$A:$F,5,0)</f>
        <v>H</v>
      </c>
      <c r="F73" s="111">
        <v>0.42709999999999998</v>
      </c>
      <c r="G73" s="112">
        <f>VLOOKUP(B73,'Insumos e Serviços'!$A:$F,6,0)</f>
        <v>23.44</v>
      </c>
      <c r="H73" s="112">
        <f t="shared" si="8"/>
        <v>10.01</v>
      </c>
    </row>
    <row r="74" spans="1:8" ht="22.5" x14ac:dyDescent="0.2">
      <c r="A74" s="109" t="str">
        <f>VLOOKUP(B74,'Insumos e Serviços'!$A:$F,3,0)</f>
        <v>Insumo</v>
      </c>
      <c r="B74" s="109" t="s">
        <v>264</v>
      </c>
      <c r="C74" s="11" t="str">
        <f>VLOOKUP(B74,'Insumos e Serviços'!$A:$F,2,0)</f>
        <v>SINAPI</v>
      </c>
      <c r="D74" s="110" t="str">
        <f>VLOOKUP(B74,'Insumos e Serviços'!$A:$F,4,0)</f>
        <v>BUCHA DE NYLON SEM ABA S6, COM PARAFUSO DE 4,20 X 40 MM EM ACO ZINCADO COM ROSCA SOBERBA, CABECA CHATA E FENDA PHILLIPS</v>
      </c>
      <c r="E74" s="109" t="str">
        <f>VLOOKUP(B74,'Insumos e Serviços'!$A:$F,5,0)</f>
        <v>UN</v>
      </c>
      <c r="F74" s="111">
        <v>2</v>
      </c>
      <c r="G74" s="112">
        <f>VLOOKUP(B74,'Insumos e Serviços'!$A:$F,6,0)</f>
        <v>0.26</v>
      </c>
      <c r="H74" s="112">
        <f t="shared" si="8"/>
        <v>0.52</v>
      </c>
    </row>
    <row r="75" spans="1:8" ht="23.25" thickBot="1" x14ac:dyDescent="0.25">
      <c r="A75" s="109" t="str">
        <f>VLOOKUP(B75,'Insumos e Serviços'!$A:$F,3,0)</f>
        <v>Insumo</v>
      </c>
      <c r="B75" s="109" t="s">
        <v>344</v>
      </c>
      <c r="C75" s="11" t="str">
        <f>VLOOKUP(B75,'Insumos e Serviços'!$A:$F,2,0)</f>
        <v>SINAPI</v>
      </c>
      <c r="D75" s="110" t="str">
        <f>VLOOKUP(B75,'Insumos e Serviços'!$A:$F,4,0)</f>
        <v>CONDULETE DE ALUMINIO TIPO LR, PARA ELETRODUTO ROSCAVEL DE 1 1/2", COM TAMPA CEGA</v>
      </c>
      <c r="E75" s="109" t="str">
        <f>VLOOKUP(B75,'Insumos e Serviços'!$A:$F,5,0)</f>
        <v>UN</v>
      </c>
      <c r="F75" s="111">
        <v>1</v>
      </c>
      <c r="G75" s="112">
        <f>VLOOKUP(B75,'Insumos e Serviços'!$A:$F,6,0)</f>
        <v>18.46</v>
      </c>
      <c r="H75" s="112">
        <f t="shared" si="8"/>
        <v>18.46</v>
      </c>
    </row>
    <row r="76" spans="1:8" ht="15" thickTop="1" x14ac:dyDescent="0.2">
      <c r="A76" s="34"/>
      <c r="B76" s="34"/>
      <c r="C76" s="34"/>
      <c r="D76" s="34"/>
      <c r="E76" s="34"/>
      <c r="F76" s="34"/>
      <c r="G76" s="34"/>
      <c r="H76" s="34"/>
    </row>
    <row r="77" spans="1:8" ht="33.75" x14ac:dyDescent="0.2">
      <c r="A77" s="33" t="s">
        <v>107</v>
      </c>
      <c r="B77" s="106" t="str">
        <f>VLOOKUP(A77,'Orçamento Sintético'!$A:$H,2,0)</f>
        <v xml:space="preserve"> MPDFT0988 </v>
      </c>
      <c r="C77" s="106" t="str">
        <f>VLOOKUP(A77,'Orçamento Sintético'!$A:$H,3,0)</f>
        <v>Próprio</v>
      </c>
      <c r="D77" s="107" t="str">
        <f>VLOOKUP(A77,'Orçamento Sintético'!$A:$H,4,0)</f>
        <v>Copia da SINAPI (95748) - Eletroduto rígido de aço carbono, sem costura, com revestimento protetor de zinco aplicado à quente, extremidades rosqueadas, classe pesada, Ø40 mm (1 1/2" BSPP), fab. Apolo</v>
      </c>
      <c r="E77" s="106" t="str">
        <f>VLOOKUP(A77,'Orçamento Sintético'!$A:$H,5,0)</f>
        <v>M</v>
      </c>
      <c r="F77" s="108"/>
      <c r="G77" s="38"/>
      <c r="H77" s="38">
        <f>SUM(H78:H82)</f>
        <v>59.36</v>
      </c>
    </row>
    <row r="78" spans="1:8" x14ac:dyDescent="0.2">
      <c r="A78" s="109" t="str">
        <f>VLOOKUP(B78,'Insumos e Serviços'!$A:$F,3,0)</f>
        <v>Composição</v>
      </c>
      <c r="B78" s="109" t="s">
        <v>268</v>
      </c>
      <c r="C78" s="11" t="str">
        <f>VLOOKUP(B78,'Insumos e Serviços'!$A:$F,2,0)</f>
        <v>SINAPI</v>
      </c>
      <c r="D78" s="110" t="str">
        <f>VLOOKUP(B78,'Insumos e Serviços'!$A:$F,4,0)</f>
        <v>AUXILIAR DE ELETRICISTA COM ENCARGOS COMPLEMENTARES</v>
      </c>
      <c r="E78" s="109" t="str">
        <f>VLOOKUP(B78,'Insumos e Serviços'!$A:$F,5,0)</f>
        <v>H</v>
      </c>
      <c r="F78" s="111">
        <v>0.1701</v>
      </c>
      <c r="G78" s="112">
        <f>VLOOKUP(B78,'Insumos e Serviços'!$A:$F,6,0)</f>
        <v>18.28</v>
      </c>
      <c r="H78" s="112">
        <f t="shared" ref="H78:H82" si="9">TRUNC(F78*G78,2)</f>
        <v>3.1</v>
      </c>
    </row>
    <row r="79" spans="1:8" x14ac:dyDescent="0.2">
      <c r="A79" s="109" t="str">
        <f>VLOOKUP(B79,'Insumos e Serviços'!$A:$F,3,0)</f>
        <v>Composição</v>
      </c>
      <c r="B79" s="109" t="s">
        <v>266</v>
      </c>
      <c r="C79" s="11" t="str">
        <f>VLOOKUP(B79,'Insumos e Serviços'!$A:$F,2,0)</f>
        <v>SINAPI</v>
      </c>
      <c r="D79" s="110" t="str">
        <f>VLOOKUP(B79,'Insumos e Serviços'!$A:$F,4,0)</f>
        <v>ELETRICISTA COM ENCARGOS COMPLEMENTARES</v>
      </c>
      <c r="E79" s="109" t="str">
        <f>VLOOKUP(B79,'Insumos e Serviços'!$A:$F,5,0)</f>
        <v>H</v>
      </c>
      <c r="F79" s="111">
        <v>0.1701</v>
      </c>
      <c r="G79" s="112">
        <f>VLOOKUP(B79,'Insumos e Serviços'!$A:$F,6,0)</f>
        <v>23.44</v>
      </c>
      <c r="H79" s="112">
        <f t="shared" si="9"/>
        <v>3.98</v>
      </c>
    </row>
    <row r="80" spans="1:8" ht="33.75" x14ac:dyDescent="0.2">
      <c r="A80" s="109" t="str">
        <f>VLOOKUP(B80,'Insumos e Serviços'!$A:$F,3,0)</f>
        <v>Composição</v>
      </c>
      <c r="B80" s="109" t="s">
        <v>322</v>
      </c>
      <c r="C80" s="11" t="str">
        <f>VLOOKUP(B80,'Insumos e Serviços'!$A:$F,2,0)</f>
        <v>SINAPI</v>
      </c>
      <c r="D80" s="110" t="str">
        <f>VLOOKUP(B80,'Insumos e Serviços'!$A:$F,4,0)</f>
        <v>FIXAÇÃO DE TUBOS HORIZONTAIS DE PVC, CPVC OU COBRE DIÂMETROS MENORES OU IGUAIS A 40 MM OU ELETROCALHAS ATÉ 150MM DE LARGURA, COM ABRAÇADEIRA METÁLICA RÍGIDA TIPO D 1/2, FIXADA EM PERFILADO EM LAJE. AF_05/2015</v>
      </c>
      <c r="E80" s="109" t="str">
        <f>VLOOKUP(B80,'Insumos e Serviços'!$A:$F,5,0)</f>
        <v>M</v>
      </c>
      <c r="F80" s="111">
        <v>1</v>
      </c>
      <c r="G80" s="112">
        <f>VLOOKUP(B80,'Insumos e Serviços'!$A:$F,6,0)</f>
        <v>2.5</v>
      </c>
      <c r="H80" s="112">
        <f t="shared" si="9"/>
        <v>2.5</v>
      </c>
    </row>
    <row r="81" spans="1:8" ht="22.5" x14ac:dyDescent="0.2">
      <c r="A81" s="109" t="str">
        <f>VLOOKUP(B81,'Insumos e Serviços'!$A:$F,3,0)</f>
        <v>Composição</v>
      </c>
      <c r="B81" s="109" t="s">
        <v>342</v>
      </c>
      <c r="C81" s="11" t="str">
        <f>VLOOKUP(B81,'Insumos e Serviços'!$A:$F,2,0)</f>
        <v>SINAPI</v>
      </c>
      <c r="D81" s="110" t="str">
        <f>VLOOKUP(B81,'Insumos e Serviços'!$A:$F,4,0)</f>
        <v>LUVA DE EMENDA PARA ELETRODUTO, AÇO GALVANIZADO, DN 40 MM (1 1/2''), APARENTE, INSTALADA EM TETO - FORNECIMENTO E INSTALAÇÃO. AF_11/2016_P</v>
      </c>
      <c r="E81" s="109" t="str">
        <f>VLOOKUP(B81,'Insumos e Serviços'!$A:$F,5,0)</f>
        <v>UN</v>
      </c>
      <c r="F81" s="111">
        <v>0.33329999999999999</v>
      </c>
      <c r="G81" s="112">
        <f>VLOOKUP(B81,'Insumos e Serviços'!$A:$F,6,0)</f>
        <v>14.84</v>
      </c>
      <c r="H81" s="112">
        <f t="shared" si="9"/>
        <v>4.9400000000000004</v>
      </c>
    </row>
    <row r="82" spans="1:8" ht="23.25" thickBot="1" x14ac:dyDescent="0.25">
      <c r="A82" s="109" t="str">
        <f>VLOOKUP(B82,'Insumos e Serviços'!$A:$F,3,0)</f>
        <v>Insumo</v>
      </c>
      <c r="B82" s="109" t="s">
        <v>340</v>
      </c>
      <c r="C82" s="11" t="str">
        <f>VLOOKUP(B82,'Insumos e Serviços'!$A:$F,2,0)</f>
        <v>Próprio</v>
      </c>
      <c r="D82" s="110" t="str">
        <f>VLOOKUP(B82,'Insumos e Serviços'!$A:$F,4,0)</f>
        <v>Eletroduto rígido de aço carbono, sem costura, com revestimento protetor de zinco aplicado à quente, extremidades rosqueadas, classe pesada, Ø40 mm (1 1/2" BSPP), fab. Apolo</v>
      </c>
      <c r="E82" s="109" t="str">
        <f>VLOOKUP(B82,'Insumos e Serviços'!$A:$F,5,0)</f>
        <v>m</v>
      </c>
      <c r="F82" s="111">
        <v>1.05</v>
      </c>
      <c r="G82" s="112">
        <f>VLOOKUP(B82,'Insumos e Serviços'!$A:$F,6,0)</f>
        <v>42.71</v>
      </c>
      <c r="H82" s="112">
        <f t="shared" si="9"/>
        <v>44.84</v>
      </c>
    </row>
    <row r="83" spans="1:8" ht="15" thickTop="1" x14ac:dyDescent="0.2">
      <c r="A83" s="34"/>
      <c r="B83" s="34"/>
      <c r="C83" s="34"/>
      <c r="D83" s="34"/>
      <c r="E83" s="34"/>
      <c r="F83" s="34"/>
      <c r="G83" s="34"/>
      <c r="H83" s="34"/>
    </row>
    <row r="84" spans="1:8" x14ac:dyDescent="0.2">
      <c r="A84" s="35" t="s">
        <v>114</v>
      </c>
      <c r="B84" s="35"/>
      <c r="C84" s="35"/>
      <c r="D84" s="35" t="s">
        <v>115</v>
      </c>
      <c r="E84" s="36"/>
      <c r="F84" s="37"/>
      <c r="G84" s="35"/>
      <c r="H84" s="38"/>
    </row>
    <row r="85" spans="1:8" ht="45" x14ac:dyDescent="0.2">
      <c r="A85" s="33" t="s">
        <v>116</v>
      </c>
      <c r="B85" s="106" t="str">
        <f>VLOOKUP(A85,'Orçamento Sintético'!$A:$H,2,0)</f>
        <v xml:space="preserve"> MPDFT0336 </v>
      </c>
      <c r="C85" s="106" t="str">
        <f>VLOOKUP(A85,'Orçamento Sintético'!$A:$H,3,0)</f>
        <v>Próprio</v>
      </c>
      <c r="D85" s="107" t="str">
        <f>VLOOKUP(A85,'Orçamento Sintético'!$A:$H,4,0)</f>
        <v>Copia da SINAPI (97587) - TIPO C: luminária retangular de sobrepor para 2 lâmpadas fluorescentes T8 de 32W, corpo em chapa de aço fosfatizada e pintada elostraticamente, refletor facetado em alumínio anodizado de alta pureza e reflectância. Fabricação Lumicenter CAN03-S232</v>
      </c>
      <c r="E85" s="106" t="str">
        <f>VLOOKUP(A85,'Orçamento Sintético'!$A:$H,5,0)</f>
        <v>un</v>
      </c>
      <c r="F85" s="108"/>
      <c r="G85" s="38"/>
      <c r="H85" s="38">
        <f>SUM(H86:H93)</f>
        <v>262.56</v>
      </c>
    </row>
    <row r="86" spans="1:8" x14ac:dyDescent="0.2">
      <c r="A86" s="109" t="str">
        <f>VLOOKUP(B86,'Insumos e Serviços'!$A:$F,3,0)</f>
        <v>Composição</v>
      </c>
      <c r="B86" s="109" t="s">
        <v>268</v>
      </c>
      <c r="C86" s="11" t="str">
        <f>VLOOKUP(B86,'Insumos e Serviços'!$A:$F,2,0)</f>
        <v>SINAPI</v>
      </c>
      <c r="D86" s="110" t="str">
        <f>VLOOKUP(B86,'Insumos e Serviços'!$A:$F,4,0)</f>
        <v>AUXILIAR DE ELETRICISTA COM ENCARGOS COMPLEMENTARES</v>
      </c>
      <c r="E86" s="109" t="str">
        <f>VLOOKUP(B86,'Insumos e Serviços'!$A:$F,5,0)</f>
        <v>H</v>
      </c>
      <c r="F86" s="111">
        <v>0.52</v>
      </c>
      <c r="G86" s="112">
        <f>VLOOKUP(B86,'Insumos e Serviços'!$A:$F,6,0)</f>
        <v>18.28</v>
      </c>
      <c r="H86" s="112">
        <f t="shared" ref="H86:H93" si="10">TRUNC(F86*G86,2)</f>
        <v>9.5</v>
      </c>
    </row>
    <row r="87" spans="1:8" x14ac:dyDescent="0.2">
      <c r="A87" s="109" t="str">
        <f>VLOOKUP(B87,'Insumos e Serviços'!$A:$F,3,0)</f>
        <v>Composição</v>
      </c>
      <c r="B87" s="109" t="s">
        <v>266</v>
      </c>
      <c r="C87" s="11" t="str">
        <f>VLOOKUP(B87,'Insumos e Serviços'!$A:$F,2,0)</f>
        <v>SINAPI</v>
      </c>
      <c r="D87" s="110" t="str">
        <f>VLOOKUP(B87,'Insumos e Serviços'!$A:$F,4,0)</f>
        <v>ELETRICISTA COM ENCARGOS COMPLEMENTARES</v>
      </c>
      <c r="E87" s="109" t="str">
        <f>VLOOKUP(B87,'Insumos e Serviços'!$A:$F,5,0)</f>
        <v>H</v>
      </c>
      <c r="F87" s="111">
        <v>0.7</v>
      </c>
      <c r="G87" s="112">
        <f>VLOOKUP(B87,'Insumos e Serviços'!$A:$F,6,0)</f>
        <v>23.44</v>
      </c>
      <c r="H87" s="112">
        <f t="shared" si="10"/>
        <v>16.399999999999999</v>
      </c>
    </row>
    <row r="88" spans="1:8" ht="22.5" x14ac:dyDescent="0.2">
      <c r="A88" s="109" t="str">
        <f>VLOOKUP(B88,'Insumos e Serviços'!$A:$F,3,0)</f>
        <v>Composição</v>
      </c>
      <c r="B88" s="109" t="s">
        <v>338</v>
      </c>
      <c r="C88" s="11" t="str">
        <f>VLOOKUP(B88,'Insumos e Serviços'!$A:$F,2,0)</f>
        <v>SINAPI</v>
      </c>
      <c r="D88" s="110" t="str">
        <f>VLOOKUP(B88,'Insumos e Serviços'!$A:$F,4,0)</f>
        <v>CONDULETE DE PVC, TIPO LL, PARA ELETRODUTO DE PVC SOLDÁVEL DN 20 MM (1/2''), APARENTE - FORNECIMENTO E INSTALAÇÃO. AF_11/2016</v>
      </c>
      <c r="E88" s="109" t="str">
        <f>VLOOKUP(B88,'Insumos e Serviços'!$A:$F,5,0)</f>
        <v>UN</v>
      </c>
      <c r="F88" s="111">
        <v>1</v>
      </c>
      <c r="G88" s="112">
        <f>VLOOKUP(B88,'Insumos e Serviços'!$A:$F,6,0)</f>
        <v>24.17</v>
      </c>
      <c r="H88" s="112">
        <f t="shared" si="10"/>
        <v>24.17</v>
      </c>
    </row>
    <row r="89" spans="1:8" ht="22.5" x14ac:dyDescent="0.2">
      <c r="A89" s="109" t="str">
        <f>VLOOKUP(B89,'Insumos e Serviços'!$A:$F,3,0)</f>
        <v>Composição</v>
      </c>
      <c r="B89" s="109" t="s">
        <v>336</v>
      </c>
      <c r="C89" s="11" t="str">
        <f>VLOOKUP(B89,'Insumos e Serviços'!$A:$F,2,0)</f>
        <v>SINAPI</v>
      </c>
      <c r="D89" s="110" t="str">
        <f>VLOOKUP(B89,'Insumos e Serviços'!$A:$F,4,0)</f>
        <v>TOMADA ALTA DE EMBUTIR (1 MÓDULO), 2P+T 10 A, INCLUINDO SUPORTE E PLACA - FORNECIMENTO E INSTALAÇÃO. AF_12/2015</v>
      </c>
      <c r="E89" s="109" t="str">
        <f>VLOOKUP(B89,'Insumos e Serviços'!$A:$F,5,0)</f>
        <v>UN</v>
      </c>
      <c r="F89" s="111">
        <v>1</v>
      </c>
      <c r="G89" s="112">
        <f>VLOOKUP(B89,'Insumos e Serviços'!$A:$F,6,0)</f>
        <v>34.22</v>
      </c>
      <c r="H89" s="112">
        <f t="shared" si="10"/>
        <v>34.22</v>
      </c>
    </row>
    <row r="90" spans="1:8" x14ac:dyDescent="0.2">
      <c r="A90" s="109" t="str">
        <f>VLOOKUP(B90,'Insumos e Serviços'!$A:$F,3,0)</f>
        <v>Insumo</v>
      </c>
      <c r="B90" s="109" t="s">
        <v>334</v>
      </c>
      <c r="C90" s="11" t="str">
        <f>VLOOKUP(B90,'Insumos e Serviços'!$A:$F,2,0)</f>
        <v>SINAPI</v>
      </c>
      <c r="D90" s="110" t="str">
        <f>VLOOKUP(B90,'Insumos e Serviços'!$A:$F,4,0)</f>
        <v>CABO FLEXIVEL PVC 750 V, 3 CONDUTORES DE 1,5 MM2</v>
      </c>
      <c r="E90" s="109" t="str">
        <f>VLOOKUP(B90,'Insumos e Serviços'!$A:$F,5,0)</f>
        <v>M</v>
      </c>
      <c r="F90" s="111">
        <v>1.5</v>
      </c>
      <c r="G90" s="112">
        <f>VLOOKUP(B90,'Insumos e Serviços'!$A:$F,6,0)</f>
        <v>4.1500000000000004</v>
      </c>
      <c r="H90" s="112">
        <f t="shared" si="10"/>
        <v>6.22</v>
      </c>
    </row>
    <row r="91" spans="1:8" x14ac:dyDescent="0.2">
      <c r="A91" s="109" t="str">
        <f>VLOOKUP(B91,'Insumos e Serviços'!$A:$F,3,0)</f>
        <v>Insumo</v>
      </c>
      <c r="B91" s="109" t="s">
        <v>332</v>
      </c>
      <c r="C91" s="11" t="str">
        <f>VLOOKUP(B91,'Insumos e Serviços'!$A:$F,2,0)</f>
        <v>Próprio</v>
      </c>
      <c r="D91" s="110" t="str">
        <f>VLOOKUP(B91,'Insumos e Serviços'!$A:$F,4,0)</f>
        <v>Plug macho 2P+T para tomada</v>
      </c>
      <c r="E91" s="109" t="str">
        <f>VLOOKUP(B91,'Insumos e Serviços'!$A:$F,5,0)</f>
        <v>un</v>
      </c>
      <c r="F91" s="111">
        <v>1</v>
      </c>
      <c r="G91" s="112">
        <f>VLOOKUP(B91,'Insumos e Serviços'!$A:$F,6,0)</f>
        <v>2.65</v>
      </c>
      <c r="H91" s="112">
        <f t="shared" si="10"/>
        <v>2.65</v>
      </c>
    </row>
    <row r="92" spans="1:8" ht="33.75" x14ac:dyDescent="0.2">
      <c r="A92" s="109" t="str">
        <f>VLOOKUP(B92,'Insumos e Serviços'!$A:$F,3,0)</f>
        <v>Insumo</v>
      </c>
      <c r="B92" s="109" t="s">
        <v>330</v>
      </c>
      <c r="C92" s="11" t="str">
        <f>VLOOKUP(B92,'Insumos e Serviços'!$A:$F,2,0)</f>
        <v>Próprio</v>
      </c>
      <c r="D92" s="110" t="str">
        <f>VLOOKUP(B92,'Insumos e Serviços'!$A:$F,4,0)</f>
        <v>Luminária retangular de sobrepor para 2 lâmpadas fluorescentes T8 de 32W, corpo em chapa de aço fosfatizada e pintada elostraticamente, refletor facetado em alumínio anodizado de alta pureza e reflectância. Fabricação Lumicenter CAN03-S232</v>
      </c>
      <c r="E92" s="109" t="str">
        <f>VLOOKUP(B92,'Insumos e Serviços'!$A:$F,5,0)</f>
        <v>un</v>
      </c>
      <c r="F92" s="111">
        <v>1</v>
      </c>
      <c r="G92" s="112">
        <f>VLOOKUP(B92,'Insumos e Serviços'!$A:$F,6,0)</f>
        <v>92</v>
      </c>
      <c r="H92" s="112">
        <f t="shared" si="10"/>
        <v>92</v>
      </c>
    </row>
    <row r="93" spans="1:8" ht="68.25" thickBot="1" x14ac:dyDescent="0.25">
      <c r="A93" s="109" t="str">
        <f>VLOOKUP(B93,'Insumos e Serviços'!$A:$F,3,0)</f>
        <v>Insumo</v>
      </c>
      <c r="B93" s="109" t="s">
        <v>328</v>
      </c>
      <c r="C93" s="11" t="str">
        <f>VLOOKUP(B93,'Insumos e Serviços'!$A:$F,2,0)</f>
        <v>Próprio</v>
      </c>
      <c r="D93" s="110" t="str">
        <f>VLOOKUP(B93,'Insumos e Serviços'!$A:$F,4,0)</f>
        <v>Tuboled 18 a 20 W - Lâmpada tubular de LED; com base/conector G13 (2 pinos) eficiência energética maior ou igual 100 lm/W;  fluxo luminoso maior ou igual a 2000 lumens; potência menor ou igual a 20 W; vida útil mínima da lâmpada de 25.000 horas; ângulo de abertura (facho) maior ou igual a 150°; temperatura de cor de 3800 a 4200 K; índice geral de reprodução de cor (IRC) maior ou igual a 80; fator de potência 0,92 (mín.); frequência nominal de 60 Hz; comprimento de 1200 mm. Fabricação Philips Master LEDTube 1200 mm 18W 840 T8 I W</v>
      </c>
      <c r="E93" s="109" t="str">
        <f>VLOOKUP(B93,'Insumos e Serviços'!$A:$F,5,0)</f>
        <v>un</v>
      </c>
      <c r="F93" s="111">
        <v>2</v>
      </c>
      <c r="G93" s="112">
        <f>VLOOKUP(B93,'Insumos e Serviços'!$A:$F,6,0)</f>
        <v>38.700000000000003</v>
      </c>
      <c r="H93" s="112">
        <f t="shared" si="10"/>
        <v>77.400000000000006</v>
      </c>
    </row>
    <row r="94" spans="1:8" ht="15" thickTop="1" x14ac:dyDescent="0.2">
      <c r="A94" s="34"/>
      <c r="B94" s="34"/>
      <c r="C94" s="34"/>
      <c r="D94" s="34"/>
      <c r="E94" s="34"/>
      <c r="F94" s="34"/>
      <c r="G94" s="34"/>
      <c r="H94" s="34"/>
    </row>
    <row r="95" spans="1:8" ht="33.75" x14ac:dyDescent="0.2">
      <c r="A95" s="33" t="s">
        <v>140</v>
      </c>
      <c r="B95" s="106" t="str">
        <f>VLOOKUP(A95,'Orçamento Sintético'!$A:$H,2,0)</f>
        <v xml:space="preserve"> MPDFT0354 </v>
      </c>
      <c r="C95" s="106" t="str">
        <f>VLOOKUP(A95,'Orçamento Sintético'!$A:$H,3,0)</f>
        <v>Próprio</v>
      </c>
      <c r="D95" s="107" t="str">
        <f>VLOOKUP(A95,'Orçamento Sintético'!$A:$H,4,0)</f>
        <v>Copia da SINAPI (95746) - Eletroduto rígido de aço carbono, sem costura, com revestimento protetor de zinco aplicado à quente, extremidades rosqueadas, classe pesada, Ø25 mm (3/4" BSPP), fab. Apolo - fornecimento e instalação</v>
      </c>
      <c r="E95" s="106" t="str">
        <f>VLOOKUP(A95,'Orçamento Sintético'!$A:$H,5,0)</f>
        <v>M</v>
      </c>
      <c r="F95" s="108"/>
      <c r="G95" s="38"/>
      <c r="H95" s="38">
        <f>SUM(H96:H100)</f>
        <v>29.619999999999997</v>
      </c>
    </row>
    <row r="96" spans="1:8" x14ac:dyDescent="0.2">
      <c r="A96" s="109" t="str">
        <f>VLOOKUP(B96,'Insumos e Serviços'!$A:$F,3,0)</f>
        <v>Composição</v>
      </c>
      <c r="B96" s="109" t="s">
        <v>268</v>
      </c>
      <c r="C96" s="11" t="str">
        <f>VLOOKUP(B96,'Insumos e Serviços'!$A:$F,2,0)</f>
        <v>SINAPI</v>
      </c>
      <c r="D96" s="110" t="str">
        <f>VLOOKUP(B96,'Insumos e Serviços'!$A:$F,4,0)</f>
        <v>AUXILIAR DE ELETRICISTA COM ENCARGOS COMPLEMENTARES</v>
      </c>
      <c r="E96" s="109" t="str">
        <f>VLOOKUP(B96,'Insumos e Serviços'!$A:$F,5,0)</f>
        <v>H</v>
      </c>
      <c r="F96" s="111">
        <v>0.10440000000000001</v>
      </c>
      <c r="G96" s="112">
        <f>VLOOKUP(B96,'Insumos e Serviços'!$A:$F,6,0)</f>
        <v>18.28</v>
      </c>
      <c r="H96" s="112">
        <f t="shared" ref="H96:H100" si="11">TRUNC(F96*G96,2)</f>
        <v>1.9</v>
      </c>
    </row>
    <row r="97" spans="1:8" x14ac:dyDescent="0.2">
      <c r="A97" s="109" t="str">
        <f>VLOOKUP(B97,'Insumos e Serviços'!$A:$F,3,0)</f>
        <v>Composição</v>
      </c>
      <c r="B97" s="109" t="s">
        <v>266</v>
      </c>
      <c r="C97" s="11" t="str">
        <f>VLOOKUP(B97,'Insumos e Serviços'!$A:$F,2,0)</f>
        <v>SINAPI</v>
      </c>
      <c r="D97" s="110" t="str">
        <f>VLOOKUP(B97,'Insumos e Serviços'!$A:$F,4,0)</f>
        <v>ELETRICISTA COM ENCARGOS COMPLEMENTARES</v>
      </c>
      <c r="E97" s="109" t="str">
        <f>VLOOKUP(B97,'Insumos e Serviços'!$A:$F,5,0)</f>
        <v>H</v>
      </c>
      <c r="F97" s="111">
        <v>0.10440000000000001</v>
      </c>
      <c r="G97" s="112">
        <f>VLOOKUP(B97,'Insumos e Serviços'!$A:$F,6,0)</f>
        <v>23.44</v>
      </c>
      <c r="H97" s="112">
        <f t="shared" si="11"/>
        <v>2.44</v>
      </c>
    </row>
    <row r="98" spans="1:8" ht="33.75" x14ac:dyDescent="0.2">
      <c r="A98" s="109" t="str">
        <f>VLOOKUP(B98,'Insumos e Serviços'!$A:$F,3,0)</f>
        <v>Composição</v>
      </c>
      <c r="B98" s="109" t="s">
        <v>322</v>
      </c>
      <c r="C98" s="11" t="str">
        <f>VLOOKUP(B98,'Insumos e Serviços'!$A:$F,2,0)</f>
        <v>SINAPI</v>
      </c>
      <c r="D98" s="110" t="str">
        <f>VLOOKUP(B98,'Insumos e Serviços'!$A:$F,4,0)</f>
        <v>FIXAÇÃO DE TUBOS HORIZONTAIS DE PVC, CPVC OU COBRE DIÂMETROS MENORES OU IGUAIS A 40 MM OU ELETROCALHAS ATÉ 150MM DE LARGURA, COM ABRAÇADEIRA METÁLICA RÍGIDA TIPO D 1/2, FIXADA EM PERFILADO EM LAJE. AF_05/2015</v>
      </c>
      <c r="E98" s="109" t="str">
        <f>VLOOKUP(B98,'Insumos e Serviços'!$A:$F,5,0)</f>
        <v>M</v>
      </c>
      <c r="F98" s="111">
        <v>1</v>
      </c>
      <c r="G98" s="112">
        <f>VLOOKUP(B98,'Insumos e Serviços'!$A:$F,6,0)</f>
        <v>2.5</v>
      </c>
      <c r="H98" s="112">
        <f t="shared" si="11"/>
        <v>2.5</v>
      </c>
    </row>
    <row r="99" spans="1:8" ht="22.5" x14ac:dyDescent="0.2">
      <c r="A99" s="109" t="str">
        <f>VLOOKUP(B99,'Insumos e Serviços'!$A:$F,3,0)</f>
        <v>Composição</v>
      </c>
      <c r="B99" s="109" t="s">
        <v>326</v>
      </c>
      <c r="C99" s="11" t="str">
        <f>VLOOKUP(B99,'Insumos e Serviços'!$A:$F,2,0)</f>
        <v>SINAPI</v>
      </c>
      <c r="D99" s="110" t="str">
        <f>VLOOKUP(B99,'Insumos e Serviços'!$A:$F,4,0)</f>
        <v>LUVA DE EMENDA PARA ELETRODUTO, AÇO GALVANIZADO, DN 25 MM (1''), APARENTE, INSTALADA EM TETO - FORNECIMENTO E INSTALAÇÃO. AF_11/2016_P</v>
      </c>
      <c r="E99" s="109" t="str">
        <f>VLOOKUP(B99,'Insumos e Serviços'!$A:$F,5,0)</f>
        <v>UN</v>
      </c>
      <c r="F99" s="111">
        <v>0.33329999999999999</v>
      </c>
      <c r="G99" s="112">
        <f>VLOOKUP(B99,'Insumos e Serviços'!$A:$F,6,0)</f>
        <v>7.77</v>
      </c>
      <c r="H99" s="112">
        <f t="shared" si="11"/>
        <v>2.58</v>
      </c>
    </row>
    <row r="100" spans="1:8" ht="23.25" thickBot="1" x14ac:dyDescent="0.25">
      <c r="A100" s="109" t="str">
        <f>VLOOKUP(B100,'Insumos e Serviços'!$A:$F,3,0)</f>
        <v>Insumo</v>
      </c>
      <c r="B100" s="109" t="s">
        <v>324</v>
      </c>
      <c r="C100" s="11" t="str">
        <f>VLOOKUP(B100,'Insumos e Serviços'!$A:$F,2,0)</f>
        <v>Próprio</v>
      </c>
      <c r="D100" s="110" t="str">
        <f>VLOOKUP(B100,'Insumos e Serviços'!$A:$F,4,0)</f>
        <v>Eletroduto rígido de aço carbono, sem costura, com revestimento protetor de zinco aplicado a quente, extremidades rosqueadas, classe pesada, Ø25mm (3/4" BSPP), fab. Apolo</v>
      </c>
      <c r="E100" s="109" t="str">
        <f>VLOOKUP(B100,'Insumos e Serviços'!$A:$F,5,0)</f>
        <v>m</v>
      </c>
      <c r="F100" s="111">
        <v>1.05</v>
      </c>
      <c r="G100" s="112">
        <f>VLOOKUP(B100,'Insumos e Serviços'!$A:$F,6,0)</f>
        <v>19.239999999999998</v>
      </c>
      <c r="H100" s="112">
        <f t="shared" si="11"/>
        <v>20.2</v>
      </c>
    </row>
    <row r="101" spans="1:8" ht="15" thickTop="1" x14ac:dyDescent="0.2">
      <c r="A101" s="34"/>
      <c r="B101" s="34"/>
      <c r="C101" s="34"/>
      <c r="D101" s="34"/>
      <c r="E101" s="34"/>
      <c r="F101" s="34"/>
      <c r="G101" s="34"/>
      <c r="H101" s="34"/>
    </row>
    <row r="102" spans="1:8" ht="33.75" x14ac:dyDescent="0.2">
      <c r="A102" s="33" t="s">
        <v>143</v>
      </c>
      <c r="B102" s="106" t="str">
        <f>VLOOKUP(A102,'Orçamento Sintético'!$A:$H,2,0)</f>
        <v xml:space="preserve"> MPDFT0355 </v>
      </c>
      <c r="C102" s="106" t="str">
        <f>VLOOKUP(A102,'Orçamento Sintético'!$A:$H,3,0)</f>
        <v>Próprio</v>
      </c>
      <c r="D102" s="107" t="str">
        <f>VLOOKUP(A102,'Orçamento Sintético'!$A:$H,4,0)</f>
        <v>Copia da SINAPI (95747) - Eletroduto rígido de aço carbono, sem costura, com revestimento protetor de zinco aplicado à quente, extremidades rosqueadas, classe pesada, Ø32 mm (1" BSPP), fab. Apolo - fornecimento e instalação</v>
      </c>
      <c r="E102" s="106" t="str">
        <f>VLOOKUP(A102,'Orçamento Sintético'!$A:$H,5,0)</f>
        <v>M</v>
      </c>
      <c r="F102" s="108"/>
      <c r="G102" s="38"/>
      <c r="H102" s="38">
        <f>SUM(H103:H107)</f>
        <v>32.35</v>
      </c>
    </row>
    <row r="103" spans="1:8" x14ac:dyDescent="0.2">
      <c r="A103" s="109" t="str">
        <f>VLOOKUP(B103,'Insumos e Serviços'!$A:$F,3,0)</f>
        <v>Composição</v>
      </c>
      <c r="B103" s="109" t="s">
        <v>268</v>
      </c>
      <c r="C103" s="11" t="str">
        <f>VLOOKUP(B103,'Insumos e Serviços'!$A:$F,2,0)</f>
        <v>SINAPI</v>
      </c>
      <c r="D103" s="110" t="str">
        <f>VLOOKUP(B103,'Insumos e Serviços'!$A:$F,4,0)</f>
        <v>AUXILIAR DE ELETRICISTA COM ENCARGOS COMPLEMENTARES</v>
      </c>
      <c r="E103" s="109" t="str">
        <f>VLOOKUP(B103,'Insumos e Serviços'!$A:$F,5,0)</f>
        <v>H</v>
      </c>
      <c r="F103" s="111">
        <v>0.13500000000000001</v>
      </c>
      <c r="G103" s="112">
        <f>VLOOKUP(B103,'Insumos e Serviços'!$A:$F,6,0)</f>
        <v>18.28</v>
      </c>
      <c r="H103" s="112">
        <f t="shared" ref="H103:H107" si="12">TRUNC(F103*G103,2)</f>
        <v>2.46</v>
      </c>
    </row>
    <row r="104" spans="1:8" x14ac:dyDescent="0.2">
      <c r="A104" s="109" t="str">
        <f>VLOOKUP(B104,'Insumos e Serviços'!$A:$F,3,0)</f>
        <v>Composição</v>
      </c>
      <c r="B104" s="109" t="s">
        <v>266</v>
      </c>
      <c r="C104" s="11" t="str">
        <f>VLOOKUP(B104,'Insumos e Serviços'!$A:$F,2,0)</f>
        <v>SINAPI</v>
      </c>
      <c r="D104" s="110" t="str">
        <f>VLOOKUP(B104,'Insumos e Serviços'!$A:$F,4,0)</f>
        <v>ELETRICISTA COM ENCARGOS COMPLEMENTARES</v>
      </c>
      <c r="E104" s="109" t="str">
        <f>VLOOKUP(B104,'Insumos e Serviços'!$A:$F,5,0)</f>
        <v>H</v>
      </c>
      <c r="F104" s="111">
        <v>0.13500000000000001</v>
      </c>
      <c r="G104" s="112">
        <f>VLOOKUP(B104,'Insumos e Serviços'!$A:$F,6,0)</f>
        <v>23.44</v>
      </c>
      <c r="H104" s="112">
        <f t="shared" si="12"/>
        <v>3.16</v>
      </c>
    </row>
    <row r="105" spans="1:8" ht="33.75" x14ac:dyDescent="0.2">
      <c r="A105" s="109" t="str">
        <f>VLOOKUP(B105,'Insumos e Serviços'!$A:$F,3,0)</f>
        <v>Composição</v>
      </c>
      <c r="B105" s="109" t="s">
        <v>322</v>
      </c>
      <c r="C105" s="11" t="str">
        <f>VLOOKUP(B105,'Insumos e Serviços'!$A:$F,2,0)</f>
        <v>SINAPI</v>
      </c>
      <c r="D105" s="110" t="str">
        <f>VLOOKUP(B105,'Insumos e Serviços'!$A:$F,4,0)</f>
        <v>FIXAÇÃO DE TUBOS HORIZONTAIS DE PVC, CPVC OU COBRE DIÂMETROS MENORES OU IGUAIS A 40 MM OU ELETROCALHAS ATÉ 150MM DE LARGURA, COM ABRAÇADEIRA METÁLICA RÍGIDA TIPO D 1/2, FIXADA EM PERFILADO EM LAJE. AF_05/2015</v>
      </c>
      <c r="E105" s="109" t="str">
        <f>VLOOKUP(B105,'Insumos e Serviços'!$A:$F,5,0)</f>
        <v>M</v>
      </c>
      <c r="F105" s="111">
        <v>1</v>
      </c>
      <c r="G105" s="112">
        <f>VLOOKUP(B105,'Insumos e Serviços'!$A:$F,6,0)</f>
        <v>2.5</v>
      </c>
      <c r="H105" s="112">
        <f t="shared" si="12"/>
        <v>2.5</v>
      </c>
    </row>
    <row r="106" spans="1:8" ht="22.5" x14ac:dyDescent="0.2">
      <c r="A106" s="109" t="str">
        <f>VLOOKUP(B106,'Insumos e Serviços'!$A:$F,3,0)</f>
        <v>Composição</v>
      </c>
      <c r="B106" s="109" t="s">
        <v>320</v>
      </c>
      <c r="C106" s="11" t="str">
        <f>VLOOKUP(B106,'Insumos e Serviços'!$A:$F,2,0)</f>
        <v>SINAPI</v>
      </c>
      <c r="D106" s="110" t="str">
        <f>VLOOKUP(B106,'Insumos e Serviços'!$A:$F,4,0)</f>
        <v>LUVA DE EMENDA PARA ELETRODUTO, AÇO GALVANIZADO, DN 32 MM (1 1/4''), APARENTE, INSTALADA EM TETO - FORNECIMENTO E INSTALAÇÃO. AF_11/2016_P</v>
      </c>
      <c r="E106" s="109" t="str">
        <f>VLOOKUP(B106,'Insumos e Serviços'!$A:$F,5,0)</f>
        <v>UN</v>
      </c>
      <c r="F106" s="111">
        <v>0.33329999999999999</v>
      </c>
      <c r="G106" s="112">
        <f>VLOOKUP(B106,'Insumos e Serviços'!$A:$F,6,0)</f>
        <v>11.15</v>
      </c>
      <c r="H106" s="112">
        <f t="shared" si="12"/>
        <v>3.71</v>
      </c>
    </row>
    <row r="107" spans="1:8" ht="23.25" thickBot="1" x14ac:dyDescent="0.25">
      <c r="A107" s="109" t="str">
        <f>VLOOKUP(B107,'Insumos e Serviços'!$A:$F,3,0)</f>
        <v>Insumo</v>
      </c>
      <c r="B107" s="109" t="s">
        <v>318</v>
      </c>
      <c r="C107" s="11" t="str">
        <f>VLOOKUP(B107,'Insumos e Serviços'!$A:$F,2,0)</f>
        <v>Próprio</v>
      </c>
      <c r="D107" s="110" t="str">
        <f>VLOOKUP(B107,'Insumos e Serviços'!$A:$F,4,0)</f>
        <v>Eletroduto rígido de aço carbono, sem costura, com revestimento protetor de zinco aplicado à quente, extremidades rosqueadas, classe pesada, Ø32 mm (1" BSPP), fab. Apolo</v>
      </c>
      <c r="E107" s="109" t="str">
        <f>VLOOKUP(B107,'Insumos e Serviços'!$A:$F,5,0)</f>
        <v>m</v>
      </c>
      <c r="F107" s="111">
        <v>1.05</v>
      </c>
      <c r="G107" s="112">
        <f>VLOOKUP(B107,'Insumos e Serviços'!$A:$F,6,0)</f>
        <v>19.55</v>
      </c>
      <c r="H107" s="112">
        <f t="shared" si="12"/>
        <v>20.52</v>
      </c>
    </row>
    <row r="108" spans="1:8" ht="15" thickTop="1" x14ac:dyDescent="0.2">
      <c r="A108" s="34"/>
      <c r="B108" s="34"/>
      <c r="C108" s="34"/>
      <c r="D108" s="34"/>
      <c r="E108" s="34"/>
      <c r="F108" s="34"/>
      <c r="G108" s="34"/>
      <c r="H108" s="34"/>
    </row>
    <row r="109" spans="1:8" x14ac:dyDescent="0.2">
      <c r="A109" s="26" t="s">
        <v>152</v>
      </c>
      <c r="B109" s="26"/>
      <c r="C109" s="26"/>
      <c r="D109" s="26" t="s">
        <v>153</v>
      </c>
      <c r="E109" s="27"/>
      <c r="F109" s="28"/>
      <c r="G109" s="26"/>
      <c r="H109" s="24"/>
    </row>
    <row r="110" spans="1:8" x14ac:dyDescent="0.2">
      <c r="A110" s="29" t="s">
        <v>154</v>
      </c>
      <c r="B110" s="29"/>
      <c r="C110" s="29"/>
      <c r="D110" s="29" t="s">
        <v>155</v>
      </c>
      <c r="E110" s="30"/>
      <c r="F110" s="31"/>
      <c r="G110" s="29"/>
      <c r="H110" s="32"/>
    </row>
    <row r="111" spans="1:8" x14ac:dyDescent="0.2">
      <c r="A111" s="35" t="s">
        <v>156</v>
      </c>
      <c r="B111" s="35"/>
      <c r="C111" s="35"/>
      <c r="D111" s="35" t="s">
        <v>157</v>
      </c>
      <c r="E111" s="36"/>
      <c r="F111" s="37"/>
      <c r="G111" s="35"/>
      <c r="H111" s="38"/>
    </row>
    <row r="112" spans="1:8" ht="56.25" x14ac:dyDescent="0.2">
      <c r="A112" s="33" t="s">
        <v>158</v>
      </c>
      <c r="B112" s="106" t="str">
        <f>VLOOKUP(A112,'Orçamento Sintético'!$A:$H,2,0)</f>
        <v xml:space="preserve"> MPDFT0996 </v>
      </c>
      <c r="C112" s="106" t="str">
        <f>VLOOKUP(A112,'Orçamento Sintético'!$A:$H,3,0)</f>
        <v>Próprio</v>
      </c>
      <c r="D112" s="107" t="str">
        <f>VLOOKUP(A112,'Orçamento Sintético'!$A:$H,4,0)</f>
        <v>Cópia da CPOS (43.08.001) - Unidade externa para sistema mini-VRF, capacidade nominal de resfriamento 20,0 kW (5,68 TRs), eficiência mínima (COP) maior que 3,28 , DM 1380 x 950 x 320, peso 118 kg, fluido refrigerante R410A, controle de fluxo por válvula de expansão eletrônica, compressor rotativo inverter - JCI-HITACHI  AS7,0HNSKQ + HCIOTGW ou similar equivalente.</v>
      </c>
      <c r="E112" s="106" t="str">
        <f>VLOOKUP(A112,'Orçamento Sintético'!$A:$H,5,0)</f>
        <v>un</v>
      </c>
      <c r="F112" s="108"/>
      <c r="G112" s="38"/>
      <c r="H112" s="38">
        <f>SUM(H113:H116)</f>
        <v>19151.11</v>
      </c>
    </row>
    <row r="113" spans="1:8" x14ac:dyDescent="0.2">
      <c r="A113" s="109" t="str">
        <f>VLOOKUP(B113,'Insumos e Serviços'!$A:$F,3,0)</f>
        <v>Composição</v>
      </c>
      <c r="B113" s="109" t="s">
        <v>268</v>
      </c>
      <c r="C113" s="11" t="str">
        <f>VLOOKUP(B113,'Insumos e Serviços'!$A:$F,2,0)</f>
        <v>SINAPI</v>
      </c>
      <c r="D113" s="110" t="str">
        <f>VLOOKUP(B113,'Insumos e Serviços'!$A:$F,4,0)</f>
        <v>AUXILIAR DE ELETRICISTA COM ENCARGOS COMPLEMENTARES</v>
      </c>
      <c r="E113" s="109" t="str">
        <f>VLOOKUP(B113,'Insumos e Serviços'!$A:$F,5,0)</f>
        <v>H</v>
      </c>
      <c r="F113" s="111">
        <v>8</v>
      </c>
      <c r="G113" s="112">
        <f>VLOOKUP(B113,'Insumos e Serviços'!$A:$F,6,0)</f>
        <v>18.28</v>
      </c>
      <c r="H113" s="112">
        <f t="shared" ref="H113:H116" si="13">TRUNC(F113*G113,2)</f>
        <v>146.24</v>
      </c>
    </row>
    <row r="114" spans="1:8" x14ac:dyDescent="0.2">
      <c r="A114" s="109" t="str">
        <f>VLOOKUP(B114,'Insumos e Serviços'!$A:$F,3,0)</f>
        <v>Composição</v>
      </c>
      <c r="B114" s="109" t="s">
        <v>266</v>
      </c>
      <c r="C114" s="11" t="str">
        <f>VLOOKUP(B114,'Insumos e Serviços'!$A:$F,2,0)</f>
        <v>SINAPI</v>
      </c>
      <c r="D114" s="110" t="str">
        <f>VLOOKUP(B114,'Insumos e Serviços'!$A:$F,4,0)</f>
        <v>ELETRICISTA COM ENCARGOS COMPLEMENTARES</v>
      </c>
      <c r="E114" s="109" t="str">
        <f>VLOOKUP(B114,'Insumos e Serviços'!$A:$F,5,0)</f>
        <v>H</v>
      </c>
      <c r="F114" s="111">
        <v>8</v>
      </c>
      <c r="G114" s="112">
        <f>VLOOKUP(B114,'Insumos e Serviços'!$A:$F,6,0)</f>
        <v>23.44</v>
      </c>
      <c r="H114" s="112">
        <f t="shared" si="13"/>
        <v>187.52</v>
      </c>
    </row>
    <row r="115" spans="1:8" x14ac:dyDescent="0.2">
      <c r="A115" s="109" t="str">
        <f>VLOOKUP(B115,'Insumos e Serviços'!$A:$F,3,0)</f>
        <v>Composição</v>
      </c>
      <c r="B115" s="109" t="s">
        <v>316</v>
      </c>
      <c r="C115" s="11" t="str">
        <f>VLOOKUP(B115,'Insumos e Serviços'!$A:$F,2,0)</f>
        <v>SINAPI</v>
      </c>
      <c r="D115" s="110" t="str">
        <f>VLOOKUP(B115,'Insumos e Serviços'!$A:$F,4,0)</f>
        <v>MONTADOR ELETROMECÃNICO COM ENCARGOS COMPLEMENTARES</v>
      </c>
      <c r="E115" s="109" t="str">
        <f>VLOOKUP(B115,'Insumos e Serviços'!$A:$F,5,0)</f>
        <v>H</v>
      </c>
      <c r="F115" s="111">
        <v>8</v>
      </c>
      <c r="G115" s="112">
        <f>VLOOKUP(B115,'Insumos e Serviços'!$A:$F,6,0)</f>
        <v>24.28</v>
      </c>
      <c r="H115" s="112">
        <f t="shared" si="13"/>
        <v>194.24</v>
      </c>
    </row>
    <row r="116" spans="1:8" ht="113.25" thickBot="1" x14ac:dyDescent="0.25">
      <c r="A116" s="109" t="str">
        <f>VLOOKUP(B116,'Insumos e Serviços'!$A:$F,3,0)</f>
        <v>Insumo</v>
      </c>
      <c r="B116" s="109" t="s">
        <v>314</v>
      </c>
      <c r="C116" s="11" t="str">
        <f>VLOOKUP(B116,'Insumos e Serviços'!$A:$F,2,0)</f>
        <v>Próprio</v>
      </c>
      <c r="D116" s="110" t="str">
        <f>VLOOKUP(B116,'Insumos e Serviços'!$A:$F,4,0)</f>
        <v>Unidade externa para sistema mini-VRF, capacidade nominal de resfriamento 20,0 kW (5,68 TRs), eficiência mínima (COP) maior que 3,28 (conforme manual RTQ-C - PBE Edifica) ,dimensões (A x L x P) 1380 x 950 x 320, peso 118 kg, fluido refrigerante R410A, controle de fluxo por válvula de expansão eletrônica, compressor rotativo inverter, trocador de calor com corrente cruzada, com aletas de alumínio e tubos de cobre, descarga de ar quente frontal, vazão de descarga 122 m³/min, linha de líquido 3/8" (9,53mm), linha de gás 5/8" (15,88mm), limentação elétrica monofásica, 220V, 60 Hz, corrente de partida 32A, potência elétrica de resfriamento 5,85 kW, compatível com sistema supervisório CS-NET (versão firmware 3.1) para inclusão em sistema supervisório existente. Modelo de referência: JCI-HITACHI AS7,0HNSKQ + HCIOTGW ou similar equivalente.</v>
      </c>
      <c r="E116" s="109" t="str">
        <f>VLOOKUP(B116,'Insumos e Serviços'!$A:$F,5,0)</f>
        <v>un</v>
      </c>
      <c r="F116" s="111">
        <v>1</v>
      </c>
      <c r="G116" s="112">
        <f>VLOOKUP(B116,'Insumos e Serviços'!$A:$F,6,0)</f>
        <v>18623.11</v>
      </c>
      <c r="H116" s="112">
        <f t="shared" si="13"/>
        <v>18623.11</v>
      </c>
    </row>
    <row r="117" spans="1:8" ht="15" thickTop="1" x14ac:dyDescent="0.2">
      <c r="A117" s="34"/>
      <c r="B117" s="34"/>
      <c r="C117" s="34"/>
      <c r="D117" s="34"/>
      <c r="E117" s="34"/>
      <c r="F117" s="34"/>
      <c r="G117" s="34"/>
      <c r="H117" s="34"/>
    </row>
    <row r="118" spans="1:8" ht="56.25" x14ac:dyDescent="0.2">
      <c r="A118" s="33" t="s">
        <v>161</v>
      </c>
      <c r="B118" s="106" t="str">
        <f>VLOOKUP(A118,'Orçamento Sintético'!$A:$H,2,0)</f>
        <v xml:space="preserve"> MPDFT0997 </v>
      </c>
      <c r="C118" s="106" t="str">
        <f>VLOOKUP(A118,'Orçamento Sintético'!$A:$H,3,0)</f>
        <v>Próprio</v>
      </c>
      <c r="D118" s="107" t="str">
        <f>VLOOKUP(A118,'Orçamento Sintético'!$A:$H,4,0)</f>
        <v>Cópia da CPOS (43.08.043) - Unidade interna para sistema mini VRF tipo cassete 4 vias, capacidade nominal de resfriamento 11,2 kW (3,18 TRs), vazão máxima de ar 1320 m³/h, motor do ventilador 127W, DM 288 x 840 x 840 mm, peso líquido 26kg, fluido refrigerante R410A -  JCI-HITACHI RCI4,0FSKDNQ+D50324A+PCALH3B+ PCAWRB ou similar equivalente</v>
      </c>
      <c r="E118" s="106" t="str">
        <f>VLOOKUP(A118,'Orçamento Sintético'!$A:$H,5,0)</f>
        <v>un</v>
      </c>
      <c r="F118" s="108"/>
      <c r="G118" s="38"/>
      <c r="H118" s="38">
        <f>SUM(H119:H122)</f>
        <v>6216.0700000000006</v>
      </c>
    </row>
    <row r="119" spans="1:8" x14ac:dyDescent="0.2">
      <c r="A119" s="109" t="str">
        <f>VLOOKUP(B119,'Insumos e Serviços'!$A:$F,3,0)</f>
        <v>Composição</v>
      </c>
      <c r="B119" s="109" t="s">
        <v>268</v>
      </c>
      <c r="C119" s="11" t="str">
        <f>VLOOKUP(B119,'Insumos e Serviços'!$A:$F,2,0)</f>
        <v>SINAPI</v>
      </c>
      <c r="D119" s="110" t="str">
        <f>VLOOKUP(B119,'Insumos e Serviços'!$A:$F,4,0)</f>
        <v>AUXILIAR DE ELETRICISTA COM ENCARGOS COMPLEMENTARES</v>
      </c>
      <c r="E119" s="109" t="str">
        <f>VLOOKUP(B119,'Insumos e Serviços'!$A:$F,5,0)</f>
        <v>H</v>
      </c>
      <c r="F119" s="111">
        <v>7</v>
      </c>
      <c r="G119" s="112">
        <f>VLOOKUP(B119,'Insumos e Serviços'!$A:$F,6,0)</f>
        <v>18.28</v>
      </c>
      <c r="H119" s="112">
        <f t="shared" ref="H119:H122" si="14">TRUNC(F119*G119,2)</f>
        <v>127.96</v>
      </c>
    </row>
    <row r="120" spans="1:8" x14ac:dyDescent="0.2">
      <c r="A120" s="109" t="str">
        <f>VLOOKUP(B120,'Insumos e Serviços'!$A:$F,3,0)</f>
        <v>Composição</v>
      </c>
      <c r="B120" s="109" t="s">
        <v>266</v>
      </c>
      <c r="C120" s="11" t="str">
        <f>VLOOKUP(B120,'Insumos e Serviços'!$A:$F,2,0)</f>
        <v>SINAPI</v>
      </c>
      <c r="D120" s="110" t="str">
        <f>VLOOKUP(B120,'Insumos e Serviços'!$A:$F,4,0)</f>
        <v>ELETRICISTA COM ENCARGOS COMPLEMENTARES</v>
      </c>
      <c r="E120" s="109" t="str">
        <f>VLOOKUP(B120,'Insumos e Serviços'!$A:$F,5,0)</f>
        <v>H</v>
      </c>
      <c r="F120" s="111">
        <v>7</v>
      </c>
      <c r="G120" s="112">
        <f>VLOOKUP(B120,'Insumos e Serviços'!$A:$F,6,0)</f>
        <v>23.44</v>
      </c>
      <c r="H120" s="112">
        <f t="shared" si="14"/>
        <v>164.08</v>
      </c>
    </row>
    <row r="121" spans="1:8" x14ac:dyDescent="0.2">
      <c r="A121" s="109" t="str">
        <f>VLOOKUP(B121,'Insumos e Serviços'!$A:$F,3,0)</f>
        <v>Composição</v>
      </c>
      <c r="B121" s="109" t="s">
        <v>313</v>
      </c>
      <c r="C121" s="11" t="str">
        <f>VLOOKUP(B121,'Insumos e Serviços'!$A:$F,2,0)</f>
        <v>SINAPI</v>
      </c>
      <c r="D121" s="110" t="str">
        <f>VLOOKUP(B121,'Insumos e Serviços'!$A:$F,4,0)</f>
        <v>MONTADOR DE ELETROELETRÔNICOS COM ENCARGOS COMPLEMENTARES</v>
      </c>
      <c r="E121" s="109" t="str">
        <f>VLOOKUP(B121,'Insumos e Serviços'!$A:$F,5,0)</f>
        <v>H</v>
      </c>
      <c r="F121" s="111">
        <v>7</v>
      </c>
      <c r="G121" s="112">
        <f>VLOOKUP(B121,'Insumos e Serviços'!$A:$F,6,0)</f>
        <v>22.43</v>
      </c>
      <c r="H121" s="112">
        <f t="shared" si="14"/>
        <v>157.01</v>
      </c>
    </row>
    <row r="122" spans="1:8" ht="79.5" thickBot="1" x14ac:dyDescent="0.25">
      <c r="A122" s="109" t="str">
        <f>VLOOKUP(B122,'Insumos e Serviços'!$A:$F,3,0)</f>
        <v>Insumo</v>
      </c>
      <c r="B122" s="109" t="s">
        <v>311</v>
      </c>
      <c r="C122" s="11" t="str">
        <f>VLOOKUP(B122,'Insumos e Serviços'!$A:$F,2,0)</f>
        <v>Próprio</v>
      </c>
      <c r="D122" s="110" t="str">
        <f>VLOOKUP(B122,'Insumos e Serviços'!$A:$F,4,0)</f>
        <v>Unidade interna para sistema mini VRF tipo cassete 4 vias, capacidade nominal de resfriamento 11,2 kW (3,18 TRs), vazão máxima de ar 1320 m³/h, motor do ventilador 127W, dimensões (A x L x C) 288 x 840 x 840 mm, peso líquido 26kg, fluido refrigerante R410A, conexão com porca curta, tubulação de refrigerante 3/8" e 5/8" (9,53 mm e 15,88 mm), incluindo bomba interna de condensado, painel de acabamento, eceptor de sinal no painel e controle remoto sem fio. Modelo de referência: JCI-HITACHI RCI4,0FSKDNQ+D50324A+PCALH3B+ PCAWRB ou similar equivalente.</v>
      </c>
      <c r="E122" s="109" t="str">
        <f>VLOOKUP(B122,'Insumos e Serviços'!$A:$F,5,0)</f>
        <v>un</v>
      </c>
      <c r="F122" s="111">
        <v>1</v>
      </c>
      <c r="G122" s="112">
        <f>VLOOKUP(B122,'Insumos e Serviços'!$A:$F,6,0)</f>
        <v>5767.02</v>
      </c>
      <c r="H122" s="112">
        <f t="shared" si="14"/>
        <v>5767.02</v>
      </c>
    </row>
    <row r="123" spans="1:8" ht="15" thickTop="1" x14ac:dyDescent="0.2">
      <c r="A123" s="34"/>
      <c r="B123" s="34"/>
      <c r="C123" s="34"/>
      <c r="D123" s="34"/>
      <c r="E123" s="34"/>
      <c r="F123" s="34"/>
      <c r="G123" s="34"/>
      <c r="H123" s="34"/>
    </row>
    <row r="124" spans="1:8" x14ac:dyDescent="0.2">
      <c r="A124" s="35" t="s">
        <v>164</v>
      </c>
      <c r="B124" s="35"/>
      <c r="C124" s="35"/>
      <c r="D124" s="35" t="s">
        <v>165</v>
      </c>
      <c r="E124" s="36"/>
      <c r="F124" s="37"/>
      <c r="G124" s="35"/>
      <c r="H124" s="38"/>
    </row>
    <row r="125" spans="1:8" ht="33.75" x14ac:dyDescent="0.2">
      <c r="A125" s="33" t="s">
        <v>166</v>
      </c>
      <c r="B125" s="106" t="str">
        <f>VLOOKUP(A125,'Orçamento Sintético'!$A:$H,2,0)</f>
        <v xml:space="preserve"> MPDFT1001 </v>
      </c>
      <c r="C125" s="106" t="str">
        <f>VLOOKUP(A125,'Orçamento Sintético'!$A:$H,3,0)</f>
        <v>Próprio</v>
      </c>
      <c r="D125" s="107" t="str">
        <f>VLOOKUP(A125,'Orçamento Sintético'!$A:$H,4,0)</f>
        <v>Cópia Orse (9840) - Duto em chapa de aço galvanizado #22 (espessura de parede 0,80mm), grau B, com revestimento de 250g/m² de zinco, conforme ABNT NBR 7008, incluindo junta TDC, tirantes, reforços e suportes, conforme ABNT 16401</v>
      </c>
      <c r="E125" s="106" t="str">
        <f>VLOOKUP(A125,'Orçamento Sintético'!$A:$H,5,0)</f>
        <v>m²</v>
      </c>
      <c r="F125" s="108"/>
      <c r="G125" s="38"/>
      <c r="H125" s="38">
        <f>SUM(H126:H129)</f>
        <v>142.01</v>
      </c>
    </row>
    <row r="126" spans="1:8" ht="22.5" x14ac:dyDescent="0.2">
      <c r="A126" s="109" t="str">
        <f>VLOOKUP(B126,'Insumos e Serviços'!$A:$F,3,0)</f>
        <v>Composição</v>
      </c>
      <c r="B126" s="109" t="s">
        <v>310</v>
      </c>
      <c r="C126" s="11" t="str">
        <f>VLOOKUP(B126,'Insumos e Serviços'!$A:$F,2,0)</f>
        <v>SINAPI</v>
      </c>
      <c r="D126" s="110" t="str">
        <f>VLOOKUP(B126,'Insumos e Serviços'!$A:$F,4,0)</f>
        <v>SUPORTE PARA DUTO EM CHAPA GALVANIZADA BITOLA 22, ESPAÇADO A CADA 1 M, EM PERFILADO DE SEÇÃO 38X76 MM, POR ÁREA DE DUTO FIXADO. AF_07/2017</v>
      </c>
      <c r="E126" s="109" t="str">
        <f>VLOOKUP(B126,'Insumos e Serviços'!$A:$F,5,0)</f>
        <v>m²</v>
      </c>
      <c r="F126" s="111">
        <v>1</v>
      </c>
      <c r="G126" s="112">
        <f>VLOOKUP(B126,'Insumos e Serviços'!$A:$F,6,0)</f>
        <v>12.62</v>
      </c>
      <c r="H126" s="112">
        <f t="shared" ref="H126:H129" si="15">TRUNC(F126*G126,2)</f>
        <v>12.62</v>
      </c>
    </row>
    <row r="127" spans="1:8" x14ac:dyDescent="0.2">
      <c r="A127" s="109" t="str">
        <f>VLOOKUP(B127,'Insumos e Serviços'!$A:$F,3,0)</f>
        <v>Composição</v>
      </c>
      <c r="B127" s="109" t="s">
        <v>308</v>
      </c>
      <c r="C127" s="11" t="str">
        <f>VLOOKUP(B127,'Insumos e Serviços'!$A:$F,2,0)</f>
        <v>SINAPI</v>
      </c>
      <c r="D127" s="110" t="str">
        <f>VLOOKUP(B127,'Insumos e Serviços'!$A:$F,4,0)</f>
        <v>SERRALHEIRO COM ENCARGOS COMPLEMENTARES</v>
      </c>
      <c r="E127" s="109" t="str">
        <f>VLOOKUP(B127,'Insumos e Serviços'!$A:$F,5,0)</f>
        <v>H</v>
      </c>
      <c r="F127" s="111">
        <v>1</v>
      </c>
      <c r="G127" s="112">
        <f>VLOOKUP(B127,'Insumos e Serviços'!$A:$F,6,0)</f>
        <v>23.13</v>
      </c>
      <c r="H127" s="112">
        <f t="shared" si="15"/>
        <v>23.13</v>
      </c>
    </row>
    <row r="128" spans="1:8" x14ac:dyDescent="0.2">
      <c r="A128" s="109" t="str">
        <f>VLOOKUP(B128,'Insumos e Serviços'!$A:$F,3,0)</f>
        <v>Composição</v>
      </c>
      <c r="B128" s="109" t="s">
        <v>306</v>
      </c>
      <c r="C128" s="11" t="str">
        <f>VLOOKUP(B128,'Insumos e Serviços'!$A:$F,2,0)</f>
        <v>SINAPI</v>
      </c>
      <c r="D128" s="110" t="str">
        <f>VLOOKUP(B128,'Insumos e Serviços'!$A:$F,4,0)</f>
        <v>AUXILIAR DE SERRALHEIRO COM ENCARGOS COMPLEMENTARES</v>
      </c>
      <c r="E128" s="109" t="str">
        <f>VLOOKUP(B128,'Insumos e Serviços'!$A:$F,5,0)</f>
        <v>H</v>
      </c>
      <c r="F128" s="111">
        <v>1</v>
      </c>
      <c r="G128" s="112">
        <f>VLOOKUP(B128,'Insumos e Serviços'!$A:$F,6,0)</f>
        <v>18.84</v>
      </c>
      <c r="H128" s="112">
        <f t="shared" si="15"/>
        <v>18.84</v>
      </c>
    </row>
    <row r="129" spans="1:8" ht="15" thickBot="1" x14ac:dyDescent="0.25">
      <c r="A129" s="109" t="str">
        <f>VLOOKUP(B129,'Insumos e Serviços'!$A:$F,3,0)</f>
        <v>Insumo</v>
      </c>
      <c r="B129" s="109" t="s">
        <v>304</v>
      </c>
      <c r="C129" s="11" t="str">
        <f>VLOOKUP(B129,'Insumos e Serviços'!$A:$F,2,0)</f>
        <v>SINAPI</v>
      </c>
      <c r="D129" s="110" t="str">
        <f>VLOOKUP(B129,'Insumos e Serviços'!$A:$F,4,0)</f>
        <v>CHAPA DE ACO GALVANIZADA BITOLA GSG 22, E = 0,80 MM (6,40 KG/M2)</v>
      </c>
      <c r="E129" s="109" t="str">
        <f>VLOOKUP(B129,'Insumos e Serviços'!$A:$F,5,0)</f>
        <v>KG</v>
      </c>
      <c r="F129" s="111">
        <v>6.72</v>
      </c>
      <c r="G129" s="112">
        <f>VLOOKUP(B129,'Insumos e Serviços'!$A:$F,6,0)</f>
        <v>13.01</v>
      </c>
      <c r="H129" s="112">
        <f t="shared" si="15"/>
        <v>87.42</v>
      </c>
    </row>
    <row r="130" spans="1:8" ht="15" thickTop="1" x14ac:dyDescent="0.2">
      <c r="A130" s="34"/>
      <c r="B130" s="34"/>
      <c r="C130" s="34"/>
      <c r="D130" s="34"/>
      <c r="E130" s="34"/>
      <c r="F130" s="34"/>
      <c r="G130" s="34"/>
      <c r="H130" s="34"/>
    </row>
    <row r="131" spans="1:8" ht="33.75" x14ac:dyDescent="0.2">
      <c r="A131" s="33" t="s">
        <v>169</v>
      </c>
      <c r="B131" s="106" t="str">
        <f>VLOOKUP(A131,'Orçamento Sintético'!$A:$H,2,0)</f>
        <v xml:space="preserve"> MPDFT1003 </v>
      </c>
      <c r="C131" s="106" t="str">
        <f>VLOOKUP(A131,'Orçamento Sintético'!$A:$H,3,0)</f>
        <v>Próprio</v>
      </c>
      <c r="D131" s="107" t="str">
        <f>VLOOKUP(A131,'Orçamento Sintético'!$A:$H,4,0)</f>
        <v>Cópia da SBC (070473) - Duto flexível #200 para ventilação ou exaustão, fabricado em alumínio e poliéster com espiral de arame de aço bronzeado, anticorrosivo e indeformável.  Modelo de referência: Multivac Aludec 60 CO2</v>
      </c>
      <c r="E131" s="106" t="str">
        <f>VLOOKUP(A131,'Orçamento Sintético'!$A:$H,5,0)</f>
        <v>un</v>
      </c>
      <c r="F131" s="108"/>
      <c r="G131" s="38"/>
      <c r="H131" s="38">
        <f>SUM(H132:H134)</f>
        <v>21.92</v>
      </c>
    </row>
    <row r="132" spans="1:8" x14ac:dyDescent="0.2">
      <c r="A132" s="109" t="str">
        <f>VLOOKUP(B132,'Insumos e Serviços'!$A:$F,3,0)</f>
        <v>Composição</v>
      </c>
      <c r="B132" s="109" t="s">
        <v>275</v>
      </c>
      <c r="C132" s="11" t="str">
        <f>VLOOKUP(B132,'Insumos e Serviços'!$A:$F,2,0)</f>
        <v>SINAPI</v>
      </c>
      <c r="D132" s="110" t="str">
        <f>VLOOKUP(B132,'Insumos e Serviços'!$A:$F,4,0)</f>
        <v>AJUDANTE ESPECIALIZADO COM ENCARGOS COMPLEMENTARES</v>
      </c>
      <c r="E132" s="109" t="str">
        <f>VLOOKUP(B132,'Insumos e Serviços'!$A:$F,5,0)</f>
        <v>H</v>
      </c>
      <c r="F132" s="111">
        <v>0.309</v>
      </c>
      <c r="G132" s="112">
        <f>VLOOKUP(B132,'Insumos e Serviços'!$A:$F,6,0)</f>
        <v>20.39</v>
      </c>
      <c r="H132" s="112">
        <f t="shared" ref="H132:H134" si="16">TRUNC(F132*G132,2)</f>
        <v>6.3</v>
      </c>
    </row>
    <row r="133" spans="1:8" ht="22.5" x14ac:dyDescent="0.2">
      <c r="A133" s="109" t="str">
        <f>VLOOKUP(B133,'Insumos e Serviços'!$A:$F,3,0)</f>
        <v>Composição</v>
      </c>
      <c r="B133" s="109" t="s">
        <v>301</v>
      </c>
      <c r="C133" s="11" t="str">
        <f>VLOOKUP(B133,'Insumos e Serviços'!$A:$F,2,0)</f>
        <v>SINAPI</v>
      </c>
      <c r="D133" s="110" t="str">
        <f>VLOOKUP(B133,'Insumos e Serviços'!$A:$F,4,0)</f>
        <v>APLICAÇÃO MANUAL DE PINTURA COM TINTA TEXTURIZADA ACRÍLICA EM PAREDES EXTERNAS DE CASAS, UMA COR. AF_06/2014</v>
      </c>
      <c r="E133" s="109" t="str">
        <f>VLOOKUP(B133,'Insumos e Serviços'!$A:$F,5,0)</f>
        <v>m²</v>
      </c>
      <c r="F133" s="111">
        <v>0.309</v>
      </c>
      <c r="G133" s="112">
        <f>VLOOKUP(B133,'Insumos e Serviços'!$A:$F,6,0)</f>
        <v>17.079999999999998</v>
      </c>
      <c r="H133" s="112">
        <f t="shared" si="16"/>
        <v>5.27</v>
      </c>
    </row>
    <row r="134" spans="1:8" ht="34.5" thickBot="1" x14ac:dyDescent="0.25">
      <c r="A134" s="109" t="str">
        <f>VLOOKUP(B134,'Insumos e Serviços'!$A:$F,3,0)</f>
        <v>Insumo</v>
      </c>
      <c r="B134" s="109" t="s">
        <v>299</v>
      </c>
      <c r="C134" s="11" t="str">
        <f>VLOOKUP(B134,'Insumos e Serviços'!$A:$F,2,0)</f>
        <v>Próprio</v>
      </c>
      <c r="D134" s="110" t="str">
        <f>VLOOKUP(B134,'Insumos e Serviços'!$A:$F,4,0)</f>
        <v>Duto flexível #200 para ventilação ou exaustão, fabricado em alumínio e poliéster com espiral de arame de aço bronzeado, anticorrosivo e indeformável. Modelo de referência: Multivac Aludec 60 CO2</v>
      </c>
      <c r="E134" s="109" t="str">
        <f>VLOOKUP(B134,'Insumos e Serviços'!$A:$F,5,0)</f>
        <v>m</v>
      </c>
      <c r="F134" s="111">
        <v>1</v>
      </c>
      <c r="G134" s="112">
        <f>VLOOKUP(B134,'Insumos e Serviços'!$A:$F,6,0)</f>
        <v>10.35</v>
      </c>
      <c r="H134" s="112">
        <f t="shared" si="16"/>
        <v>10.35</v>
      </c>
    </row>
    <row r="135" spans="1:8" ht="15" thickTop="1" x14ac:dyDescent="0.2">
      <c r="A135" s="34"/>
      <c r="B135" s="34"/>
      <c r="C135" s="34"/>
      <c r="D135" s="34"/>
      <c r="E135" s="34"/>
      <c r="F135" s="34"/>
      <c r="G135" s="34"/>
      <c r="H135" s="34"/>
    </row>
    <row r="136" spans="1:8" ht="67.5" x14ac:dyDescent="0.2">
      <c r="A136" s="33" t="s">
        <v>172</v>
      </c>
      <c r="B136" s="106" t="str">
        <f>VLOOKUP(A136,'Orçamento Sintético'!$A:$H,2,0)</f>
        <v xml:space="preserve"> MPDFT1002 </v>
      </c>
      <c r="C136" s="106" t="str">
        <f>VLOOKUP(A136,'Orçamento Sintético'!$A:$H,3,0)</f>
        <v>Próprio</v>
      </c>
      <c r="D136" s="107" t="str">
        <f>VLOOKUP(A136,'Orçamento Sintético'!$A:$H,4,0)</f>
        <v>Cópia da SBC (070097) -  Difusor de ar com várias abertura para saída de ar em uma direção, fabricado em prefis de alumínio extrudado, anodizados na cor natural, comprimento total 3056mm, largura total 155mm, composto de 3 pelas de 1 metro cada cantoneiras de 28mm, incluindo registro de vazão de lâminas convergentes. Modelo de referência: TROX ADE-1/DG L=3000mm e H=155mm (composto de 2 peças M de 1000mm e 2 cantoneiras terminais)</v>
      </c>
      <c r="E136" s="106" t="str">
        <f>VLOOKUP(A136,'Orçamento Sintético'!$A:$H,5,0)</f>
        <v>un</v>
      </c>
      <c r="F136" s="108"/>
      <c r="G136" s="38"/>
      <c r="H136" s="38">
        <f>SUM(H137:H139)</f>
        <v>1364.02</v>
      </c>
    </row>
    <row r="137" spans="1:8" x14ac:dyDescent="0.2">
      <c r="A137" s="109" t="str">
        <f>VLOOKUP(B137,'Insumos e Serviços'!$A:$F,3,0)</f>
        <v>Composição</v>
      </c>
      <c r="B137" s="109" t="s">
        <v>283</v>
      </c>
      <c r="C137" s="11" t="str">
        <f>VLOOKUP(B137,'Insumos e Serviços'!$A:$F,2,0)</f>
        <v>SINAPI</v>
      </c>
      <c r="D137" s="110" t="str">
        <f>VLOOKUP(B137,'Insumos e Serviços'!$A:$F,4,0)</f>
        <v>AUXILIAR DE MECÂNICO COM ENCARGOS COMPLEMENTARES</v>
      </c>
      <c r="E137" s="109" t="str">
        <f>VLOOKUP(B137,'Insumos e Serviços'!$A:$F,5,0)</f>
        <v>H</v>
      </c>
      <c r="F137" s="111">
        <v>2.2627000000000002</v>
      </c>
      <c r="G137" s="112">
        <f>VLOOKUP(B137,'Insumos e Serviços'!$A:$F,6,0)</f>
        <v>16.25</v>
      </c>
      <c r="H137" s="112">
        <f t="shared" ref="H137:H139" si="17">TRUNC(F137*G137,2)</f>
        <v>36.76</v>
      </c>
    </row>
    <row r="138" spans="1:8" x14ac:dyDescent="0.2">
      <c r="A138" s="109" t="str">
        <f>VLOOKUP(B138,'Insumos e Serviços'!$A:$F,3,0)</f>
        <v>Composição</v>
      </c>
      <c r="B138" s="109" t="s">
        <v>281</v>
      </c>
      <c r="C138" s="11" t="str">
        <f>VLOOKUP(B138,'Insumos e Serviços'!$A:$F,2,0)</f>
        <v>SINAPI</v>
      </c>
      <c r="D138" s="110" t="str">
        <f>VLOOKUP(B138,'Insumos e Serviços'!$A:$F,4,0)</f>
        <v>MECÃNICO DE EQUIPAMENTOS PESADOS COM ENCARGOS COMPLEMENTARES</v>
      </c>
      <c r="E138" s="109" t="str">
        <f>VLOOKUP(B138,'Insumos e Serviços'!$A:$F,5,0)</f>
        <v>H</v>
      </c>
      <c r="F138" s="111">
        <v>2.2627000000000002</v>
      </c>
      <c r="G138" s="112">
        <f>VLOOKUP(B138,'Insumos e Serviços'!$A:$F,6,0)</f>
        <v>24.46</v>
      </c>
      <c r="H138" s="112">
        <f t="shared" si="17"/>
        <v>55.34</v>
      </c>
    </row>
    <row r="139" spans="1:8" ht="57" thickBot="1" x14ac:dyDescent="0.25">
      <c r="A139" s="109" t="str">
        <f>VLOOKUP(B139,'Insumos e Serviços'!$A:$F,3,0)</f>
        <v>Insumo</v>
      </c>
      <c r="B139" s="109" t="s">
        <v>297</v>
      </c>
      <c r="C139" s="11" t="str">
        <f>VLOOKUP(B139,'Insumos e Serviços'!$A:$F,2,0)</f>
        <v>Próprio</v>
      </c>
      <c r="D139" s="110" t="str">
        <f>VLOOKUP(B139,'Insumos e Serviços'!$A:$F,4,0)</f>
        <v>Difusor de ar com várias abertura para saída de ar em uma direção, fabricado em prefis de alumínio extrudado, anodizados na cor natural, comprimento total 3056mm, largura total 155mm, composto de 3 pelas de 1 metro cada cantoneiras de 28mm, incluindo registro de vazão de lâminas convergentes. Modelo de referência: TROX ADE-1/DG L=3000mm e H=155mm (composto de 2 peças M de 1000mm e 2 cantoneiras terminais) M</v>
      </c>
      <c r="E139" s="109" t="str">
        <f>VLOOKUP(B139,'Insumos e Serviços'!$A:$F,5,0)</f>
        <v>un</v>
      </c>
      <c r="F139" s="111">
        <v>1</v>
      </c>
      <c r="G139" s="112">
        <f>VLOOKUP(B139,'Insumos e Serviços'!$A:$F,6,0)</f>
        <v>1271.92</v>
      </c>
      <c r="H139" s="112">
        <f t="shared" si="17"/>
        <v>1271.92</v>
      </c>
    </row>
    <row r="140" spans="1:8" ht="15" thickTop="1" x14ac:dyDescent="0.2">
      <c r="A140" s="34"/>
      <c r="B140" s="34"/>
      <c r="C140" s="34"/>
      <c r="D140" s="34"/>
      <c r="E140" s="34"/>
      <c r="F140" s="34"/>
      <c r="G140" s="34"/>
      <c r="H140" s="34"/>
    </row>
    <row r="141" spans="1:8" x14ac:dyDescent="0.2">
      <c r="A141" s="35" t="s">
        <v>180</v>
      </c>
      <c r="B141" s="35"/>
      <c r="C141" s="35"/>
      <c r="D141" s="35" t="s">
        <v>181</v>
      </c>
      <c r="E141" s="36"/>
      <c r="F141" s="37"/>
      <c r="G141" s="35"/>
      <c r="H141" s="38"/>
    </row>
    <row r="142" spans="1:8" ht="33.75" x14ac:dyDescent="0.2">
      <c r="A142" s="33" t="s">
        <v>182</v>
      </c>
      <c r="B142" s="106" t="str">
        <f>VLOOKUP(A142,'Orçamento Sintético'!$A:$H,2,0)</f>
        <v xml:space="preserve"> MPDFT0998 </v>
      </c>
      <c r="C142" s="106" t="str">
        <f>VLOOKUP(A142,'Orçamento Sintético'!$A:$H,3,0)</f>
        <v>Próprio</v>
      </c>
      <c r="D142" s="107" t="str">
        <f>VLOOKUP(A142,'Orçamento Sintético'!$A:$H,4,0)</f>
        <v>Tubos de ramificação (refnet) em cobre fabricado/aprovado pelo fabricante dos equipamentos do sistema VRF, para as linhas de líquido e de gás, diâmetros entrada 19,3mm e 9,7mm, incluindo adaptador - HITACHI - E-102SNB</v>
      </c>
      <c r="E142" s="106" t="str">
        <f>VLOOKUP(A142,'Orçamento Sintético'!$A:$H,5,0)</f>
        <v>un</v>
      </c>
      <c r="F142" s="108"/>
      <c r="G142" s="38"/>
      <c r="H142" s="38">
        <f>SUM(H143:H145)</f>
        <v>192.45000000000002</v>
      </c>
    </row>
    <row r="143" spans="1:8" x14ac:dyDescent="0.2">
      <c r="A143" s="109" t="str">
        <f>VLOOKUP(B143,'Insumos e Serviços'!$A:$F,3,0)</f>
        <v>Composição</v>
      </c>
      <c r="B143" s="109" t="s">
        <v>287</v>
      </c>
      <c r="C143" s="11" t="str">
        <f>VLOOKUP(B143,'Insumos e Serviços'!$A:$F,2,0)</f>
        <v>SINAPI</v>
      </c>
      <c r="D143" s="110" t="str">
        <f>VLOOKUP(B143,'Insumos e Serviços'!$A:$F,4,0)</f>
        <v>AUXILIAR DE ENCANADOR OU BOMBEIRO HIDRÁULICO COM ENCARGOS COMPLEMENTARES</v>
      </c>
      <c r="E143" s="109" t="str">
        <f>VLOOKUP(B143,'Insumos e Serviços'!$A:$F,5,0)</f>
        <v>H</v>
      </c>
      <c r="F143" s="111">
        <v>0.20599999999999999</v>
      </c>
      <c r="G143" s="112">
        <f>VLOOKUP(B143,'Insumos e Serviços'!$A:$F,6,0)</f>
        <v>17.78</v>
      </c>
      <c r="H143" s="112">
        <f t="shared" ref="H143:H145" si="18">TRUNC(F143*G143,2)</f>
        <v>3.66</v>
      </c>
    </row>
    <row r="144" spans="1:8" x14ac:dyDescent="0.2">
      <c r="A144" s="109" t="str">
        <f>VLOOKUP(B144,'Insumos e Serviços'!$A:$F,3,0)</f>
        <v>Composição</v>
      </c>
      <c r="B144" s="109" t="s">
        <v>285</v>
      </c>
      <c r="C144" s="11" t="str">
        <f>VLOOKUP(B144,'Insumos e Serviços'!$A:$F,2,0)</f>
        <v>SINAPI</v>
      </c>
      <c r="D144" s="110" t="str">
        <f>VLOOKUP(B144,'Insumos e Serviços'!$A:$F,4,0)</f>
        <v>ENCANADOR OU BOMBEIRO HIDRÁULICO COM ENCARGOS COMPLEMENTARES</v>
      </c>
      <c r="E144" s="109" t="str">
        <f>VLOOKUP(B144,'Insumos e Serviços'!$A:$F,5,0)</f>
        <v>H</v>
      </c>
      <c r="F144" s="111">
        <v>0.20599999999999999</v>
      </c>
      <c r="G144" s="112">
        <f>VLOOKUP(B144,'Insumos e Serviços'!$A:$F,6,0)</f>
        <v>22.76</v>
      </c>
      <c r="H144" s="112">
        <f t="shared" si="18"/>
        <v>4.68</v>
      </c>
    </row>
    <row r="145" spans="1:8" ht="34.5" thickBot="1" x14ac:dyDescent="0.25">
      <c r="A145" s="109" t="str">
        <f>VLOOKUP(B145,'Insumos e Serviços'!$A:$F,3,0)</f>
        <v>Insumo</v>
      </c>
      <c r="B145" s="109" t="s">
        <v>296</v>
      </c>
      <c r="C145" s="11" t="str">
        <f>VLOOKUP(B145,'Insumos e Serviços'!$A:$F,2,0)</f>
        <v>Próprio</v>
      </c>
      <c r="D145" s="110" t="str">
        <f>VLOOKUP(B145,'Insumos e Serviços'!$A:$F,4,0)</f>
        <v>Tubos de ramificação (refnet) em cobre fabricado/aprovado pelo fabricante dos equipamentos do sistema VRF, para as linhas de líquido e de gás, diâmetros entrada 19,3mm e 9,7mm, incluindo adaptador. odelo de referência: HITACHI - E-102SNB ou similar equivalente.</v>
      </c>
      <c r="E145" s="109" t="str">
        <f>VLOOKUP(B145,'Insumos e Serviços'!$A:$F,5,0)</f>
        <v>un</v>
      </c>
      <c r="F145" s="111">
        <v>1</v>
      </c>
      <c r="G145" s="112">
        <f>VLOOKUP(B145,'Insumos e Serviços'!$A:$F,6,0)</f>
        <v>184.11</v>
      </c>
      <c r="H145" s="112">
        <f t="shared" si="18"/>
        <v>184.11</v>
      </c>
    </row>
    <row r="146" spans="1:8" ht="15" thickTop="1" x14ac:dyDescent="0.2">
      <c r="A146" s="34"/>
      <c r="B146" s="34"/>
      <c r="C146" s="34"/>
      <c r="D146" s="34"/>
      <c r="E146" s="34"/>
      <c r="F146" s="34"/>
      <c r="G146" s="34"/>
      <c r="H146" s="34"/>
    </row>
    <row r="147" spans="1:8" ht="45" x14ac:dyDescent="0.2">
      <c r="A147" s="33" t="s">
        <v>185</v>
      </c>
      <c r="B147" s="106" t="str">
        <f>VLOOKUP(A147,'Orçamento Sintético'!$A:$H,2,0)</f>
        <v xml:space="preserve"> MPDFT1004 </v>
      </c>
      <c r="C147" s="106" t="str">
        <f>VLOOKUP(A147,'Orçamento Sintético'!$A:$H,3,0)</f>
        <v>Próprio</v>
      </c>
      <c r="D147" s="107" t="str">
        <f>VLOOKUP(A147,'Orçamento Sintético'!$A:$H,4,0)</f>
        <v>Cópia da Sinapi (97332) - Tubo de cobre, sem costura, soldável, para condução do gás  refrigerante R-410A, Ø9,53 mm - 3/8", e=0,8mm, incluindo: acessórios (curvas, joelhos luvas, etc); suporte para tubulação de tubo de cobre, com espaçamento máximo de 2,5m e isolamento térmico</v>
      </c>
      <c r="E147" s="106" t="str">
        <f>VLOOKUP(A147,'Orçamento Sintético'!$A:$H,5,0)</f>
        <v>M</v>
      </c>
      <c r="F147" s="108"/>
      <c r="G147" s="38"/>
      <c r="H147" s="38">
        <f>SUM(H148:H151)</f>
        <v>40.620000000000005</v>
      </c>
    </row>
    <row r="148" spans="1:8" x14ac:dyDescent="0.2">
      <c r="A148" s="109" t="str">
        <f>VLOOKUP(B148,'Insumos e Serviços'!$A:$F,3,0)</f>
        <v>Composição</v>
      </c>
      <c r="B148" s="109" t="s">
        <v>287</v>
      </c>
      <c r="C148" s="11" t="str">
        <f>VLOOKUP(B148,'Insumos e Serviços'!$A:$F,2,0)</f>
        <v>SINAPI</v>
      </c>
      <c r="D148" s="110" t="str">
        <f>VLOOKUP(B148,'Insumos e Serviços'!$A:$F,4,0)</f>
        <v>AUXILIAR DE ENCANADOR OU BOMBEIRO HIDRÁULICO COM ENCARGOS COMPLEMENTARES</v>
      </c>
      <c r="E148" s="109" t="str">
        <f>VLOOKUP(B148,'Insumos e Serviços'!$A:$F,5,0)</f>
        <v>H</v>
      </c>
      <c r="F148" s="111">
        <v>6.5000000000000002E-2</v>
      </c>
      <c r="G148" s="112">
        <f>VLOOKUP(B148,'Insumos e Serviços'!$A:$F,6,0)</f>
        <v>17.78</v>
      </c>
      <c r="H148" s="112">
        <f t="shared" ref="H148:H151" si="19">TRUNC(F148*G148,2)</f>
        <v>1.1499999999999999</v>
      </c>
    </row>
    <row r="149" spans="1:8" x14ac:dyDescent="0.2">
      <c r="A149" s="109" t="str">
        <f>VLOOKUP(B149,'Insumos e Serviços'!$A:$F,3,0)</f>
        <v>Composição</v>
      </c>
      <c r="B149" s="109" t="s">
        <v>285</v>
      </c>
      <c r="C149" s="11" t="str">
        <f>VLOOKUP(B149,'Insumos e Serviços'!$A:$F,2,0)</f>
        <v>SINAPI</v>
      </c>
      <c r="D149" s="110" t="str">
        <f>VLOOKUP(B149,'Insumos e Serviços'!$A:$F,4,0)</f>
        <v>ENCANADOR OU BOMBEIRO HIDRÁULICO COM ENCARGOS COMPLEMENTARES</v>
      </c>
      <c r="E149" s="109" t="str">
        <f>VLOOKUP(B149,'Insumos e Serviços'!$A:$F,5,0)</f>
        <v>H</v>
      </c>
      <c r="F149" s="111">
        <v>6.5000000000000002E-2</v>
      </c>
      <c r="G149" s="112">
        <f>VLOOKUP(B149,'Insumos e Serviços'!$A:$F,6,0)</f>
        <v>22.76</v>
      </c>
      <c r="H149" s="112">
        <f t="shared" si="19"/>
        <v>1.47</v>
      </c>
    </row>
    <row r="150" spans="1:8" ht="22.5" x14ac:dyDescent="0.2">
      <c r="A150" s="109" t="str">
        <f>VLOOKUP(B150,'Insumos e Serviços'!$A:$F,3,0)</f>
        <v>Insumo</v>
      </c>
      <c r="B150" s="109" t="s">
        <v>295</v>
      </c>
      <c r="C150" s="11" t="str">
        <f>VLOOKUP(B150,'Insumos e Serviços'!$A:$F,2,0)</f>
        <v>Próprio</v>
      </c>
      <c r="D150" s="110" t="str">
        <f>VLOOKUP(B150,'Insumos e Serviços'!$A:$F,4,0)</f>
        <v>Tubo de cobre, sem costura, soldável, para condução do gás refrigerante R-410A, Ø9,53 mm - 3/8", e=0,8mm</v>
      </c>
      <c r="E150" s="109" t="str">
        <f>VLOOKUP(B150,'Insumos e Serviços'!$A:$F,5,0)</f>
        <v>m</v>
      </c>
      <c r="F150" s="111">
        <v>1.0210999999999999</v>
      </c>
      <c r="G150" s="112">
        <f>VLOOKUP(B150,'Insumos e Serviços'!$A:$F,6,0)</f>
        <v>22.75</v>
      </c>
      <c r="H150" s="112">
        <f t="shared" si="19"/>
        <v>23.23</v>
      </c>
    </row>
    <row r="151" spans="1:8" ht="34.5" thickBot="1" x14ac:dyDescent="0.25">
      <c r="A151" s="109" t="str">
        <f>VLOOKUP(B151,'Insumos e Serviços'!$A:$F,3,0)</f>
        <v>Insumo</v>
      </c>
      <c r="B151" s="109" t="s">
        <v>293</v>
      </c>
      <c r="C151" s="11" t="str">
        <f>VLOOKUP(B151,'Insumos e Serviços'!$A:$F,2,0)</f>
        <v>SINAPI</v>
      </c>
      <c r="D151" s="110" t="str">
        <f>VLOOKUP(B151,'Insumos e Serviços'!$A:$F,4,0)</f>
        <v>TUBO DE BORRACHA ELASTOMERICA FLEXIVEL, PRETA, PARA ISOLAMENTO TERMICO DE TUBULACAO, DN 3/8" (10 MM), E= 19 MM, COEFICIENTE DE CONDUTIVIDADE TERMICA 0,036W/mK, VAPOR DE AGUA MAIOR OU IGUAL A 10.000</v>
      </c>
      <c r="E151" s="109" t="str">
        <f>VLOOKUP(B151,'Insumos e Serviços'!$A:$F,5,0)</f>
        <v>M</v>
      </c>
      <c r="F151" s="111">
        <v>1.0210999999999999</v>
      </c>
      <c r="G151" s="112">
        <f>VLOOKUP(B151,'Insumos e Serviços'!$A:$F,6,0)</f>
        <v>14.47</v>
      </c>
      <c r="H151" s="112">
        <f t="shared" si="19"/>
        <v>14.77</v>
      </c>
    </row>
    <row r="152" spans="1:8" ht="15" thickTop="1" x14ac:dyDescent="0.2">
      <c r="A152" s="34"/>
      <c r="B152" s="34"/>
      <c r="C152" s="34"/>
      <c r="D152" s="34"/>
      <c r="E152" s="34"/>
      <c r="F152" s="34"/>
      <c r="G152" s="34"/>
      <c r="H152" s="34"/>
    </row>
    <row r="153" spans="1:8" ht="45" x14ac:dyDescent="0.2">
      <c r="A153" s="33" t="s">
        <v>188</v>
      </c>
      <c r="B153" s="106" t="str">
        <f>VLOOKUP(A153,'Orçamento Sintético'!$A:$H,2,0)</f>
        <v xml:space="preserve"> MPDFT0070 </v>
      </c>
      <c r="C153" s="106" t="str">
        <f>VLOOKUP(A153,'Orçamento Sintético'!$A:$H,3,0)</f>
        <v>Próprio</v>
      </c>
      <c r="D153" s="107" t="str">
        <f>VLOOKUP(A153,'Orçamento Sintético'!$A:$H,4,0)</f>
        <v>Tubo de cobre,  sem costura, diâmetro de 15,88 mm (5/8"), espessura da parede de 1 mm soldável, têmpera mole, para condução do gás refrigerante R-410A,incluindo: acessórios (curvas, joelhos luvas, etc); suporte para tubulação de tubo de cobre, com espaçamento máximo de 2,5m e isolamento térmico</v>
      </c>
      <c r="E153" s="106" t="str">
        <f>VLOOKUP(A153,'Orçamento Sintético'!$A:$H,5,0)</f>
        <v>m</v>
      </c>
      <c r="F153" s="108"/>
      <c r="G153" s="38"/>
      <c r="H153" s="38">
        <f>SUM(H154:H157)</f>
        <v>52.459999999999994</v>
      </c>
    </row>
    <row r="154" spans="1:8" x14ac:dyDescent="0.2">
      <c r="A154" s="109" t="str">
        <f>VLOOKUP(B154,'Insumos e Serviços'!$A:$F,3,0)</f>
        <v>Composição</v>
      </c>
      <c r="B154" s="109" t="s">
        <v>287</v>
      </c>
      <c r="C154" s="11" t="str">
        <f>VLOOKUP(B154,'Insumos e Serviços'!$A:$F,2,0)</f>
        <v>SINAPI</v>
      </c>
      <c r="D154" s="110" t="str">
        <f>VLOOKUP(B154,'Insumos e Serviços'!$A:$F,4,0)</f>
        <v>AUXILIAR DE ENCANADOR OU BOMBEIRO HIDRÁULICO COM ENCARGOS COMPLEMENTARES</v>
      </c>
      <c r="E154" s="109" t="str">
        <f>VLOOKUP(B154,'Insumos e Serviços'!$A:$F,5,0)</f>
        <v>H</v>
      </c>
      <c r="F154" s="111">
        <v>7.4999999999999997E-2</v>
      </c>
      <c r="G154" s="112">
        <f>VLOOKUP(B154,'Insumos e Serviços'!$A:$F,6,0)</f>
        <v>17.78</v>
      </c>
      <c r="H154" s="112">
        <f t="shared" ref="H154:H157" si="20">TRUNC(F154*G154,2)</f>
        <v>1.33</v>
      </c>
    </row>
    <row r="155" spans="1:8" x14ac:dyDescent="0.2">
      <c r="A155" s="109" t="str">
        <f>VLOOKUP(B155,'Insumos e Serviços'!$A:$F,3,0)</f>
        <v>Composição</v>
      </c>
      <c r="B155" s="109" t="s">
        <v>285</v>
      </c>
      <c r="C155" s="11" t="str">
        <f>VLOOKUP(B155,'Insumos e Serviços'!$A:$F,2,0)</f>
        <v>SINAPI</v>
      </c>
      <c r="D155" s="110" t="str">
        <f>VLOOKUP(B155,'Insumos e Serviços'!$A:$F,4,0)</f>
        <v>ENCANADOR OU BOMBEIRO HIDRÁULICO COM ENCARGOS COMPLEMENTARES</v>
      </c>
      <c r="E155" s="109" t="str">
        <f>VLOOKUP(B155,'Insumos e Serviços'!$A:$F,5,0)</f>
        <v>H</v>
      </c>
      <c r="F155" s="111">
        <v>7.4999999999999997E-2</v>
      </c>
      <c r="G155" s="112">
        <f>VLOOKUP(B155,'Insumos e Serviços'!$A:$F,6,0)</f>
        <v>22.76</v>
      </c>
      <c r="H155" s="112">
        <f t="shared" si="20"/>
        <v>1.7</v>
      </c>
    </row>
    <row r="156" spans="1:8" x14ac:dyDescent="0.2">
      <c r="A156" s="109" t="str">
        <f>VLOOKUP(B156,'Insumos e Serviços'!$A:$F,3,0)</f>
        <v>Insumo</v>
      </c>
      <c r="B156" s="109" t="s">
        <v>291</v>
      </c>
      <c r="C156" s="11" t="str">
        <f>VLOOKUP(B156,'Insumos e Serviços'!$A:$F,2,0)</f>
        <v>Próprio</v>
      </c>
      <c r="D156" s="110" t="str">
        <f>VLOOKUP(B156,'Insumos e Serviços'!$A:$F,4,0)</f>
        <v>Tubo de cobre sem costura, soldável 5/8" espessura da parede de 1 mm, têmpera mole</v>
      </c>
      <c r="E156" s="109" t="str">
        <f>VLOOKUP(B156,'Insumos e Serviços'!$A:$F,5,0)</f>
        <v>m</v>
      </c>
      <c r="F156" s="111">
        <v>1.0210999999999999</v>
      </c>
      <c r="G156" s="112">
        <f>VLOOKUP(B156,'Insumos e Serviços'!$A:$F,6,0)</f>
        <v>29.4</v>
      </c>
      <c r="H156" s="112">
        <f t="shared" si="20"/>
        <v>30.02</v>
      </c>
    </row>
    <row r="157" spans="1:8" ht="34.5" thickBot="1" x14ac:dyDescent="0.25">
      <c r="A157" s="109" t="str">
        <f>VLOOKUP(B157,'Insumos e Serviços'!$A:$F,3,0)</f>
        <v>Insumo</v>
      </c>
      <c r="B157" s="109" t="s">
        <v>289</v>
      </c>
      <c r="C157" s="11" t="str">
        <f>VLOOKUP(B157,'Insumos e Serviços'!$A:$F,2,0)</f>
        <v>SINAPI</v>
      </c>
      <c r="D157" s="110" t="str">
        <f>VLOOKUP(B157,'Insumos e Serviços'!$A:$F,4,0)</f>
        <v>TUBO DE BORRACHA ELASTOMERICA FLEXIVEL, PRETA, PARA ISOLAMENTO TERMICO DE TUBULACAO, DN 5/8" (15 MM), E= 19 MM, COEFICIENTE DE CONDUTIVIDADE TERMICA 0,036W/MK, VAPOR DE AGUA MAIOR OU IGUAL A 10.000</v>
      </c>
      <c r="E157" s="109" t="str">
        <f>VLOOKUP(B157,'Insumos e Serviços'!$A:$F,5,0)</f>
        <v>M</v>
      </c>
      <c r="F157" s="111">
        <v>1.0210999999999999</v>
      </c>
      <c r="G157" s="112">
        <f>VLOOKUP(B157,'Insumos e Serviços'!$A:$F,6,0)</f>
        <v>19.010000000000002</v>
      </c>
      <c r="H157" s="112">
        <f t="shared" si="20"/>
        <v>19.41</v>
      </c>
    </row>
    <row r="158" spans="1:8" ht="15" thickTop="1" x14ac:dyDescent="0.2">
      <c r="A158" s="34"/>
      <c r="B158" s="34"/>
      <c r="C158" s="34"/>
      <c r="D158" s="34"/>
      <c r="E158" s="34"/>
      <c r="F158" s="34"/>
      <c r="G158" s="34"/>
      <c r="H158" s="34"/>
    </row>
    <row r="159" spans="1:8" x14ac:dyDescent="0.2">
      <c r="A159" s="35" t="s">
        <v>194</v>
      </c>
      <c r="B159" s="35"/>
      <c r="C159" s="35"/>
      <c r="D159" s="35" t="s">
        <v>195</v>
      </c>
      <c r="E159" s="36"/>
      <c r="F159" s="37"/>
      <c r="G159" s="35"/>
      <c r="H159" s="38"/>
    </row>
    <row r="160" spans="1:8" ht="22.5" x14ac:dyDescent="0.2">
      <c r="A160" s="33" t="s">
        <v>196</v>
      </c>
      <c r="B160" s="106" t="str">
        <f>VLOOKUP(A160,'Orçamento Sintético'!$A:$H,2,0)</f>
        <v xml:space="preserve"> MPDFT0999 </v>
      </c>
      <c r="C160" s="106" t="str">
        <f>VLOOKUP(A160,'Orçamento Sintético'!$A:$H,3,0)</f>
        <v>Próprio</v>
      </c>
      <c r="D160" s="107" t="str">
        <f>VLOOKUP(A160,'Orçamento Sintético'!$A:$H,4,0)</f>
        <v>Cópia da SBC (070237) - Tomada de ar exterior, DM397x347mm, com veneziana alumínio, registro e elemento filtrante - TROX VDF-FMB 397x347mm</v>
      </c>
      <c r="E160" s="106" t="str">
        <f>VLOOKUP(A160,'Orçamento Sintético'!$A:$H,5,0)</f>
        <v>un</v>
      </c>
      <c r="F160" s="108"/>
      <c r="G160" s="38"/>
      <c r="H160" s="38">
        <f>SUM(H161:H163)</f>
        <v>788.58999999999992</v>
      </c>
    </row>
    <row r="161" spans="1:8" x14ac:dyDescent="0.2">
      <c r="A161" s="109" t="str">
        <f>VLOOKUP(B161,'Insumos e Serviços'!$A:$F,3,0)</f>
        <v>Composição</v>
      </c>
      <c r="B161" s="109" t="s">
        <v>283</v>
      </c>
      <c r="C161" s="11" t="str">
        <f>VLOOKUP(B161,'Insumos e Serviços'!$A:$F,2,0)</f>
        <v>SINAPI</v>
      </c>
      <c r="D161" s="110" t="str">
        <f>VLOOKUP(B161,'Insumos e Serviços'!$A:$F,4,0)</f>
        <v>AUXILIAR DE MECÂNICO COM ENCARGOS COMPLEMENTARES</v>
      </c>
      <c r="E161" s="109" t="str">
        <f>VLOOKUP(B161,'Insumos e Serviços'!$A:$F,5,0)</f>
        <v>H</v>
      </c>
      <c r="F161" s="111">
        <v>3.4009999999999998</v>
      </c>
      <c r="G161" s="112">
        <f>VLOOKUP(B161,'Insumos e Serviços'!$A:$F,6,0)</f>
        <v>16.25</v>
      </c>
      <c r="H161" s="112">
        <f t="shared" ref="H161:H163" si="21">TRUNC(F161*G161,2)</f>
        <v>55.26</v>
      </c>
    </row>
    <row r="162" spans="1:8" x14ac:dyDescent="0.2">
      <c r="A162" s="109" t="str">
        <f>VLOOKUP(B162,'Insumos e Serviços'!$A:$F,3,0)</f>
        <v>Composição</v>
      </c>
      <c r="B162" s="109" t="s">
        <v>281</v>
      </c>
      <c r="C162" s="11" t="str">
        <f>VLOOKUP(B162,'Insumos e Serviços'!$A:$F,2,0)</f>
        <v>SINAPI</v>
      </c>
      <c r="D162" s="110" t="str">
        <f>VLOOKUP(B162,'Insumos e Serviços'!$A:$F,4,0)</f>
        <v>MECÃNICO DE EQUIPAMENTOS PESADOS COM ENCARGOS COMPLEMENTARES</v>
      </c>
      <c r="E162" s="109" t="str">
        <f>VLOOKUP(B162,'Insumos e Serviços'!$A:$F,5,0)</f>
        <v>H</v>
      </c>
      <c r="F162" s="111">
        <v>3.4009999999999998</v>
      </c>
      <c r="G162" s="112">
        <f>VLOOKUP(B162,'Insumos e Serviços'!$A:$F,6,0)</f>
        <v>24.46</v>
      </c>
      <c r="H162" s="112">
        <f t="shared" si="21"/>
        <v>83.18</v>
      </c>
    </row>
    <row r="163" spans="1:8" ht="34.5" thickBot="1" x14ac:dyDescent="0.25">
      <c r="A163" s="109" t="str">
        <f>VLOOKUP(B163,'Insumos e Serviços'!$A:$F,3,0)</f>
        <v>Insumo</v>
      </c>
      <c r="B163" s="109" t="s">
        <v>279</v>
      </c>
      <c r="C163" s="11" t="str">
        <f>VLOOKUP(B163,'Insumos e Serviços'!$A:$F,2,0)</f>
        <v>Próprio</v>
      </c>
      <c r="D163" s="110" t="str">
        <f>VLOOKUP(B163,'Insumos e Serviços'!$A:$F,4,0)</f>
        <v>Tomada de ar exterior, dimensões 397x347mm, composta de veneziana (alumínio extrudado, anodizado na cor natural) registro (com moldura em aço carbono, aletas em alumínio pintado) e elemento filtrante (alumínio corrugado). Modelo de referência: TROX VDF-FMB 397x347mm</v>
      </c>
      <c r="E163" s="109" t="str">
        <f>VLOOKUP(B163,'Insumos e Serviços'!$A:$F,5,0)</f>
        <v>un</v>
      </c>
      <c r="F163" s="111">
        <v>1</v>
      </c>
      <c r="G163" s="112">
        <f>VLOOKUP(B163,'Insumos e Serviços'!$A:$F,6,0)</f>
        <v>650.15</v>
      </c>
      <c r="H163" s="112">
        <f t="shared" si="21"/>
        <v>650.15</v>
      </c>
    </row>
    <row r="164" spans="1:8" ht="15" thickTop="1" x14ac:dyDescent="0.2">
      <c r="A164" s="34"/>
      <c r="B164" s="34"/>
      <c r="C164" s="34"/>
      <c r="D164" s="34"/>
      <c r="E164" s="34"/>
      <c r="F164" s="34"/>
      <c r="G164" s="34"/>
      <c r="H164" s="34"/>
    </row>
    <row r="165" spans="1:8" ht="123.75" x14ac:dyDescent="0.2">
      <c r="A165" s="33" t="s">
        <v>199</v>
      </c>
      <c r="B165" s="106" t="str">
        <f>VLOOKUP(A165,'Orçamento Sintético'!$A:$H,2,0)</f>
        <v xml:space="preserve"> MPDFT1000 </v>
      </c>
      <c r="C165" s="106" t="str">
        <f>VLOOKUP(A165,'Orçamento Sintético'!$A:$H,3,0)</f>
        <v>Próprio</v>
      </c>
      <c r="D165" s="107" t="str">
        <f>VLOOKUP(A165,'Orçamento Sintético'!$A:$H,4,0)</f>
        <v>Cópia da SBC (070901) - Caixa de ventilação estanque fabricada em aço galvanizado, com isolamento acústico não inflamável, fechos estanques, fácil acesso para abertura e manutenção, ventilador centrífugo de aletas curvadas para frente, motor IP44, com rolamento de esferas, protetor térmico e caixa de bornes remota IP55, alimentação elétrica monofásica 220V-60Hz, 2500 RPM, 421 W, para ponto operacional 150 l/s e 55mmca (aproximadamente), incluindo: caixa filtrante em aço galvanizado com filtro M5 incorporado, aspiração retangular 370 x 305 mm, com tampa removível para acesso ao fitro, para vazão de 150 l/s (conforme ABNT 16401), suportes anti-vibratórios e regulador de velocidade eletrônico. Modelo de referência: Soler&amp;Palau OTAM CAB 250N + MFL-R-250 com filtragem M5 + KSE-45+REB-2,5N</v>
      </c>
      <c r="E165" s="106" t="str">
        <f>VLOOKUP(A165,'Orçamento Sintético'!$A:$H,5,0)</f>
        <v>un</v>
      </c>
      <c r="F165" s="108"/>
      <c r="G165" s="38"/>
      <c r="H165" s="38">
        <f>SUM(H166:H168)</f>
        <v>3894.6800000000003</v>
      </c>
    </row>
    <row r="166" spans="1:8" x14ac:dyDescent="0.2">
      <c r="A166" s="109" t="str">
        <f>VLOOKUP(B166,'Insumos e Serviços'!$A:$F,3,0)</f>
        <v>Composição</v>
      </c>
      <c r="B166" s="109" t="s">
        <v>277</v>
      </c>
      <c r="C166" s="11" t="str">
        <f>VLOOKUP(B166,'Insumos e Serviços'!$A:$F,2,0)</f>
        <v>SINAPI</v>
      </c>
      <c r="D166" s="110" t="str">
        <f>VLOOKUP(B166,'Insumos e Serviços'!$A:$F,4,0)</f>
        <v>MONTADOR (TUBO AÇO/EQUIPAMENTOS) COM ENCARGOS COMPLEMENTARES</v>
      </c>
      <c r="E166" s="109" t="str">
        <f>VLOOKUP(B166,'Insumos e Serviços'!$A:$F,5,0)</f>
        <v>H</v>
      </c>
      <c r="F166" s="111">
        <v>3.1859999999999999</v>
      </c>
      <c r="G166" s="112">
        <f>VLOOKUP(B166,'Insumos e Serviços'!$A:$F,6,0)</f>
        <v>18.350000000000001</v>
      </c>
      <c r="H166" s="112">
        <f t="shared" ref="H166:H168" si="22">TRUNC(F166*G166,2)</f>
        <v>58.46</v>
      </c>
    </row>
    <row r="167" spans="1:8" x14ac:dyDescent="0.2">
      <c r="A167" s="109" t="str">
        <f>VLOOKUP(B167,'Insumos e Serviços'!$A:$F,3,0)</f>
        <v>Composição</v>
      </c>
      <c r="B167" s="109" t="s">
        <v>275</v>
      </c>
      <c r="C167" s="11" t="str">
        <f>VLOOKUP(B167,'Insumos e Serviços'!$A:$F,2,0)</f>
        <v>SINAPI</v>
      </c>
      <c r="D167" s="110" t="str">
        <f>VLOOKUP(B167,'Insumos e Serviços'!$A:$F,4,0)</f>
        <v>AJUDANTE ESPECIALIZADO COM ENCARGOS COMPLEMENTARES</v>
      </c>
      <c r="E167" s="109" t="str">
        <f>VLOOKUP(B167,'Insumos e Serviços'!$A:$F,5,0)</f>
        <v>H</v>
      </c>
      <c r="F167" s="111">
        <v>3.1859999999999999</v>
      </c>
      <c r="G167" s="112">
        <f>VLOOKUP(B167,'Insumos e Serviços'!$A:$F,6,0)</f>
        <v>20.39</v>
      </c>
      <c r="H167" s="112">
        <f t="shared" si="22"/>
        <v>64.959999999999994</v>
      </c>
    </row>
    <row r="168" spans="1:8" ht="102" thickBot="1" x14ac:dyDescent="0.25">
      <c r="A168" s="109" t="str">
        <f>VLOOKUP(B168,'Insumos e Serviços'!$A:$F,3,0)</f>
        <v>Insumo</v>
      </c>
      <c r="B168" s="109" t="s">
        <v>273</v>
      </c>
      <c r="C168" s="11" t="str">
        <f>VLOOKUP(B168,'Insumos e Serviços'!$A:$F,2,0)</f>
        <v>Próprio</v>
      </c>
      <c r="D168" s="110" t="str">
        <f>VLOOKUP(B168,'Insumos e Serviços'!$A:$F,4,0)</f>
        <v>Cópia da SBC (070901) - Caixa de ventilação estanque fabricada em aço galvanizado, com isolamento acústico não inflamável, fechos estanques, fácil acesso para abertura e manutenção, ventilador centrífugo de aletas curvadas para frente, motor IP44, com rolamento de esferas, protetor térmico e caixa de bornes remota IP55, alimentação elétrica monofásica 220V-60Hz, 2500 RPM, 421 W, para ponto operacional 150 l/s e 55mmca (aproximadamente), incluindo: caixa filtrante em aço galvanizado com filtro M5 incorporado, aspiração retangular 370 x 305 mm, com tampa removível para acesso ao fitro, para vazão de 150 l/s (conforme ABNT 16401), suportes anti-vibratórios e regulador de velocidade eletrônico. Modelo de referência: Soler&amp;Palau OTAM CAB 250N + MFL-R-250 com filtragem M5 + KSE-45+REB-2,5N</v>
      </c>
      <c r="E168" s="109" t="str">
        <f>VLOOKUP(B168,'Insumos e Serviços'!$A:$F,5,0)</f>
        <v>un</v>
      </c>
      <c r="F168" s="111">
        <v>1</v>
      </c>
      <c r="G168" s="112">
        <f>VLOOKUP(B168,'Insumos e Serviços'!$A:$F,6,0)</f>
        <v>3771.26</v>
      </c>
      <c r="H168" s="112">
        <f t="shared" si="22"/>
        <v>3771.26</v>
      </c>
    </row>
    <row r="169" spans="1:8" ht="15" thickTop="1" x14ac:dyDescent="0.2">
      <c r="A169" s="34"/>
      <c r="B169" s="34"/>
      <c r="C169" s="34"/>
      <c r="D169" s="34"/>
      <c r="E169" s="34"/>
      <c r="F169" s="34"/>
      <c r="G169" s="34"/>
      <c r="H169" s="34"/>
    </row>
    <row r="170" spans="1:8" x14ac:dyDescent="0.2">
      <c r="A170" s="35" t="s">
        <v>202</v>
      </c>
      <c r="B170" s="35"/>
      <c r="C170" s="35"/>
      <c r="D170" s="35" t="s">
        <v>203</v>
      </c>
      <c r="E170" s="36"/>
      <c r="F170" s="37"/>
      <c r="G170" s="35"/>
      <c r="H170" s="38"/>
    </row>
    <row r="171" spans="1:8" ht="45" x14ac:dyDescent="0.2">
      <c r="A171" s="33" t="s">
        <v>204</v>
      </c>
      <c r="B171" s="106" t="str">
        <f>VLOOKUP(A171,'Orçamento Sintético'!$A:$H,2,0)</f>
        <v xml:space="preserve"> MPDFT0093 </v>
      </c>
      <c r="C171" s="106" t="str">
        <f>VLOOKUP(A171,'Orçamento Sintético'!$A:$H,3,0)</f>
        <v>Próprio</v>
      </c>
      <c r="D171" s="107" t="str">
        <f>VLOOKUP(A171,'Orçamento Sintético'!$A:$H,4,0)</f>
        <v>Eletroduto roscável em PVC para comunicação do sistema VRF, incluindo para cada ciclo indicado cabos de comunicação 2x1,5mm², blindado, com aterramento, interligando as unidades evaporadoras e unidades condensadoras de cada ciclo. Modelo de referência: Elecon (eletroduto) - Poliron (cabo) ou similar equivalente</v>
      </c>
      <c r="E171" s="106" t="str">
        <f>VLOOKUP(A171,'Orçamento Sintético'!$A:$H,5,0)</f>
        <v>m</v>
      </c>
      <c r="F171" s="108"/>
      <c r="G171" s="38"/>
      <c r="H171" s="38">
        <f>SUM(H172:H175)</f>
        <v>20.560000000000002</v>
      </c>
    </row>
    <row r="172" spans="1:8" ht="22.5" x14ac:dyDescent="0.2">
      <c r="A172" s="109" t="str">
        <f>VLOOKUP(B172,'Insumos e Serviços'!$A:$F,3,0)</f>
        <v>Composição</v>
      </c>
      <c r="B172" s="109" t="s">
        <v>272</v>
      </c>
      <c r="C172" s="11" t="str">
        <f>VLOOKUP(B172,'Insumos e Serviços'!$A:$F,2,0)</f>
        <v>SINAPI</v>
      </c>
      <c r="D172" s="110" t="str">
        <f>VLOOKUP(B172,'Insumos e Serviços'!$A:$F,4,0)</f>
        <v>ELETRODUTO RÍGIDO ROSCÁVEL, PVC, DN 32 MM (1"), PARA CIRCUITOS TERMINAIS, INSTALADO EM FORRO - FORNECIMENTO E INSTALAÇÃO. AF_12/2015</v>
      </c>
      <c r="E172" s="109" t="str">
        <f>VLOOKUP(B172,'Insumos e Serviços'!$A:$F,5,0)</f>
        <v>M</v>
      </c>
      <c r="F172" s="111">
        <v>1</v>
      </c>
      <c r="G172" s="112">
        <f>VLOOKUP(B172,'Insumos e Serviços'!$A:$F,6,0)</f>
        <v>13</v>
      </c>
      <c r="H172" s="112">
        <f t="shared" ref="H172:H175" si="23">TRUNC(F172*G172,2)</f>
        <v>13</v>
      </c>
    </row>
    <row r="173" spans="1:8" x14ac:dyDescent="0.2">
      <c r="A173" s="109" t="str">
        <f>VLOOKUP(B173,'Insumos e Serviços'!$A:$F,3,0)</f>
        <v>Composição</v>
      </c>
      <c r="B173" s="109" t="s">
        <v>266</v>
      </c>
      <c r="C173" s="11" t="str">
        <f>VLOOKUP(B173,'Insumos e Serviços'!$A:$F,2,0)</f>
        <v>SINAPI</v>
      </c>
      <c r="D173" s="110" t="str">
        <f>VLOOKUP(B173,'Insumos e Serviços'!$A:$F,4,0)</f>
        <v>ELETRICISTA COM ENCARGOS COMPLEMENTARES</v>
      </c>
      <c r="E173" s="109" t="str">
        <f>VLOOKUP(B173,'Insumos e Serviços'!$A:$F,5,0)</f>
        <v>H</v>
      </c>
      <c r="F173" s="111">
        <v>0.04</v>
      </c>
      <c r="G173" s="112">
        <f>VLOOKUP(B173,'Insumos e Serviços'!$A:$F,6,0)</f>
        <v>23.44</v>
      </c>
      <c r="H173" s="112">
        <f t="shared" si="23"/>
        <v>0.93</v>
      </c>
    </row>
    <row r="174" spans="1:8" x14ac:dyDescent="0.2">
      <c r="A174" s="109" t="str">
        <f>VLOOKUP(B174,'Insumos e Serviços'!$A:$F,3,0)</f>
        <v>Composição</v>
      </c>
      <c r="B174" s="109" t="s">
        <v>268</v>
      </c>
      <c r="C174" s="11" t="str">
        <f>VLOOKUP(B174,'Insumos e Serviços'!$A:$F,2,0)</f>
        <v>SINAPI</v>
      </c>
      <c r="D174" s="110" t="str">
        <f>VLOOKUP(B174,'Insumos e Serviços'!$A:$F,4,0)</f>
        <v>AUXILIAR DE ELETRICISTA COM ENCARGOS COMPLEMENTARES</v>
      </c>
      <c r="E174" s="109" t="str">
        <f>VLOOKUP(B174,'Insumos e Serviços'!$A:$F,5,0)</f>
        <v>H</v>
      </c>
      <c r="F174" s="111">
        <v>0.04</v>
      </c>
      <c r="G174" s="112">
        <f>VLOOKUP(B174,'Insumos e Serviços'!$A:$F,6,0)</f>
        <v>18.28</v>
      </c>
      <c r="H174" s="112">
        <f t="shared" si="23"/>
        <v>0.73</v>
      </c>
    </row>
    <row r="175" spans="1:8" ht="15" thickBot="1" x14ac:dyDescent="0.25">
      <c r="A175" s="109" t="str">
        <f>VLOOKUP(B175,'Insumos e Serviços'!$A:$F,3,0)</f>
        <v>Insumo</v>
      </c>
      <c r="B175" s="109" t="s">
        <v>270</v>
      </c>
      <c r="C175" s="11" t="str">
        <f>VLOOKUP(B175,'Insumos e Serviços'!$A:$F,2,0)</f>
        <v>Próprio</v>
      </c>
      <c r="D175" s="110" t="str">
        <f>VLOOKUP(B175,'Insumos e Serviços'!$A:$F,4,0)</f>
        <v>Cabo de comunicação 2x1,5mm², blindado, fab. Poliron</v>
      </c>
      <c r="E175" s="109" t="str">
        <f>VLOOKUP(B175,'Insumos e Serviços'!$A:$F,5,0)</f>
        <v>m</v>
      </c>
      <c r="F175" s="111">
        <v>1.19</v>
      </c>
      <c r="G175" s="112">
        <f>VLOOKUP(B175,'Insumos e Serviços'!$A:$F,6,0)</f>
        <v>4.96</v>
      </c>
      <c r="H175" s="112">
        <f t="shared" si="23"/>
        <v>5.9</v>
      </c>
    </row>
    <row r="176" spans="1:8" ht="15" thickTop="1" x14ac:dyDescent="0.2">
      <c r="A176" s="34"/>
      <c r="B176" s="34"/>
      <c r="C176" s="34"/>
      <c r="D176" s="34"/>
      <c r="E176" s="34"/>
      <c r="F176" s="34"/>
      <c r="G176" s="34"/>
      <c r="H176" s="34"/>
    </row>
    <row r="177" spans="1:8" x14ac:dyDescent="0.2">
      <c r="A177" s="26" t="s">
        <v>210</v>
      </c>
      <c r="B177" s="26"/>
      <c r="C177" s="26"/>
      <c r="D177" s="26" t="s">
        <v>211</v>
      </c>
      <c r="E177" s="27"/>
      <c r="F177" s="28"/>
      <c r="G177" s="26"/>
      <c r="H177" s="24"/>
    </row>
    <row r="178" spans="1:8" x14ac:dyDescent="0.2">
      <c r="A178" s="29" t="s">
        <v>218</v>
      </c>
      <c r="B178" s="29"/>
      <c r="C178" s="29"/>
      <c r="D178" s="29" t="s">
        <v>219</v>
      </c>
      <c r="E178" s="30"/>
      <c r="F178" s="31"/>
      <c r="G178" s="29"/>
      <c r="H178" s="32"/>
    </row>
    <row r="179" spans="1:8" x14ac:dyDescent="0.2">
      <c r="A179" s="33" t="s">
        <v>226</v>
      </c>
      <c r="B179" s="106" t="str">
        <f>VLOOKUP(A179,'Orçamento Sintético'!$A:$H,2,0)</f>
        <v xml:space="preserve"> MPDFT0004 </v>
      </c>
      <c r="C179" s="106" t="str">
        <f>VLOOKUP(A179,'Orçamento Sintético'!$A:$H,3,0)</f>
        <v>Próprio</v>
      </c>
      <c r="D179" s="107" t="str">
        <f>VLOOKUP(A179,'Orçamento Sintético'!$A:$H,4,0)</f>
        <v>Transporte de material – bota-fora, D.M.T = 35,0 km</v>
      </c>
      <c r="E179" s="106" t="str">
        <f>VLOOKUP(A179,'Orçamento Sintético'!$A:$H,5,0)</f>
        <v>m³</v>
      </c>
      <c r="F179" s="108"/>
      <c r="G179" s="38"/>
      <c r="H179" s="38">
        <f>SUM(H180:H181)</f>
        <v>48.47</v>
      </c>
    </row>
    <row r="180" spans="1:8" ht="22.5" x14ac:dyDescent="0.2">
      <c r="A180" s="109" t="str">
        <f>VLOOKUP(B180,'Insumos e Serviços'!$A:$F,3,0)</f>
        <v>Composição</v>
      </c>
      <c r="B180" s="109" t="s">
        <v>262</v>
      </c>
      <c r="C180" s="11" t="str">
        <f>VLOOKUP(B180,'Insumos e Serviços'!$A:$F,2,0)</f>
        <v>SINAPI</v>
      </c>
      <c r="D180" s="110" t="str">
        <f>VLOOKUP(B180,'Insumos e Serviços'!$A:$F,4,0)</f>
        <v>TRANSPORTE COM CAMINHÃO BASCULANTE DE 6 M³, EM VIA URBANA PAVIMENTADA, ADICIONAL PARA DMT EXCEDENTE A 30 KM (UNIDADE: M3XKM). AF_07/2020</v>
      </c>
      <c r="E180" s="109" t="str">
        <f>VLOOKUP(B180,'Insumos e Serviços'!$A:$F,5,0)</f>
        <v>M3XKM</v>
      </c>
      <c r="F180" s="111">
        <v>35</v>
      </c>
      <c r="G180" s="112">
        <f>VLOOKUP(B180,'Insumos e Serviços'!$A:$F,6,0)</f>
        <v>0.77</v>
      </c>
      <c r="H180" s="112">
        <f t="shared" ref="H180:H181" si="24">TRUNC(F180*G180,2)</f>
        <v>26.95</v>
      </c>
    </row>
    <row r="181" spans="1:8" ht="15" thickBot="1" x14ac:dyDescent="0.25">
      <c r="A181" s="109" t="str">
        <f>VLOOKUP(B181,'Insumos e Serviços'!$A:$F,3,0)</f>
        <v>Composição</v>
      </c>
      <c r="B181" s="109" t="s">
        <v>260</v>
      </c>
      <c r="C181" s="11" t="str">
        <f>VLOOKUP(B181,'Insumos e Serviços'!$A:$F,2,0)</f>
        <v>SINAPI</v>
      </c>
      <c r="D181" s="110" t="str">
        <f>VLOOKUP(B181,'Insumos e Serviços'!$A:$F,4,0)</f>
        <v>CARGA MANUAL DE ENTULHO EM CAMINHAO BASCULANTE 6 M3</v>
      </c>
      <c r="E181" s="109" t="str">
        <f>VLOOKUP(B181,'Insumos e Serviços'!$A:$F,5,0)</f>
        <v>m³</v>
      </c>
      <c r="F181" s="111">
        <v>1</v>
      </c>
      <c r="G181" s="112">
        <f>VLOOKUP(B181,'Insumos e Serviços'!$A:$F,6,0)</f>
        <v>21.52</v>
      </c>
      <c r="H181" s="112">
        <f t="shared" si="24"/>
        <v>21.52</v>
      </c>
    </row>
    <row r="182" spans="1:8" ht="15" thickTop="1" x14ac:dyDescent="0.2">
      <c r="A182" s="34"/>
      <c r="B182" s="34"/>
      <c r="C182" s="34"/>
      <c r="D182" s="34"/>
      <c r="E182" s="34"/>
      <c r="F182" s="34"/>
      <c r="G182" s="34"/>
      <c r="H182" s="34"/>
    </row>
  </sheetData>
  <mergeCells count="13">
    <mergeCell ref="A7:H7"/>
    <mergeCell ref="A6:B6"/>
    <mergeCell ref="C6:D6"/>
    <mergeCell ref="E6:F6"/>
    <mergeCell ref="G6:H6"/>
    <mergeCell ref="G1:H1"/>
    <mergeCell ref="A2:B2"/>
    <mergeCell ref="E2:F2"/>
    <mergeCell ref="G2:H2"/>
    <mergeCell ref="A4:B4"/>
    <mergeCell ref="C4:D4"/>
    <mergeCell ref="E4:F4"/>
    <mergeCell ref="G4:H4"/>
  </mergeCells>
  <printOptions horizontalCentered="1"/>
  <pageMargins left="0.59055118110236227" right="0.59055118110236227" top="0.59055118110236227" bottom="0.59055118110236227" header="0.19685039370078741" footer="0.19685039370078741"/>
  <pageSetup paperSize="9" scale="60" fitToHeight="0" orientation="portrait" r:id="rId1"/>
  <headerFooter>
    <oddHeader>&amp;L &amp;C &amp;R</oddHeader>
    <oddFooter>&amp;L &amp;C &amp;R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B8C0D-8381-451E-B867-58DC602E2CC2}">
  <sheetPr>
    <pageSetUpPr fitToPage="1"/>
  </sheetPr>
  <dimension ref="A1:I93"/>
  <sheetViews>
    <sheetView showGridLines="0" showOutlineSymbols="0" showWhiteSpace="0" zoomScaleNormal="100" workbookViewId="0">
      <pane xSplit="8" ySplit="7" topLeftCell="I8" activePane="bottomRight" state="frozen"/>
      <selection sqref="A1:B1"/>
      <selection pane="topRight" sqref="A1:B1"/>
      <selection pane="bottomLeft" sqref="A1:B1"/>
      <selection pane="bottomRight" activeCell="I8" sqref="I8"/>
    </sheetView>
  </sheetViews>
  <sheetFormatPr defaultRowHeight="14.25" x14ac:dyDescent="0.2"/>
  <cols>
    <col min="1" max="1" width="9.625" style="75" customWidth="1"/>
    <col min="2" max="2" width="7.625" style="75" customWidth="1"/>
    <col min="3" max="3" width="9.625" style="75" customWidth="1"/>
    <col min="4" max="4" width="45.625" style="75" customWidth="1"/>
    <col min="5" max="5" width="7.625" style="75" customWidth="1"/>
    <col min="6" max="8" width="12.625" style="75" customWidth="1"/>
    <col min="9" max="16384" width="9" style="75"/>
  </cols>
  <sheetData>
    <row r="1" spans="1:9" s="129" customFormat="1" ht="14.25" customHeight="1" x14ac:dyDescent="0.2">
      <c r="A1" s="126" t="str">
        <f>'Orçamento Sintético'!A1</f>
        <v>P. Execução:</v>
      </c>
      <c r="B1" s="142"/>
      <c r="C1" s="126" t="str">
        <f>'Orçamento Sintético'!C1</f>
        <v>Licitação:</v>
      </c>
      <c r="D1" s="127" t="str">
        <f>'Orçamento Sintético'!D1</f>
        <v>Objeto: Adequações Sala de Situação</v>
      </c>
      <c r="E1" s="126" t="str">
        <f>'Orçamento Sintético'!E1</f>
        <v>Data:</v>
      </c>
      <c r="F1" s="141"/>
      <c r="G1" s="176"/>
      <c r="H1" s="160"/>
    </row>
    <row r="2" spans="1:9" s="129" customFormat="1" ht="14.25" customHeight="1" x14ac:dyDescent="0.2">
      <c r="A2" s="165" t="str">
        <f>'Orçamento Sintético'!A2:B2</f>
        <v>A</v>
      </c>
      <c r="B2" s="171"/>
      <c r="C2" s="131" t="str">
        <f>'Orçamento Sintético'!C2</f>
        <v>B</v>
      </c>
      <c r="D2" s="130" t="str">
        <f>'Orçamento Sintético'!D2</f>
        <v>Local: Praça do Buriti Bloco A, Lote 2 - Zona Cívico-Administrativa - Brasília / DF</v>
      </c>
      <c r="E2" s="177">
        <f>'Orçamento Sintético'!E2:F2</f>
        <v>1</v>
      </c>
      <c r="F2" s="178"/>
      <c r="G2" s="174"/>
      <c r="H2" s="175"/>
    </row>
    <row r="3" spans="1:9" s="129" customFormat="1" x14ac:dyDescent="0.2">
      <c r="A3" s="132" t="str">
        <f>'Orçamento Sintético'!A3</f>
        <v>P. Validade:</v>
      </c>
      <c r="B3" s="143"/>
      <c r="C3" s="132" t="str">
        <f>'Orçamento Sintético'!C3</f>
        <v>Razão Social:</v>
      </c>
      <c r="D3" s="141"/>
      <c r="E3" s="126" t="str">
        <f>'Orçamento Sintético'!E3</f>
        <v>Telefone:</v>
      </c>
      <c r="F3" s="141"/>
      <c r="G3" s="144"/>
      <c r="H3" s="145"/>
    </row>
    <row r="4" spans="1:9" s="129" customFormat="1" x14ac:dyDescent="0.2">
      <c r="A4" s="165" t="str">
        <f>'Orçamento Sintético'!A4:B4</f>
        <v>C</v>
      </c>
      <c r="B4" s="171"/>
      <c r="C4" s="165" t="str">
        <f>'Orçamento Sintético'!C4:D4</f>
        <v>D</v>
      </c>
      <c r="D4" s="166"/>
      <c r="E4" s="165" t="str">
        <f>'Orçamento Sintético'!E4:F4</f>
        <v>E</v>
      </c>
      <c r="F4" s="166"/>
      <c r="G4" s="174"/>
      <c r="H4" s="175"/>
    </row>
    <row r="5" spans="1:9" s="129" customFormat="1" x14ac:dyDescent="0.2">
      <c r="A5" s="126" t="str">
        <f>'Orçamento Sintético'!A5</f>
        <v>P. Garantia:</v>
      </c>
      <c r="B5" s="142"/>
      <c r="C5" s="126" t="str">
        <f>'Orçamento Sintético'!C5</f>
        <v>CNPJ:</v>
      </c>
      <c r="D5" s="141"/>
      <c r="E5" s="126" t="str">
        <f>'Orçamento Sintético'!E5</f>
        <v>E-mail:</v>
      </c>
      <c r="F5" s="141"/>
      <c r="G5" s="144"/>
      <c r="H5" s="145"/>
    </row>
    <row r="6" spans="1:9" s="129" customFormat="1" x14ac:dyDescent="0.2">
      <c r="A6" s="165" t="str">
        <f>'Orçamento Sintético'!A6:B6</f>
        <v>F</v>
      </c>
      <c r="B6" s="171"/>
      <c r="C6" s="165" t="str">
        <f>'Orçamento Sintético'!C6:D6</f>
        <v>G</v>
      </c>
      <c r="D6" s="166"/>
      <c r="E6" s="165" t="str">
        <f>'Orçamento Sintético'!E6:F6</f>
        <v>H</v>
      </c>
      <c r="F6" s="166"/>
      <c r="G6" s="163"/>
      <c r="H6" s="164"/>
    </row>
    <row r="7" spans="1:9" ht="15" x14ac:dyDescent="0.25">
      <c r="A7" s="179" t="s">
        <v>528</v>
      </c>
      <c r="B7" s="179"/>
      <c r="C7" s="179"/>
      <c r="D7" s="179"/>
      <c r="E7" s="179"/>
      <c r="F7" s="179"/>
      <c r="G7" s="179"/>
      <c r="H7" s="179"/>
    </row>
    <row r="8" spans="1:9" ht="25.5" x14ac:dyDescent="0.2">
      <c r="A8" s="101" t="s">
        <v>2</v>
      </c>
      <c r="B8" s="101" t="s">
        <v>3</v>
      </c>
      <c r="C8" s="101" t="s">
        <v>529</v>
      </c>
      <c r="D8" s="101" t="s">
        <v>4</v>
      </c>
      <c r="E8" s="101" t="s">
        <v>5</v>
      </c>
      <c r="F8" s="101" t="s">
        <v>7</v>
      </c>
      <c r="G8" s="101" t="s">
        <v>530</v>
      </c>
      <c r="H8" s="101" t="s">
        <v>531</v>
      </c>
      <c r="I8" s="102"/>
    </row>
    <row r="9" spans="1:9" x14ac:dyDescent="0.2">
      <c r="A9" s="11" t="s">
        <v>356</v>
      </c>
      <c r="B9" s="11" t="s">
        <v>26</v>
      </c>
      <c r="C9" s="11" t="s">
        <v>255</v>
      </c>
      <c r="D9" s="67" t="s">
        <v>355</v>
      </c>
      <c r="E9" s="11" t="s">
        <v>110</v>
      </c>
      <c r="F9" s="13">
        <v>19.16</v>
      </c>
      <c r="G9" s="103" t="s">
        <v>532</v>
      </c>
      <c r="H9" s="103" t="s">
        <v>533</v>
      </c>
    </row>
    <row r="10" spans="1:9" ht="22.5" x14ac:dyDescent="0.2">
      <c r="A10" s="11" t="s">
        <v>344</v>
      </c>
      <c r="B10" s="11" t="s">
        <v>26</v>
      </c>
      <c r="C10" s="11" t="s">
        <v>255</v>
      </c>
      <c r="D10" s="67" t="s">
        <v>343</v>
      </c>
      <c r="E10" s="11" t="s">
        <v>32</v>
      </c>
      <c r="F10" s="13">
        <v>18.46</v>
      </c>
      <c r="G10" s="103" t="s">
        <v>532</v>
      </c>
      <c r="H10" s="103" t="s">
        <v>533</v>
      </c>
    </row>
    <row r="11" spans="1:9" ht="22.5" x14ac:dyDescent="0.2">
      <c r="A11" s="11" t="s">
        <v>304</v>
      </c>
      <c r="B11" s="11" t="s">
        <v>26</v>
      </c>
      <c r="C11" s="11" t="s">
        <v>255</v>
      </c>
      <c r="D11" s="67" t="s">
        <v>303</v>
      </c>
      <c r="E11" s="11" t="s">
        <v>302</v>
      </c>
      <c r="F11" s="13">
        <v>13.01</v>
      </c>
      <c r="G11" s="103" t="s">
        <v>532</v>
      </c>
      <c r="H11" s="103" t="s">
        <v>533</v>
      </c>
    </row>
    <row r="12" spans="1:9" ht="33.75" x14ac:dyDescent="0.2">
      <c r="A12" s="11" t="s">
        <v>264</v>
      </c>
      <c r="B12" s="11" t="s">
        <v>26</v>
      </c>
      <c r="C12" s="11" t="s">
        <v>255</v>
      </c>
      <c r="D12" s="67" t="s">
        <v>263</v>
      </c>
      <c r="E12" s="11" t="s">
        <v>32</v>
      </c>
      <c r="F12" s="13">
        <v>0.26</v>
      </c>
      <c r="G12" s="103" t="s">
        <v>532</v>
      </c>
      <c r="H12" s="103" t="s">
        <v>533</v>
      </c>
    </row>
    <row r="13" spans="1:9" x14ac:dyDescent="0.2">
      <c r="A13" s="11" t="s">
        <v>334</v>
      </c>
      <c r="B13" s="11" t="s">
        <v>26</v>
      </c>
      <c r="C13" s="11" t="s">
        <v>255</v>
      </c>
      <c r="D13" s="67" t="s">
        <v>333</v>
      </c>
      <c r="E13" s="11" t="s">
        <v>110</v>
      </c>
      <c r="F13" s="13">
        <v>4.1500000000000004</v>
      </c>
      <c r="G13" s="103"/>
      <c r="H13" s="103"/>
    </row>
    <row r="14" spans="1:9" ht="22.5" x14ac:dyDescent="0.2">
      <c r="A14" s="11" t="s">
        <v>354</v>
      </c>
      <c r="B14" s="11" t="s">
        <v>26</v>
      </c>
      <c r="C14" s="11" t="s">
        <v>255</v>
      </c>
      <c r="D14" s="67" t="s">
        <v>353</v>
      </c>
      <c r="E14" s="11" t="s">
        <v>28</v>
      </c>
      <c r="F14" s="13">
        <v>12.62</v>
      </c>
      <c r="G14" s="103" t="s">
        <v>532</v>
      </c>
      <c r="H14" s="103" t="s">
        <v>533</v>
      </c>
    </row>
    <row r="15" spans="1:9" ht="45" x14ac:dyDescent="0.2">
      <c r="A15" s="11" t="s">
        <v>293</v>
      </c>
      <c r="B15" s="11" t="s">
        <v>26</v>
      </c>
      <c r="C15" s="11" t="s">
        <v>255</v>
      </c>
      <c r="D15" s="67" t="s">
        <v>292</v>
      </c>
      <c r="E15" s="11" t="s">
        <v>110</v>
      </c>
      <c r="F15" s="13">
        <v>14.47</v>
      </c>
      <c r="G15" s="103"/>
      <c r="H15" s="103"/>
    </row>
    <row r="16" spans="1:9" ht="45" x14ac:dyDescent="0.2">
      <c r="A16" s="11" t="s">
        <v>289</v>
      </c>
      <c r="B16" s="11" t="s">
        <v>26</v>
      </c>
      <c r="C16" s="11" t="s">
        <v>255</v>
      </c>
      <c r="D16" s="67" t="s">
        <v>288</v>
      </c>
      <c r="E16" s="11" t="s">
        <v>110</v>
      </c>
      <c r="F16" s="13">
        <v>19.010000000000002</v>
      </c>
      <c r="G16" s="103"/>
      <c r="H16" s="103"/>
    </row>
    <row r="17" spans="1:8" x14ac:dyDescent="0.2">
      <c r="A17" s="11" t="s">
        <v>260</v>
      </c>
      <c r="B17" s="11" t="s">
        <v>26</v>
      </c>
      <c r="C17" s="11" t="s">
        <v>256</v>
      </c>
      <c r="D17" s="67" t="s">
        <v>259</v>
      </c>
      <c r="E17" s="11" t="s">
        <v>229</v>
      </c>
      <c r="F17" s="13">
        <v>21.52</v>
      </c>
      <c r="G17" s="103" t="s">
        <v>532</v>
      </c>
      <c r="H17" s="103" t="s">
        <v>533</v>
      </c>
    </row>
    <row r="18" spans="1:8" x14ac:dyDescent="0.2">
      <c r="A18" s="11" t="s">
        <v>275</v>
      </c>
      <c r="B18" s="11" t="s">
        <v>26</v>
      </c>
      <c r="C18" s="11" t="s">
        <v>256</v>
      </c>
      <c r="D18" s="67" t="s">
        <v>274</v>
      </c>
      <c r="E18" s="11" t="s">
        <v>217</v>
      </c>
      <c r="F18" s="13">
        <v>20.39</v>
      </c>
      <c r="G18" s="103" t="s">
        <v>532</v>
      </c>
      <c r="H18" s="103" t="s">
        <v>533</v>
      </c>
    </row>
    <row r="19" spans="1:8" x14ac:dyDescent="0.2">
      <c r="A19" s="11" t="s">
        <v>268</v>
      </c>
      <c r="B19" s="11" t="s">
        <v>26</v>
      </c>
      <c r="C19" s="11" t="s">
        <v>256</v>
      </c>
      <c r="D19" s="67" t="s">
        <v>267</v>
      </c>
      <c r="E19" s="11" t="s">
        <v>217</v>
      </c>
      <c r="F19" s="13">
        <v>18.28</v>
      </c>
      <c r="G19" s="103" t="s">
        <v>532</v>
      </c>
      <c r="H19" s="103" t="s">
        <v>533</v>
      </c>
    </row>
    <row r="20" spans="1:8" ht="22.5" x14ac:dyDescent="0.2">
      <c r="A20" s="11" t="s">
        <v>287</v>
      </c>
      <c r="B20" s="11" t="s">
        <v>26</v>
      </c>
      <c r="C20" s="11" t="s">
        <v>256</v>
      </c>
      <c r="D20" s="67" t="s">
        <v>286</v>
      </c>
      <c r="E20" s="11" t="s">
        <v>217</v>
      </c>
      <c r="F20" s="13">
        <v>17.78</v>
      </c>
      <c r="G20" s="103" t="s">
        <v>532</v>
      </c>
      <c r="H20" s="103" t="s">
        <v>533</v>
      </c>
    </row>
    <row r="21" spans="1:8" x14ac:dyDescent="0.2">
      <c r="A21" s="11" t="s">
        <v>283</v>
      </c>
      <c r="B21" s="11" t="s">
        <v>26</v>
      </c>
      <c r="C21" s="11" t="s">
        <v>256</v>
      </c>
      <c r="D21" s="67" t="s">
        <v>282</v>
      </c>
      <c r="E21" s="11" t="s">
        <v>217</v>
      </c>
      <c r="F21" s="13">
        <v>16.25</v>
      </c>
      <c r="G21" s="103" t="s">
        <v>532</v>
      </c>
      <c r="H21" s="103" t="s">
        <v>533</v>
      </c>
    </row>
    <row r="22" spans="1:8" x14ac:dyDescent="0.2">
      <c r="A22" s="11" t="s">
        <v>306</v>
      </c>
      <c r="B22" s="11" t="s">
        <v>26</v>
      </c>
      <c r="C22" s="11" t="s">
        <v>256</v>
      </c>
      <c r="D22" s="67" t="s">
        <v>305</v>
      </c>
      <c r="E22" s="11" t="s">
        <v>217</v>
      </c>
      <c r="F22" s="13">
        <v>18.84</v>
      </c>
      <c r="G22" s="103" t="s">
        <v>532</v>
      </c>
      <c r="H22" s="103" t="s">
        <v>533</v>
      </c>
    </row>
    <row r="23" spans="1:8" x14ac:dyDescent="0.2">
      <c r="A23" s="11" t="s">
        <v>266</v>
      </c>
      <c r="B23" s="11" t="s">
        <v>26</v>
      </c>
      <c r="C23" s="11" t="s">
        <v>256</v>
      </c>
      <c r="D23" s="67" t="s">
        <v>265</v>
      </c>
      <c r="E23" s="11" t="s">
        <v>217</v>
      </c>
      <c r="F23" s="13">
        <v>23.44</v>
      </c>
      <c r="G23" s="103" t="s">
        <v>532</v>
      </c>
      <c r="H23" s="103" t="s">
        <v>533</v>
      </c>
    </row>
    <row r="24" spans="1:8" ht="22.5" x14ac:dyDescent="0.2">
      <c r="A24" s="11" t="s">
        <v>285</v>
      </c>
      <c r="B24" s="11" t="s">
        <v>26</v>
      </c>
      <c r="C24" s="11" t="s">
        <v>256</v>
      </c>
      <c r="D24" s="67" t="s">
        <v>284</v>
      </c>
      <c r="E24" s="11" t="s">
        <v>217</v>
      </c>
      <c r="F24" s="13">
        <v>22.76</v>
      </c>
      <c r="G24" s="103" t="s">
        <v>532</v>
      </c>
      <c r="H24" s="103" t="s">
        <v>533</v>
      </c>
    </row>
    <row r="25" spans="1:8" x14ac:dyDescent="0.2">
      <c r="A25" s="11" t="s">
        <v>358</v>
      </c>
      <c r="B25" s="11" t="s">
        <v>26</v>
      </c>
      <c r="C25" s="11" t="s">
        <v>256</v>
      </c>
      <c r="D25" s="67" t="s">
        <v>357</v>
      </c>
      <c r="E25" s="11" t="s">
        <v>217</v>
      </c>
      <c r="F25" s="13">
        <v>23.13</v>
      </c>
      <c r="G25" s="103" t="s">
        <v>532</v>
      </c>
      <c r="H25" s="103" t="s">
        <v>533</v>
      </c>
    </row>
    <row r="26" spans="1:8" ht="22.5" x14ac:dyDescent="0.2">
      <c r="A26" s="11" t="s">
        <v>281</v>
      </c>
      <c r="B26" s="11" t="s">
        <v>26</v>
      </c>
      <c r="C26" s="11" t="s">
        <v>256</v>
      </c>
      <c r="D26" s="67" t="s">
        <v>280</v>
      </c>
      <c r="E26" s="11" t="s">
        <v>217</v>
      </c>
      <c r="F26" s="13">
        <v>24.46</v>
      </c>
      <c r="G26" s="103" t="s">
        <v>532</v>
      </c>
      <c r="H26" s="103" t="s">
        <v>533</v>
      </c>
    </row>
    <row r="27" spans="1:8" ht="22.5" x14ac:dyDescent="0.2">
      <c r="A27" s="11" t="s">
        <v>277</v>
      </c>
      <c r="B27" s="11" t="s">
        <v>26</v>
      </c>
      <c r="C27" s="11" t="s">
        <v>256</v>
      </c>
      <c r="D27" s="67" t="s">
        <v>276</v>
      </c>
      <c r="E27" s="11" t="s">
        <v>217</v>
      </c>
      <c r="F27" s="13">
        <v>18.350000000000001</v>
      </c>
      <c r="G27" s="103" t="s">
        <v>532</v>
      </c>
      <c r="H27" s="103" t="s">
        <v>533</v>
      </c>
    </row>
    <row r="28" spans="1:8" x14ac:dyDescent="0.2">
      <c r="A28" s="11" t="s">
        <v>316</v>
      </c>
      <c r="B28" s="11" t="s">
        <v>26</v>
      </c>
      <c r="C28" s="11" t="s">
        <v>256</v>
      </c>
      <c r="D28" s="67" t="s">
        <v>315</v>
      </c>
      <c r="E28" s="11" t="s">
        <v>217</v>
      </c>
      <c r="F28" s="13">
        <v>24.28</v>
      </c>
      <c r="G28" s="103" t="s">
        <v>532</v>
      </c>
      <c r="H28" s="103" t="s">
        <v>533</v>
      </c>
    </row>
    <row r="29" spans="1:8" x14ac:dyDescent="0.2">
      <c r="A29" s="11" t="s">
        <v>363</v>
      </c>
      <c r="B29" s="11" t="s">
        <v>26</v>
      </c>
      <c r="C29" s="11" t="s">
        <v>256</v>
      </c>
      <c r="D29" s="67" t="s">
        <v>362</v>
      </c>
      <c r="E29" s="11" t="s">
        <v>217</v>
      </c>
      <c r="F29" s="13">
        <v>23.25</v>
      </c>
      <c r="G29" s="103" t="s">
        <v>532</v>
      </c>
      <c r="H29" s="103" t="s">
        <v>533</v>
      </c>
    </row>
    <row r="30" spans="1:8" x14ac:dyDescent="0.2">
      <c r="A30" s="11" t="s">
        <v>308</v>
      </c>
      <c r="B30" s="11" t="s">
        <v>26</v>
      </c>
      <c r="C30" s="11" t="s">
        <v>256</v>
      </c>
      <c r="D30" s="67" t="s">
        <v>307</v>
      </c>
      <c r="E30" s="11" t="s">
        <v>217</v>
      </c>
      <c r="F30" s="13">
        <v>23.13</v>
      </c>
      <c r="G30" s="103" t="s">
        <v>532</v>
      </c>
      <c r="H30" s="103" t="s">
        <v>533</v>
      </c>
    </row>
    <row r="31" spans="1:8" x14ac:dyDescent="0.2">
      <c r="A31" s="11" t="s">
        <v>258</v>
      </c>
      <c r="B31" s="11" t="s">
        <v>26</v>
      </c>
      <c r="C31" s="11" t="s">
        <v>256</v>
      </c>
      <c r="D31" s="67" t="s">
        <v>257</v>
      </c>
      <c r="E31" s="11" t="s">
        <v>217</v>
      </c>
      <c r="F31" s="13">
        <v>17.170000000000002</v>
      </c>
      <c r="G31" s="103" t="s">
        <v>532</v>
      </c>
      <c r="H31" s="103" t="s">
        <v>533</v>
      </c>
    </row>
    <row r="32" spans="1:8" ht="22.5" x14ac:dyDescent="0.2">
      <c r="A32" s="11" t="s">
        <v>301</v>
      </c>
      <c r="B32" s="11" t="s">
        <v>26</v>
      </c>
      <c r="C32" s="11" t="s">
        <v>256</v>
      </c>
      <c r="D32" s="67" t="s">
        <v>300</v>
      </c>
      <c r="E32" s="11" t="s">
        <v>28</v>
      </c>
      <c r="F32" s="13">
        <v>17.079999999999998</v>
      </c>
      <c r="G32" s="103"/>
      <c r="H32" s="103"/>
    </row>
    <row r="33" spans="1:8" ht="22.5" x14ac:dyDescent="0.2">
      <c r="A33" s="11" t="s">
        <v>465</v>
      </c>
      <c r="B33" s="11" t="s">
        <v>26</v>
      </c>
      <c r="C33" s="11" t="s">
        <v>256</v>
      </c>
      <c r="D33" s="67" t="s">
        <v>466</v>
      </c>
      <c r="E33" s="11" t="s">
        <v>28</v>
      </c>
      <c r="F33" s="13">
        <v>2.88</v>
      </c>
      <c r="G33" s="103"/>
      <c r="H33" s="103"/>
    </row>
    <row r="34" spans="1:8" ht="22.5" x14ac:dyDescent="0.2">
      <c r="A34" s="11" t="s">
        <v>467</v>
      </c>
      <c r="B34" s="11" t="s">
        <v>26</v>
      </c>
      <c r="C34" s="11" t="s">
        <v>256</v>
      </c>
      <c r="D34" s="67" t="s">
        <v>468</v>
      </c>
      <c r="E34" s="11" t="s">
        <v>28</v>
      </c>
      <c r="F34" s="13">
        <v>14.1</v>
      </c>
      <c r="G34" s="103"/>
      <c r="H34" s="103"/>
    </row>
    <row r="35" spans="1:8" ht="22.5" x14ac:dyDescent="0.2">
      <c r="A35" s="11" t="s">
        <v>72</v>
      </c>
      <c r="B35" s="11" t="s">
        <v>26</v>
      </c>
      <c r="C35" s="11" t="s">
        <v>256</v>
      </c>
      <c r="D35" s="67" t="s">
        <v>73</v>
      </c>
      <c r="E35" s="11" t="s">
        <v>28</v>
      </c>
      <c r="F35" s="13">
        <v>12.38</v>
      </c>
      <c r="G35" s="103"/>
      <c r="H35" s="103"/>
    </row>
    <row r="36" spans="1:8" ht="22.5" x14ac:dyDescent="0.2">
      <c r="A36" s="11" t="s">
        <v>64</v>
      </c>
      <c r="B36" s="11" t="s">
        <v>26</v>
      </c>
      <c r="C36" s="11" t="s">
        <v>256</v>
      </c>
      <c r="D36" s="67" t="s">
        <v>65</v>
      </c>
      <c r="E36" s="11" t="s">
        <v>28</v>
      </c>
      <c r="F36" s="13">
        <v>24.24</v>
      </c>
      <c r="G36" s="103"/>
      <c r="H36" s="103"/>
    </row>
    <row r="37" spans="1:8" ht="22.5" x14ac:dyDescent="0.2">
      <c r="A37" s="11" t="s">
        <v>178</v>
      </c>
      <c r="B37" s="11" t="s">
        <v>26</v>
      </c>
      <c r="C37" s="11" t="s">
        <v>256</v>
      </c>
      <c r="D37" s="67" t="s">
        <v>179</v>
      </c>
      <c r="E37" s="11" t="s">
        <v>110</v>
      </c>
      <c r="F37" s="13">
        <v>12.06</v>
      </c>
      <c r="G37" s="103"/>
      <c r="H37" s="103"/>
    </row>
    <row r="38" spans="1:8" ht="22.5" x14ac:dyDescent="0.2">
      <c r="A38" s="11" t="s">
        <v>80</v>
      </c>
      <c r="B38" s="11" t="s">
        <v>26</v>
      </c>
      <c r="C38" s="11" t="s">
        <v>256</v>
      </c>
      <c r="D38" s="67" t="s">
        <v>81</v>
      </c>
      <c r="E38" s="11" t="s">
        <v>32</v>
      </c>
      <c r="F38" s="13">
        <v>53.69</v>
      </c>
      <c r="G38" s="103" t="s">
        <v>532</v>
      </c>
      <c r="H38" s="103" t="s">
        <v>533</v>
      </c>
    </row>
    <row r="39" spans="1:8" ht="45" x14ac:dyDescent="0.2">
      <c r="A39" s="11" t="s">
        <v>322</v>
      </c>
      <c r="B39" s="11" t="s">
        <v>26</v>
      </c>
      <c r="C39" s="11" t="s">
        <v>256</v>
      </c>
      <c r="D39" s="67" t="s">
        <v>321</v>
      </c>
      <c r="E39" s="11" t="s">
        <v>110</v>
      </c>
      <c r="F39" s="13">
        <v>2.5</v>
      </c>
      <c r="G39" s="103" t="s">
        <v>532</v>
      </c>
      <c r="H39" s="103" t="s">
        <v>533</v>
      </c>
    </row>
    <row r="40" spans="1:8" x14ac:dyDescent="0.2">
      <c r="A40" s="11" t="s">
        <v>215</v>
      </c>
      <c r="B40" s="11" t="s">
        <v>26</v>
      </c>
      <c r="C40" s="11" t="s">
        <v>256</v>
      </c>
      <c r="D40" s="67" t="s">
        <v>216</v>
      </c>
      <c r="E40" s="11" t="s">
        <v>217</v>
      </c>
      <c r="F40" s="13">
        <v>110.31</v>
      </c>
      <c r="G40" s="103" t="s">
        <v>532</v>
      </c>
      <c r="H40" s="103" t="s">
        <v>533</v>
      </c>
    </row>
    <row r="41" spans="1:8" ht="33.75" x14ac:dyDescent="0.2">
      <c r="A41" s="11" t="s">
        <v>126</v>
      </c>
      <c r="B41" s="11" t="s">
        <v>26</v>
      </c>
      <c r="C41" s="11" t="s">
        <v>256</v>
      </c>
      <c r="D41" s="67" t="s">
        <v>127</v>
      </c>
      <c r="E41" s="11" t="s">
        <v>110</v>
      </c>
      <c r="F41" s="13">
        <v>8.7799999999999994</v>
      </c>
      <c r="G41" s="103"/>
      <c r="H41" s="103"/>
    </row>
    <row r="42" spans="1:8" ht="33.75" x14ac:dyDescent="0.2">
      <c r="A42" s="11" t="s">
        <v>129</v>
      </c>
      <c r="B42" s="11" t="s">
        <v>26</v>
      </c>
      <c r="C42" s="11" t="s">
        <v>256</v>
      </c>
      <c r="D42" s="67" t="s">
        <v>130</v>
      </c>
      <c r="E42" s="11" t="s">
        <v>110</v>
      </c>
      <c r="F42" s="13">
        <v>9.8000000000000007</v>
      </c>
      <c r="G42" s="103"/>
      <c r="H42" s="103"/>
    </row>
    <row r="43" spans="1:8" ht="33.75" x14ac:dyDescent="0.2">
      <c r="A43" s="11" t="s">
        <v>272</v>
      </c>
      <c r="B43" s="11" t="s">
        <v>26</v>
      </c>
      <c r="C43" s="11" t="s">
        <v>256</v>
      </c>
      <c r="D43" s="67" t="s">
        <v>271</v>
      </c>
      <c r="E43" s="11" t="s">
        <v>110</v>
      </c>
      <c r="F43" s="13">
        <v>13</v>
      </c>
      <c r="G43" s="103"/>
      <c r="H43" s="103"/>
    </row>
    <row r="44" spans="1:8" ht="33.75" x14ac:dyDescent="0.2">
      <c r="A44" s="11" t="s">
        <v>132</v>
      </c>
      <c r="B44" s="11" t="s">
        <v>26</v>
      </c>
      <c r="C44" s="11" t="s">
        <v>256</v>
      </c>
      <c r="D44" s="67" t="s">
        <v>133</v>
      </c>
      <c r="E44" s="11" t="s">
        <v>110</v>
      </c>
      <c r="F44" s="13">
        <v>2.63</v>
      </c>
      <c r="G44" s="103"/>
      <c r="H44" s="103"/>
    </row>
    <row r="45" spans="1:8" ht="33.75" x14ac:dyDescent="0.2">
      <c r="A45" s="11" t="s">
        <v>150</v>
      </c>
      <c r="B45" s="11" t="s">
        <v>26</v>
      </c>
      <c r="C45" s="11" t="s">
        <v>256</v>
      </c>
      <c r="D45" s="67" t="s">
        <v>151</v>
      </c>
      <c r="E45" s="11" t="s">
        <v>110</v>
      </c>
      <c r="F45" s="13">
        <v>5.08</v>
      </c>
      <c r="G45" s="103"/>
      <c r="H45" s="103"/>
    </row>
    <row r="46" spans="1:8" ht="33.75" x14ac:dyDescent="0.2">
      <c r="A46" s="11" t="s">
        <v>147</v>
      </c>
      <c r="B46" s="11" t="s">
        <v>26</v>
      </c>
      <c r="C46" s="11" t="s">
        <v>256</v>
      </c>
      <c r="D46" s="67" t="s">
        <v>148</v>
      </c>
      <c r="E46" s="11" t="s">
        <v>110</v>
      </c>
      <c r="F46" s="13">
        <v>15.23</v>
      </c>
      <c r="G46" s="103"/>
      <c r="H46" s="103"/>
    </row>
    <row r="47" spans="1:8" ht="33.75" x14ac:dyDescent="0.2">
      <c r="A47" s="11" t="s">
        <v>112</v>
      </c>
      <c r="B47" s="11" t="s">
        <v>26</v>
      </c>
      <c r="C47" s="11" t="s">
        <v>256</v>
      </c>
      <c r="D47" s="67" t="s">
        <v>113</v>
      </c>
      <c r="E47" s="11" t="s">
        <v>110</v>
      </c>
      <c r="F47" s="13">
        <v>23.22</v>
      </c>
      <c r="G47" s="103"/>
      <c r="H47" s="103"/>
    </row>
    <row r="48" spans="1:8" ht="22.5" x14ac:dyDescent="0.2">
      <c r="A48" s="11" t="s">
        <v>336</v>
      </c>
      <c r="B48" s="11" t="s">
        <v>26</v>
      </c>
      <c r="C48" s="11" t="s">
        <v>256</v>
      </c>
      <c r="D48" s="67" t="s">
        <v>335</v>
      </c>
      <c r="E48" s="11" t="s">
        <v>32</v>
      </c>
      <c r="F48" s="13">
        <v>34.22</v>
      </c>
      <c r="G48" s="103"/>
      <c r="H48" s="103"/>
    </row>
    <row r="49" spans="1:8" ht="22.5" x14ac:dyDescent="0.2">
      <c r="A49" s="11" t="s">
        <v>243</v>
      </c>
      <c r="B49" s="11" t="s">
        <v>26</v>
      </c>
      <c r="C49" s="11" t="s">
        <v>256</v>
      </c>
      <c r="D49" s="67" t="s">
        <v>244</v>
      </c>
      <c r="E49" s="11" t="s">
        <v>245</v>
      </c>
      <c r="F49" s="13">
        <v>3349.71</v>
      </c>
      <c r="G49" s="103" t="s">
        <v>532</v>
      </c>
      <c r="H49" s="103" t="s">
        <v>533</v>
      </c>
    </row>
    <row r="50" spans="1:8" ht="45" x14ac:dyDescent="0.2">
      <c r="A50" s="11" t="s">
        <v>192</v>
      </c>
      <c r="B50" s="11" t="s">
        <v>26</v>
      </c>
      <c r="C50" s="11" t="s">
        <v>256</v>
      </c>
      <c r="D50" s="67" t="s">
        <v>193</v>
      </c>
      <c r="E50" s="11" t="s">
        <v>32</v>
      </c>
      <c r="F50" s="13">
        <v>81.95</v>
      </c>
      <c r="G50" s="103"/>
      <c r="H50" s="103"/>
    </row>
    <row r="51" spans="1:8" ht="33.75" x14ac:dyDescent="0.2">
      <c r="A51" s="11" t="s">
        <v>326</v>
      </c>
      <c r="B51" s="11" t="s">
        <v>26</v>
      </c>
      <c r="C51" s="11" t="s">
        <v>256</v>
      </c>
      <c r="D51" s="67" t="s">
        <v>325</v>
      </c>
      <c r="E51" s="11" t="s">
        <v>32</v>
      </c>
      <c r="F51" s="13">
        <v>7.77</v>
      </c>
      <c r="G51" s="103" t="s">
        <v>532</v>
      </c>
      <c r="H51" s="103" t="s">
        <v>533</v>
      </c>
    </row>
    <row r="52" spans="1:8" ht="33.75" x14ac:dyDescent="0.2">
      <c r="A52" s="11" t="s">
        <v>320</v>
      </c>
      <c r="B52" s="11" t="s">
        <v>26</v>
      </c>
      <c r="C52" s="11" t="s">
        <v>256</v>
      </c>
      <c r="D52" s="67" t="s">
        <v>319</v>
      </c>
      <c r="E52" s="11" t="s">
        <v>32</v>
      </c>
      <c r="F52" s="13">
        <v>11.15</v>
      </c>
      <c r="G52" s="103" t="s">
        <v>532</v>
      </c>
      <c r="H52" s="103" t="s">
        <v>533</v>
      </c>
    </row>
    <row r="53" spans="1:8" ht="33.75" x14ac:dyDescent="0.2">
      <c r="A53" s="11" t="s">
        <v>342</v>
      </c>
      <c r="B53" s="11" t="s">
        <v>26</v>
      </c>
      <c r="C53" s="11" t="s">
        <v>256</v>
      </c>
      <c r="D53" s="67" t="s">
        <v>341</v>
      </c>
      <c r="E53" s="11" t="s">
        <v>32</v>
      </c>
      <c r="F53" s="13">
        <v>14.84</v>
      </c>
      <c r="G53" s="103" t="s">
        <v>532</v>
      </c>
      <c r="H53" s="103" t="s">
        <v>533</v>
      </c>
    </row>
    <row r="54" spans="1:8" ht="22.5" x14ac:dyDescent="0.2">
      <c r="A54" s="11" t="s">
        <v>135</v>
      </c>
      <c r="B54" s="11" t="s">
        <v>26</v>
      </c>
      <c r="C54" s="11" t="s">
        <v>256</v>
      </c>
      <c r="D54" s="67" t="s">
        <v>136</v>
      </c>
      <c r="E54" s="11" t="s">
        <v>32</v>
      </c>
      <c r="F54" s="13">
        <v>26.58</v>
      </c>
      <c r="G54" s="103" t="s">
        <v>532</v>
      </c>
      <c r="H54" s="103" t="s">
        <v>533</v>
      </c>
    </row>
    <row r="55" spans="1:8" ht="22.5" x14ac:dyDescent="0.2">
      <c r="A55" s="11" t="s">
        <v>138</v>
      </c>
      <c r="B55" s="11" t="s">
        <v>26</v>
      </c>
      <c r="C55" s="11" t="s">
        <v>256</v>
      </c>
      <c r="D55" s="67" t="s">
        <v>139</v>
      </c>
      <c r="E55" s="11" t="s">
        <v>32</v>
      </c>
      <c r="F55" s="13">
        <v>32.99</v>
      </c>
      <c r="G55" s="103" t="s">
        <v>532</v>
      </c>
      <c r="H55" s="103" t="s">
        <v>533</v>
      </c>
    </row>
    <row r="56" spans="1:8" ht="22.5" x14ac:dyDescent="0.2">
      <c r="A56" s="11" t="s">
        <v>208</v>
      </c>
      <c r="B56" s="11" t="s">
        <v>26</v>
      </c>
      <c r="C56" s="11" t="s">
        <v>256</v>
      </c>
      <c r="D56" s="67" t="s">
        <v>209</v>
      </c>
      <c r="E56" s="11" t="s">
        <v>32</v>
      </c>
      <c r="F56" s="13">
        <v>31.23</v>
      </c>
      <c r="G56" s="103" t="s">
        <v>532</v>
      </c>
      <c r="H56" s="103" t="s">
        <v>533</v>
      </c>
    </row>
    <row r="57" spans="1:8" ht="33.75" x14ac:dyDescent="0.2">
      <c r="A57" s="11" t="s">
        <v>338</v>
      </c>
      <c r="B57" s="11" t="s">
        <v>26</v>
      </c>
      <c r="C57" s="11" t="s">
        <v>256</v>
      </c>
      <c r="D57" s="67" t="s">
        <v>337</v>
      </c>
      <c r="E57" s="11" t="s">
        <v>32</v>
      </c>
      <c r="F57" s="13">
        <v>24.17</v>
      </c>
      <c r="G57" s="103" t="s">
        <v>532</v>
      </c>
      <c r="H57" s="103" t="s">
        <v>533</v>
      </c>
    </row>
    <row r="58" spans="1:8" ht="22.5" x14ac:dyDescent="0.2">
      <c r="A58" s="11" t="s">
        <v>123</v>
      </c>
      <c r="B58" s="11" t="s">
        <v>26</v>
      </c>
      <c r="C58" s="11" t="s">
        <v>256</v>
      </c>
      <c r="D58" s="67" t="s">
        <v>124</v>
      </c>
      <c r="E58" s="11" t="s">
        <v>32</v>
      </c>
      <c r="F58" s="13">
        <v>13.52</v>
      </c>
      <c r="G58" s="103" t="s">
        <v>532</v>
      </c>
      <c r="H58" s="103" t="s">
        <v>533</v>
      </c>
    </row>
    <row r="59" spans="1:8" ht="22.5" x14ac:dyDescent="0.2">
      <c r="A59" s="11" t="s">
        <v>53</v>
      </c>
      <c r="B59" s="11" t="s">
        <v>26</v>
      </c>
      <c r="C59" s="11" t="s">
        <v>256</v>
      </c>
      <c r="D59" s="67" t="s">
        <v>54</v>
      </c>
      <c r="E59" s="11" t="s">
        <v>28</v>
      </c>
      <c r="F59" s="13">
        <v>57.22</v>
      </c>
      <c r="G59" s="103"/>
      <c r="H59" s="103"/>
    </row>
    <row r="60" spans="1:8" ht="33.75" x14ac:dyDescent="0.2">
      <c r="A60" s="11" t="s">
        <v>310</v>
      </c>
      <c r="B60" s="11" t="s">
        <v>26</v>
      </c>
      <c r="C60" s="11" t="s">
        <v>256</v>
      </c>
      <c r="D60" s="67" t="s">
        <v>309</v>
      </c>
      <c r="E60" s="11" t="s">
        <v>28</v>
      </c>
      <c r="F60" s="13">
        <v>12.62</v>
      </c>
      <c r="G60" s="103" t="s">
        <v>532</v>
      </c>
      <c r="H60" s="103" t="s">
        <v>533</v>
      </c>
    </row>
    <row r="61" spans="1:8" ht="22.5" x14ac:dyDescent="0.2">
      <c r="A61" s="11" t="s">
        <v>25</v>
      </c>
      <c r="B61" s="11" t="s">
        <v>26</v>
      </c>
      <c r="C61" s="11" t="s">
        <v>256</v>
      </c>
      <c r="D61" s="67" t="s">
        <v>27</v>
      </c>
      <c r="E61" s="11" t="s">
        <v>28</v>
      </c>
      <c r="F61" s="13">
        <v>4.04</v>
      </c>
      <c r="G61" s="103" t="s">
        <v>532</v>
      </c>
      <c r="H61" s="103" t="s">
        <v>533</v>
      </c>
    </row>
    <row r="62" spans="1:8" ht="22.5" x14ac:dyDescent="0.2">
      <c r="A62" s="11" t="s">
        <v>30</v>
      </c>
      <c r="B62" s="11" t="s">
        <v>26</v>
      </c>
      <c r="C62" s="11" t="s">
        <v>256</v>
      </c>
      <c r="D62" s="67" t="s">
        <v>31</v>
      </c>
      <c r="E62" s="11" t="s">
        <v>32</v>
      </c>
      <c r="F62" s="13">
        <v>1.03</v>
      </c>
      <c r="G62" s="103" t="s">
        <v>532</v>
      </c>
      <c r="H62" s="103" t="s">
        <v>533</v>
      </c>
    </row>
    <row r="63" spans="1:8" ht="33.75" x14ac:dyDescent="0.2">
      <c r="A63" s="11" t="s">
        <v>262</v>
      </c>
      <c r="B63" s="11" t="s">
        <v>26</v>
      </c>
      <c r="C63" s="11" t="s">
        <v>256</v>
      </c>
      <c r="D63" s="67" t="s">
        <v>261</v>
      </c>
      <c r="E63" s="11" t="s">
        <v>233</v>
      </c>
      <c r="F63" s="13">
        <v>0.77</v>
      </c>
      <c r="G63" s="103" t="s">
        <v>532</v>
      </c>
      <c r="H63" s="103" t="s">
        <v>533</v>
      </c>
    </row>
    <row r="64" spans="1:8" ht="22.5" x14ac:dyDescent="0.2">
      <c r="A64" s="11" t="s">
        <v>224</v>
      </c>
      <c r="B64" s="11" t="s">
        <v>26</v>
      </c>
      <c r="C64" s="11" t="s">
        <v>256</v>
      </c>
      <c r="D64" s="67" t="s">
        <v>225</v>
      </c>
      <c r="E64" s="11" t="s">
        <v>28</v>
      </c>
      <c r="F64" s="13">
        <v>0.42</v>
      </c>
      <c r="G64" s="103" t="s">
        <v>532</v>
      </c>
      <c r="H64" s="103" t="s">
        <v>533</v>
      </c>
    </row>
    <row r="65" spans="1:8" ht="22.5" x14ac:dyDescent="0.2">
      <c r="A65" s="11" t="s">
        <v>221</v>
      </c>
      <c r="B65" s="11" t="s">
        <v>26</v>
      </c>
      <c r="C65" s="11" t="s">
        <v>256</v>
      </c>
      <c r="D65" s="67" t="s">
        <v>222</v>
      </c>
      <c r="E65" s="11" t="s">
        <v>28</v>
      </c>
      <c r="F65" s="13">
        <v>1.66</v>
      </c>
      <c r="G65" s="103" t="s">
        <v>532</v>
      </c>
      <c r="H65" s="103" t="s">
        <v>533</v>
      </c>
    </row>
    <row r="66" spans="1:8" ht="22.5" x14ac:dyDescent="0.2">
      <c r="A66" s="11" t="s">
        <v>231</v>
      </c>
      <c r="B66" s="11" t="s">
        <v>26</v>
      </c>
      <c r="C66" s="11" t="s">
        <v>256</v>
      </c>
      <c r="D66" s="67" t="s">
        <v>232</v>
      </c>
      <c r="E66" s="11" t="s">
        <v>233</v>
      </c>
      <c r="F66" s="13">
        <v>847.75</v>
      </c>
      <c r="G66" s="103" t="s">
        <v>532</v>
      </c>
      <c r="H66" s="103" t="s">
        <v>533</v>
      </c>
    </row>
    <row r="67" spans="1:8" ht="22.5" x14ac:dyDescent="0.2">
      <c r="A67" s="11" t="s">
        <v>235</v>
      </c>
      <c r="B67" s="11" t="s">
        <v>26</v>
      </c>
      <c r="C67" s="11" t="s">
        <v>256</v>
      </c>
      <c r="D67" s="67" t="s">
        <v>236</v>
      </c>
      <c r="E67" s="11" t="s">
        <v>237</v>
      </c>
      <c r="F67" s="13">
        <v>1.75</v>
      </c>
      <c r="G67" s="103" t="s">
        <v>532</v>
      </c>
      <c r="H67" s="103" t="s">
        <v>533</v>
      </c>
    </row>
    <row r="68" spans="1:8" ht="22.5" x14ac:dyDescent="0.2">
      <c r="A68" s="11" t="s">
        <v>313</v>
      </c>
      <c r="B68" s="11" t="s">
        <v>26</v>
      </c>
      <c r="C68" s="11" t="s">
        <v>256</v>
      </c>
      <c r="D68" s="67" t="s">
        <v>312</v>
      </c>
      <c r="E68" s="11" t="s">
        <v>217</v>
      </c>
      <c r="F68" s="13">
        <v>22.43</v>
      </c>
      <c r="G68" s="103" t="s">
        <v>532</v>
      </c>
      <c r="H68" s="103" t="s">
        <v>533</v>
      </c>
    </row>
    <row r="69" spans="1:8" ht="22.5" x14ac:dyDescent="0.2">
      <c r="A69" s="11" t="s">
        <v>120</v>
      </c>
      <c r="B69" s="11" t="s">
        <v>26</v>
      </c>
      <c r="C69" s="11" t="s">
        <v>256</v>
      </c>
      <c r="D69" s="67" t="s">
        <v>121</v>
      </c>
      <c r="E69" s="11" t="s">
        <v>32</v>
      </c>
      <c r="F69" s="13">
        <v>32.33</v>
      </c>
      <c r="G69" s="103"/>
      <c r="H69" s="103"/>
    </row>
    <row r="70" spans="1:8" ht="22.5" x14ac:dyDescent="0.2">
      <c r="A70" s="11" t="s">
        <v>69</v>
      </c>
      <c r="B70" s="11" t="s">
        <v>26</v>
      </c>
      <c r="C70" s="11" t="s">
        <v>256</v>
      </c>
      <c r="D70" s="67" t="s">
        <v>70</v>
      </c>
      <c r="E70" s="11" t="s">
        <v>28</v>
      </c>
      <c r="F70" s="13">
        <v>13.72</v>
      </c>
      <c r="G70" s="103"/>
      <c r="H70" s="103"/>
    </row>
    <row r="71" spans="1:8" ht="33.75" x14ac:dyDescent="0.2">
      <c r="A71" s="11" t="s">
        <v>324</v>
      </c>
      <c r="B71" s="11" t="s">
        <v>15</v>
      </c>
      <c r="C71" s="11" t="s">
        <v>255</v>
      </c>
      <c r="D71" s="67" t="s">
        <v>323</v>
      </c>
      <c r="E71" s="11" t="s">
        <v>36</v>
      </c>
      <c r="F71" s="13">
        <v>19.239999999999998</v>
      </c>
      <c r="G71" s="103"/>
      <c r="H71" s="103"/>
    </row>
    <row r="72" spans="1:8" ht="90" x14ac:dyDescent="0.2">
      <c r="A72" s="11" t="s">
        <v>328</v>
      </c>
      <c r="B72" s="11" t="s">
        <v>15</v>
      </c>
      <c r="C72" s="11" t="s">
        <v>255</v>
      </c>
      <c r="D72" s="67" t="s">
        <v>327</v>
      </c>
      <c r="E72" s="11" t="s">
        <v>40</v>
      </c>
      <c r="F72" s="13">
        <v>38.700000000000003</v>
      </c>
      <c r="G72" s="103"/>
      <c r="H72" s="103"/>
    </row>
    <row r="73" spans="1:8" ht="22.5" x14ac:dyDescent="0.2">
      <c r="A73" s="11" t="s">
        <v>360</v>
      </c>
      <c r="B73" s="11" t="s">
        <v>15</v>
      </c>
      <c r="C73" s="11" t="s">
        <v>255</v>
      </c>
      <c r="D73" s="67" t="s">
        <v>359</v>
      </c>
      <c r="E73" s="11" t="s">
        <v>36</v>
      </c>
      <c r="F73" s="13">
        <v>11.99</v>
      </c>
      <c r="G73" s="103" t="s">
        <v>532</v>
      </c>
      <c r="H73" s="103" t="s">
        <v>533</v>
      </c>
    </row>
    <row r="74" spans="1:8" x14ac:dyDescent="0.2">
      <c r="A74" s="11" t="s">
        <v>332</v>
      </c>
      <c r="B74" s="11" t="s">
        <v>15</v>
      </c>
      <c r="C74" s="11" t="s">
        <v>255</v>
      </c>
      <c r="D74" s="67" t="s">
        <v>331</v>
      </c>
      <c r="E74" s="11" t="s">
        <v>40</v>
      </c>
      <c r="F74" s="13">
        <v>2.65</v>
      </c>
      <c r="G74" s="103" t="s">
        <v>532</v>
      </c>
      <c r="H74" s="103" t="s">
        <v>533</v>
      </c>
    </row>
    <row r="75" spans="1:8" x14ac:dyDescent="0.2">
      <c r="A75" s="11" t="s">
        <v>270</v>
      </c>
      <c r="B75" s="11" t="s">
        <v>15</v>
      </c>
      <c r="C75" s="11" t="s">
        <v>255</v>
      </c>
      <c r="D75" s="67" t="s">
        <v>269</v>
      </c>
      <c r="E75" s="11" t="s">
        <v>36</v>
      </c>
      <c r="F75" s="13">
        <v>4.96</v>
      </c>
      <c r="G75" s="103"/>
      <c r="H75" s="103"/>
    </row>
    <row r="76" spans="1:8" x14ac:dyDescent="0.2">
      <c r="A76" s="11" t="s">
        <v>365</v>
      </c>
      <c r="B76" s="11" t="s">
        <v>15</v>
      </c>
      <c r="C76" s="11" t="s">
        <v>255</v>
      </c>
      <c r="D76" s="67" t="s">
        <v>364</v>
      </c>
      <c r="E76" s="11" t="s">
        <v>17</v>
      </c>
      <c r="F76" s="13">
        <v>233.94</v>
      </c>
      <c r="G76" s="103" t="s">
        <v>532</v>
      </c>
      <c r="H76" s="103" t="s">
        <v>533</v>
      </c>
    </row>
    <row r="77" spans="1:8" ht="33.75" x14ac:dyDescent="0.2">
      <c r="A77" s="11" t="s">
        <v>318</v>
      </c>
      <c r="B77" s="11" t="s">
        <v>15</v>
      </c>
      <c r="C77" s="11" t="s">
        <v>255</v>
      </c>
      <c r="D77" s="67" t="s">
        <v>317</v>
      </c>
      <c r="E77" s="11" t="s">
        <v>36</v>
      </c>
      <c r="F77" s="13">
        <v>19.55</v>
      </c>
      <c r="G77" s="103"/>
      <c r="H77" s="103"/>
    </row>
    <row r="78" spans="1:8" ht="45" x14ac:dyDescent="0.2">
      <c r="A78" s="11" t="s">
        <v>330</v>
      </c>
      <c r="B78" s="11" t="s">
        <v>15</v>
      </c>
      <c r="C78" s="11" t="s">
        <v>255</v>
      </c>
      <c r="D78" s="67" t="s">
        <v>329</v>
      </c>
      <c r="E78" s="11" t="s">
        <v>40</v>
      </c>
      <c r="F78" s="13">
        <v>92</v>
      </c>
      <c r="G78" s="103" t="s">
        <v>534</v>
      </c>
      <c r="H78" s="103"/>
    </row>
    <row r="79" spans="1:8" ht="22.5" x14ac:dyDescent="0.2">
      <c r="A79" s="11" t="s">
        <v>291</v>
      </c>
      <c r="B79" s="11" t="s">
        <v>15</v>
      </c>
      <c r="C79" s="11" t="s">
        <v>255</v>
      </c>
      <c r="D79" s="67" t="s">
        <v>290</v>
      </c>
      <c r="E79" s="11" t="s">
        <v>36</v>
      </c>
      <c r="F79" s="13">
        <v>29.4</v>
      </c>
      <c r="G79" s="103" t="s">
        <v>532</v>
      </c>
      <c r="H79" s="103" t="s">
        <v>533</v>
      </c>
    </row>
    <row r="80" spans="1:8" ht="33.75" x14ac:dyDescent="0.2">
      <c r="A80" s="11" t="s">
        <v>340</v>
      </c>
      <c r="B80" s="11" t="s">
        <v>15</v>
      </c>
      <c r="C80" s="11" t="s">
        <v>255</v>
      </c>
      <c r="D80" s="67" t="s">
        <v>339</v>
      </c>
      <c r="E80" s="11" t="s">
        <v>36</v>
      </c>
      <c r="F80" s="13">
        <v>42.71</v>
      </c>
      <c r="G80" s="103"/>
      <c r="H80" s="103"/>
    </row>
    <row r="81" spans="1:8" x14ac:dyDescent="0.2">
      <c r="A81" s="11" t="s">
        <v>348</v>
      </c>
      <c r="B81" s="11" t="s">
        <v>15</v>
      </c>
      <c r="C81" s="11" t="s">
        <v>255</v>
      </c>
      <c r="D81" s="67" t="s">
        <v>347</v>
      </c>
      <c r="E81" s="11" t="s">
        <v>40</v>
      </c>
      <c r="F81" s="13">
        <v>3197.2</v>
      </c>
      <c r="G81" s="103" t="s">
        <v>532</v>
      </c>
      <c r="H81" s="103" t="s">
        <v>533</v>
      </c>
    </row>
    <row r="82" spans="1:8" ht="22.5" x14ac:dyDescent="0.2">
      <c r="A82" s="11" t="s">
        <v>346</v>
      </c>
      <c r="B82" s="11" t="s">
        <v>15</v>
      </c>
      <c r="C82" s="11" t="s">
        <v>255</v>
      </c>
      <c r="D82" s="67" t="s">
        <v>345</v>
      </c>
      <c r="E82" s="11" t="s">
        <v>40</v>
      </c>
      <c r="F82" s="13">
        <v>1627.13</v>
      </c>
      <c r="G82" s="103"/>
      <c r="H82" s="103"/>
    </row>
    <row r="83" spans="1:8" x14ac:dyDescent="0.2">
      <c r="A83" s="11" t="s">
        <v>352</v>
      </c>
      <c r="B83" s="11" t="s">
        <v>15</v>
      </c>
      <c r="C83" s="11" t="s">
        <v>255</v>
      </c>
      <c r="D83" s="67" t="s">
        <v>351</v>
      </c>
      <c r="E83" s="11" t="s">
        <v>28</v>
      </c>
      <c r="F83" s="13">
        <v>7.66</v>
      </c>
      <c r="G83" s="103" t="s">
        <v>532</v>
      </c>
      <c r="H83" s="103" t="s">
        <v>533</v>
      </c>
    </row>
    <row r="84" spans="1:8" ht="45" x14ac:dyDescent="0.2">
      <c r="A84" s="11" t="s">
        <v>361</v>
      </c>
      <c r="B84" s="11" t="s">
        <v>15</v>
      </c>
      <c r="C84" s="11" t="s">
        <v>255</v>
      </c>
      <c r="D84" s="67" t="s">
        <v>464</v>
      </c>
      <c r="E84" s="11" t="s">
        <v>28</v>
      </c>
      <c r="F84" s="13">
        <v>350</v>
      </c>
      <c r="G84" s="103" t="s">
        <v>532</v>
      </c>
      <c r="H84" s="103" t="s">
        <v>533</v>
      </c>
    </row>
    <row r="85" spans="1:8" ht="33.75" x14ac:dyDescent="0.2">
      <c r="A85" s="11" t="s">
        <v>350</v>
      </c>
      <c r="B85" s="11" t="s">
        <v>15</v>
      </c>
      <c r="C85" s="11" t="s">
        <v>255</v>
      </c>
      <c r="D85" s="67" t="s">
        <v>349</v>
      </c>
      <c r="E85" s="11" t="s">
        <v>36</v>
      </c>
      <c r="F85" s="13">
        <v>1160</v>
      </c>
      <c r="G85" s="103" t="s">
        <v>532</v>
      </c>
      <c r="H85" s="103" t="s">
        <v>533</v>
      </c>
    </row>
    <row r="86" spans="1:8" ht="146.25" x14ac:dyDescent="0.2">
      <c r="A86" s="11" t="s">
        <v>314</v>
      </c>
      <c r="B86" s="11" t="s">
        <v>15</v>
      </c>
      <c r="C86" s="11" t="s">
        <v>255</v>
      </c>
      <c r="D86" s="67" t="s">
        <v>470</v>
      </c>
      <c r="E86" s="11" t="s">
        <v>40</v>
      </c>
      <c r="F86" s="13">
        <v>18623.11</v>
      </c>
      <c r="G86" s="103"/>
      <c r="H86" s="103"/>
    </row>
    <row r="87" spans="1:8" ht="101.25" x14ac:dyDescent="0.2">
      <c r="A87" s="11" t="s">
        <v>311</v>
      </c>
      <c r="B87" s="11" t="s">
        <v>15</v>
      </c>
      <c r="C87" s="11" t="s">
        <v>255</v>
      </c>
      <c r="D87" s="67" t="s">
        <v>471</v>
      </c>
      <c r="E87" s="11" t="s">
        <v>40</v>
      </c>
      <c r="F87" s="13">
        <v>5767.02</v>
      </c>
      <c r="G87" s="103"/>
      <c r="H87" s="103"/>
    </row>
    <row r="88" spans="1:8" ht="45" x14ac:dyDescent="0.2">
      <c r="A88" s="11" t="s">
        <v>296</v>
      </c>
      <c r="B88" s="11" t="s">
        <v>15</v>
      </c>
      <c r="C88" s="11" t="s">
        <v>255</v>
      </c>
      <c r="D88" s="67" t="s">
        <v>473</v>
      </c>
      <c r="E88" s="11" t="s">
        <v>40</v>
      </c>
      <c r="F88" s="13">
        <v>184.11</v>
      </c>
      <c r="G88" s="103"/>
      <c r="H88" s="103"/>
    </row>
    <row r="89" spans="1:8" ht="45" x14ac:dyDescent="0.2">
      <c r="A89" s="11" t="s">
        <v>279</v>
      </c>
      <c r="B89" s="11" t="s">
        <v>15</v>
      </c>
      <c r="C89" s="11" t="s">
        <v>255</v>
      </c>
      <c r="D89" s="67" t="s">
        <v>278</v>
      </c>
      <c r="E89" s="11" t="s">
        <v>40</v>
      </c>
      <c r="F89" s="13">
        <v>650.15</v>
      </c>
      <c r="G89" s="103"/>
      <c r="H89" s="103"/>
    </row>
    <row r="90" spans="1:8" ht="135" x14ac:dyDescent="0.2">
      <c r="A90" s="11" t="s">
        <v>273</v>
      </c>
      <c r="B90" s="11" t="s">
        <v>15</v>
      </c>
      <c r="C90" s="11" t="s">
        <v>255</v>
      </c>
      <c r="D90" s="67" t="s">
        <v>201</v>
      </c>
      <c r="E90" s="11" t="s">
        <v>40</v>
      </c>
      <c r="F90" s="13">
        <v>3771.26</v>
      </c>
      <c r="G90" s="103"/>
      <c r="H90" s="103"/>
    </row>
    <row r="91" spans="1:8" ht="78.75" x14ac:dyDescent="0.2">
      <c r="A91" s="11" t="s">
        <v>297</v>
      </c>
      <c r="B91" s="11" t="s">
        <v>15</v>
      </c>
      <c r="C91" s="11" t="s">
        <v>255</v>
      </c>
      <c r="D91" s="67" t="s">
        <v>472</v>
      </c>
      <c r="E91" s="11" t="s">
        <v>40</v>
      </c>
      <c r="F91" s="13">
        <v>1271.92</v>
      </c>
      <c r="G91" s="103"/>
      <c r="H91" s="103"/>
    </row>
    <row r="92" spans="1:8" ht="33.75" x14ac:dyDescent="0.2">
      <c r="A92" s="11" t="s">
        <v>299</v>
      </c>
      <c r="B92" s="11" t="s">
        <v>15</v>
      </c>
      <c r="C92" s="11" t="s">
        <v>255</v>
      </c>
      <c r="D92" s="67" t="s">
        <v>298</v>
      </c>
      <c r="E92" s="11" t="s">
        <v>36</v>
      </c>
      <c r="F92" s="13">
        <v>10.35</v>
      </c>
      <c r="G92" s="103"/>
      <c r="H92" s="103"/>
    </row>
    <row r="93" spans="1:8" ht="22.5" x14ac:dyDescent="0.2">
      <c r="A93" s="11" t="s">
        <v>295</v>
      </c>
      <c r="B93" s="11" t="s">
        <v>15</v>
      </c>
      <c r="C93" s="11" t="s">
        <v>255</v>
      </c>
      <c r="D93" s="67" t="s">
        <v>294</v>
      </c>
      <c r="E93" s="11" t="s">
        <v>36</v>
      </c>
      <c r="F93" s="13">
        <v>22.75</v>
      </c>
      <c r="G93" s="103" t="s">
        <v>532</v>
      </c>
      <c r="H93" s="103" t="s">
        <v>533</v>
      </c>
    </row>
  </sheetData>
  <sortState xmlns:xlrd2="http://schemas.microsoft.com/office/spreadsheetml/2017/richdata2" ref="A9:H93">
    <sortCondition descending="1" ref="B9:B93"/>
    <sortCondition descending="1" ref="C9:C93"/>
    <sortCondition ref="A9:A93"/>
  </sortState>
  <mergeCells count="13">
    <mergeCell ref="C6:D6"/>
    <mergeCell ref="E6:F6"/>
    <mergeCell ref="G6:H6"/>
    <mergeCell ref="A7:H7"/>
    <mergeCell ref="G1:H1"/>
    <mergeCell ref="A2:B2"/>
    <mergeCell ref="E2:F2"/>
    <mergeCell ref="G2:H2"/>
    <mergeCell ref="A4:B4"/>
    <mergeCell ref="C4:D4"/>
    <mergeCell ref="E4:F4"/>
    <mergeCell ref="G4:H4"/>
    <mergeCell ref="A6:B6"/>
  </mergeCells>
  <printOptions horizontalCentered="1"/>
  <pageMargins left="0.59055118110236227" right="0.59055118110236227" top="0.59055118110236227" bottom="0.59055118110236227" header="0.19685039370078741" footer="0.19685039370078741"/>
  <pageSetup paperSize="9" scale="70" fitToHeight="0" orientation="portrait" r:id="rId1"/>
  <headerFooter>
    <oddHeader>&amp;L &amp;C &amp;R</oddHeader>
    <oddFooter>&amp;L &amp;C &amp;R</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FB0984-4849-402A-98D0-10B683D5D561}">
  <sheetPr>
    <pageSetUpPr fitToPage="1"/>
  </sheetPr>
  <dimension ref="A1:D24"/>
  <sheetViews>
    <sheetView showGridLines="0" zoomScaleSheetLayoutView="100" workbookViewId="0"/>
  </sheetViews>
  <sheetFormatPr defaultRowHeight="14.25" x14ac:dyDescent="0.2"/>
  <cols>
    <col min="1" max="2" width="10.625" customWidth="1"/>
    <col min="3" max="3" width="58.625" customWidth="1"/>
    <col min="4" max="4" width="18.625" customWidth="1"/>
  </cols>
  <sheetData>
    <row r="1" spans="1:4" s="129" customFormat="1" ht="15" customHeight="1" x14ac:dyDescent="0.2">
      <c r="A1" s="126" t="str">
        <f>'Orçamento Sintético'!A1</f>
        <v>P. Execução:</v>
      </c>
      <c r="B1" s="141"/>
      <c r="C1" s="127" t="str">
        <f>'Orçamento Sintético'!D1</f>
        <v>Objeto: Adequações Sala de Situação</v>
      </c>
      <c r="D1" s="128" t="str">
        <f>'Orçamento Sintético'!C1</f>
        <v>Licitação:</v>
      </c>
    </row>
    <row r="2" spans="1:4" s="129" customFormat="1" ht="15" customHeight="1" x14ac:dyDescent="0.2">
      <c r="A2" s="165" t="str">
        <f>'Orçamento Sintético'!A2:B2</f>
        <v>A</v>
      </c>
      <c r="B2" s="166"/>
      <c r="C2" s="130" t="str">
        <f>'Orçamento Sintético'!D2</f>
        <v>Local: Praça do Buriti Bloco A, Lote 2 - Zona Cívico-Administrativa - Brasília / DF</v>
      </c>
      <c r="D2" s="131" t="str">
        <f>'Orçamento Sintético'!C2</f>
        <v>B</v>
      </c>
    </row>
    <row r="3" spans="1:4" s="129" customFormat="1" ht="15" customHeight="1" x14ac:dyDescent="0.2">
      <c r="A3" s="132" t="str">
        <f>'Orçamento Sintético'!A3</f>
        <v>P. Validade:</v>
      </c>
      <c r="B3" s="141"/>
      <c r="C3" s="132" t="str">
        <f>'Orçamento Sintético'!C3</f>
        <v>Razão Social:</v>
      </c>
      <c r="D3" s="128" t="str">
        <f>'Orçamento Sintético'!E1</f>
        <v>Data:</v>
      </c>
    </row>
    <row r="4" spans="1:4" s="129" customFormat="1" ht="15" customHeight="1" x14ac:dyDescent="0.2">
      <c r="A4" s="165" t="str">
        <f>'Orçamento Sintético'!A4:B4</f>
        <v>C</v>
      </c>
      <c r="B4" s="166"/>
      <c r="C4" s="99" t="str">
        <f>'Orçamento Sintético'!C4</f>
        <v>D</v>
      </c>
      <c r="D4" s="104">
        <f>'Orçamento Sintético'!E2</f>
        <v>1</v>
      </c>
    </row>
    <row r="5" spans="1:4" s="129" customFormat="1" ht="15" customHeight="1" x14ac:dyDescent="0.2">
      <c r="A5" s="126" t="str">
        <f>'Orçamento Sintético'!A5</f>
        <v>P. Garantia:</v>
      </c>
      <c r="B5" s="141"/>
      <c r="C5" s="132" t="str">
        <f>'Orçamento Sintético'!C5</f>
        <v>CNPJ:</v>
      </c>
      <c r="D5" s="128" t="str">
        <f>'Orçamento Sintético'!E3</f>
        <v>Telefone:</v>
      </c>
    </row>
    <row r="6" spans="1:4" s="129" customFormat="1" ht="15" customHeight="1" x14ac:dyDescent="0.2">
      <c r="A6" s="165" t="str">
        <f>'Orçamento Sintético'!A6:B6</f>
        <v>F</v>
      </c>
      <c r="B6" s="166"/>
      <c r="C6" s="99" t="str">
        <f>'Orçamento Sintético'!C6</f>
        <v>G</v>
      </c>
      <c r="D6" s="104" t="str">
        <f>'Orçamento Sintético'!E4</f>
        <v>E</v>
      </c>
    </row>
    <row r="7" spans="1:4" s="39" customFormat="1" ht="15" customHeight="1" x14ac:dyDescent="0.2">
      <c r="A7" s="180" t="s">
        <v>367</v>
      </c>
      <c r="B7" s="180"/>
      <c r="C7" s="180"/>
      <c r="D7" s="180"/>
    </row>
    <row r="8" spans="1:4" ht="14.25" customHeight="1" x14ac:dyDescent="0.2">
      <c r="A8" s="74" t="s">
        <v>1</v>
      </c>
      <c r="B8" s="181" t="s">
        <v>538</v>
      </c>
      <c r="C8" s="182"/>
      <c r="D8" s="74" t="s">
        <v>368</v>
      </c>
    </row>
    <row r="9" spans="1:4" x14ac:dyDescent="0.2">
      <c r="A9" s="192" t="s">
        <v>369</v>
      </c>
      <c r="B9" s="193" t="s">
        <v>370</v>
      </c>
      <c r="C9" s="193"/>
      <c r="D9" s="194"/>
    </row>
    <row r="10" spans="1:4" x14ac:dyDescent="0.2">
      <c r="A10" s="195" t="s">
        <v>371</v>
      </c>
      <c r="B10" s="196" t="s">
        <v>372</v>
      </c>
      <c r="C10" s="196"/>
      <c r="D10" s="197">
        <f>ROUND(SUM(D11:D16),4)</f>
        <v>0.15740000000000001</v>
      </c>
    </row>
    <row r="11" spans="1:4" x14ac:dyDescent="0.2">
      <c r="A11" s="44"/>
      <c r="B11" s="41"/>
      <c r="C11" s="42"/>
      <c r="D11" s="43"/>
    </row>
    <row r="12" spans="1:4" x14ac:dyDescent="0.2">
      <c r="A12" s="40" t="s">
        <v>373</v>
      </c>
      <c r="B12" s="41" t="s">
        <v>374</v>
      </c>
      <c r="C12" s="42"/>
      <c r="D12" s="43">
        <v>0.04</v>
      </c>
    </row>
    <row r="13" spans="1:4" x14ac:dyDescent="0.2">
      <c r="A13" s="40" t="s">
        <v>375</v>
      </c>
      <c r="B13" s="41" t="s">
        <v>376</v>
      </c>
      <c r="C13" s="42"/>
      <c r="D13" s="43">
        <v>8.0000000000000002E-3</v>
      </c>
    </row>
    <row r="14" spans="1:4" x14ac:dyDescent="0.2">
      <c r="A14" s="40" t="s">
        <v>377</v>
      </c>
      <c r="B14" s="41" t="s">
        <v>378</v>
      </c>
      <c r="C14" s="42"/>
      <c r="D14" s="43">
        <v>1.2699999999999999E-2</v>
      </c>
    </row>
    <row r="15" spans="1:4" x14ac:dyDescent="0.2">
      <c r="A15" s="40" t="s">
        <v>379</v>
      </c>
      <c r="B15" s="41" t="s">
        <v>380</v>
      </c>
      <c r="C15" s="42"/>
      <c r="D15" s="43">
        <v>1.23E-2</v>
      </c>
    </row>
    <row r="16" spans="1:4" x14ac:dyDescent="0.2">
      <c r="A16" s="40" t="s">
        <v>381</v>
      </c>
      <c r="B16" s="41" t="s">
        <v>382</v>
      </c>
      <c r="C16" s="42"/>
      <c r="D16" s="43">
        <v>8.4400000000000003E-2</v>
      </c>
    </row>
    <row r="17" spans="1:4" x14ac:dyDescent="0.2">
      <c r="A17" s="44"/>
      <c r="B17" s="41"/>
      <c r="C17" s="42"/>
      <c r="D17" s="43"/>
    </row>
    <row r="18" spans="1:4" x14ac:dyDescent="0.2">
      <c r="A18" s="192" t="s">
        <v>383</v>
      </c>
      <c r="B18" s="193" t="s">
        <v>384</v>
      </c>
      <c r="C18" s="193"/>
      <c r="D18" s="194"/>
    </row>
    <row r="19" spans="1:4" x14ac:dyDescent="0.2">
      <c r="A19" s="195" t="s">
        <v>385</v>
      </c>
      <c r="B19" s="196" t="s">
        <v>386</v>
      </c>
      <c r="C19" s="196"/>
      <c r="D19" s="197">
        <f>SUM(D20:D22)</f>
        <v>4.65E-2</v>
      </c>
    </row>
    <row r="20" spans="1:4" x14ac:dyDescent="0.2">
      <c r="A20" s="40"/>
      <c r="B20" s="41" t="s">
        <v>387</v>
      </c>
      <c r="C20" s="42"/>
      <c r="D20" s="43">
        <v>6.5000000000000006E-3</v>
      </c>
    </row>
    <row r="21" spans="1:4" x14ac:dyDescent="0.2">
      <c r="A21" s="40"/>
      <c r="B21" s="41" t="s">
        <v>388</v>
      </c>
      <c r="C21" s="42"/>
      <c r="D21" s="43">
        <v>0.03</v>
      </c>
    </row>
    <row r="22" spans="1:4" x14ac:dyDescent="0.2">
      <c r="A22" s="40"/>
      <c r="B22" s="41" t="s">
        <v>536</v>
      </c>
      <c r="C22" s="42"/>
      <c r="D22" s="43">
        <f>2%*'Orçamento Sintético'!B98</f>
        <v>0.01</v>
      </c>
    </row>
    <row r="23" spans="1:4" x14ac:dyDescent="0.2">
      <c r="A23" s="40"/>
      <c r="B23" s="41"/>
      <c r="C23" s="42"/>
      <c r="D23" s="43"/>
    </row>
    <row r="24" spans="1:4" x14ac:dyDescent="0.2">
      <c r="A24" s="198" t="s">
        <v>389</v>
      </c>
      <c r="B24" s="199" t="s">
        <v>390</v>
      </c>
      <c r="C24" s="199"/>
      <c r="D24" s="200">
        <f>ROUND((((1+(D12+D13+D14))*(1+D15)*(1+D16))/(1-D19)-1),4)</f>
        <v>0.22120000000000001</v>
      </c>
    </row>
  </sheetData>
  <mergeCells count="10">
    <mergeCell ref="B9:C9"/>
    <mergeCell ref="B10:C10"/>
    <mergeCell ref="B18:C18"/>
    <mergeCell ref="B19:C19"/>
    <mergeCell ref="B24:C24"/>
    <mergeCell ref="A6:B6"/>
    <mergeCell ref="A7:D7"/>
    <mergeCell ref="B8:C8"/>
    <mergeCell ref="A2:B2"/>
    <mergeCell ref="A4:B4"/>
  </mergeCells>
  <printOptions horizontalCentered="1"/>
  <pageMargins left="0.59055118110236227" right="0.59055118110236227" top="0.59055118110236227" bottom="0.59055118110236227" header="0.19685039370078741" footer="0.19685039370078741"/>
  <pageSetup paperSize="9" scale="84" fitToHeight="0" orientation="portrait" r:id="rId1"/>
  <headerFooter>
    <oddHeader>&amp;L &amp;C &amp;R</oddHeader>
    <oddFooter>&amp;L &amp;C &amp;R&amp;8&amp;P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6947F-9F73-43C7-B0A3-CEEFE077E814}">
  <sheetPr>
    <tabColor indexed="43"/>
    <pageSetUpPr fitToPage="1"/>
  </sheetPr>
  <dimension ref="A1:D44"/>
  <sheetViews>
    <sheetView showGridLines="0" zoomScaleSheetLayoutView="100" workbookViewId="0"/>
  </sheetViews>
  <sheetFormatPr defaultRowHeight="14.25" x14ac:dyDescent="0.2"/>
  <cols>
    <col min="1" max="1" width="10.625" style="63" customWidth="1"/>
    <col min="2" max="2" width="10.625" style="64" customWidth="1"/>
    <col min="3" max="3" width="58.625" style="64" customWidth="1"/>
    <col min="4" max="4" width="18.625" style="65" customWidth="1"/>
    <col min="5" max="16384" width="9" style="66"/>
  </cols>
  <sheetData>
    <row r="1" spans="1:4" s="129" customFormat="1" ht="15" customHeight="1" x14ac:dyDescent="0.2">
      <c r="A1" s="126" t="str">
        <f>'Orçamento Sintético'!A1</f>
        <v>P. Execução:</v>
      </c>
      <c r="B1" s="141"/>
      <c r="C1" s="127" t="str">
        <f>'Orçamento Sintético'!D1</f>
        <v>Objeto: Adequações Sala de Situação</v>
      </c>
      <c r="D1" s="128" t="str">
        <f>'Orçamento Sintético'!C1</f>
        <v>Licitação:</v>
      </c>
    </row>
    <row r="2" spans="1:4" s="129" customFormat="1" ht="15" customHeight="1" x14ac:dyDescent="0.2">
      <c r="A2" s="165" t="str">
        <f>'Orçamento Sintético'!A2:B2</f>
        <v>A</v>
      </c>
      <c r="B2" s="166"/>
      <c r="C2" s="130" t="str">
        <f>'Orçamento Sintético'!D2</f>
        <v>Local: Praça do Buriti Bloco A, Lote 2 - Zona Cívico-Administrativa - Brasília / DF</v>
      </c>
      <c r="D2" s="131" t="str">
        <f>'Orçamento Sintético'!C2</f>
        <v>B</v>
      </c>
    </row>
    <row r="3" spans="1:4" s="129" customFormat="1" ht="15" customHeight="1" x14ac:dyDescent="0.2">
      <c r="A3" s="132" t="str">
        <f>'Orçamento Sintético'!A3</f>
        <v>P. Validade:</v>
      </c>
      <c r="B3" s="141"/>
      <c r="C3" s="132" t="str">
        <f>'Orçamento Sintético'!C3</f>
        <v>Razão Social:</v>
      </c>
      <c r="D3" s="128" t="str">
        <f>'Orçamento Sintético'!E1</f>
        <v>Data:</v>
      </c>
    </row>
    <row r="4" spans="1:4" s="129" customFormat="1" ht="15" customHeight="1" x14ac:dyDescent="0.2">
      <c r="A4" s="165" t="str">
        <f>'Orçamento Sintético'!A4:B4</f>
        <v>C</v>
      </c>
      <c r="B4" s="166"/>
      <c r="C4" s="99" t="str">
        <f>'Orçamento Sintético'!C4</f>
        <v>D</v>
      </c>
      <c r="D4" s="104">
        <f>'Orçamento Sintético'!E2</f>
        <v>1</v>
      </c>
    </row>
    <row r="5" spans="1:4" s="129" customFormat="1" ht="15" customHeight="1" x14ac:dyDescent="0.2">
      <c r="A5" s="126" t="str">
        <f>'Orçamento Sintético'!A5</f>
        <v>P. Garantia:</v>
      </c>
      <c r="B5" s="141"/>
      <c r="C5" s="132" t="str">
        <f>'Orçamento Sintético'!C5</f>
        <v>CNPJ:</v>
      </c>
      <c r="D5" s="128" t="str">
        <f>'Orçamento Sintético'!E3</f>
        <v>Telefone:</v>
      </c>
    </row>
    <row r="6" spans="1:4" s="129" customFormat="1" ht="15" customHeight="1" x14ac:dyDescent="0.2">
      <c r="A6" s="165" t="str">
        <f>'Orçamento Sintético'!A6:B6</f>
        <v>F</v>
      </c>
      <c r="B6" s="166"/>
      <c r="C6" s="99" t="str">
        <f>'Orçamento Sintético'!C6</f>
        <v>G</v>
      </c>
      <c r="D6" s="104" t="str">
        <f>'Orçamento Sintético'!E4</f>
        <v>E</v>
      </c>
    </row>
    <row r="7" spans="1:4" s="45" customFormat="1" ht="15" customHeight="1" x14ac:dyDescent="0.2">
      <c r="A7" s="183" t="s">
        <v>391</v>
      </c>
      <c r="B7" s="183"/>
      <c r="C7" s="183"/>
      <c r="D7" s="183"/>
    </row>
    <row r="8" spans="1:4" s="46" customFormat="1" ht="12.75" x14ac:dyDescent="0.2">
      <c r="A8" s="74" t="s">
        <v>1</v>
      </c>
      <c r="B8" s="181" t="s">
        <v>538</v>
      </c>
      <c r="C8" s="182"/>
      <c r="D8" s="74" t="s">
        <v>368</v>
      </c>
    </row>
    <row r="9" spans="1:4" s="46" customFormat="1" ht="13.15" customHeight="1" x14ac:dyDescent="0.2">
      <c r="A9" s="201" t="s">
        <v>392</v>
      </c>
      <c r="B9" s="202"/>
      <c r="C9" s="202"/>
      <c r="D9" s="203"/>
    </row>
    <row r="10" spans="1:4" s="46" customFormat="1" ht="12.75" x14ac:dyDescent="0.2">
      <c r="A10" s="47" t="s">
        <v>371</v>
      </c>
      <c r="B10" s="48" t="s">
        <v>393</v>
      </c>
      <c r="C10" s="49"/>
      <c r="D10" s="50">
        <v>0.2</v>
      </c>
    </row>
    <row r="11" spans="1:4" s="46" customFormat="1" ht="12.75" x14ac:dyDescent="0.2">
      <c r="A11" s="47" t="s">
        <v>394</v>
      </c>
      <c r="B11" s="48" t="s">
        <v>395</v>
      </c>
      <c r="C11" s="49"/>
      <c r="D11" s="50">
        <v>1.4999999999999999E-2</v>
      </c>
    </row>
    <row r="12" spans="1:4" s="46" customFormat="1" ht="12.75" x14ac:dyDescent="0.2">
      <c r="A12" s="47" t="s">
        <v>396</v>
      </c>
      <c r="B12" s="48" t="s">
        <v>397</v>
      </c>
      <c r="C12" s="49"/>
      <c r="D12" s="50">
        <v>0.01</v>
      </c>
    </row>
    <row r="13" spans="1:4" s="46" customFormat="1" ht="12.75" x14ac:dyDescent="0.2">
      <c r="A13" s="47" t="s">
        <v>398</v>
      </c>
      <c r="B13" s="48" t="s">
        <v>399</v>
      </c>
      <c r="C13" s="49"/>
      <c r="D13" s="50">
        <v>2E-3</v>
      </c>
    </row>
    <row r="14" spans="1:4" s="46" customFormat="1" ht="12.75" x14ac:dyDescent="0.2">
      <c r="A14" s="47" t="s">
        <v>400</v>
      </c>
      <c r="B14" s="48" t="s">
        <v>401</v>
      </c>
      <c r="C14" s="49"/>
      <c r="D14" s="50">
        <v>6.0000000000000001E-3</v>
      </c>
    </row>
    <row r="15" spans="1:4" s="46" customFormat="1" ht="12.75" x14ac:dyDescent="0.2">
      <c r="A15" s="47" t="s">
        <v>402</v>
      </c>
      <c r="B15" s="48" t="s">
        <v>403</v>
      </c>
      <c r="C15" s="49"/>
      <c r="D15" s="50">
        <v>2.5000000000000001E-2</v>
      </c>
    </row>
    <row r="16" spans="1:4" s="46" customFormat="1" ht="12.75" x14ac:dyDescent="0.2">
      <c r="A16" s="47" t="s">
        <v>404</v>
      </c>
      <c r="B16" s="48" t="s">
        <v>405</v>
      </c>
      <c r="C16" s="49"/>
      <c r="D16" s="50">
        <v>0.03</v>
      </c>
    </row>
    <row r="17" spans="1:4" s="46" customFormat="1" ht="12.75" x14ac:dyDescent="0.2">
      <c r="A17" s="47" t="s">
        <v>406</v>
      </c>
      <c r="B17" s="48" t="s">
        <v>407</v>
      </c>
      <c r="C17" s="49"/>
      <c r="D17" s="50">
        <v>0.08</v>
      </c>
    </row>
    <row r="18" spans="1:4" s="46" customFormat="1" ht="12.75" x14ac:dyDescent="0.2">
      <c r="A18" s="47" t="s">
        <v>408</v>
      </c>
      <c r="B18" s="48" t="s">
        <v>409</v>
      </c>
      <c r="C18" s="49"/>
      <c r="D18" s="50">
        <v>0.01</v>
      </c>
    </row>
    <row r="19" spans="1:4" s="46" customFormat="1" ht="12.75" x14ac:dyDescent="0.2">
      <c r="A19" s="51" t="s">
        <v>410</v>
      </c>
      <c r="B19" s="52" t="s">
        <v>411</v>
      </c>
      <c r="C19" s="53"/>
      <c r="D19" s="54">
        <f>SUM(D10:D18)</f>
        <v>0.37800000000000006</v>
      </c>
    </row>
    <row r="20" spans="1:4" s="46" customFormat="1" ht="13.15" customHeight="1" x14ac:dyDescent="0.2">
      <c r="A20" s="201" t="s">
        <v>412</v>
      </c>
      <c r="B20" s="202"/>
      <c r="C20" s="202"/>
      <c r="D20" s="203"/>
    </row>
    <row r="21" spans="1:4" s="46" customFormat="1" ht="12.75" x14ac:dyDescent="0.2">
      <c r="A21" s="47" t="s">
        <v>385</v>
      </c>
      <c r="B21" s="48" t="s">
        <v>413</v>
      </c>
      <c r="C21" s="49"/>
      <c r="D21" s="50">
        <v>0.17749999999999999</v>
      </c>
    </row>
    <row r="22" spans="1:4" s="46" customFormat="1" ht="12.75" x14ac:dyDescent="0.2">
      <c r="A22" s="47" t="s">
        <v>414</v>
      </c>
      <c r="B22" s="48" t="s">
        <v>415</v>
      </c>
      <c r="C22" s="49"/>
      <c r="D22" s="50">
        <v>3.4099999999999998E-2</v>
      </c>
    </row>
    <row r="23" spans="1:4" s="46" customFormat="1" ht="12.75" x14ac:dyDescent="0.2">
      <c r="A23" s="47" t="s">
        <v>416</v>
      </c>
      <c r="B23" s="48" t="s">
        <v>417</v>
      </c>
      <c r="C23" s="49"/>
      <c r="D23" s="50">
        <v>8.6E-3</v>
      </c>
    </row>
    <row r="24" spans="1:4" s="46" customFormat="1" ht="12.75" x14ac:dyDescent="0.2">
      <c r="A24" s="47" t="s">
        <v>418</v>
      </c>
      <c r="B24" s="48" t="s">
        <v>419</v>
      </c>
      <c r="C24" s="49"/>
      <c r="D24" s="50">
        <v>0.1062</v>
      </c>
    </row>
    <row r="25" spans="1:4" s="46" customFormat="1" ht="12.75" x14ac:dyDescent="0.2">
      <c r="A25" s="47" t="s">
        <v>420</v>
      </c>
      <c r="B25" s="48" t="s">
        <v>421</v>
      </c>
      <c r="C25" s="49"/>
      <c r="D25" s="50">
        <v>6.9999999999999999E-4</v>
      </c>
    </row>
    <row r="26" spans="1:4" s="46" customFormat="1" ht="12.75" x14ac:dyDescent="0.2">
      <c r="A26" s="47" t="s">
        <v>422</v>
      </c>
      <c r="B26" s="48" t="s">
        <v>423</v>
      </c>
      <c r="C26" s="49"/>
      <c r="D26" s="50">
        <v>7.1000000000000004E-3</v>
      </c>
    </row>
    <row r="27" spans="1:4" s="46" customFormat="1" ht="12.75" x14ac:dyDescent="0.2">
      <c r="A27" s="47" t="s">
        <v>424</v>
      </c>
      <c r="B27" s="48" t="s">
        <v>425</v>
      </c>
      <c r="C27" s="49"/>
      <c r="D27" s="50">
        <v>1.3100000000000001E-2</v>
      </c>
    </row>
    <row r="28" spans="1:4" s="46" customFormat="1" ht="12.75" x14ac:dyDescent="0.2">
      <c r="A28" s="47" t="s">
        <v>426</v>
      </c>
      <c r="B28" s="48" t="s">
        <v>427</v>
      </c>
      <c r="C28" s="49"/>
      <c r="D28" s="50">
        <v>1.1000000000000001E-3</v>
      </c>
    </row>
    <row r="29" spans="1:4" s="46" customFormat="1" ht="12.75" x14ac:dyDescent="0.2">
      <c r="A29" s="47" t="s">
        <v>428</v>
      </c>
      <c r="B29" s="48" t="s">
        <v>429</v>
      </c>
      <c r="C29" s="49"/>
      <c r="D29" s="50">
        <v>0.13550000000000001</v>
      </c>
    </row>
    <row r="30" spans="1:4" s="46" customFormat="1" ht="12.75" x14ac:dyDescent="0.2">
      <c r="A30" s="47" t="s">
        <v>430</v>
      </c>
      <c r="B30" s="48" t="s">
        <v>431</v>
      </c>
      <c r="C30" s="49"/>
      <c r="D30" s="50">
        <v>2.9999999999999997E-4</v>
      </c>
    </row>
    <row r="31" spans="1:4" s="46" customFormat="1" ht="12.75" x14ac:dyDescent="0.2">
      <c r="A31" s="51" t="s">
        <v>432</v>
      </c>
      <c r="B31" s="52" t="s">
        <v>433</v>
      </c>
      <c r="C31" s="53"/>
      <c r="D31" s="54">
        <f>SUM(D21:D30)</f>
        <v>0.48419999999999996</v>
      </c>
    </row>
    <row r="32" spans="1:4" s="46" customFormat="1" ht="13.15" customHeight="1" x14ac:dyDescent="0.2">
      <c r="A32" s="201" t="s">
        <v>434</v>
      </c>
      <c r="B32" s="202"/>
      <c r="C32" s="202"/>
      <c r="D32" s="203"/>
    </row>
    <row r="33" spans="1:4" s="46" customFormat="1" ht="12.75" x14ac:dyDescent="0.2">
      <c r="A33" s="55" t="s">
        <v>435</v>
      </c>
      <c r="B33" s="56" t="s">
        <v>436</v>
      </c>
      <c r="C33" s="57"/>
      <c r="D33" s="50">
        <v>4.1200000000000001E-2</v>
      </c>
    </row>
    <row r="34" spans="1:4" s="46" customFormat="1" ht="12.75" x14ac:dyDescent="0.2">
      <c r="A34" s="55" t="s">
        <v>437</v>
      </c>
      <c r="B34" s="56" t="s">
        <v>438</v>
      </c>
      <c r="C34" s="57"/>
      <c r="D34" s="50">
        <v>1E-3</v>
      </c>
    </row>
    <row r="35" spans="1:4" s="46" customFormat="1" ht="12.75" x14ac:dyDescent="0.2">
      <c r="A35" s="55" t="s">
        <v>439</v>
      </c>
      <c r="B35" s="56" t="s">
        <v>440</v>
      </c>
      <c r="C35" s="57"/>
      <c r="D35" s="50">
        <v>4.5999999999999999E-3</v>
      </c>
    </row>
    <row r="36" spans="1:4" s="46" customFormat="1" ht="12.75" x14ac:dyDescent="0.2">
      <c r="A36" s="55" t="s">
        <v>441</v>
      </c>
      <c r="B36" s="56" t="s">
        <v>442</v>
      </c>
      <c r="C36" s="57"/>
      <c r="D36" s="50">
        <v>3.7699999999999997E-2</v>
      </c>
    </row>
    <row r="37" spans="1:4" s="46" customFormat="1" ht="12.75" x14ac:dyDescent="0.2">
      <c r="A37" s="55" t="s">
        <v>443</v>
      </c>
      <c r="B37" s="56" t="s">
        <v>444</v>
      </c>
      <c r="C37" s="57"/>
      <c r="D37" s="50">
        <v>3.5000000000000001E-3</v>
      </c>
    </row>
    <row r="38" spans="1:4" s="46" customFormat="1" ht="12.75" x14ac:dyDescent="0.2">
      <c r="A38" s="58" t="s">
        <v>445</v>
      </c>
      <c r="B38" s="59" t="s">
        <v>433</v>
      </c>
      <c r="C38" s="60"/>
      <c r="D38" s="54">
        <f>SUM(D33:D37)</f>
        <v>8.7999999999999995E-2</v>
      </c>
    </row>
    <row r="39" spans="1:4" s="46" customFormat="1" ht="13.15" customHeight="1" x14ac:dyDescent="0.2">
      <c r="A39" s="201" t="s">
        <v>446</v>
      </c>
      <c r="B39" s="202"/>
      <c r="C39" s="202"/>
      <c r="D39" s="203"/>
    </row>
    <row r="40" spans="1:4" s="46" customFormat="1" ht="12.75" x14ac:dyDescent="0.2">
      <c r="A40" s="55" t="s">
        <v>447</v>
      </c>
      <c r="B40" s="56" t="s">
        <v>448</v>
      </c>
      <c r="C40" s="57"/>
      <c r="D40" s="61">
        <f>ROUND(D19*D31,4)</f>
        <v>0.183</v>
      </c>
    </row>
    <row r="41" spans="1:4" s="46" customFormat="1" ht="12.75" x14ac:dyDescent="0.2">
      <c r="A41" s="55" t="s">
        <v>449</v>
      </c>
      <c r="B41" s="56" t="s">
        <v>450</v>
      </c>
      <c r="C41" s="57"/>
      <c r="D41" s="61">
        <f>ROUND(D17*D33+D19*D34,4)</f>
        <v>3.7000000000000002E-3</v>
      </c>
    </row>
    <row r="42" spans="1:4" s="46" customFormat="1" ht="12.75" x14ac:dyDescent="0.2">
      <c r="A42" s="58" t="s">
        <v>451</v>
      </c>
      <c r="B42" s="59" t="s">
        <v>452</v>
      </c>
      <c r="C42" s="60"/>
      <c r="D42" s="62">
        <f>SUM(D40:D41)</f>
        <v>0.1867</v>
      </c>
    </row>
    <row r="43" spans="1:4" s="46" customFormat="1" ht="12.75" x14ac:dyDescent="0.2">
      <c r="A43" s="55"/>
      <c r="B43" s="56"/>
      <c r="C43" s="57"/>
      <c r="D43" s="61"/>
    </row>
    <row r="44" spans="1:4" s="46" customFormat="1" ht="13.15" customHeight="1" x14ac:dyDescent="0.2">
      <c r="A44" s="204" t="s">
        <v>453</v>
      </c>
      <c r="B44" s="205"/>
      <c r="C44" s="205"/>
      <c r="D44" s="200">
        <f>D19+D31+D38+D42</f>
        <v>1.1369</v>
      </c>
    </row>
  </sheetData>
  <sheetProtection selectLockedCells="1" selectUnlockedCells="1"/>
  <mergeCells count="10">
    <mergeCell ref="A44:C44"/>
    <mergeCell ref="A6:B6"/>
    <mergeCell ref="A7:D7"/>
    <mergeCell ref="B8:C8"/>
    <mergeCell ref="A9:D9"/>
    <mergeCell ref="A2:B2"/>
    <mergeCell ref="A4:B4"/>
    <mergeCell ref="A20:D20"/>
    <mergeCell ref="A32:D32"/>
    <mergeCell ref="A39:D39"/>
  </mergeCells>
  <printOptions horizontalCentered="1"/>
  <pageMargins left="0.59055118110236227" right="0.59055118110236227" top="0.59055118110236227" bottom="0.59055118110236227" header="0.19685039370078741" footer="0.19685039370078741"/>
  <pageSetup paperSize="9" scale="84" firstPageNumber="0" fitToHeight="0" orientation="portrait" r:id="rId1"/>
  <headerFooter>
    <oddHeader>&amp;L &amp;C &amp;R</oddHeader>
    <oddFooter>&amp;L &amp;C &amp;R&amp;8&amp;P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824655-1008-4A39-9452-5F9840246B1A}">
  <sheetPr>
    <pageSetUpPr fitToPage="1"/>
  </sheetPr>
  <dimension ref="A1:E75"/>
  <sheetViews>
    <sheetView showGridLines="0" showOutlineSymbols="0" showWhiteSpace="0" workbookViewId="0"/>
  </sheetViews>
  <sheetFormatPr defaultRowHeight="14.25" x14ac:dyDescent="0.2"/>
  <cols>
    <col min="1" max="1" width="20" bestFit="1" customWidth="1"/>
    <col min="2" max="2" width="60" bestFit="1" customWidth="1"/>
    <col min="3" max="3" width="20" bestFit="1" customWidth="1"/>
    <col min="4" max="5" width="16.625" customWidth="1"/>
    <col min="6" max="26" width="12" bestFit="1" customWidth="1"/>
  </cols>
  <sheetData>
    <row r="1" spans="1:5" s="129" customFormat="1" x14ac:dyDescent="0.2">
      <c r="A1" s="126" t="str">
        <f>'Orçamento Sintético'!A1</f>
        <v>P. Execução:</v>
      </c>
      <c r="B1" s="127" t="str">
        <f>'Orçamento Sintético'!D1</f>
        <v>Objeto: Adequações Sala de Situação</v>
      </c>
      <c r="C1" s="128" t="str">
        <f>'Orçamento Sintético'!C1</f>
        <v>Licitação:</v>
      </c>
      <c r="D1" s="133"/>
      <c r="E1" s="134"/>
    </row>
    <row r="2" spans="1:5" s="129" customFormat="1" x14ac:dyDescent="0.2">
      <c r="A2" s="99" t="str">
        <f>'Orçamento Sintético'!A2</f>
        <v>A</v>
      </c>
      <c r="B2" s="130" t="str">
        <f>'Orçamento Sintético'!D2</f>
        <v>Local: Praça do Buriti Bloco A, Lote 2 - Zona Cívico-Administrativa - Brasília / DF</v>
      </c>
      <c r="C2" s="131" t="str">
        <f>'Orçamento Sintético'!C2</f>
        <v>B</v>
      </c>
      <c r="D2" s="135"/>
      <c r="E2" s="136"/>
    </row>
    <row r="3" spans="1:5" s="129" customFormat="1" x14ac:dyDescent="0.2">
      <c r="A3" s="132" t="str">
        <f>'Orçamento Sintético'!A3</f>
        <v>P. Validade:</v>
      </c>
      <c r="B3" s="132" t="str">
        <f>'Orçamento Sintético'!C3</f>
        <v>Razão Social:</v>
      </c>
      <c r="C3" s="126" t="str">
        <f>'Orçamento Sintético'!E1</f>
        <v>Data:</v>
      </c>
      <c r="D3" s="135"/>
      <c r="E3" s="136"/>
    </row>
    <row r="4" spans="1:5" s="129" customFormat="1" x14ac:dyDescent="0.2">
      <c r="A4" s="99" t="str">
        <f>'Orçamento Sintético'!A4</f>
        <v>C</v>
      </c>
      <c r="B4" s="105" t="str">
        <f>'Orçamento Sintético'!C4</f>
        <v>D</v>
      </c>
      <c r="C4" s="100">
        <f>'Orçamento Sintético'!E2</f>
        <v>1</v>
      </c>
      <c r="D4" s="135"/>
      <c r="E4" s="136"/>
    </row>
    <row r="5" spans="1:5" s="129" customFormat="1" ht="15" x14ac:dyDescent="0.2">
      <c r="A5" s="126" t="str">
        <f>'Orçamento Sintético'!A5</f>
        <v>P. Garantia:</v>
      </c>
      <c r="B5" s="132" t="str">
        <f>'Orçamento Sintético'!C5</f>
        <v>CNPJ:</v>
      </c>
      <c r="C5" s="126" t="str">
        <f>'Orçamento Sintético'!E3</f>
        <v>Telefone:</v>
      </c>
      <c r="D5" s="137"/>
      <c r="E5" s="138"/>
    </row>
    <row r="6" spans="1:5" s="129" customFormat="1" x14ac:dyDescent="0.2">
      <c r="A6" s="99" t="str">
        <f>'Orçamento Sintético'!A6</f>
        <v>F</v>
      </c>
      <c r="B6" s="105" t="str">
        <f>'Orçamento Sintético'!C6</f>
        <v>G</v>
      </c>
      <c r="C6" s="100" t="str">
        <f>'Orçamento Sintético'!E4</f>
        <v>E</v>
      </c>
      <c r="D6" s="139"/>
      <c r="E6" s="140"/>
    </row>
    <row r="7" spans="1:5" ht="15" x14ac:dyDescent="0.25">
      <c r="A7" s="153" t="s">
        <v>462</v>
      </c>
      <c r="B7" s="154"/>
      <c r="C7" s="154"/>
      <c r="D7" s="154"/>
      <c r="E7" s="154"/>
    </row>
    <row r="8" spans="1:5" ht="15" x14ac:dyDescent="0.2">
      <c r="A8" s="68" t="s">
        <v>1</v>
      </c>
      <c r="B8" s="68" t="s">
        <v>4</v>
      </c>
      <c r="C8" s="68" t="s">
        <v>461</v>
      </c>
      <c r="D8" s="68" t="s">
        <v>460</v>
      </c>
      <c r="E8" s="68" t="s">
        <v>459</v>
      </c>
    </row>
    <row r="9" spans="1:5" x14ac:dyDescent="0.2">
      <c r="A9" s="187" t="s">
        <v>9</v>
      </c>
      <c r="B9" s="186" t="str">
        <f>VLOOKUP($A9,'Orçamento Sintético'!$A:$H,4,0)</f>
        <v>SERVIÇOS TÉCNICOS-PROFISSIONAIS</v>
      </c>
      <c r="C9" s="113">
        <f>ROUND(C10/$E$72,4)</f>
        <v>2E-3</v>
      </c>
      <c r="D9" s="115">
        <f>ROUND(D10/$C10,4)</f>
        <v>1</v>
      </c>
      <c r="E9" s="115">
        <f>ROUND(E10/$C10,4)</f>
        <v>0</v>
      </c>
    </row>
    <row r="10" spans="1:5" s="75" customFormat="1" x14ac:dyDescent="0.2">
      <c r="A10" s="187"/>
      <c r="B10" s="186"/>
      <c r="C10" s="114">
        <f>VLOOKUP($A9,'Orçamento Sintético'!$A:$H,8,0)</f>
        <v>233.94</v>
      </c>
      <c r="D10" s="116">
        <f>D12</f>
        <v>233.94</v>
      </c>
      <c r="E10" s="116">
        <f>E12</f>
        <v>0</v>
      </c>
    </row>
    <row r="11" spans="1:5" x14ac:dyDescent="0.2">
      <c r="A11" s="188" t="s">
        <v>11</v>
      </c>
      <c r="B11" s="188" t="str">
        <f>VLOOKUP($A11,'Orçamento Sintético'!$A:$H,4,0)</f>
        <v>TAXAS E EMOLUMENTOS</v>
      </c>
      <c r="C11" s="117">
        <f>ROUND(C12/$E$72,4)</f>
        <v>2E-3</v>
      </c>
      <c r="D11" s="119">
        <v>1</v>
      </c>
      <c r="E11" s="119">
        <f>ROUND(E12/$C12,4)</f>
        <v>0</v>
      </c>
    </row>
    <row r="12" spans="1:5" s="75" customFormat="1" x14ac:dyDescent="0.2">
      <c r="A12" s="188"/>
      <c r="B12" s="188"/>
      <c r="C12" s="118">
        <f>VLOOKUP($A11,'Orçamento Sintético'!$A:$H,8,0)</f>
        <v>233.94</v>
      </c>
      <c r="D12" s="120">
        <f>ROUND($C12*D11,2)</f>
        <v>233.94</v>
      </c>
      <c r="E12" s="120">
        <f>$C12-SUM(D12:D12)</f>
        <v>0</v>
      </c>
    </row>
    <row r="13" spans="1:5" x14ac:dyDescent="0.2">
      <c r="A13" s="187" t="s">
        <v>18</v>
      </c>
      <c r="B13" s="186" t="str">
        <f>VLOOKUP($A13,'Orçamento Sintético'!$A:$H,4,0)</f>
        <v>SERVIÇOS PRELIMINARES</v>
      </c>
      <c r="C13" s="113">
        <f>ROUND(C14/$E$72,4)</f>
        <v>4.8999999999999998E-3</v>
      </c>
      <c r="D13" s="115">
        <f>ROUND(D14/$C14,4)</f>
        <v>1</v>
      </c>
      <c r="E13" s="115">
        <f>ROUND(E14/$C14,4)</f>
        <v>0</v>
      </c>
    </row>
    <row r="14" spans="1:5" s="75" customFormat="1" x14ac:dyDescent="0.2">
      <c r="A14" s="187"/>
      <c r="B14" s="186"/>
      <c r="C14" s="114">
        <f>VLOOKUP($A13,'Orçamento Sintético'!$A:$H,8,0)</f>
        <v>579.99</v>
      </c>
      <c r="D14" s="116">
        <f>D16</f>
        <v>579.99</v>
      </c>
      <c r="E14" s="116">
        <f>E16</f>
        <v>0</v>
      </c>
    </row>
    <row r="15" spans="1:5" x14ac:dyDescent="0.2">
      <c r="A15" s="189" t="s">
        <v>20</v>
      </c>
      <c r="B15" s="190" t="str">
        <f>VLOOKUP($A15,'Orçamento Sintético'!$A:$H,4,0)</f>
        <v>DEMOLIÇÃO</v>
      </c>
      <c r="C15" s="121">
        <f>ROUND(C16/$E$72,4)</f>
        <v>4.8999999999999998E-3</v>
      </c>
      <c r="D15" s="121">
        <f>ROUND(D16/$C16,4)</f>
        <v>1</v>
      </c>
      <c r="E15" s="121">
        <f>ROUND(E16/$C16,4)</f>
        <v>0</v>
      </c>
    </row>
    <row r="16" spans="1:5" s="75" customFormat="1" x14ac:dyDescent="0.2">
      <c r="A16" s="189"/>
      <c r="B16" s="190"/>
      <c r="C16" s="122">
        <f>VLOOKUP($A15,'Orçamento Sintético'!$A:$H,8,0)</f>
        <v>579.99</v>
      </c>
      <c r="D16" s="122">
        <f>D18</f>
        <v>579.99</v>
      </c>
      <c r="E16" s="122">
        <f>E18</f>
        <v>0</v>
      </c>
    </row>
    <row r="17" spans="1:5" x14ac:dyDescent="0.2">
      <c r="A17" s="188" t="s">
        <v>22</v>
      </c>
      <c r="B17" s="188" t="str">
        <f>VLOOKUP($A17,'Orçamento Sintético'!$A:$H,4,0)</f>
        <v>Remoções</v>
      </c>
      <c r="C17" s="117">
        <f>ROUND(C18/$E$72,4)</f>
        <v>4.8999999999999998E-3</v>
      </c>
      <c r="D17" s="119">
        <v>1</v>
      </c>
      <c r="E17" s="119">
        <f>ROUND(E18/$C18,4)</f>
        <v>0</v>
      </c>
    </row>
    <row r="18" spans="1:5" s="75" customFormat="1" x14ac:dyDescent="0.2">
      <c r="A18" s="188"/>
      <c r="B18" s="188"/>
      <c r="C18" s="118">
        <f>VLOOKUP($A17,'Orçamento Sintético'!$A:$H,8,0)</f>
        <v>579.99</v>
      </c>
      <c r="D18" s="120">
        <f>ROUND($C18*D17,2)</f>
        <v>579.99</v>
      </c>
      <c r="E18" s="120">
        <f>$C18-SUM(D18:D18)</f>
        <v>0</v>
      </c>
    </row>
    <row r="19" spans="1:5" x14ac:dyDescent="0.2">
      <c r="A19" s="187" t="s">
        <v>41</v>
      </c>
      <c r="B19" s="186" t="str">
        <f>VLOOKUP($A19,'Orçamento Sintético'!$A:$H,4,0)</f>
        <v>ARQUITETURA E ELEMENTOS DE URBANISMO</v>
      </c>
      <c r="C19" s="113">
        <f>ROUND(C20/$E$72,4)</f>
        <v>0.2263</v>
      </c>
      <c r="D19" s="115">
        <f>ROUND(D20/$C20,4)</f>
        <v>0.27429999999999999</v>
      </c>
      <c r="E19" s="115">
        <f>ROUND(E20/$C20,4)</f>
        <v>0.72570000000000001</v>
      </c>
    </row>
    <row r="20" spans="1:5" s="75" customFormat="1" x14ac:dyDescent="0.2">
      <c r="A20" s="187"/>
      <c r="B20" s="186"/>
      <c r="C20" s="114">
        <f>VLOOKUP($A19,'Orçamento Sintético'!$A:$H,8,0)</f>
        <v>26526.670000000002</v>
      </c>
      <c r="D20" s="116">
        <f>D22</f>
        <v>7276.619999999999</v>
      </c>
      <c r="E20" s="116">
        <f>E22</f>
        <v>19250.050000000003</v>
      </c>
    </row>
    <row r="21" spans="1:5" x14ac:dyDescent="0.2">
      <c r="A21" s="189" t="s">
        <v>43</v>
      </c>
      <c r="B21" s="190" t="str">
        <f>VLOOKUP($A21,'Orçamento Sintético'!$A:$H,4,0)</f>
        <v>ARQUITETURA</v>
      </c>
      <c r="C21" s="121">
        <f>ROUND(C22/$E$72,4)</f>
        <v>0.2263</v>
      </c>
      <c r="D21" s="121">
        <f>ROUND(D22/$C22,4)</f>
        <v>0.27429999999999999</v>
      </c>
      <c r="E21" s="121">
        <f>ROUND(E22/$C22,4)</f>
        <v>0.72570000000000001</v>
      </c>
    </row>
    <row r="22" spans="1:5" s="75" customFormat="1" x14ac:dyDescent="0.2">
      <c r="A22" s="189"/>
      <c r="B22" s="190"/>
      <c r="C22" s="122">
        <f>VLOOKUP($A21,'Orçamento Sintético'!$A:$H,8,0)</f>
        <v>26526.670000000002</v>
      </c>
      <c r="D22" s="122">
        <f>D24+D26+D28+D30</f>
        <v>7276.619999999999</v>
      </c>
      <c r="E22" s="122">
        <f>E24+E26+E28+E30</f>
        <v>19250.050000000003</v>
      </c>
    </row>
    <row r="23" spans="1:5" x14ac:dyDescent="0.2">
      <c r="A23" s="188" t="s">
        <v>45</v>
      </c>
      <c r="B23" s="188" t="str">
        <f>VLOOKUP($A23,'Orçamento Sintético'!$A:$H,4,0)</f>
        <v>Revestimentos de paredes</v>
      </c>
      <c r="C23" s="117">
        <f>ROUND(C24/$E$72,4)</f>
        <v>5.9700000000000003E-2</v>
      </c>
      <c r="D23" s="119"/>
      <c r="E23" s="119">
        <f>ROUND(E24/$C24,4)</f>
        <v>1</v>
      </c>
    </row>
    <row r="24" spans="1:5" s="75" customFormat="1" x14ac:dyDescent="0.2">
      <c r="A24" s="188"/>
      <c r="B24" s="188"/>
      <c r="C24" s="118">
        <f>VLOOKUP($A23,'Orçamento Sintético'!$A:$H,8,0)</f>
        <v>7000</v>
      </c>
      <c r="D24" s="120">
        <f>ROUND($C24*D23,2)</f>
        <v>0</v>
      </c>
      <c r="E24" s="120">
        <f>$C24-SUM(D24:D24)</f>
        <v>7000</v>
      </c>
    </row>
    <row r="25" spans="1:5" x14ac:dyDescent="0.2">
      <c r="A25" s="188" t="s">
        <v>50</v>
      </c>
      <c r="B25" s="188" t="str">
        <f>VLOOKUP($A25,'Orçamento Sintético'!$A:$H,4,0)</f>
        <v>Revestimentos de forro</v>
      </c>
      <c r="C25" s="117">
        <f>ROUND(C26/$E$72,4)</f>
        <v>5.5300000000000002E-2</v>
      </c>
      <c r="D25" s="119">
        <v>0.39879999999999999</v>
      </c>
      <c r="E25" s="119">
        <f>ROUND(E26/$C26,4)</f>
        <v>0.60119999999999996</v>
      </c>
    </row>
    <row r="26" spans="1:5" s="75" customFormat="1" x14ac:dyDescent="0.2">
      <c r="A26" s="188"/>
      <c r="B26" s="188"/>
      <c r="C26" s="118">
        <f>VLOOKUP($A25,'Orçamento Sintético'!$A:$H,8,0)</f>
        <v>6483.72</v>
      </c>
      <c r="D26" s="120">
        <f>ROUND($C26*D25,2)</f>
        <v>2585.71</v>
      </c>
      <c r="E26" s="120">
        <f>$C26-SUM(D26:D26)</f>
        <v>3898.01</v>
      </c>
    </row>
    <row r="27" spans="1:5" x14ac:dyDescent="0.2">
      <c r="A27" s="188" t="s">
        <v>61</v>
      </c>
      <c r="B27" s="188" t="str">
        <f>VLOOKUP($A27,'Orçamento Sintético'!$A:$H,4,0)</f>
        <v>Pinturas</v>
      </c>
      <c r="C27" s="117">
        <f>ROUND(C28/$E$72,4)</f>
        <v>4.2900000000000001E-2</v>
      </c>
      <c r="D27" s="119">
        <v>0.51800000000000002</v>
      </c>
      <c r="E27" s="119">
        <f>ROUND(E28/$C28,4)</f>
        <v>0.48199999999999998</v>
      </c>
    </row>
    <row r="28" spans="1:5" s="75" customFormat="1" x14ac:dyDescent="0.2">
      <c r="A28" s="188"/>
      <c r="B28" s="188"/>
      <c r="C28" s="118">
        <f>VLOOKUP($A27,'Orçamento Sintético'!$A:$H,8,0)</f>
        <v>5031.5600000000004</v>
      </c>
      <c r="D28" s="120">
        <f>ROUND($C28*D27,2)</f>
        <v>2606.35</v>
      </c>
      <c r="E28" s="120">
        <f>$C28-SUM(D28:D28)</f>
        <v>2425.2100000000005</v>
      </c>
    </row>
    <row r="29" spans="1:5" x14ac:dyDescent="0.2">
      <c r="A29" s="188" t="s">
        <v>74</v>
      </c>
      <c r="B29" s="188" t="str">
        <f>VLOOKUP($A29,'Orçamento Sintético'!$A:$H,4,0)</f>
        <v>Acabamentos e Arremates</v>
      </c>
      <c r="C29" s="117">
        <f>ROUND(C30/$E$72,4)</f>
        <v>6.83E-2</v>
      </c>
      <c r="D29" s="119">
        <v>0.26019999999999999</v>
      </c>
      <c r="E29" s="119">
        <f>ROUND(E30/$C30,4)</f>
        <v>0.73980000000000001</v>
      </c>
    </row>
    <row r="30" spans="1:5" s="75" customFormat="1" x14ac:dyDescent="0.2">
      <c r="A30" s="188"/>
      <c r="B30" s="188"/>
      <c r="C30" s="118">
        <f>VLOOKUP($A29,'Orçamento Sintético'!$A:$H,8,0)</f>
        <v>8011.3899999999994</v>
      </c>
      <c r="D30" s="120">
        <f>ROUND($C30*D29,2)</f>
        <v>2084.56</v>
      </c>
      <c r="E30" s="120">
        <f>$C30-SUM(D30:D30)</f>
        <v>5926.83</v>
      </c>
    </row>
    <row r="31" spans="1:5" x14ac:dyDescent="0.2">
      <c r="A31" s="187" t="s">
        <v>90</v>
      </c>
      <c r="B31" s="186" t="str">
        <f>VLOOKUP($A31,'Orçamento Sintético'!$A:$H,4,0)</f>
        <v>INSTALAÇÕES ELÉTRICAS E ELETRÔNICAS</v>
      </c>
      <c r="C31" s="113">
        <f>ROUND(C32/$E$72,4)</f>
        <v>0.21879999999999999</v>
      </c>
      <c r="D31" s="115">
        <f>ROUND(D32/$C32,4)</f>
        <v>0.49859999999999999</v>
      </c>
      <c r="E31" s="115">
        <f>ROUND(E32/$C32,4)</f>
        <v>0.50139999999999996</v>
      </c>
    </row>
    <row r="32" spans="1:5" s="75" customFormat="1" x14ac:dyDescent="0.2">
      <c r="A32" s="187"/>
      <c r="B32" s="186"/>
      <c r="C32" s="114">
        <f>VLOOKUP($A31,'Orçamento Sintético'!$A:$H,8,0)</f>
        <v>25645.72</v>
      </c>
      <c r="D32" s="116">
        <f>D34</f>
        <v>12787.95</v>
      </c>
      <c r="E32" s="116">
        <f>E34</f>
        <v>12857.77</v>
      </c>
    </row>
    <row r="33" spans="1:5" x14ac:dyDescent="0.2">
      <c r="A33" s="189" t="s">
        <v>92</v>
      </c>
      <c r="B33" s="190" t="str">
        <f>VLOOKUP($A33,'Orçamento Sintético'!$A:$H,4,0)</f>
        <v>INSTALAÇÕES ELÉTRICAS</v>
      </c>
      <c r="C33" s="121">
        <f>ROUND(C34/$E$72,4)</f>
        <v>0.21879999999999999</v>
      </c>
      <c r="D33" s="121">
        <f>ROUND(D34/$C34,4)</f>
        <v>0.49859999999999999</v>
      </c>
      <c r="E33" s="121">
        <f>ROUND(E34/$C34,4)</f>
        <v>0.50139999999999996</v>
      </c>
    </row>
    <row r="34" spans="1:5" s="75" customFormat="1" x14ac:dyDescent="0.2">
      <c r="A34" s="189"/>
      <c r="B34" s="190"/>
      <c r="C34" s="122">
        <f>VLOOKUP($A33,'Orçamento Sintético'!$A:$H,8,0)</f>
        <v>25645.72</v>
      </c>
      <c r="D34" s="122">
        <f>D36+D38+D40</f>
        <v>12787.95</v>
      </c>
      <c r="E34" s="122">
        <f>E36+E38+E40</f>
        <v>12857.77</v>
      </c>
    </row>
    <row r="35" spans="1:5" x14ac:dyDescent="0.2">
      <c r="A35" s="188" t="s">
        <v>94</v>
      </c>
      <c r="B35" s="188" t="str">
        <f>VLOOKUP($A35,'Orçamento Sintético'!$A:$H,4,0)</f>
        <v>Quadros Elétricos</v>
      </c>
      <c r="C35" s="117">
        <f>ROUND(C36/$E$72,4)</f>
        <v>4.3400000000000001E-2</v>
      </c>
      <c r="D35" s="119">
        <v>0.47239999999999999</v>
      </c>
      <c r="E35" s="119">
        <f>ROUND(E36/$C36,4)</f>
        <v>0.52759999999999996</v>
      </c>
    </row>
    <row r="36" spans="1:5" s="75" customFormat="1" x14ac:dyDescent="0.2">
      <c r="A36" s="188"/>
      <c r="B36" s="188"/>
      <c r="C36" s="118">
        <f>VLOOKUP($A35,'Orçamento Sintético'!$A:$H,8,0)</f>
        <v>5090.05</v>
      </c>
      <c r="D36" s="120">
        <f>ROUND($C36*D35,2)</f>
        <v>2404.54</v>
      </c>
      <c r="E36" s="120">
        <f>$C36-SUM(D36:D36)</f>
        <v>2685.51</v>
      </c>
    </row>
    <row r="37" spans="1:5" s="2" customFormat="1" x14ac:dyDescent="0.2">
      <c r="A37" s="188" t="s">
        <v>102</v>
      </c>
      <c r="B37" s="188" t="str">
        <f>VLOOKUP($A37,'Orçamento Sintético'!$A:$H,4,0)</f>
        <v>Rede Elétrica Primária</v>
      </c>
      <c r="C37" s="117">
        <f>ROUND(C38/$E$72,4)</f>
        <v>0.1234</v>
      </c>
      <c r="D37" s="119">
        <v>0.51919999999999999</v>
      </c>
      <c r="E37" s="119">
        <f>ROUND(E38/$C38,4)</f>
        <v>0.48080000000000001</v>
      </c>
    </row>
    <row r="38" spans="1:5" s="75" customFormat="1" x14ac:dyDescent="0.2">
      <c r="A38" s="188"/>
      <c r="B38" s="188"/>
      <c r="C38" s="118">
        <f>VLOOKUP($A37,'Orçamento Sintético'!$A:$H,8,0)</f>
        <v>14469.61</v>
      </c>
      <c r="D38" s="120">
        <f>ROUND($C38*D37,2)</f>
        <v>7512.62</v>
      </c>
      <c r="E38" s="120">
        <f>$C38-SUM(D38:D38)</f>
        <v>6956.9900000000007</v>
      </c>
    </row>
    <row r="39" spans="1:5" x14ac:dyDescent="0.2">
      <c r="A39" s="188" t="s">
        <v>114</v>
      </c>
      <c r="B39" s="188" t="str">
        <f>VLOOKUP($A39,'Orçamento Sintético'!$A:$H,4,0)</f>
        <v>Rede Elétrica Secundária</v>
      </c>
      <c r="C39" s="117">
        <f>ROUND(C40/$E$72,4)</f>
        <v>5.1900000000000002E-2</v>
      </c>
      <c r="D39" s="119">
        <v>0.47170000000000001</v>
      </c>
      <c r="E39" s="119">
        <f>ROUND(E40/$C40,4)</f>
        <v>0.52829999999999999</v>
      </c>
    </row>
    <row r="40" spans="1:5" s="75" customFormat="1" x14ac:dyDescent="0.2">
      <c r="A40" s="188"/>
      <c r="B40" s="188"/>
      <c r="C40" s="118">
        <f>VLOOKUP($A39,'Orçamento Sintético'!$A:$H,8,0)</f>
        <v>6086.0599999999995</v>
      </c>
      <c r="D40" s="120">
        <f>ROUND($C40*D39,2)</f>
        <v>2870.79</v>
      </c>
      <c r="E40" s="120">
        <f>$C40-SUM(D40:D40)</f>
        <v>3215.2699999999995</v>
      </c>
    </row>
    <row r="41" spans="1:5" x14ac:dyDescent="0.2">
      <c r="A41" s="187" t="s">
        <v>152</v>
      </c>
      <c r="B41" s="186" t="str">
        <f>VLOOKUP($A41,'Orçamento Sintético'!$A:$H,4,0)</f>
        <v>INSTALAÇÕES MECÂNICAS E DE UTILIDADES</v>
      </c>
      <c r="C41" s="113">
        <f>ROUND(C42/$E$72,4)</f>
        <v>0.39500000000000002</v>
      </c>
      <c r="D41" s="115">
        <f>ROUND(D42/$C42,4)</f>
        <v>0.64439999999999997</v>
      </c>
      <c r="E41" s="115">
        <f>ROUND(E42/$C42,4)</f>
        <v>0.35560000000000003</v>
      </c>
    </row>
    <row r="42" spans="1:5" s="75" customFormat="1" x14ac:dyDescent="0.2">
      <c r="A42" s="187"/>
      <c r="B42" s="186"/>
      <c r="C42" s="114">
        <f>VLOOKUP($A41,'Orçamento Sintético'!$A:$H,8,0)</f>
        <v>46305.729999999996</v>
      </c>
      <c r="D42" s="116">
        <f>D44</f>
        <v>29841.279999999999</v>
      </c>
      <c r="E42" s="116">
        <f>E44</f>
        <v>16464.45</v>
      </c>
    </row>
    <row r="43" spans="1:5" x14ac:dyDescent="0.2">
      <c r="A43" s="189" t="s">
        <v>154</v>
      </c>
      <c r="B43" s="190" t="str">
        <f>VLOOKUP($A43,'Orçamento Sintético'!$A:$H,4,0)</f>
        <v>AR CONDICIONADO CENTRAL</v>
      </c>
      <c r="C43" s="121">
        <f>ROUND(C44/$E$72,4)</f>
        <v>0.39500000000000002</v>
      </c>
      <c r="D43" s="121">
        <f>ROUND(D44/$C44,4)</f>
        <v>0.64439999999999997</v>
      </c>
      <c r="E43" s="121">
        <f>ROUND(E44/$C44,4)</f>
        <v>0.35560000000000003</v>
      </c>
    </row>
    <row r="44" spans="1:5" s="75" customFormat="1" x14ac:dyDescent="0.2">
      <c r="A44" s="189"/>
      <c r="B44" s="190"/>
      <c r="C44" s="122">
        <f>VLOOKUP($A43,'Orçamento Sintético'!$A:$H,8,0)</f>
        <v>46305.729999999996</v>
      </c>
      <c r="D44" s="122">
        <f>D46+D48+D50+D52+D54+D56</f>
        <v>29841.279999999999</v>
      </c>
      <c r="E44" s="122">
        <f>E46+E48+E50+E52+E54+E56</f>
        <v>16464.45</v>
      </c>
    </row>
    <row r="45" spans="1:5" x14ac:dyDescent="0.2">
      <c r="A45" s="188" t="s">
        <v>156</v>
      </c>
      <c r="B45" s="188" t="str">
        <f>VLOOKUP($A45,'Orçamento Sintético'!$A:$H,4,0)</f>
        <v>Condicionadores</v>
      </c>
      <c r="C45" s="117">
        <f>ROUND(C46/$E$72,4)</f>
        <v>0.26939999999999997</v>
      </c>
      <c r="D45" s="119">
        <v>0.5</v>
      </c>
      <c r="E45" s="119">
        <f>ROUND(E46/$C46,4)</f>
        <v>0.5</v>
      </c>
    </row>
    <row r="46" spans="1:5" s="75" customFormat="1" x14ac:dyDescent="0.2">
      <c r="A46" s="188"/>
      <c r="B46" s="188"/>
      <c r="C46" s="118">
        <f>VLOOKUP($A45,'Orçamento Sintético'!$A:$H,8,0)</f>
        <v>31583.25</v>
      </c>
      <c r="D46" s="120">
        <f>ROUND($C46*D45,2)</f>
        <v>15791.63</v>
      </c>
      <c r="E46" s="120">
        <f>$C46-SUM(D46:D46)</f>
        <v>15791.62</v>
      </c>
    </row>
    <row r="47" spans="1:5" x14ac:dyDescent="0.2">
      <c r="A47" s="188" t="s">
        <v>164</v>
      </c>
      <c r="B47" s="188" t="str">
        <f>VLOOKUP($A47,'Orçamento Sintético'!$A:$H,4,0)</f>
        <v>Redes de Dutos</v>
      </c>
      <c r="C47" s="117">
        <f>ROUND(C48/$E$72,4)</f>
        <v>3.0499999999999999E-2</v>
      </c>
      <c r="D47" s="119">
        <v>0.86899999999999999</v>
      </c>
      <c r="E47" s="119">
        <f>ROUND(E48/$C48,4)</f>
        <v>0.13100000000000001</v>
      </c>
    </row>
    <row r="48" spans="1:5" s="75" customFormat="1" x14ac:dyDescent="0.2">
      <c r="A48" s="188"/>
      <c r="B48" s="188"/>
      <c r="C48" s="118">
        <f>VLOOKUP($A47,'Orçamento Sintético'!$A:$H,8,0)</f>
        <v>3571.36</v>
      </c>
      <c r="D48" s="120">
        <f>ROUND($C48*D47,2)</f>
        <v>3103.51</v>
      </c>
      <c r="E48" s="120">
        <f>$C48-SUM(D48:D48)</f>
        <v>467.84999999999991</v>
      </c>
    </row>
    <row r="49" spans="1:5" x14ac:dyDescent="0.2">
      <c r="A49" s="188" t="s">
        <v>175</v>
      </c>
      <c r="B49" s="188" t="str">
        <f>VLOOKUP($A49,'Orçamento Sintético'!$A:$H,4,0)</f>
        <v>Tubulações e Conexões de PVC Rígido</v>
      </c>
      <c r="C49" s="117">
        <f>ROUND(C50/$E$72,4)</f>
        <v>1E-3</v>
      </c>
      <c r="D49" s="119">
        <v>1</v>
      </c>
      <c r="E49" s="119">
        <f>ROUND(E50/$C50,4)</f>
        <v>0</v>
      </c>
    </row>
    <row r="50" spans="1:5" s="75" customFormat="1" x14ac:dyDescent="0.2">
      <c r="A50" s="188"/>
      <c r="B50" s="188"/>
      <c r="C50" s="118">
        <f>VLOOKUP($A49,'Orçamento Sintético'!$A:$H,8,0)</f>
        <v>120.6</v>
      </c>
      <c r="D50" s="120">
        <f>ROUND($C50*D49,2)</f>
        <v>120.6</v>
      </c>
      <c r="E50" s="120">
        <f>$C50-SUM(D50:D50)</f>
        <v>0</v>
      </c>
    </row>
    <row r="51" spans="1:5" x14ac:dyDescent="0.2">
      <c r="A51" s="188" t="s">
        <v>180</v>
      </c>
      <c r="B51" s="188" t="str">
        <f>VLOOKUP($A51,'Orçamento Sintético'!$A:$H,4,0)</f>
        <v>Tubulações e Conexões de Cobre</v>
      </c>
      <c r="C51" s="117">
        <f>ROUND(C52/$E$72,4)</f>
        <v>2.69E-2</v>
      </c>
      <c r="D51" s="119">
        <v>0.93489999999999995</v>
      </c>
      <c r="E51" s="119">
        <f>ROUND(E52/$C52,4)</f>
        <v>6.5100000000000005E-2</v>
      </c>
    </row>
    <row r="52" spans="1:5" s="75" customFormat="1" x14ac:dyDescent="0.2">
      <c r="A52" s="188"/>
      <c r="B52" s="188"/>
      <c r="C52" s="118">
        <f>VLOOKUP($A51,'Orçamento Sintético'!$A:$H,8,0)</f>
        <v>3148.75</v>
      </c>
      <c r="D52" s="120">
        <f>ROUND($C52*D51,2)</f>
        <v>2943.77</v>
      </c>
      <c r="E52" s="120">
        <f>$C52-SUM(D52:D52)</f>
        <v>204.98000000000002</v>
      </c>
    </row>
    <row r="53" spans="1:5" x14ac:dyDescent="0.2">
      <c r="A53" s="188" t="s">
        <v>194</v>
      </c>
      <c r="B53" s="188" t="str">
        <f>VLOOKUP($A53,'Orçamento Sintético'!$A:$H,4,0)</f>
        <v>Tomada de ar exterior</v>
      </c>
      <c r="C53" s="117">
        <f>ROUND(C54/$E$72,4)</f>
        <v>3.9899999999999998E-2</v>
      </c>
      <c r="D53" s="119">
        <v>1</v>
      </c>
      <c r="E53" s="119">
        <f>ROUND(E54/$C54,4)</f>
        <v>0</v>
      </c>
    </row>
    <row r="54" spans="1:5" s="75" customFormat="1" x14ac:dyDescent="0.2">
      <c r="A54" s="188"/>
      <c r="B54" s="188"/>
      <c r="C54" s="118">
        <f>VLOOKUP($A53,'Orçamento Sintético'!$A:$H,8,0)</f>
        <v>4683.2699999999995</v>
      </c>
      <c r="D54" s="120">
        <f>ROUND($C54*D53,2)</f>
        <v>4683.2700000000004</v>
      </c>
      <c r="E54" s="120">
        <f>$C54-SUM(D54:D54)</f>
        <v>0</v>
      </c>
    </row>
    <row r="55" spans="1:5" x14ac:dyDescent="0.2">
      <c r="A55" s="188" t="s">
        <v>202</v>
      </c>
      <c r="B55" s="188" t="str">
        <f>VLOOKUP($A55,'Orçamento Sintético'!$A:$H,4,0)</f>
        <v>Sistema de Supervisão, Comando e Controle</v>
      </c>
      <c r="C55" s="117">
        <f>ROUND(C56/$E$72,4)</f>
        <v>2.7300000000000001E-2</v>
      </c>
      <c r="D55" s="119">
        <v>1</v>
      </c>
      <c r="E55" s="119">
        <f>ROUND(E56/$C56,4)</f>
        <v>0</v>
      </c>
    </row>
    <row r="56" spans="1:5" s="75" customFormat="1" x14ac:dyDescent="0.2">
      <c r="A56" s="188"/>
      <c r="B56" s="188"/>
      <c r="C56" s="118">
        <f>VLOOKUP($A55,'Orçamento Sintético'!$A:$H,8,0)</f>
        <v>3198.5</v>
      </c>
      <c r="D56" s="120">
        <f>ROUND($C56*D55,2)</f>
        <v>3198.5</v>
      </c>
      <c r="E56" s="120">
        <f>$C56-SUM(D56:D56)</f>
        <v>0</v>
      </c>
    </row>
    <row r="57" spans="1:5" x14ac:dyDescent="0.2">
      <c r="A57" s="187" t="s">
        <v>210</v>
      </c>
      <c r="B57" s="186" t="str">
        <f>VLOOKUP($A57,'Orçamento Sintético'!$A:$H,4,0)</f>
        <v>SERVIÇOS COMPLEMENTARES</v>
      </c>
      <c r="C57" s="113">
        <f>ROUND(C58/$E$72,4)</f>
        <v>2.81E-2</v>
      </c>
      <c r="D57" s="115">
        <f>ROUND(D58/$C58,4)</f>
        <v>0.39750000000000002</v>
      </c>
      <c r="E57" s="115">
        <f>ROUND(E58/$C58,4)</f>
        <v>0.60250000000000004</v>
      </c>
    </row>
    <row r="58" spans="1:5" s="75" customFormat="1" x14ac:dyDescent="0.2">
      <c r="A58" s="187"/>
      <c r="B58" s="186"/>
      <c r="C58" s="114">
        <f>VLOOKUP($A57,'Orçamento Sintético'!$A:$H,8,0)</f>
        <v>3299.01</v>
      </c>
      <c r="D58" s="116">
        <f>D60+D62</f>
        <v>1311.46</v>
      </c>
      <c r="E58" s="116">
        <f>E60+E62</f>
        <v>1987.55</v>
      </c>
    </row>
    <row r="59" spans="1:5" x14ac:dyDescent="0.2">
      <c r="A59" s="188" t="s">
        <v>212</v>
      </c>
      <c r="B59" s="188" t="str">
        <f>VLOOKUP($A59,'Orçamento Sintético'!$A:$H,4,0)</f>
        <v>ENSAIOS E TESTES</v>
      </c>
      <c r="C59" s="117">
        <f>ROUND(C60/$E$72,4)</f>
        <v>1.5100000000000001E-2</v>
      </c>
      <c r="D59" s="119"/>
      <c r="E59" s="119">
        <f>ROUND(E60/$C60,4)</f>
        <v>1</v>
      </c>
    </row>
    <row r="60" spans="1:5" s="75" customFormat="1" x14ac:dyDescent="0.2">
      <c r="A60" s="188"/>
      <c r="B60" s="188"/>
      <c r="C60" s="118">
        <f>VLOOKUP($A59,'Orçamento Sintético'!$A:$H,8,0)</f>
        <v>1764.96</v>
      </c>
      <c r="D60" s="120">
        <f>ROUND($C60*D59,2)</f>
        <v>0</v>
      </c>
      <c r="E60" s="120">
        <f>$C60-SUM(D60:D60)</f>
        <v>1764.96</v>
      </c>
    </row>
    <row r="61" spans="1:5" x14ac:dyDescent="0.2">
      <c r="A61" s="188" t="s">
        <v>218</v>
      </c>
      <c r="B61" s="188" t="str">
        <f>VLOOKUP($A61,'Orçamento Sintético'!$A:$H,4,0)</f>
        <v>LIMPEZA DE OBRA</v>
      </c>
      <c r="C61" s="117">
        <f>ROUND(C62/$E$72,4)</f>
        <v>1.3100000000000001E-2</v>
      </c>
      <c r="D61" s="119">
        <v>0.85489999999999999</v>
      </c>
      <c r="E61" s="119">
        <f>ROUND(E62/$C62,4)</f>
        <v>0.14510000000000001</v>
      </c>
    </row>
    <row r="62" spans="1:5" s="75" customFormat="1" x14ac:dyDescent="0.2">
      <c r="A62" s="188"/>
      <c r="B62" s="188"/>
      <c r="C62" s="118">
        <f>VLOOKUP($A61,'Orçamento Sintético'!$A:$H,8,0)</f>
        <v>1534.05</v>
      </c>
      <c r="D62" s="120">
        <f>ROUND($C62*D61,2)</f>
        <v>1311.46</v>
      </c>
      <c r="E62" s="120">
        <f>$C62-SUM(D62:D62)</f>
        <v>222.58999999999992</v>
      </c>
    </row>
    <row r="63" spans="1:5" x14ac:dyDescent="0.2">
      <c r="A63" s="187" t="s">
        <v>238</v>
      </c>
      <c r="B63" s="186" t="str">
        <f>VLOOKUP($A63,'Orçamento Sintético'!$A:$H,4,0)</f>
        <v>SERVIÇOS AUXILIARES E ADMINISTRATIVOS</v>
      </c>
      <c r="C63" s="113">
        <f>ROUND(C64/$E$72,4)</f>
        <v>0.1249</v>
      </c>
      <c r="D63" s="115">
        <f>ROUND(D64/$C64,4)</f>
        <v>0.5071</v>
      </c>
      <c r="E63" s="115">
        <f>ROUND(E64/$C64,4)</f>
        <v>0.4929</v>
      </c>
    </row>
    <row r="64" spans="1:5" s="75" customFormat="1" x14ac:dyDescent="0.2">
      <c r="A64" s="187"/>
      <c r="B64" s="186"/>
      <c r="C64" s="114">
        <f>VLOOKUP($A63,'Orçamento Sintético'!$A:$H,8,0)</f>
        <v>14641.74</v>
      </c>
      <c r="D64" s="116">
        <f>D66</f>
        <v>7424.83</v>
      </c>
      <c r="E64" s="116">
        <f>E66</f>
        <v>7216.91</v>
      </c>
    </row>
    <row r="65" spans="1:5" x14ac:dyDescent="0.2">
      <c r="A65" s="188" t="s">
        <v>240</v>
      </c>
      <c r="B65" s="188" t="str">
        <f>VLOOKUP($A65,'Orçamento Sintético'!$A:$H,4,0)</f>
        <v>PESSOAL</v>
      </c>
      <c r="C65" s="117">
        <f>ROUND(C66/$E$72,4)</f>
        <v>0.1249</v>
      </c>
      <c r="D65" s="119">
        <f>TRUNC(D75/$C75,4)</f>
        <v>0.5071</v>
      </c>
      <c r="E65" s="119">
        <f>ROUND(E66/$C66,4)</f>
        <v>0.4929</v>
      </c>
    </row>
    <row r="66" spans="1:5" s="75" customFormat="1" x14ac:dyDescent="0.2">
      <c r="A66" s="188"/>
      <c r="B66" s="188"/>
      <c r="C66" s="118">
        <f>VLOOKUP($A65,'Orçamento Sintético'!$A:$H,8,0)</f>
        <v>14641.74</v>
      </c>
      <c r="D66" s="120">
        <f>ROUND($C66*D65,2)</f>
        <v>7424.83</v>
      </c>
      <c r="E66" s="120">
        <f>$C66-SUM(D66:D66)</f>
        <v>7216.91</v>
      </c>
    </row>
    <row r="67" spans="1:5" x14ac:dyDescent="0.2">
      <c r="A67" s="185" t="s">
        <v>458</v>
      </c>
      <c r="B67" s="185"/>
      <c r="C67" s="23"/>
      <c r="D67" s="71">
        <f>ROUND(D68/$E$72,4)</f>
        <v>0.50719999999999998</v>
      </c>
      <c r="E67" s="71">
        <f>ROUND(E68/$E$72,4)</f>
        <v>0.49280000000000002</v>
      </c>
    </row>
    <row r="68" spans="1:5" x14ac:dyDescent="0.2">
      <c r="A68" s="184" t="s">
        <v>457</v>
      </c>
      <c r="B68" s="184"/>
      <c r="C68" s="23"/>
      <c r="D68" s="72">
        <f>+D10+D14+D20+D32+D42+D58+D64</f>
        <v>59456.07</v>
      </c>
      <c r="E68" s="76">
        <f>+E10+E14+E20+E32+E42+E58+E64</f>
        <v>57776.73000000001</v>
      </c>
    </row>
    <row r="69" spans="1:5" x14ac:dyDescent="0.2">
      <c r="A69" s="184" t="s">
        <v>389</v>
      </c>
      <c r="B69" s="184"/>
      <c r="C69" s="23"/>
      <c r="D69" s="69">
        <f>TRUNC(D68*'Composição de BDI'!$D$24,2)</f>
        <v>13151.68</v>
      </c>
      <c r="E69" s="69">
        <f>TRUNC(E68*'Composição de BDI'!$D$24,2)</f>
        <v>12780.21</v>
      </c>
    </row>
    <row r="70" spans="1:5" x14ac:dyDescent="0.2">
      <c r="A70" s="124"/>
      <c r="B70" s="125" t="s">
        <v>463</v>
      </c>
      <c r="C70" s="31"/>
      <c r="D70" s="70">
        <f>TRUNC(SUM(D68:D69),2)</f>
        <v>72607.75</v>
      </c>
      <c r="E70" s="70">
        <f>TRUNC(SUM(E68:E69),2)</f>
        <v>70556.94</v>
      </c>
    </row>
    <row r="71" spans="1:5" x14ac:dyDescent="0.2">
      <c r="A71" s="185" t="s">
        <v>456</v>
      </c>
      <c r="B71" s="185"/>
      <c r="C71" s="23"/>
      <c r="D71" s="71">
        <f>ROUND(D72/$E$72,4)</f>
        <v>0.50719999999999998</v>
      </c>
      <c r="E71" s="71">
        <f>ROUND(E72/$E$72,4)</f>
        <v>1</v>
      </c>
    </row>
    <row r="72" spans="1:5" x14ac:dyDescent="0.2">
      <c r="A72" s="184" t="s">
        <v>455</v>
      </c>
      <c r="B72" s="184"/>
      <c r="C72" s="123"/>
      <c r="D72" s="72">
        <f>D68</f>
        <v>59456.07</v>
      </c>
      <c r="E72" s="72">
        <f>D72+E68</f>
        <v>117232.80000000002</v>
      </c>
    </row>
    <row r="73" spans="1:5" x14ac:dyDescent="0.2">
      <c r="A73" s="124"/>
      <c r="B73" s="125" t="s">
        <v>454</v>
      </c>
      <c r="C73" s="70"/>
      <c r="D73" s="70">
        <f>D70</f>
        <v>72607.75</v>
      </c>
      <c r="E73" s="70">
        <f>D73+E70</f>
        <v>143164.69</v>
      </c>
    </row>
    <row r="75" spans="1:5" x14ac:dyDescent="0.2">
      <c r="A75" s="184" t="s">
        <v>537</v>
      </c>
      <c r="B75" s="184"/>
      <c r="C75" s="191">
        <f>SUM(D75:E75)</f>
        <v>102591.06</v>
      </c>
      <c r="D75" s="76">
        <f>D10+D14+D20+D32+D42+D58</f>
        <v>52031.24</v>
      </c>
      <c r="E75" s="76">
        <f>E10+E14+E20+E32+E42+E58</f>
        <v>50559.820000000007</v>
      </c>
    </row>
  </sheetData>
  <mergeCells count="65">
    <mergeCell ref="A75:B75"/>
    <mergeCell ref="B65:B66"/>
    <mergeCell ref="B63:B64"/>
    <mergeCell ref="B23:B24"/>
    <mergeCell ref="B25:B26"/>
    <mergeCell ref="B27:B28"/>
    <mergeCell ref="B29:B30"/>
    <mergeCell ref="B35:B36"/>
    <mergeCell ref="B37:B38"/>
    <mergeCell ref="B39:B40"/>
    <mergeCell ref="B45:B46"/>
    <mergeCell ref="B47:B48"/>
    <mergeCell ref="B49:B50"/>
    <mergeCell ref="B51:B52"/>
    <mergeCell ref="B53:B54"/>
    <mergeCell ref="B55:B56"/>
    <mergeCell ref="B59:B60"/>
    <mergeCell ref="B61:B62"/>
    <mergeCell ref="B43:B44"/>
    <mergeCell ref="B19:B20"/>
    <mergeCell ref="B31:B32"/>
    <mergeCell ref="B41:B42"/>
    <mergeCell ref="B57:B58"/>
    <mergeCell ref="A61:A62"/>
    <mergeCell ref="A65:A66"/>
    <mergeCell ref="A21:A22"/>
    <mergeCell ref="A33:A34"/>
    <mergeCell ref="A43:A44"/>
    <mergeCell ref="A57:A58"/>
    <mergeCell ref="A63:A64"/>
    <mergeCell ref="A23:A24"/>
    <mergeCell ref="A25:A26"/>
    <mergeCell ref="A27:A28"/>
    <mergeCell ref="A29:A30"/>
    <mergeCell ref="A35:A36"/>
    <mergeCell ref="A37:A38"/>
    <mergeCell ref="A39:A40"/>
    <mergeCell ref="A45:A46"/>
    <mergeCell ref="A47:A48"/>
    <mergeCell ref="A49:A50"/>
    <mergeCell ref="A51:A52"/>
    <mergeCell ref="A53:A54"/>
    <mergeCell ref="A55:A56"/>
    <mergeCell ref="A59:A60"/>
    <mergeCell ref="A19:A20"/>
    <mergeCell ref="A31:A32"/>
    <mergeCell ref="A41:A42"/>
    <mergeCell ref="B21:B22"/>
    <mergeCell ref="B33:B34"/>
    <mergeCell ref="A72:B72"/>
    <mergeCell ref="A7:E7"/>
    <mergeCell ref="A69:B69"/>
    <mergeCell ref="A67:B67"/>
    <mergeCell ref="A68:B68"/>
    <mergeCell ref="A71:B71"/>
    <mergeCell ref="B9:B10"/>
    <mergeCell ref="A9:A10"/>
    <mergeCell ref="A11:A12"/>
    <mergeCell ref="B11:B12"/>
    <mergeCell ref="B13:B14"/>
    <mergeCell ref="A13:A14"/>
    <mergeCell ref="A15:A16"/>
    <mergeCell ref="B15:B16"/>
    <mergeCell ref="B17:B18"/>
    <mergeCell ref="A17:A18"/>
  </mergeCells>
  <conditionalFormatting sqref="D9:D10">
    <cfRule type="cellIs" dxfId="111" priority="215" operator="equal">
      <formula>0</formula>
    </cfRule>
  </conditionalFormatting>
  <conditionalFormatting sqref="E9">
    <cfRule type="cellIs" dxfId="110" priority="214" operator="equal">
      <formula>0</formula>
    </cfRule>
  </conditionalFormatting>
  <conditionalFormatting sqref="E10">
    <cfRule type="cellIs" dxfId="109" priority="213" operator="equal">
      <formula>0</formula>
    </cfRule>
  </conditionalFormatting>
  <conditionalFormatting sqref="D11:D12">
    <cfRule type="cellIs" dxfId="108" priority="193" operator="equal">
      <formula>0</formula>
    </cfRule>
  </conditionalFormatting>
  <conditionalFormatting sqref="D11:D12">
    <cfRule type="cellIs" dxfId="107" priority="189" operator="notEqual">
      <formula>0</formula>
    </cfRule>
  </conditionalFormatting>
  <conditionalFormatting sqref="D13:D14">
    <cfRule type="cellIs" dxfId="106" priority="188" operator="equal">
      <formula>0</formula>
    </cfRule>
  </conditionalFormatting>
  <conditionalFormatting sqref="D19:D20">
    <cfRule type="cellIs" dxfId="105" priority="165" operator="equal">
      <formula>0</formula>
    </cfRule>
  </conditionalFormatting>
  <conditionalFormatting sqref="E19">
    <cfRule type="cellIs" dxfId="104" priority="164" operator="equal">
      <formula>0</formula>
    </cfRule>
  </conditionalFormatting>
  <conditionalFormatting sqref="E20">
    <cfRule type="cellIs" dxfId="103" priority="163" operator="equal">
      <formula>0</formula>
    </cfRule>
  </conditionalFormatting>
  <conditionalFormatting sqref="D31:D32">
    <cfRule type="cellIs" dxfId="102" priority="162" operator="equal">
      <formula>0</formula>
    </cfRule>
  </conditionalFormatting>
  <conditionalFormatting sqref="E31">
    <cfRule type="cellIs" dxfId="101" priority="161" operator="equal">
      <formula>0</formula>
    </cfRule>
  </conditionalFormatting>
  <conditionalFormatting sqref="E32">
    <cfRule type="cellIs" dxfId="100" priority="160" operator="equal">
      <formula>0</formula>
    </cfRule>
  </conditionalFormatting>
  <conditionalFormatting sqref="D57:D58">
    <cfRule type="cellIs" dxfId="99" priority="156" operator="equal">
      <formula>0</formula>
    </cfRule>
  </conditionalFormatting>
  <conditionalFormatting sqref="E57">
    <cfRule type="cellIs" dxfId="98" priority="155" operator="equal">
      <formula>0</formula>
    </cfRule>
  </conditionalFormatting>
  <conditionalFormatting sqref="D63:D64">
    <cfRule type="cellIs" dxfId="97" priority="153" operator="equal">
      <formula>0</formula>
    </cfRule>
  </conditionalFormatting>
  <conditionalFormatting sqref="E63">
    <cfRule type="cellIs" dxfId="96" priority="152" operator="equal">
      <formula>0</formula>
    </cfRule>
  </conditionalFormatting>
  <conditionalFormatting sqref="E64">
    <cfRule type="cellIs" dxfId="95" priority="151" operator="equal">
      <formula>0</formula>
    </cfRule>
  </conditionalFormatting>
  <conditionalFormatting sqref="D15">
    <cfRule type="cellIs" dxfId="94" priority="136" operator="equal">
      <formula>0</formula>
    </cfRule>
  </conditionalFormatting>
  <conditionalFormatting sqref="D16">
    <cfRule type="cellIs" dxfId="93" priority="135" operator="equal">
      <formula>0</formula>
    </cfRule>
  </conditionalFormatting>
  <conditionalFormatting sqref="D21">
    <cfRule type="cellIs" dxfId="92" priority="134" operator="equal">
      <formula>0</formula>
    </cfRule>
  </conditionalFormatting>
  <conditionalFormatting sqref="D22">
    <cfRule type="cellIs" dxfId="91" priority="133" operator="equal">
      <formula>0</formula>
    </cfRule>
  </conditionalFormatting>
  <conditionalFormatting sqref="D33">
    <cfRule type="cellIs" dxfId="90" priority="130" operator="equal">
      <formula>0</formula>
    </cfRule>
  </conditionalFormatting>
  <conditionalFormatting sqref="D34">
    <cfRule type="cellIs" dxfId="89" priority="129" operator="equal">
      <formula>0</formula>
    </cfRule>
  </conditionalFormatting>
  <conditionalFormatting sqref="E22">
    <cfRule type="cellIs" dxfId="88" priority="90" operator="equal">
      <formula>0</formula>
    </cfRule>
  </conditionalFormatting>
  <conditionalFormatting sqref="E11:E12">
    <cfRule type="cellIs" dxfId="87" priority="89" operator="equal">
      <formula>0</formula>
    </cfRule>
  </conditionalFormatting>
  <conditionalFormatting sqref="E11:E12">
    <cfRule type="cellIs" dxfId="86" priority="88" operator="notEqual">
      <formula>0</formula>
    </cfRule>
  </conditionalFormatting>
  <conditionalFormatting sqref="D17:D18">
    <cfRule type="cellIs" dxfId="85" priority="87" operator="equal">
      <formula>0</formula>
    </cfRule>
  </conditionalFormatting>
  <conditionalFormatting sqref="D17:D18">
    <cfRule type="cellIs" dxfId="84" priority="86" operator="notEqual">
      <formula>0</formula>
    </cfRule>
  </conditionalFormatting>
  <conditionalFormatting sqref="E17:E18">
    <cfRule type="cellIs" dxfId="83" priority="85" operator="equal">
      <formula>0</formula>
    </cfRule>
  </conditionalFormatting>
  <conditionalFormatting sqref="E17:E18">
    <cfRule type="cellIs" dxfId="82" priority="84" operator="notEqual">
      <formula>0</formula>
    </cfRule>
  </conditionalFormatting>
  <conditionalFormatting sqref="D23:D24">
    <cfRule type="cellIs" dxfId="81" priority="83" operator="equal">
      <formula>0</formula>
    </cfRule>
  </conditionalFormatting>
  <conditionalFormatting sqref="D23:D24">
    <cfRule type="cellIs" dxfId="80" priority="82" operator="notEqual">
      <formula>0</formula>
    </cfRule>
  </conditionalFormatting>
  <conditionalFormatting sqref="E23:E24">
    <cfRule type="cellIs" dxfId="79" priority="81" operator="equal">
      <formula>0</formula>
    </cfRule>
  </conditionalFormatting>
  <conditionalFormatting sqref="E23:E24">
    <cfRule type="cellIs" dxfId="78" priority="80" operator="notEqual">
      <formula>0</formula>
    </cfRule>
  </conditionalFormatting>
  <conditionalFormatting sqref="D25:D26">
    <cfRule type="cellIs" dxfId="77" priority="79" operator="equal">
      <formula>0</formula>
    </cfRule>
  </conditionalFormatting>
  <conditionalFormatting sqref="D25:D26">
    <cfRule type="cellIs" dxfId="76" priority="78" operator="notEqual">
      <formula>0</formula>
    </cfRule>
  </conditionalFormatting>
  <conditionalFormatting sqref="E25:E26">
    <cfRule type="cellIs" dxfId="75" priority="77" operator="equal">
      <formula>0</formula>
    </cfRule>
  </conditionalFormatting>
  <conditionalFormatting sqref="E25:E26">
    <cfRule type="cellIs" dxfId="74" priority="76" operator="notEqual">
      <formula>0</formula>
    </cfRule>
  </conditionalFormatting>
  <conditionalFormatting sqref="D27:D28">
    <cfRule type="cellIs" dxfId="73" priority="75" operator="equal">
      <formula>0</formula>
    </cfRule>
  </conditionalFormatting>
  <conditionalFormatting sqref="D27:D28">
    <cfRule type="cellIs" dxfId="72" priority="74" operator="notEqual">
      <formula>0</formula>
    </cfRule>
  </conditionalFormatting>
  <conditionalFormatting sqref="E27:E28">
    <cfRule type="cellIs" dxfId="71" priority="73" operator="equal">
      <formula>0</formula>
    </cfRule>
  </conditionalFormatting>
  <conditionalFormatting sqref="E27:E28">
    <cfRule type="cellIs" dxfId="70" priority="72" operator="notEqual">
      <formula>0</formula>
    </cfRule>
  </conditionalFormatting>
  <conditionalFormatting sqref="D29:D30">
    <cfRule type="cellIs" dxfId="69" priority="71" operator="equal">
      <formula>0</formula>
    </cfRule>
  </conditionalFormatting>
  <conditionalFormatting sqref="D29:D30">
    <cfRule type="cellIs" dxfId="68" priority="70" operator="notEqual">
      <formula>0</formula>
    </cfRule>
  </conditionalFormatting>
  <conditionalFormatting sqref="E29:E30">
    <cfRule type="cellIs" dxfId="67" priority="69" operator="equal">
      <formula>0</formula>
    </cfRule>
  </conditionalFormatting>
  <conditionalFormatting sqref="E29:E30">
    <cfRule type="cellIs" dxfId="66" priority="68" operator="notEqual">
      <formula>0</formula>
    </cfRule>
  </conditionalFormatting>
  <conditionalFormatting sqref="D35:D36">
    <cfRule type="cellIs" dxfId="65" priority="67" operator="equal">
      <formula>0</formula>
    </cfRule>
  </conditionalFormatting>
  <conditionalFormatting sqref="D35:D36">
    <cfRule type="cellIs" dxfId="64" priority="66" operator="notEqual">
      <formula>0</formula>
    </cfRule>
  </conditionalFormatting>
  <conditionalFormatting sqref="E35:E36">
    <cfRule type="cellIs" dxfId="63" priority="65" operator="equal">
      <formula>0</formula>
    </cfRule>
  </conditionalFormatting>
  <conditionalFormatting sqref="E35:E36">
    <cfRule type="cellIs" dxfId="62" priority="64" operator="notEqual">
      <formula>0</formula>
    </cfRule>
  </conditionalFormatting>
  <conditionalFormatting sqref="D37:D38">
    <cfRule type="cellIs" dxfId="61" priority="63" operator="equal">
      <formula>0</formula>
    </cfRule>
  </conditionalFormatting>
  <conditionalFormatting sqref="D37:D38">
    <cfRule type="cellIs" dxfId="60" priority="62" operator="notEqual">
      <formula>0</formula>
    </cfRule>
  </conditionalFormatting>
  <conditionalFormatting sqref="E37:E38">
    <cfRule type="cellIs" dxfId="59" priority="61" operator="equal">
      <formula>0</formula>
    </cfRule>
  </conditionalFormatting>
  <conditionalFormatting sqref="E37:E38">
    <cfRule type="cellIs" dxfId="58" priority="60" operator="notEqual">
      <formula>0</formula>
    </cfRule>
  </conditionalFormatting>
  <conditionalFormatting sqref="D39:D40">
    <cfRule type="cellIs" dxfId="57" priority="59" operator="equal">
      <formula>0</formula>
    </cfRule>
  </conditionalFormatting>
  <conditionalFormatting sqref="D39:D40">
    <cfRule type="cellIs" dxfId="56" priority="58" operator="notEqual">
      <formula>0</formula>
    </cfRule>
  </conditionalFormatting>
  <conditionalFormatting sqref="E39:E40">
    <cfRule type="cellIs" dxfId="55" priority="57" operator="equal">
      <formula>0</formula>
    </cfRule>
  </conditionalFormatting>
  <conditionalFormatting sqref="E39:E40">
    <cfRule type="cellIs" dxfId="54" priority="56" operator="notEqual">
      <formula>0</formula>
    </cfRule>
  </conditionalFormatting>
  <conditionalFormatting sqref="E34">
    <cfRule type="cellIs" dxfId="53" priority="55" operator="equal">
      <formula>0</formula>
    </cfRule>
  </conditionalFormatting>
  <conditionalFormatting sqref="E33">
    <cfRule type="cellIs" dxfId="52" priority="54" operator="equal">
      <formula>0</formula>
    </cfRule>
  </conditionalFormatting>
  <conditionalFormatting sqref="E21">
    <cfRule type="cellIs" dxfId="51" priority="53" operator="equal">
      <formula>0</formula>
    </cfRule>
  </conditionalFormatting>
  <conditionalFormatting sqref="E15">
    <cfRule type="cellIs" dxfId="50" priority="52" operator="equal">
      <formula>0</formula>
    </cfRule>
  </conditionalFormatting>
  <conditionalFormatting sqref="E16">
    <cfRule type="cellIs" dxfId="49" priority="51" operator="equal">
      <formula>0</formula>
    </cfRule>
  </conditionalFormatting>
  <conditionalFormatting sqref="E13:E14">
    <cfRule type="cellIs" dxfId="48" priority="50" operator="equal">
      <formula>0</formula>
    </cfRule>
  </conditionalFormatting>
  <conditionalFormatting sqref="D41:D42">
    <cfRule type="cellIs" dxfId="47" priority="49" operator="equal">
      <formula>0</formula>
    </cfRule>
  </conditionalFormatting>
  <conditionalFormatting sqref="E41">
    <cfRule type="cellIs" dxfId="46" priority="48" operator="equal">
      <formula>0</formula>
    </cfRule>
  </conditionalFormatting>
  <conditionalFormatting sqref="E42">
    <cfRule type="cellIs" dxfId="45" priority="47" operator="equal">
      <formula>0</formula>
    </cfRule>
  </conditionalFormatting>
  <conditionalFormatting sqref="D43">
    <cfRule type="cellIs" dxfId="44" priority="46" operator="equal">
      <formula>0</formula>
    </cfRule>
  </conditionalFormatting>
  <conditionalFormatting sqref="D44">
    <cfRule type="cellIs" dxfId="43" priority="45" operator="equal">
      <formula>0</formula>
    </cfRule>
  </conditionalFormatting>
  <conditionalFormatting sqref="E43">
    <cfRule type="cellIs" dxfId="42" priority="43" operator="equal">
      <formula>0</formula>
    </cfRule>
  </conditionalFormatting>
  <conditionalFormatting sqref="D45:D46">
    <cfRule type="cellIs" dxfId="41" priority="42" operator="equal">
      <formula>0</formula>
    </cfRule>
  </conditionalFormatting>
  <conditionalFormatting sqref="D45:D46">
    <cfRule type="cellIs" dxfId="40" priority="41" operator="notEqual">
      <formula>0</formula>
    </cfRule>
  </conditionalFormatting>
  <conditionalFormatting sqref="E45:E46">
    <cfRule type="cellIs" dxfId="39" priority="40" operator="equal">
      <formula>0</formula>
    </cfRule>
  </conditionalFormatting>
  <conditionalFormatting sqref="E45:E46">
    <cfRule type="cellIs" dxfId="38" priority="39" operator="notEqual">
      <formula>0</formula>
    </cfRule>
  </conditionalFormatting>
  <conditionalFormatting sqref="D47:D48">
    <cfRule type="cellIs" dxfId="37" priority="38" operator="equal">
      <formula>0</formula>
    </cfRule>
  </conditionalFormatting>
  <conditionalFormatting sqref="D47:D48">
    <cfRule type="cellIs" dxfId="36" priority="37" operator="notEqual">
      <formula>0</formula>
    </cfRule>
  </conditionalFormatting>
  <conditionalFormatting sqref="E47:E48">
    <cfRule type="cellIs" dxfId="35" priority="36" operator="equal">
      <formula>0</formula>
    </cfRule>
  </conditionalFormatting>
  <conditionalFormatting sqref="E47:E48">
    <cfRule type="cellIs" dxfId="34" priority="35" operator="notEqual">
      <formula>0</formula>
    </cfRule>
  </conditionalFormatting>
  <conditionalFormatting sqref="D49:D50">
    <cfRule type="cellIs" dxfId="33" priority="34" operator="equal">
      <formula>0</formula>
    </cfRule>
  </conditionalFormatting>
  <conditionalFormatting sqref="D49:D50">
    <cfRule type="cellIs" dxfId="32" priority="33" operator="notEqual">
      <formula>0</formula>
    </cfRule>
  </conditionalFormatting>
  <conditionalFormatting sqref="E49:E50">
    <cfRule type="cellIs" dxfId="31" priority="32" operator="equal">
      <formula>0</formula>
    </cfRule>
  </conditionalFormatting>
  <conditionalFormatting sqref="E49:E50">
    <cfRule type="cellIs" dxfId="30" priority="31" operator="notEqual">
      <formula>0</formula>
    </cfRule>
  </conditionalFormatting>
  <conditionalFormatting sqref="D51:D52">
    <cfRule type="cellIs" dxfId="29" priority="30" operator="equal">
      <formula>0</formula>
    </cfRule>
  </conditionalFormatting>
  <conditionalFormatting sqref="D51:D52">
    <cfRule type="cellIs" dxfId="28" priority="29" operator="notEqual">
      <formula>0</formula>
    </cfRule>
  </conditionalFormatting>
  <conditionalFormatting sqref="E51:E52">
    <cfRule type="cellIs" dxfId="27" priority="28" operator="equal">
      <formula>0</formula>
    </cfRule>
  </conditionalFormatting>
  <conditionalFormatting sqref="E51:E52">
    <cfRule type="cellIs" dxfId="26" priority="27" operator="notEqual">
      <formula>0</formula>
    </cfRule>
  </conditionalFormatting>
  <conditionalFormatting sqref="D53:D54">
    <cfRule type="cellIs" dxfId="25" priority="26" operator="equal">
      <formula>0</formula>
    </cfRule>
  </conditionalFormatting>
  <conditionalFormatting sqref="D53:D54">
    <cfRule type="cellIs" dxfId="24" priority="25" operator="notEqual">
      <formula>0</formula>
    </cfRule>
  </conditionalFormatting>
  <conditionalFormatting sqref="E53:E54">
    <cfRule type="cellIs" dxfId="23" priority="24" operator="equal">
      <formula>0</formula>
    </cfRule>
  </conditionalFormatting>
  <conditionalFormatting sqref="E53:E54">
    <cfRule type="cellIs" dxfId="22" priority="23" operator="notEqual">
      <formula>0</formula>
    </cfRule>
  </conditionalFormatting>
  <conditionalFormatting sqref="D55:D56">
    <cfRule type="cellIs" dxfId="21" priority="22" operator="equal">
      <formula>0</formula>
    </cfRule>
  </conditionalFormatting>
  <conditionalFormatting sqref="D55:D56">
    <cfRule type="cellIs" dxfId="20" priority="21" operator="notEqual">
      <formula>0</formula>
    </cfRule>
  </conditionalFormatting>
  <conditionalFormatting sqref="E55:E56">
    <cfRule type="cellIs" dxfId="19" priority="20" operator="equal">
      <formula>0</formula>
    </cfRule>
  </conditionalFormatting>
  <conditionalFormatting sqref="E55:E56">
    <cfRule type="cellIs" dxfId="18" priority="19" operator="notEqual">
      <formula>0</formula>
    </cfRule>
  </conditionalFormatting>
  <conditionalFormatting sqref="E44">
    <cfRule type="cellIs" dxfId="17" priority="18" operator="equal">
      <formula>0</formula>
    </cfRule>
  </conditionalFormatting>
  <conditionalFormatting sqref="C44">
    <cfRule type="cellIs" dxfId="16" priority="17" operator="equal">
      <formula>0</formula>
    </cfRule>
  </conditionalFormatting>
  <conditionalFormatting sqref="C34">
    <cfRule type="cellIs" dxfId="15" priority="16" operator="equal">
      <formula>0</formula>
    </cfRule>
  </conditionalFormatting>
  <conditionalFormatting sqref="C22">
    <cfRule type="cellIs" dxfId="14" priority="15" operator="equal">
      <formula>0</formula>
    </cfRule>
  </conditionalFormatting>
  <conditionalFormatting sqref="C16">
    <cfRule type="cellIs" dxfId="13" priority="14" operator="equal">
      <formula>0</formula>
    </cfRule>
  </conditionalFormatting>
  <conditionalFormatting sqref="D59:D60">
    <cfRule type="cellIs" dxfId="12" priority="13" operator="equal">
      <formula>0</formula>
    </cfRule>
  </conditionalFormatting>
  <conditionalFormatting sqref="D59:D60">
    <cfRule type="cellIs" dxfId="11" priority="12" operator="notEqual">
      <formula>0</formula>
    </cfRule>
  </conditionalFormatting>
  <conditionalFormatting sqref="E59:E60">
    <cfRule type="cellIs" dxfId="10" priority="11" operator="equal">
      <formula>0</formula>
    </cfRule>
  </conditionalFormatting>
  <conditionalFormatting sqref="E59:E60">
    <cfRule type="cellIs" dxfId="9" priority="10" operator="notEqual">
      <formula>0</formula>
    </cfRule>
  </conditionalFormatting>
  <conditionalFormatting sqref="D61:D62">
    <cfRule type="cellIs" dxfId="8" priority="9" operator="equal">
      <formula>0</formula>
    </cfRule>
  </conditionalFormatting>
  <conditionalFormatting sqref="D61:D62">
    <cfRule type="cellIs" dxfId="7" priority="8" operator="notEqual">
      <formula>0</formula>
    </cfRule>
  </conditionalFormatting>
  <conditionalFormatting sqref="E61:E62">
    <cfRule type="cellIs" dxfId="6" priority="7" operator="equal">
      <formula>0</formula>
    </cfRule>
  </conditionalFormatting>
  <conditionalFormatting sqref="E61:E62">
    <cfRule type="cellIs" dxfId="5" priority="6" operator="notEqual">
      <formula>0</formula>
    </cfRule>
  </conditionalFormatting>
  <conditionalFormatting sqref="E58">
    <cfRule type="cellIs" dxfId="4" priority="5" operator="equal">
      <formula>0</formula>
    </cfRule>
  </conditionalFormatting>
  <conditionalFormatting sqref="D65:D66">
    <cfRule type="cellIs" dxfId="3" priority="4" operator="equal">
      <formula>0</formula>
    </cfRule>
  </conditionalFormatting>
  <conditionalFormatting sqref="D65:D66">
    <cfRule type="cellIs" dxfId="2" priority="3" operator="notEqual">
      <formula>0</formula>
    </cfRule>
  </conditionalFormatting>
  <conditionalFormatting sqref="E65:E66">
    <cfRule type="cellIs" dxfId="1" priority="2" operator="equal">
      <formula>0</formula>
    </cfRule>
  </conditionalFormatting>
  <conditionalFormatting sqref="E65:E66">
    <cfRule type="cellIs" dxfId="0" priority="1" operator="notEqual">
      <formula>0</formula>
    </cfRule>
  </conditionalFormatting>
  <printOptions horizontalCentered="1"/>
  <pageMargins left="0.59055118110236227" right="0.59055118110236227" top="0.59055118110236227" bottom="0.59055118110236227" header="0.19685039370078741" footer="0.19685039370078741"/>
  <pageSetup paperSize="9" scale="62" fitToHeight="0" orientation="portrait" r:id="rId1"/>
  <headerFooter>
    <oddHeader>&amp;L &amp;C &amp;R</oddHeader>
    <oddFooter>&amp;L &amp;C &amp;R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8</vt:i4>
      </vt:variant>
      <vt:variant>
        <vt:lpstr>Intervalos Nomeados</vt:lpstr>
      </vt:variant>
      <vt:variant>
        <vt:i4>11</vt:i4>
      </vt:variant>
    </vt:vector>
  </HeadingPairs>
  <TitlesOfParts>
    <vt:vector size="19" baseType="lpstr">
      <vt:lpstr>Instruções de Preenchimento</vt:lpstr>
      <vt:lpstr>Resumo do Orçamento</vt:lpstr>
      <vt:lpstr>Orçamento Sintético</vt:lpstr>
      <vt:lpstr>Orçamento Analítico</vt:lpstr>
      <vt:lpstr>Insumos e Serviços</vt:lpstr>
      <vt:lpstr>Composição de BDI</vt:lpstr>
      <vt:lpstr>Composição de Encargos Sociais</vt:lpstr>
      <vt:lpstr>Cronograma</vt:lpstr>
      <vt:lpstr>'Composição de BDI'!Area_de_impressao</vt:lpstr>
      <vt:lpstr>'Composição de Encargos Sociais'!Area_de_impressao</vt:lpstr>
      <vt:lpstr>Cronograma!Area_de_impressao</vt:lpstr>
      <vt:lpstr>'Insumos e Serviços'!Area_de_impressao</vt:lpstr>
      <vt:lpstr>'Orçamento Analítico'!Area_de_impressao</vt:lpstr>
      <vt:lpstr>'Orçamento Sintético'!Area_de_impressao</vt:lpstr>
      <vt:lpstr>'Composição de BDI'!Titulos_de_impressao</vt:lpstr>
      <vt:lpstr>Cronograma!Titulos_de_impressao</vt:lpstr>
      <vt:lpstr>'Insumos e Serviços'!Titulos_de_impressao</vt:lpstr>
      <vt:lpstr>'Orçamento Analítico'!Titulos_de_impressao</vt:lpstr>
      <vt:lpstr>'Orçamento Sintético'!Titulos_de_impressao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User</cp:lastModifiedBy>
  <cp:revision>0</cp:revision>
  <cp:lastPrinted>2021-06-06T15:12:45Z</cp:lastPrinted>
  <dcterms:created xsi:type="dcterms:W3CDTF">2021-03-17T13:37:34Z</dcterms:created>
  <dcterms:modified xsi:type="dcterms:W3CDTF">2021-06-06T15:27:16Z</dcterms:modified>
</cp:coreProperties>
</file>